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filterPrivacy="1"/>
  <xr:revisionPtr revIDLastSave="0" documentId="13_ncr:1_{3E340AC4-6A4C-441B-83CA-FDB6AF940173}" xr6:coauthVersionLast="47" xr6:coauthVersionMax="47" xr10:uidLastSave="{00000000-0000-0000-0000-000000000000}"/>
  <bookViews>
    <workbookView xWindow="-108" yWindow="-108" windowWidth="23256" windowHeight="12576" tabRatio="693" activeTab="1" xr2:uid="{00000000-000D-0000-FFFF-FFFF00000000}"/>
  </bookViews>
  <sheets>
    <sheet name="01 Prod Physique Boites" sheetId="1" r:id="rId1"/>
    <sheet name="02 Prod Valorisée Boites" sheetId="13" r:id="rId2"/>
    <sheet name="03 Prod Accessoires" sheetId="17" r:id="rId3"/>
    <sheet name="04 Ventes" sheetId="16" r:id="rId4"/>
    <sheet name="05 Activité Consolidée" sheetId="15" r:id="rId5"/>
    <sheet name="06 TRS" sheetId="14" r:id="rId6"/>
    <sheet name="07 Graphique" sheetId="19" r:id="rId7"/>
    <sheet name="REFERENCE PU" sheetId="2" state="hidden" r:id="rId8"/>
  </sheets>
  <definedNames>
    <definedName name="_xlnm._FilterDatabase" localSheetId="4" hidden="1">'05 Activité Consolidée'!$A$11:$A$25</definedName>
    <definedName name="_xlnm.Print_Area" localSheetId="0">'01 Prod Physique Boites'!$A$1:$O$2355</definedName>
    <definedName name="_xlnm.Print_Area" localSheetId="1">'02 Prod Valorisée Boites'!$A$1:$J$2359</definedName>
    <definedName name="_xlnm.Print_Area" localSheetId="2">'03 Prod Accessoires'!$A$1:$Q$1366</definedName>
    <definedName name="_xlnm.Print_Area" localSheetId="3">'04 Ventes'!$A$1:$I$1951</definedName>
    <definedName name="_xlnm.Print_Area" localSheetId="4">'05 Activité Consolidée'!$A$1:$J$340</definedName>
    <definedName name="_xlnm.Print_Area" localSheetId="5">'06 TRS'!$A$1:$T$440</definedName>
    <definedName name="_xlnm.Print_Area" localSheetId="6">'07 Graphique'!$A$1:$T$42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83" i="16" l="1"/>
  <c r="F1135" i="16"/>
  <c r="F1136" i="16"/>
  <c r="E1857" i="16"/>
  <c r="E1862" i="16"/>
  <c r="H1860" i="16"/>
  <c r="F1860" i="16"/>
  <c r="I1860" i="16" s="1"/>
  <c r="I1945" i="16"/>
  <c r="H1945" i="16"/>
  <c r="H1934" i="16"/>
  <c r="F1934" i="16"/>
  <c r="I1934" i="16" s="1"/>
  <c r="H1895" i="16"/>
  <c r="H1896" i="16"/>
  <c r="H1897" i="16"/>
  <c r="F1895" i="16"/>
  <c r="I1895" i="16" s="1"/>
  <c r="H1894" i="16"/>
  <c r="H1893" i="16"/>
  <c r="F1897" i="16"/>
  <c r="I1897" i="16" s="1"/>
  <c r="H1912" i="16"/>
  <c r="F1912" i="16"/>
  <c r="I1912" i="16" s="1"/>
  <c r="H1911" i="16"/>
  <c r="F1911" i="16"/>
  <c r="I1911" i="16" s="1"/>
  <c r="H1910" i="16"/>
  <c r="F1910" i="16"/>
  <c r="I1910" i="16" s="1"/>
  <c r="H1907" i="16"/>
  <c r="H1908" i="16"/>
  <c r="H1909" i="16"/>
  <c r="F1908" i="16"/>
  <c r="I1908" i="16" s="1"/>
  <c r="F1909" i="16"/>
  <c r="I1909" i="16" s="1"/>
  <c r="F1907" i="16"/>
  <c r="I1907" i="16" s="1"/>
  <c r="G2312" i="13"/>
  <c r="J2312" i="13" s="1"/>
  <c r="F2312" i="13"/>
  <c r="I2312" i="13" s="1"/>
  <c r="M2307" i="1"/>
  <c r="K2307" i="1" s="1"/>
  <c r="L2307" i="1"/>
  <c r="G2307" i="1"/>
  <c r="I2298" i="1"/>
  <c r="H2298" i="1"/>
  <c r="F2299" i="13"/>
  <c r="F2300" i="13"/>
  <c r="F2301" i="13"/>
  <c r="F2302" i="13"/>
  <c r="F2303" i="13"/>
  <c r="F2304" i="13"/>
  <c r="F2305" i="13"/>
  <c r="F2306" i="13"/>
  <c r="F2307" i="13"/>
  <c r="G2318" i="1"/>
  <c r="J2318" i="1" s="1"/>
  <c r="F2326" i="13"/>
  <c r="I2326" i="13" s="1"/>
  <c r="M2321" i="1"/>
  <c r="L2321" i="1"/>
  <c r="G2326" i="13" s="1"/>
  <c r="J2326" i="13" s="1"/>
  <c r="K2321" i="1"/>
  <c r="N2321" i="1" s="1"/>
  <c r="F2314" i="13"/>
  <c r="I2314" i="13" s="1"/>
  <c r="M2309" i="1"/>
  <c r="L2309" i="1"/>
  <c r="G2314" i="13" s="1"/>
  <c r="J2314" i="13" s="1"/>
  <c r="O2321" i="1" l="1"/>
  <c r="K2309" i="1"/>
  <c r="D16" i="14"/>
  <c r="D20" i="14"/>
  <c r="D21" i="14"/>
  <c r="F2293" i="13" l="1"/>
  <c r="I2293" i="13" s="1"/>
  <c r="M2288" i="1"/>
  <c r="L2288" i="1"/>
  <c r="G2293" i="13" s="1"/>
  <c r="J2293" i="13" s="1"/>
  <c r="G2288" i="1"/>
  <c r="J2288" i="1" s="1"/>
  <c r="L28" i="14"/>
  <c r="K28" i="14" s="1"/>
  <c r="O28" i="14" s="1"/>
  <c r="N28" i="14" s="1"/>
  <c r="G28" i="14"/>
  <c r="C28" i="14"/>
  <c r="L27" i="14"/>
  <c r="K27" i="14" s="1"/>
  <c r="O27" i="14" s="1"/>
  <c r="G27" i="14"/>
  <c r="C27" i="14"/>
  <c r="L26" i="14"/>
  <c r="K26" i="14" s="1"/>
  <c r="O26" i="14" s="1"/>
  <c r="G26" i="14"/>
  <c r="C26" i="14"/>
  <c r="L25" i="14"/>
  <c r="K25" i="14" s="1"/>
  <c r="G25" i="14"/>
  <c r="C25" i="14"/>
  <c r="L24" i="14"/>
  <c r="K24" i="14" s="1"/>
  <c r="O24" i="14" s="1"/>
  <c r="N24" i="14" s="1"/>
  <c r="G24" i="14"/>
  <c r="C24" i="14"/>
  <c r="L23" i="14"/>
  <c r="K23" i="14" s="1"/>
  <c r="O23" i="14" s="1"/>
  <c r="G23" i="14"/>
  <c r="C23" i="14"/>
  <c r="L22" i="14"/>
  <c r="K22" i="14" s="1"/>
  <c r="O22" i="14" s="1"/>
  <c r="G22" i="14"/>
  <c r="C22" i="14"/>
  <c r="L21" i="14"/>
  <c r="K21" i="14" s="1"/>
  <c r="O21" i="14" s="1"/>
  <c r="G21" i="14"/>
  <c r="C21" i="14"/>
  <c r="L20" i="14"/>
  <c r="K20" i="14" s="1"/>
  <c r="O20" i="14" s="1"/>
  <c r="G20" i="14"/>
  <c r="C20" i="14"/>
  <c r="L19" i="14"/>
  <c r="K19" i="14" s="1"/>
  <c r="O19" i="14" s="1"/>
  <c r="G19" i="14"/>
  <c r="C19" i="14"/>
  <c r="L18" i="14"/>
  <c r="K18" i="14" s="1"/>
  <c r="O18" i="14" s="1"/>
  <c r="G18" i="14"/>
  <c r="C18" i="14"/>
  <c r="L17" i="14"/>
  <c r="K17" i="14" s="1"/>
  <c r="O17" i="14" s="1"/>
  <c r="G17" i="14"/>
  <c r="C17" i="14"/>
  <c r="G16" i="14"/>
  <c r="L15" i="14"/>
  <c r="K15" i="14" s="1"/>
  <c r="G15" i="14"/>
  <c r="C15" i="14"/>
  <c r="L14" i="14"/>
  <c r="K14" i="14" s="1"/>
  <c r="G14" i="14"/>
  <c r="C14" i="14"/>
  <c r="L13" i="14"/>
  <c r="K13" i="14" s="1"/>
  <c r="G13" i="14"/>
  <c r="C13" i="14"/>
  <c r="E338" i="15"/>
  <c r="E335" i="15"/>
  <c r="E332" i="15"/>
  <c r="H1949" i="16"/>
  <c r="E1948" i="16"/>
  <c r="H1947" i="16"/>
  <c r="H1946" i="16"/>
  <c r="H1944" i="16"/>
  <c r="H1943" i="16"/>
  <c r="H1942" i="16"/>
  <c r="H1941" i="16"/>
  <c r="H1940" i="16"/>
  <c r="H1939" i="16"/>
  <c r="H1938" i="16"/>
  <c r="H1937" i="16"/>
  <c r="H1936" i="16"/>
  <c r="H1935" i="16"/>
  <c r="H1933" i="16"/>
  <c r="H1932" i="16"/>
  <c r="H1931" i="16"/>
  <c r="H1930" i="16"/>
  <c r="H1929" i="16"/>
  <c r="H1928" i="16"/>
  <c r="H1927" i="16"/>
  <c r="H1926" i="16"/>
  <c r="H1925" i="16"/>
  <c r="H1924" i="16"/>
  <c r="H1923" i="16"/>
  <c r="E1922" i="16"/>
  <c r="H1921" i="16"/>
  <c r="H1920" i="16"/>
  <c r="H1919" i="16"/>
  <c r="H1918" i="16"/>
  <c r="H1917" i="16"/>
  <c r="H1916" i="16"/>
  <c r="H1915" i="16"/>
  <c r="H1914" i="16"/>
  <c r="H1913" i="16"/>
  <c r="H1906" i="16"/>
  <c r="H1905" i="16"/>
  <c r="H1904" i="16"/>
  <c r="H1903" i="16"/>
  <c r="H1902" i="16"/>
  <c r="H1901" i="16"/>
  <c r="H1900" i="16"/>
  <c r="H1899" i="16"/>
  <c r="H1898" i="16"/>
  <c r="H1892" i="16"/>
  <c r="H1891" i="16"/>
  <c r="H1890" i="16"/>
  <c r="I1888" i="16"/>
  <c r="E1887" i="16"/>
  <c r="H1886" i="16"/>
  <c r="H1885" i="16"/>
  <c r="H1884" i="16"/>
  <c r="H1883" i="16"/>
  <c r="H1882" i="16"/>
  <c r="H1881" i="16"/>
  <c r="H1880" i="16"/>
  <c r="E1879" i="16"/>
  <c r="H1878" i="16"/>
  <c r="H1877" i="16"/>
  <c r="H1876" i="16"/>
  <c r="H1875" i="16"/>
  <c r="H1874" i="16"/>
  <c r="H1873" i="16"/>
  <c r="H1872" i="16"/>
  <c r="H1871" i="16"/>
  <c r="H1870" i="16"/>
  <c r="H1869" i="16"/>
  <c r="H1868" i="16"/>
  <c r="H1867" i="16"/>
  <c r="H1866" i="16"/>
  <c r="H1865" i="16"/>
  <c r="E1864" i="16"/>
  <c r="H1863" i="16"/>
  <c r="H1862" i="16"/>
  <c r="H1861" i="16"/>
  <c r="H1859" i="16"/>
  <c r="H1858" i="16"/>
  <c r="H1857" i="16"/>
  <c r="H1856" i="16"/>
  <c r="H1855" i="16"/>
  <c r="H1854" i="16"/>
  <c r="H1853" i="16"/>
  <c r="H1852" i="16"/>
  <c r="H1851" i="16"/>
  <c r="H1850" i="16"/>
  <c r="H1849" i="16"/>
  <c r="H1848" i="16"/>
  <c r="E1365" i="17"/>
  <c r="H1364" i="17"/>
  <c r="H1365" i="17" s="1"/>
  <c r="G1364" i="17"/>
  <c r="G1365" i="17" s="1"/>
  <c r="D1364" i="17"/>
  <c r="D1365" i="17" s="1"/>
  <c r="P1363" i="17"/>
  <c r="I1363" i="17"/>
  <c r="F1363" i="17"/>
  <c r="P1362" i="17"/>
  <c r="F1362" i="17"/>
  <c r="I1362" i="17" s="1"/>
  <c r="P1361" i="17"/>
  <c r="I1361" i="17"/>
  <c r="F1361" i="17"/>
  <c r="P1360" i="17"/>
  <c r="F1360" i="17"/>
  <c r="I1360" i="17" s="1"/>
  <c r="P1359" i="17"/>
  <c r="F1359" i="17"/>
  <c r="I1359" i="17" s="1"/>
  <c r="P1358" i="17"/>
  <c r="F1358" i="17"/>
  <c r="I1358" i="17" s="1"/>
  <c r="P1357" i="17"/>
  <c r="F1357" i="17"/>
  <c r="I1357" i="17" s="1"/>
  <c r="P1356" i="17"/>
  <c r="F1356" i="17"/>
  <c r="I1356" i="17" s="1"/>
  <c r="P1355" i="17"/>
  <c r="F1355" i="17"/>
  <c r="I1355" i="17" s="1"/>
  <c r="P1354" i="17"/>
  <c r="F1354" i="17"/>
  <c r="I1354" i="17" s="1"/>
  <c r="P1353" i="17"/>
  <c r="F1353" i="17"/>
  <c r="I1353" i="17" s="1"/>
  <c r="P1352" i="17"/>
  <c r="F1352" i="17"/>
  <c r="I1352" i="17" s="1"/>
  <c r="P1351" i="17"/>
  <c r="I1351" i="17"/>
  <c r="F1351" i="17"/>
  <c r="P1350" i="17"/>
  <c r="F1350" i="17"/>
  <c r="I1350" i="17" s="1"/>
  <c r="P1349" i="17"/>
  <c r="I1349" i="17"/>
  <c r="F1349" i="17"/>
  <c r="P1348" i="17"/>
  <c r="F1348" i="17"/>
  <c r="I1348" i="17" s="1"/>
  <c r="P1347" i="17"/>
  <c r="I1347" i="17"/>
  <c r="F1347" i="17"/>
  <c r="P1346" i="17"/>
  <c r="F1346" i="17"/>
  <c r="I1346" i="17" s="1"/>
  <c r="P1345" i="17"/>
  <c r="F1345" i="17"/>
  <c r="I1345" i="17" s="1"/>
  <c r="P1344" i="17"/>
  <c r="F1344" i="17"/>
  <c r="I1344" i="17" s="1"/>
  <c r="P1343" i="17"/>
  <c r="F1343" i="17"/>
  <c r="I1343" i="17" s="1"/>
  <c r="P1342" i="17"/>
  <c r="F1342" i="17"/>
  <c r="I1342" i="17" s="1"/>
  <c r="P1341" i="17"/>
  <c r="F1341" i="17"/>
  <c r="I1341" i="17" s="1"/>
  <c r="P1340" i="17"/>
  <c r="F1340" i="17"/>
  <c r="I1340" i="17" s="1"/>
  <c r="P1339" i="17"/>
  <c r="F1339" i="17"/>
  <c r="I1339" i="17" s="1"/>
  <c r="P1338" i="17"/>
  <c r="F1338" i="17"/>
  <c r="P1337" i="17"/>
  <c r="F1337" i="17"/>
  <c r="I1337" i="17" s="1"/>
  <c r="P1336" i="17"/>
  <c r="F1336" i="17"/>
  <c r="I1336" i="17" s="1"/>
  <c r="P1335" i="17"/>
  <c r="F1335" i="17"/>
  <c r="I1335" i="17" s="1"/>
  <c r="P1334" i="17"/>
  <c r="F1334" i="17"/>
  <c r="I1334" i="17" s="1"/>
  <c r="P1333" i="17"/>
  <c r="F1333" i="17"/>
  <c r="I1333" i="17" s="1"/>
  <c r="P1332" i="17"/>
  <c r="F1332" i="17"/>
  <c r="I1332" i="17" s="1"/>
  <c r="E1331" i="17"/>
  <c r="D1331" i="17"/>
  <c r="H1330" i="17"/>
  <c r="H1331" i="17" s="1"/>
  <c r="G1330" i="17"/>
  <c r="G1331" i="17" s="1"/>
  <c r="P1329" i="17"/>
  <c r="F1329" i="17"/>
  <c r="I1329" i="17" s="1"/>
  <c r="P1328" i="17"/>
  <c r="F1328" i="17"/>
  <c r="I1328" i="17" s="1"/>
  <c r="P1327" i="17"/>
  <c r="F1327" i="17"/>
  <c r="I1327" i="17" s="1"/>
  <c r="P1326" i="17"/>
  <c r="F1326" i="17"/>
  <c r="I1326" i="17" s="1"/>
  <c r="P1325" i="17"/>
  <c r="I1325" i="17"/>
  <c r="F1325" i="17"/>
  <c r="P1324" i="17"/>
  <c r="F1324" i="17"/>
  <c r="I1324" i="17" s="1"/>
  <c r="P1323" i="17"/>
  <c r="P1330" i="17" s="1"/>
  <c r="P1331" i="17" s="1"/>
  <c r="F1323" i="17"/>
  <c r="F1330" i="17" s="1"/>
  <c r="E1322" i="17"/>
  <c r="E1366" i="17" s="1"/>
  <c r="H1321" i="17"/>
  <c r="G1321" i="17"/>
  <c r="D1321" i="17"/>
  <c r="D1322" i="17" s="1"/>
  <c r="P1320" i="17"/>
  <c r="I1320" i="17"/>
  <c r="F1320" i="17"/>
  <c r="P1319" i="17"/>
  <c r="F1319" i="17"/>
  <c r="I1319" i="17" s="1"/>
  <c r="P1318" i="17"/>
  <c r="F1318" i="17"/>
  <c r="I1318" i="17" s="1"/>
  <c r="P1317" i="17"/>
  <c r="F1317" i="17"/>
  <c r="I1317" i="17" s="1"/>
  <c r="P1316" i="17"/>
  <c r="F1316" i="17"/>
  <c r="I1316" i="17" s="1"/>
  <c r="P1315" i="17"/>
  <c r="F1315" i="17"/>
  <c r="I1315" i="17" s="1"/>
  <c r="P1314" i="17"/>
  <c r="I1314" i="17"/>
  <c r="F1314" i="17"/>
  <c r="H1313" i="17"/>
  <c r="H1322" i="17" s="1"/>
  <c r="G1313" i="17"/>
  <c r="D1313" i="17"/>
  <c r="P1312" i="17"/>
  <c r="F1312" i="17"/>
  <c r="I1312" i="17" s="1"/>
  <c r="P1311" i="17"/>
  <c r="F1311" i="17"/>
  <c r="I1311" i="17" s="1"/>
  <c r="P1310" i="17"/>
  <c r="F1310" i="17"/>
  <c r="I1310" i="17" s="1"/>
  <c r="P1309" i="17"/>
  <c r="F1309" i="17"/>
  <c r="I1309" i="17" s="1"/>
  <c r="P1308" i="17"/>
  <c r="F1308" i="17"/>
  <c r="I1308" i="17" s="1"/>
  <c r="J2356" i="13"/>
  <c r="I2356" i="13"/>
  <c r="F2355" i="13"/>
  <c r="F2354" i="13"/>
  <c r="F2352" i="13"/>
  <c r="I2352" i="13" s="1"/>
  <c r="F2351" i="13"/>
  <c r="F2350" i="13"/>
  <c r="I2350" i="13" s="1"/>
  <c r="F2348" i="13"/>
  <c r="I2348" i="13" s="1"/>
  <c r="F2347" i="13"/>
  <c r="I2347" i="13" s="1"/>
  <c r="F2346" i="13"/>
  <c r="I2346" i="13" s="1"/>
  <c r="F2345" i="13"/>
  <c r="F2343" i="13"/>
  <c r="I2343" i="13" s="1"/>
  <c r="F2342" i="13"/>
  <c r="F2340" i="13"/>
  <c r="I2340" i="13" s="1"/>
  <c r="F2339" i="13"/>
  <c r="I2339" i="13" s="1"/>
  <c r="F2338" i="13"/>
  <c r="I2338" i="13" s="1"/>
  <c r="F2337" i="13"/>
  <c r="F2335" i="13"/>
  <c r="I2335" i="13" s="1"/>
  <c r="F2334" i="13"/>
  <c r="I2334" i="13" s="1"/>
  <c r="F2333" i="13"/>
  <c r="F2330" i="13"/>
  <c r="I2330" i="13" s="1"/>
  <c r="F2327" i="13"/>
  <c r="I2327" i="13" s="1"/>
  <c r="F2325" i="13"/>
  <c r="I2325" i="13" s="1"/>
  <c r="F2324" i="13"/>
  <c r="I2324" i="13" s="1"/>
  <c r="F2323" i="13"/>
  <c r="I2323" i="13" s="1"/>
  <c r="F2322" i="13"/>
  <c r="F2320" i="13"/>
  <c r="I2320" i="13" s="1"/>
  <c r="F2319" i="13"/>
  <c r="F2318" i="13"/>
  <c r="I2318" i="13" s="1"/>
  <c r="F2315" i="13"/>
  <c r="I2315" i="13" s="1"/>
  <c r="F2313" i="13"/>
  <c r="I2313" i="13" s="1"/>
  <c r="F2311" i="13"/>
  <c r="I2311" i="13" s="1"/>
  <c r="F2310" i="13"/>
  <c r="I2310" i="13" s="1"/>
  <c r="F2309" i="13"/>
  <c r="I2307" i="13"/>
  <c r="I2306" i="13"/>
  <c r="I2305" i="13"/>
  <c r="I2304" i="13"/>
  <c r="I2303" i="13"/>
  <c r="I2302" i="13"/>
  <c r="I2301" i="13"/>
  <c r="I2300" i="13"/>
  <c r="I2299" i="13"/>
  <c r="F2298" i="13"/>
  <c r="F2294" i="13"/>
  <c r="I2294" i="13" s="1"/>
  <c r="F2292" i="13"/>
  <c r="I2292" i="13" s="1"/>
  <c r="F2291" i="13"/>
  <c r="I2291" i="13" s="1"/>
  <c r="F2290" i="13"/>
  <c r="I2290" i="13" s="1"/>
  <c r="F2289" i="13"/>
  <c r="I2289" i="13" s="1"/>
  <c r="F2288" i="13"/>
  <c r="F2287" i="13"/>
  <c r="I2287" i="13" s="1"/>
  <c r="F2286" i="13"/>
  <c r="I2286" i="13" s="1"/>
  <c r="F2284" i="13"/>
  <c r="I2284" i="13" s="1"/>
  <c r="F2283" i="13"/>
  <c r="I2283" i="13" s="1"/>
  <c r="F2282" i="13"/>
  <c r="I2282" i="13" s="1"/>
  <c r="F2281" i="13"/>
  <c r="F2278" i="13"/>
  <c r="I2278" i="13" s="1"/>
  <c r="F2277" i="13"/>
  <c r="I2277" i="13" s="1"/>
  <c r="F2276" i="13"/>
  <c r="F2274" i="13"/>
  <c r="I2274" i="13" s="1"/>
  <c r="F2273" i="13"/>
  <c r="I2273" i="13" s="1"/>
  <c r="F2272" i="13"/>
  <c r="F2270" i="13"/>
  <c r="I2270" i="13" s="1"/>
  <c r="F2269" i="13"/>
  <c r="I2269" i="13" s="1"/>
  <c r="F2268" i="13"/>
  <c r="I2268" i="13" s="1"/>
  <c r="F2267" i="13"/>
  <c r="I2267" i="13" s="1"/>
  <c r="F2266" i="13"/>
  <c r="I2266" i="13" s="1"/>
  <c r="F2265" i="13"/>
  <c r="I2265" i="13" s="1"/>
  <c r="F2264" i="13"/>
  <c r="F2262" i="13"/>
  <c r="I2262" i="13" s="1"/>
  <c r="F2261" i="13"/>
  <c r="I2261" i="13" s="1"/>
  <c r="F2260" i="13"/>
  <c r="I2260" i="13" s="1"/>
  <c r="F2259" i="13"/>
  <c r="I2259" i="13" s="1"/>
  <c r="F2258" i="13"/>
  <c r="I2258" i="13" s="1"/>
  <c r="F2257" i="13"/>
  <c r="I2257" i="13" s="1"/>
  <c r="F2256" i="13"/>
  <c r="F2254" i="13"/>
  <c r="I2254" i="13" s="1"/>
  <c r="F2253" i="13"/>
  <c r="I2253" i="13" s="1"/>
  <c r="F2252" i="13"/>
  <c r="I2252" i="13" s="1"/>
  <c r="F2251" i="13"/>
  <c r="F2353" i="1"/>
  <c r="F2354" i="1" s="1"/>
  <c r="I2352" i="1"/>
  <c r="H2352" i="1"/>
  <c r="F2356" i="13" s="1"/>
  <c r="G2351" i="1"/>
  <c r="J2351" i="1" s="1"/>
  <c r="G2350" i="1"/>
  <c r="J2350" i="1" s="1"/>
  <c r="I2349" i="1"/>
  <c r="H2349" i="1"/>
  <c r="E2349" i="1"/>
  <c r="G2348" i="1"/>
  <c r="J2348" i="1" s="1"/>
  <c r="G2347" i="1"/>
  <c r="J2347" i="1" s="1"/>
  <c r="G2346" i="1"/>
  <c r="J2346" i="1" s="1"/>
  <c r="I2345" i="1"/>
  <c r="H2345" i="1"/>
  <c r="E2345" i="1"/>
  <c r="G2344" i="1"/>
  <c r="J2344" i="1" s="1"/>
  <c r="G2343" i="1"/>
  <c r="J2343" i="1" s="1"/>
  <c r="G2342" i="1"/>
  <c r="J2342" i="1" s="1"/>
  <c r="G2341" i="1"/>
  <c r="J2341" i="1" s="1"/>
  <c r="G2340" i="1"/>
  <c r="J2340" i="1" s="1"/>
  <c r="I2339" i="1"/>
  <c r="H2339" i="1"/>
  <c r="E2339" i="1"/>
  <c r="G2338" i="1"/>
  <c r="J2338" i="1" s="1"/>
  <c r="G2337" i="1"/>
  <c r="I2336" i="1"/>
  <c r="H2336" i="1"/>
  <c r="E2336" i="1"/>
  <c r="G2335" i="1"/>
  <c r="J2335" i="1" s="1"/>
  <c r="G2334" i="1"/>
  <c r="J2334" i="1" s="1"/>
  <c r="G2333" i="1"/>
  <c r="J2333" i="1" s="1"/>
  <c r="G2332" i="1"/>
  <c r="I2331" i="1"/>
  <c r="H2331" i="1"/>
  <c r="E2331" i="1"/>
  <c r="G2330" i="1"/>
  <c r="J2330" i="1" s="1"/>
  <c r="G2329" i="1"/>
  <c r="J2329" i="1" s="1"/>
  <c r="G2328" i="1"/>
  <c r="F2326" i="1"/>
  <c r="F2327" i="1" s="1"/>
  <c r="G2325" i="1"/>
  <c r="J2325" i="1" s="1"/>
  <c r="I2323" i="1"/>
  <c r="H2323" i="1"/>
  <c r="E2323" i="1"/>
  <c r="E2324" i="1" s="1"/>
  <c r="G2322" i="1"/>
  <c r="J2322" i="1" s="1"/>
  <c r="G2320" i="1"/>
  <c r="J2320" i="1" s="1"/>
  <c r="G2317" i="1"/>
  <c r="J2317" i="1" s="1"/>
  <c r="I2316" i="1"/>
  <c r="H2316" i="1"/>
  <c r="H2324" i="1" s="1"/>
  <c r="G2315" i="1"/>
  <c r="J2315" i="1" s="1"/>
  <c r="G2314" i="1"/>
  <c r="J2314" i="1" s="1"/>
  <c r="G2313" i="1"/>
  <c r="I2311" i="1"/>
  <c r="H2311" i="1"/>
  <c r="E2311" i="1"/>
  <c r="G2310" i="1"/>
  <c r="J2310" i="1" s="1"/>
  <c r="G2308" i="1"/>
  <c r="J2308" i="1" s="1"/>
  <c r="G2306" i="1"/>
  <c r="J2306" i="1" s="1"/>
  <c r="G2305" i="1"/>
  <c r="J2305" i="1" s="1"/>
  <c r="G2304" i="1"/>
  <c r="J2304" i="1" s="1"/>
  <c r="I2303" i="1"/>
  <c r="H2303" i="1"/>
  <c r="E2303" i="1"/>
  <c r="G2302" i="1"/>
  <c r="J2302" i="1" s="1"/>
  <c r="G2301" i="1"/>
  <c r="J2301" i="1" s="1"/>
  <c r="G2300" i="1"/>
  <c r="J2300" i="1" s="1"/>
  <c r="G2299" i="1"/>
  <c r="J2299" i="1" s="1"/>
  <c r="G2298" i="1"/>
  <c r="J2298" i="1" s="1"/>
  <c r="G2297" i="1"/>
  <c r="J2297" i="1" s="1"/>
  <c r="G2296" i="1"/>
  <c r="J2296" i="1" s="1"/>
  <c r="G2295" i="1"/>
  <c r="J2295" i="1" s="1"/>
  <c r="G2294" i="1"/>
  <c r="J2294" i="1" s="1"/>
  <c r="G2293" i="1"/>
  <c r="J2293" i="1" s="1"/>
  <c r="F2291" i="1"/>
  <c r="I2290" i="1"/>
  <c r="H2290" i="1"/>
  <c r="G2289" i="1"/>
  <c r="J2289" i="1" s="1"/>
  <c r="G2287" i="1"/>
  <c r="J2287" i="1" s="1"/>
  <c r="G2286" i="1"/>
  <c r="J2286" i="1" s="1"/>
  <c r="G2285" i="1"/>
  <c r="J2285" i="1" s="1"/>
  <c r="G2284" i="1"/>
  <c r="J2284" i="1" s="1"/>
  <c r="G2283" i="1"/>
  <c r="J2283" i="1" s="1"/>
  <c r="G2282" i="1"/>
  <c r="J2282" i="1" s="1"/>
  <c r="G2281" i="1"/>
  <c r="E2281" i="1"/>
  <c r="E2290" i="1" s="1"/>
  <c r="I2280" i="1"/>
  <c r="H2280" i="1"/>
  <c r="E2280" i="1"/>
  <c r="G2279" i="1"/>
  <c r="J2279" i="1" s="1"/>
  <c r="G2278" i="1"/>
  <c r="J2278" i="1" s="1"/>
  <c r="G2277" i="1"/>
  <c r="J2277" i="1" s="1"/>
  <c r="G2276" i="1"/>
  <c r="J2276" i="1" s="1"/>
  <c r="I2274" i="1"/>
  <c r="H2274" i="1"/>
  <c r="E2274" i="1"/>
  <c r="G2273" i="1"/>
  <c r="J2273" i="1" s="1"/>
  <c r="G2272" i="1"/>
  <c r="J2272" i="1" s="1"/>
  <c r="G2271" i="1"/>
  <c r="H2270" i="1"/>
  <c r="F2270" i="1"/>
  <c r="F2275" i="1" s="1"/>
  <c r="E2270" i="1"/>
  <c r="G2269" i="1"/>
  <c r="I2270" i="1"/>
  <c r="G2268" i="1"/>
  <c r="J2268" i="1" s="1"/>
  <c r="G2267" i="1"/>
  <c r="G2270" i="1" s="1"/>
  <c r="I2266" i="1"/>
  <c r="H2266" i="1"/>
  <c r="E2266" i="1"/>
  <c r="G2265" i="1"/>
  <c r="J2265" i="1" s="1"/>
  <c r="G2264" i="1"/>
  <c r="J2264" i="1" s="1"/>
  <c r="G2263" i="1"/>
  <c r="J2263" i="1" s="1"/>
  <c r="G2262" i="1"/>
  <c r="J2262" i="1" s="1"/>
  <c r="G2261" i="1"/>
  <c r="J2261" i="1" s="1"/>
  <c r="G2260" i="1"/>
  <c r="J2260" i="1" s="1"/>
  <c r="G2259" i="1"/>
  <c r="J2259" i="1" s="1"/>
  <c r="I2258" i="1"/>
  <c r="H2258" i="1"/>
  <c r="E2258" i="1"/>
  <c r="G2257" i="1"/>
  <c r="J2257" i="1" s="1"/>
  <c r="G2256" i="1"/>
  <c r="J2256" i="1" s="1"/>
  <c r="G2255" i="1"/>
  <c r="J2255" i="1" s="1"/>
  <c r="G2254" i="1"/>
  <c r="J2254" i="1" s="1"/>
  <c r="G2253" i="1"/>
  <c r="J2253" i="1" s="1"/>
  <c r="G2252" i="1"/>
  <c r="J2252" i="1" s="1"/>
  <c r="G2251" i="1"/>
  <c r="J2251" i="1" s="1"/>
  <c r="I2250" i="1"/>
  <c r="H2250" i="1"/>
  <c r="E2250" i="1"/>
  <c r="G2249" i="1"/>
  <c r="J2249" i="1" s="1"/>
  <c r="G2248" i="1"/>
  <c r="J2248" i="1" s="1"/>
  <c r="G2247" i="1"/>
  <c r="J2247" i="1" s="1"/>
  <c r="G2246" i="1"/>
  <c r="F2292" i="1" l="1"/>
  <c r="F2355" i="1" s="1"/>
  <c r="I1323" i="17"/>
  <c r="E2291" i="1"/>
  <c r="C331" i="15" s="1"/>
  <c r="I2324" i="1"/>
  <c r="I2326" i="1" s="1"/>
  <c r="I2327" i="1" s="1"/>
  <c r="G2331" i="1"/>
  <c r="J2331" i="1" s="1"/>
  <c r="N23" i="14"/>
  <c r="N27" i="14"/>
  <c r="I2275" i="1"/>
  <c r="E2275" i="1"/>
  <c r="J2270" i="1"/>
  <c r="E2312" i="1"/>
  <c r="E2326" i="1" s="1"/>
  <c r="E2327" i="1" s="1"/>
  <c r="C334" i="15" s="1"/>
  <c r="C336" i="15" s="1"/>
  <c r="H2353" i="1"/>
  <c r="H2354" i="1" s="1"/>
  <c r="G2352" i="1"/>
  <c r="J2352" i="1" s="1"/>
  <c r="N26" i="14"/>
  <c r="K2288" i="1"/>
  <c r="H1887" i="16"/>
  <c r="E1889" i="16"/>
  <c r="H1948" i="16"/>
  <c r="H1864" i="16"/>
  <c r="H1922" i="16"/>
  <c r="I2312" i="1"/>
  <c r="J2267" i="1"/>
  <c r="F2263" i="13"/>
  <c r="F2275" i="13"/>
  <c r="F2285" i="13"/>
  <c r="G2258" i="1"/>
  <c r="J2258" i="1" s="1"/>
  <c r="H2312" i="1"/>
  <c r="H2326" i="1" s="1"/>
  <c r="H2327" i="1" s="1"/>
  <c r="J2328" i="1"/>
  <c r="G1322" i="17"/>
  <c r="G1366" i="17" s="1"/>
  <c r="F2279" i="13"/>
  <c r="F2336" i="13"/>
  <c r="F2353" i="13"/>
  <c r="G2250" i="1"/>
  <c r="J2250" i="1" s="1"/>
  <c r="G2274" i="1"/>
  <c r="J2274" i="1" s="1"/>
  <c r="F2271" i="13"/>
  <c r="F2308" i="13"/>
  <c r="F2316" i="13"/>
  <c r="F2321" i="13"/>
  <c r="F2328" i="13"/>
  <c r="F2341" i="13"/>
  <c r="F2344" i="13"/>
  <c r="F2349" i="13"/>
  <c r="F2255" i="13"/>
  <c r="F2295" i="13"/>
  <c r="N17" i="14"/>
  <c r="N19" i="14"/>
  <c r="R19" i="14" s="1"/>
  <c r="N21" i="14"/>
  <c r="R21" i="14" s="1"/>
  <c r="N18" i="14"/>
  <c r="P18" i="14" s="1"/>
  <c r="N20" i="14"/>
  <c r="N22" i="14"/>
  <c r="P22" i="14" s="1"/>
  <c r="R17" i="14"/>
  <c r="P17" i="14"/>
  <c r="Q17" i="14"/>
  <c r="R18" i="14"/>
  <c r="Q18" i="14"/>
  <c r="S18" i="14" s="1"/>
  <c r="P19" i="14"/>
  <c r="R20" i="14"/>
  <c r="P20" i="14"/>
  <c r="Q20" i="14"/>
  <c r="S20" i="14" s="1"/>
  <c r="Q22" i="14"/>
  <c r="R23" i="14"/>
  <c r="P23" i="14"/>
  <c r="Q23" i="14"/>
  <c r="R24" i="14"/>
  <c r="P24" i="14"/>
  <c r="Q24" i="14"/>
  <c r="S24" i="14" s="1"/>
  <c r="O13" i="14"/>
  <c r="N13" i="14" s="1"/>
  <c r="M13" i="14"/>
  <c r="O15" i="14"/>
  <c r="N15" i="14" s="1"/>
  <c r="M15" i="14"/>
  <c r="M17" i="14"/>
  <c r="M18" i="14"/>
  <c r="M19" i="14"/>
  <c r="M20" i="14"/>
  <c r="M21" i="14"/>
  <c r="M22" i="14"/>
  <c r="M23" i="14"/>
  <c r="M24" i="14"/>
  <c r="O25" i="14"/>
  <c r="N25" i="14" s="1"/>
  <c r="M25" i="14"/>
  <c r="R26" i="14"/>
  <c r="P26" i="14"/>
  <c r="Q26" i="14"/>
  <c r="R27" i="14"/>
  <c r="P27" i="14"/>
  <c r="Q27" i="14"/>
  <c r="S27" i="14" s="1"/>
  <c r="R28" i="14"/>
  <c r="P28" i="14"/>
  <c r="Q28" i="14"/>
  <c r="S28" i="14" s="1"/>
  <c r="O14" i="14"/>
  <c r="N14" i="14" s="1"/>
  <c r="M14" i="14"/>
  <c r="L16" i="14"/>
  <c r="K16" i="14" s="1"/>
  <c r="C16" i="14"/>
  <c r="M26" i="14"/>
  <c r="M27" i="14"/>
  <c r="M28" i="14"/>
  <c r="H1879" i="16"/>
  <c r="E1951" i="16"/>
  <c r="P1364" i="17"/>
  <c r="P1365" i="17" s="1"/>
  <c r="P1321" i="17"/>
  <c r="F1313" i="17"/>
  <c r="F1331" i="17"/>
  <c r="I1331" i="17" s="1"/>
  <c r="I1330" i="17"/>
  <c r="P1313" i="17"/>
  <c r="P1322" i="17" s="1"/>
  <c r="F1321" i="17"/>
  <c r="I1321" i="17" s="1"/>
  <c r="D1366" i="17"/>
  <c r="F1364" i="17"/>
  <c r="H1366" i="17"/>
  <c r="I2288" i="13"/>
  <c r="I2295" i="13" s="1"/>
  <c r="I2298" i="13"/>
  <c r="I2308" i="13" s="1"/>
  <c r="I2309" i="13"/>
  <c r="I2316" i="13" s="1"/>
  <c r="I2319" i="13"/>
  <c r="I2321" i="13" s="1"/>
  <c r="I2322" i="13"/>
  <c r="I2328" i="13" s="1"/>
  <c r="I2333" i="13"/>
  <c r="I2336" i="13" s="1"/>
  <c r="I2351" i="13"/>
  <c r="I2353" i="13" s="1"/>
  <c r="I2251" i="13"/>
  <c r="I2255" i="13" s="1"/>
  <c r="I2256" i="13"/>
  <c r="I2263" i="13" s="1"/>
  <c r="I2264" i="13"/>
  <c r="I2271" i="13" s="1"/>
  <c r="I2272" i="13"/>
  <c r="I2275" i="13" s="1"/>
  <c r="I2276" i="13"/>
  <c r="I2279" i="13" s="1"/>
  <c r="I2281" i="13"/>
  <c r="I2285" i="13" s="1"/>
  <c r="I2337" i="13"/>
  <c r="I2341" i="13" s="1"/>
  <c r="I2342" i="13"/>
  <c r="I2344" i="13" s="1"/>
  <c r="I2345" i="13"/>
  <c r="I2349" i="13" s="1"/>
  <c r="I2291" i="1"/>
  <c r="I2292" i="1" s="1"/>
  <c r="G2266" i="1"/>
  <c r="J2266" i="1" s="1"/>
  <c r="G2280" i="1"/>
  <c r="H2275" i="1"/>
  <c r="J2271" i="1"/>
  <c r="H2291" i="1"/>
  <c r="G2290" i="1"/>
  <c r="J2281" i="1"/>
  <c r="G2303" i="1"/>
  <c r="G2311" i="1"/>
  <c r="J2311" i="1" s="1"/>
  <c r="G2316" i="1"/>
  <c r="J2313" i="1"/>
  <c r="G2323" i="1"/>
  <c r="J2323" i="1" s="1"/>
  <c r="E2353" i="1"/>
  <c r="E2354" i="1" s="1"/>
  <c r="C337" i="15" s="1"/>
  <c r="C339" i="15" s="1"/>
  <c r="I2353" i="1"/>
  <c r="I2354" i="1" s="1"/>
  <c r="G2336" i="1"/>
  <c r="J2336" i="1" s="1"/>
  <c r="J2332" i="1"/>
  <c r="G2339" i="1"/>
  <c r="J2339" i="1" s="1"/>
  <c r="J2337" i="1"/>
  <c r="G2345" i="1"/>
  <c r="J2345" i="1" s="1"/>
  <c r="G2349" i="1"/>
  <c r="J2349" i="1" s="1"/>
  <c r="D39" i="14"/>
  <c r="E2292" i="1" l="1"/>
  <c r="E2355" i="1" s="1"/>
  <c r="C330" i="15"/>
  <c r="C333" i="15" s="1"/>
  <c r="C340" i="15" s="1"/>
  <c r="T28" i="14"/>
  <c r="S17" i="14"/>
  <c r="T24" i="14"/>
  <c r="S26" i="14"/>
  <c r="T26" i="14" s="1"/>
  <c r="S23" i="14"/>
  <c r="R22" i="14"/>
  <c r="S22" i="14" s="1"/>
  <c r="T22" i="14" s="1"/>
  <c r="H1889" i="16"/>
  <c r="F2296" i="13"/>
  <c r="F2280" i="13"/>
  <c r="P21" i="14"/>
  <c r="T21" i="14" s="1"/>
  <c r="Q21" i="14"/>
  <c r="S21" i="14" s="1"/>
  <c r="T20" i="14"/>
  <c r="P1366" i="17"/>
  <c r="F2357" i="13"/>
  <c r="F2358" i="13" s="1"/>
  <c r="I2329" i="13"/>
  <c r="I2317" i="13"/>
  <c r="F2329" i="13"/>
  <c r="F2317" i="13"/>
  <c r="H2292" i="1"/>
  <c r="H2355" i="1" s="1"/>
  <c r="T18" i="14"/>
  <c r="Q19" i="14"/>
  <c r="S19" i="14" s="1"/>
  <c r="O16" i="14"/>
  <c r="N16" i="14" s="1"/>
  <c r="M16" i="14"/>
  <c r="Q14" i="14"/>
  <c r="P14" i="14"/>
  <c r="R14" i="14"/>
  <c r="T27" i="14"/>
  <c r="R25" i="14"/>
  <c r="P25" i="14"/>
  <c r="Q25" i="14"/>
  <c r="S25" i="14" s="1"/>
  <c r="T23" i="14"/>
  <c r="T19" i="14"/>
  <c r="T17" i="14"/>
  <c r="Q15" i="14"/>
  <c r="R15" i="14"/>
  <c r="P15" i="14"/>
  <c r="Q13" i="14"/>
  <c r="R13" i="14"/>
  <c r="P13" i="14"/>
  <c r="I1313" i="17"/>
  <c r="F1322" i="17"/>
  <c r="I1322" i="17" s="1"/>
  <c r="F1365" i="17"/>
  <c r="I1364" i="17"/>
  <c r="I2280" i="13"/>
  <c r="I2357" i="13"/>
  <c r="I2358" i="13" s="1"/>
  <c r="I2296" i="13"/>
  <c r="I2355" i="1"/>
  <c r="G2312" i="1"/>
  <c r="J2303" i="1"/>
  <c r="J2280" i="1"/>
  <c r="G2291" i="1"/>
  <c r="G2275" i="1"/>
  <c r="G2353" i="1"/>
  <c r="G2324" i="1"/>
  <c r="J2324" i="1" s="1"/>
  <c r="J2316" i="1"/>
  <c r="I2159" i="1"/>
  <c r="G2159" i="1" s="1"/>
  <c r="J2159" i="1" s="1"/>
  <c r="H2159" i="1"/>
  <c r="L51" i="14"/>
  <c r="K51" i="14" s="1"/>
  <c r="O51" i="14" s="1"/>
  <c r="G51" i="14"/>
  <c r="C51" i="14"/>
  <c r="L50" i="14"/>
  <c r="K50" i="14" s="1"/>
  <c r="O50" i="14" s="1"/>
  <c r="G50" i="14"/>
  <c r="C50" i="14"/>
  <c r="L49" i="14"/>
  <c r="K49" i="14" s="1"/>
  <c r="O49" i="14" s="1"/>
  <c r="G49" i="14"/>
  <c r="C49" i="14"/>
  <c r="L48" i="14"/>
  <c r="K48" i="14" s="1"/>
  <c r="G48" i="14"/>
  <c r="C48" i="14"/>
  <c r="L47" i="14"/>
  <c r="K47" i="14" s="1"/>
  <c r="M47" i="14" s="1"/>
  <c r="G47" i="14"/>
  <c r="C47" i="14"/>
  <c r="L46" i="14"/>
  <c r="K46" i="14" s="1"/>
  <c r="G46" i="14"/>
  <c r="C46" i="14"/>
  <c r="L45" i="14"/>
  <c r="K45" i="14" s="1"/>
  <c r="M45" i="14" s="1"/>
  <c r="G45" i="14"/>
  <c r="C45" i="14"/>
  <c r="G44" i="14"/>
  <c r="L43" i="14"/>
  <c r="K43" i="14" s="1"/>
  <c r="G43" i="14"/>
  <c r="C43" i="14"/>
  <c r="L42" i="14"/>
  <c r="K42" i="14" s="1"/>
  <c r="O42" i="14" s="1"/>
  <c r="G42" i="14"/>
  <c r="C42" i="14"/>
  <c r="L41" i="14"/>
  <c r="K41" i="14"/>
  <c r="O41" i="14" s="1"/>
  <c r="G41" i="14"/>
  <c r="C41" i="14"/>
  <c r="L40" i="14"/>
  <c r="K40" i="14"/>
  <c r="O40" i="14" s="1"/>
  <c r="G40" i="14"/>
  <c r="C40" i="14"/>
  <c r="G39" i="14"/>
  <c r="L38" i="14"/>
  <c r="K38" i="14" s="1"/>
  <c r="G38" i="14"/>
  <c r="C38" i="14"/>
  <c r="L37" i="14"/>
  <c r="K37" i="14" s="1"/>
  <c r="G37" i="14"/>
  <c r="C37" i="14"/>
  <c r="L36" i="14"/>
  <c r="K36" i="14" s="1"/>
  <c r="G36" i="14"/>
  <c r="C36" i="14"/>
  <c r="E323" i="15"/>
  <c r="E320" i="15"/>
  <c r="E317" i="15"/>
  <c r="H1841" i="16"/>
  <c r="E1840" i="16"/>
  <c r="H1839" i="16"/>
  <c r="H1838" i="16"/>
  <c r="H1837" i="16"/>
  <c r="H1836" i="16"/>
  <c r="H1835" i="16"/>
  <c r="H1834" i="16"/>
  <c r="H1833" i="16"/>
  <c r="H1832" i="16"/>
  <c r="H1831" i="16"/>
  <c r="H1830" i="16"/>
  <c r="H1829" i="16"/>
  <c r="H1828" i="16"/>
  <c r="H1827" i="16"/>
  <c r="H1826" i="16"/>
  <c r="H1825" i="16"/>
  <c r="H1824" i="16"/>
  <c r="H1823" i="16"/>
  <c r="H1822" i="16"/>
  <c r="H1821" i="16"/>
  <c r="H1820" i="16"/>
  <c r="H1819" i="16"/>
  <c r="H1818" i="16"/>
  <c r="H1817" i="16"/>
  <c r="E1816" i="16"/>
  <c r="H1815" i="16"/>
  <c r="H1814" i="16"/>
  <c r="H1813" i="16"/>
  <c r="H1812" i="16"/>
  <c r="H1811" i="16"/>
  <c r="H1810" i="16"/>
  <c r="H1809" i="16"/>
  <c r="H1808" i="16"/>
  <c r="H1807" i="16"/>
  <c r="H1806" i="16"/>
  <c r="H1805" i="16"/>
  <c r="H1804" i="16"/>
  <c r="H1803" i="16"/>
  <c r="H1802" i="16"/>
  <c r="H1801" i="16"/>
  <c r="H1800" i="16"/>
  <c r="H1799" i="16"/>
  <c r="H1798" i="16"/>
  <c r="H1797" i="16"/>
  <c r="H1796" i="16"/>
  <c r="H1795" i="16"/>
  <c r="I1793" i="16"/>
  <c r="E1792" i="16"/>
  <c r="H1791" i="16"/>
  <c r="H1790" i="16"/>
  <c r="H1789" i="16"/>
  <c r="H1788" i="16"/>
  <c r="H1787" i="16"/>
  <c r="H1786" i="16"/>
  <c r="H1785" i="16"/>
  <c r="E1784" i="16"/>
  <c r="H1783" i="16"/>
  <c r="H1782" i="16"/>
  <c r="H1781" i="16"/>
  <c r="H1780" i="16"/>
  <c r="H1779" i="16"/>
  <c r="H1778" i="16"/>
  <c r="H1777" i="16"/>
  <c r="H1776" i="16"/>
  <c r="H1775" i="16"/>
  <c r="H1774" i="16"/>
  <c r="H1773" i="16"/>
  <c r="H1772" i="16"/>
  <c r="H1771" i="16"/>
  <c r="H1770" i="16"/>
  <c r="E1769" i="16"/>
  <c r="H1768" i="16"/>
  <c r="H1767" i="16"/>
  <c r="H1766" i="16"/>
  <c r="H1765" i="16"/>
  <c r="H1764" i="16"/>
  <c r="H1763" i="16"/>
  <c r="H1762" i="16"/>
  <c r="H1761" i="16"/>
  <c r="H1760" i="16"/>
  <c r="H1759" i="16"/>
  <c r="H1758" i="16"/>
  <c r="H1757" i="16"/>
  <c r="H1756" i="16"/>
  <c r="H1755" i="16"/>
  <c r="H1754" i="16"/>
  <c r="E1303" i="17"/>
  <c r="E1304" i="17" s="1"/>
  <c r="D1303" i="17"/>
  <c r="H1302" i="17"/>
  <c r="H1303" i="17" s="1"/>
  <c r="G1302" i="17"/>
  <c r="G1303" i="17" s="1"/>
  <c r="D1302" i="17"/>
  <c r="P1301" i="17"/>
  <c r="F1301" i="17"/>
  <c r="I1301" i="17" s="1"/>
  <c r="P1300" i="17"/>
  <c r="F1300" i="17"/>
  <c r="I1300" i="17" s="1"/>
  <c r="P1299" i="17"/>
  <c r="I1299" i="17"/>
  <c r="F1299" i="17"/>
  <c r="P1298" i="17"/>
  <c r="F1298" i="17"/>
  <c r="I1298" i="17" s="1"/>
  <c r="P1297" i="17"/>
  <c r="I1297" i="17"/>
  <c r="F1297" i="17"/>
  <c r="P1296" i="17"/>
  <c r="F1296" i="17"/>
  <c r="I1296" i="17" s="1"/>
  <c r="P1295" i="17"/>
  <c r="I1295" i="17"/>
  <c r="F1295" i="17"/>
  <c r="P1294" i="17"/>
  <c r="F1294" i="17"/>
  <c r="I1294" i="17" s="1"/>
  <c r="P1293" i="17"/>
  <c r="F1293" i="17"/>
  <c r="I1293" i="17" s="1"/>
  <c r="P1292" i="17"/>
  <c r="F1292" i="17"/>
  <c r="I1292" i="17" s="1"/>
  <c r="P1291" i="17"/>
  <c r="F1291" i="17"/>
  <c r="I1291" i="17" s="1"/>
  <c r="P1290" i="17"/>
  <c r="F1290" i="17"/>
  <c r="I1290" i="17" s="1"/>
  <c r="P1289" i="17"/>
  <c r="I1289" i="17"/>
  <c r="F1289" i="17"/>
  <c r="P1288" i="17"/>
  <c r="F1288" i="17"/>
  <c r="I1288" i="17" s="1"/>
  <c r="P1287" i="17"/>
  <c r="I1287" i="17"/>
  <c r="F1287" i="17"/>
  <c r="P1286" i="17"/>
  <c r="F1286" i="17"/>
  <c r="I1286" i="17" s="1"/>
  <c r="P1285" i="17"/>
  <c r="F1285" i="17"/>
  <c r="I1285" i="17" s="1"/>
  <c r="P1284" i="17"/>
  <c r="F1284" i="17"/>
  <c r="I1284" i="17" s="1"/>
  <c r="P1283" i="17"/>
  <c r="F1283" i="17"/>
  <c r="I1283" i="17" s="1"/>
  <c r="P1282" i="17"/>
  <c r="F1282" i="17"/>
  <c r="I1282" i="17" s="1"/>
  <c r="P1281" i="17"/>
  <c r="I1281" i="17"/>
  <c r="F1281" i="17"/>
  <c r="P1280" i="17"/>
  <c r="F1280" i="17"/>
  <c r="I1280" i="17" s="1"/>
  <c r="P1279" i="17"/>
  <c r="F1279" i="17"/>
  <c r="I1279" i="17" s="1"/>
  <c r="P1278" i="17"/>
  <c r="F1278" i="17"/>
  <c r="I1278" i="17" s="1"/>
  <c r="P1277" i="17"/>
  <c r="F1277" i="17"/>
  <c r="I1277" i="17" s="1"/>
  <c r="P1276" i="17"/>
  <c r="F1276" i="17"/>
  <c r="P1275" i="17"/>
  <c r="I1275" i="17"/>
  <c r="F1275" i="17"/>
  <c r="P1274" i="17"/>
  <c r="F1274" i="17"/>
  <c r="I1274" i="17" s="1"/>
  <c r="P1273" i="17"/>
  <c r="F1273" i="17"/>
  <c r="I1273" i="17" s="1"/>
  <c r="P1272" i="17"/>
  <c r="F1272" i="17"/>
  <c r="I1272" i="17" s="1"/>
  <c r="P1271" i="17"/>
  <c r="F1271" i="17"/>
  <c r="I1271" i="17" s="1"/>
  <c r="P1270" i="17"/>
  <c r="F1270" i="17"/>
  <c r="I1270" i="17" s="1"/>
  <c r="E1269" i="17"/>
  <c r="D1269" i="17"/>
  <c r="H1268" i="17"/>
  <c r="H1269" i="17" s="1"/>
  <c r="G1268" i="17"/>
  <c r="G1269" i="17" s="1"/>
  <c r="P1267" i="17"/>
  <c r="F1267" i="17"/>
  <c r="I1267" i="17" s="1"/>
  <c r="P1266" i="17"/>
  <c r="I1266" i="17"/>
  <c r="F1266" i="17"/>
  <c r="P1265" i="17"/>
  <c r="F1265" i="17"/>
  <c r="I1265" i="17" s="1"/>
  <c r="P1264" i="17"/>
  <c r="F1264" i="17"/>
  <c r="I1264" i="17" s="1"/>
  <c r="P1263" i="17"/>
  <c r="I1263" i="17"/>
  <c r="F1263" i="17"/>
  <c r="P1262" i="17"/>
  <c r="F1262" i="17"/>
  <c r="I1262" i="17" s="1"/>
  <c r="P1261" i="17"/>
  <c r="I1261" i="17"/>
  <c r="F1261" i="17"/>
  <c r="E1260" i="17"/>
  <c r="H1259" i="17"/>
  <c r="G1259" i="17"/>
  <c r="D1259" i="17"/>
  <c r="P1258" i="17"/>
  <c r="I1258" i="17"/>
  <c r="F1258" i="17"/>
  <c r="P1257" i="17"/>
  <c r="F1257" i="17"/>
  <c r="I1257" i="17" s="1"/>
  <c r="P1256" i="17"/>
  <c r="F1256" i="17"/>
  <c r="I1256" i="17" s="1"/>
  <c r="P1255" i="17"/>
  <c r="F1255" i="17"/>
  <c r="I1255" i="17" s="1"/>
  <c r="P1254" i="17"/>
  <c r="F1254" i="17"/>
  <c r="I1254" i="17" s="1"/>
  <c r="P1253" i="17"/>
  <c r="F1253" i="17"/>
  <c r="I1253" i="17" s="1"/>
  <c r="P1252" i="17"/>
  <c r="F1252" i="17"/>
  <c r="I1252" i="17" s="1"/>
  <c r="H1251" i="17"/>
  <c r="G1251" i="17"/>
  <c r="D1251" i="17"/>
  <c r="P1250" i="17"/>
  <c r="F1250" i="17"/>
  <c r="I1250" i="17" s="1"/>
  <c r="P1249" i="17"/>
  <c r="F1249" i="17"/>
  <c r="I1249" i="17" s="1"/>
  <c r="P1248" i="17"/>
  <c r="F1248" i="17"/>
  <c r="I1248" i="17" s="1"/>
  <c r="P1247" i="17"/>
  <c r="F1247" i="17"/>
  <c r="I1247" i="17" s="1"/>
  <c r="P1246" i="17"/>
  <c r="F1246" i="17"/>
  <c r="I1246" i="17" s="1"/>
  <c r="J2243" i="13"/>
  <c r="I2243" i="13"/>
  <c r="F2242" i="13"/>
  <c r="F2241" i="13"/>
  <c r="F2239" i="13"/>
  <c r="I2239" i="13" s="1"/>
  <c r="F2238" i="13"/>
  <c r="F2237" i="13"/>
  <c r="I2237" i="13" s="1"/>
  <c r="F2235" i="13"/>
  <c r="I2235" i="13" s="1"/>
  <c r="F2234" i="13"/>
  <c r="I2234" i="13" s="1"/>
  <c r="F2233" i="13"/>
  <c r="I2233" i="13" s="1"/>
  <c r="F2232" i="13"/>
  <c r="F2230" i="13"/>
  <c r="I2230" i="13" s="1"/>
  <c r="F2229" i="13"/>
  <c r="F2227" i="13"/>
  <c r="I2227" i="13" s="1"/>
  <c r="F2226" i="13"/>
  <c r="I2226" i="13" s="1"/>
  <c r="F2225" i="13"/>
  <c r="I2225" i="13" s="1"/>
  <c r="F2224" i="13"/>
  <c r="F2222" i="13"/>
  <c r="I2222" i="13" s="1"/>
  <c r="F2221" i="13"/>
  <c r="I2221" i="13" s="1"/>
  <c r="F2220" i="13"/>
  <c r="F2217" i="13"/>
  <c r="I2217" i="13" s="1"/>
  <c r="F2214" i="13"/>
  <c r="I2214" i="13" s="1"/>
  <c r="F2213" i="13"/>
  <c r="I2213" i="13" s="1"/>
  <c r="F2212" i="13"/>
  <c r="I2212" i="13" s="1"/>
  <c r="F2211" i="13"/>
  <c r="I2211" i="13" s="1"/>
  <c r="F2210" i="13"/>
  <c r="F2208" i="13"/>
  <c r="I2208" i="13" s="1"/>
  <c r="F2207" i="13"/>
  <c r="F2206" i="13"/>
  <c r="I2206" i="13" s="1"/>
  <c r="F2203" i="13"/>
  <c r="I2203" i="13" s="1"/>
  <c r="F2202" i="13"/>
  <c r="I2202" i="13" s="1"/>
  <c r="F2201" i="13"/>
  <c r="I2201" i="13" s="1"/>
  <c r="F2200" i="13"/>
  <c r="I2200" i="13" s="1"/>
  <c r="F2199" i="13"/>
  <c r="F2197" i="13"/>
  <c r="I2197" i="13" s="1"/>
  <c r="F2196" i="13"/>
  <c r="I2196" i="13" s="1"/>
  <c r="F2195" i="13"/>
  <c r="I2195" i="13" s="1"/>
  <c r="F2194" i="13"/>
  <c r="I2194" i="13" s="1"/>
  <c r="F2193" i="13"/>
  <c r="I2193" i="13" s="1"/>
  <c r="F2192" i="13"/>
  <c r="I2192" i="13" s="1"/>
  <c r="F2191" i="13"/>
  <c r="I2191" i="13" s="1"/>
  <c r="F2190" i="13"/>
  <c r="I2190" i="13" s="1"/>
  <c r="F2189" i="13"/>
  <c r="I2189" i="13" s="1"/>
  <c r="F2188" i="13"/>
  <c r="F2184" i="13"/>
  <c r="I2184" i="13" s="1"/>
  <c r="F2183" i="13"/>
  <c r="I2183" i="13" s="1"/>
  <c r="F2182" i="13"/>
  <c r="I2182" i="13" s="1"/>
  <c r="F2181" i="13"/>
  <c r="I2181" i="13" s="1"/>
  <c r="F2180" i="13"/>
  <c r="I2180" i="13" s="1"/>
  <c r="F2179" i="13"/>
  <c r="F2178" i="13"/>
  <c r="I2178" i="13" s="1"/>
  <c r="F2177" i="13"/>
  <c r="I2177" i="13" s="1"/>
  <c r="F2175" i="13"/>
  <c r="I2175" i="13" s="1"/>
  <c r="F2174" i="13"/>
  <c r="I2174" i="13" s="1"/>
  <c r="F2173" i="13"/>
  <c r="I2173" i="13" s="1"/>
  <c r="F2172" i="13"/>
  <c r="F2169" i="13"/>
  <c r="I2169" i="13" s="1"/>
  <c r="F2168" i="13"/>
  <c r="I2168" i="13" s="1"/>
  <c r="F2167" i="13"/>
  <c r="F2165" i="13"/>
  <c r="I2165" i="13" s="1"/>
  <c r="F2164" i="13"/>
  <c r="I2164" i="13" s="1"/>
  <c r="F2163" i="13"/>
  <c r="F2161" i="13"/>
  <c r="I2161" i="13" s="1"/>
  <c r="F2160" i="13"/>
  <c r="I2160" i="13" s="1"/>
  <c r="F2159" i="13"/>
  <c r="I2159" i="13" s="1"/>
  <c r="F2158" i="13"/>
  <c r="I2158" i="13" s="1"/>
  <c r="F2157" i="13"/>
  <c r="I2157" i="13" s="1"/>
  <c r="F2156" i="13"/>
  <c r="I2156" i="13" s="1"/>
  <c r="F2155" i="13"/>
  <c r="F2153" i="13"/>
  <c r="I2153" i="13" s="1"/>
  <c r="F2152" i="13"/>
  <c r="I2152" i="13" s="1"/>
  <c r="F2151" i="13"/>
  <c r="I2151" i="13" s="1"/>
  <c r="F2150" i="13"/>
  <c r="I2150" i="13" s="1"/>
  <c r="F2149" i="13"/>
  <c r="I2149" i="13" s="1"/>
  <c r="F2148" i="13"/>
  <c r="I2148" i="13" s="1"/>
  <c r="F2147" i="13"/>
  <c r="F2145" i="13"/>
  <c r="I2145" i="13" s="1"/>
  <c r="F2144" i="13"/>
  <c r="I2144" i="13" s="1"/>
  <c r="F2143" i="13"/>
  <c r="I2143" i="13" s="1"/>
  <c r="F2142" i="13"/>
  <c r="F2240" i="1"/>
  <c r="F2241" i="1" s="1"/>
  <c r="I2239" i="1"/>
  <c r="H2239" i="1"/>
  <c r="F2243" i="13" s="1"/>
  <c r="G2238" i="1"/>
  <c r="J2238" i="1" s="1"/>
  <c r="G2237" i="1"/>
  <c r="J2237" i="1" s="1"/>
  <c r="I2236" i="1"/>
  <c r="H2236" i="1"/>
  <c r="E2236" i="1"/>
  <c r="G2235" i="1"/>
  <c r="J2235" i="1" s="1"/>
  <c r="G2234" i="1"/>
  <c r="J2234" i="1" s="1"/>
  <c r="G2233" i="1"/>
  <c r="J2233" i="1" s="1"/>
  <c r="I2232" i="1"/>
  <c r="H2232" i="1"/>
  <c r="E2232" i="1"/>
  <c r="G2231" i="1"/>
  <c r="J2231" i="1" s="1"/>
  <c r="G2230" i="1"/>
  <c r="J2230" i="1" s="1"/>
  <c r="G2229" i="1"/>
  <c r="J2229" i="1" s="1"/>
  <c r="G2228" i="1"/>
  <c r="J2228" i="1" s="1"/>
  <c r="G2227" i="1"/>
  <c r="J2227" i="1" s="1"/>
  <c r="I2226" i="1"/>
  <c r="H2226" i="1"/>
  <c r="E2226" i="1"/>
  <c r="G2225" i="1"/>
  <c r="J2225" i="1" s="1"/>
  <c r="G2224" i="1"/>
  <c r="I2223" i="1"/>
  <c r="H2223" i="1"/>
  <c r="E2223" i="1"/>
  <c r="G2222" i="1"/>
  <c r="J2222" i="1" s="1"/>
  <c r="G2221" i="1"/>
  <c r="J2221" i="1" s="1"/>
  <c r="G2220" i="1"/>
  <c r="J2220" i="1" s="1"/>
  <c r="G2219" i="1"/>
  <c r="I2218" i="1"/>
  <c r="H2218" i="1"/>
  <c r="E2218" i="1"/>
  <c r="G2217" i="1"/>
  <c r="J2217" i="1" s="1"/>
  <c r="G2216" i="1"/>
  <c r="J2216" i="1" s="1"/>
  <c r="G2215" i="1"/>
  <c r="F2213" i="1"/>
  <c r="F2214" i="1" s="1"/>
  <c r="G2212" i="1"/>
  <c r="J2212" i="1" s="1"/>
  <c r="I2210" i="1"/>
  <c r="H2210" i="1"/>
  <c r="E2210" i="1"/>
  <c r="E2211" i="1" s="1"/>
  <c r="G2209" i="1"/>
  <c r="J2209" i="1" s="1"/>
  <c r="G2208" i="1"/>
  <c r="J2208" i="1" s="1"/>
  <c r="G2205" i="1"/>
  <c r="J2205" i="1" s="1"/>
  <c r="I2204" i="1"/>
  <c r="I2211" i="1" s="1"/>
  <c r="H2204" i="1"/>
  <c r="G2203" i="1"/>
  <c r="J2203" i="1" s="1"/>
  <c r="G2202" i="1"/>
  <c r="J2202" i="1" s="1"/>
  <c r="G2201" i="1"/>
  <c r="I2199" i="1"/>
  <c r="H2199" i="1"/>
  <c r="E2199" i="1"/>
  <c r="G2198" i="1"/>
  <c r="J2198" i="1" s="1"/>
  <c r="G2197" i="1"/>
  <c r="J2197" i="1" s="1"/>
  <c r="G2196" i="1"/>
  <c r="J2196" i="1" s="1"/>
  <c r="G2195" i="1"/>
  <c r="J2195" i="1" s="1"/>
  <c r="G2194" i="1"/>
  <c r="J2194" i="1" s="1"/>
  <c r="I2193" i="1"/>
  <c r="I2200" i="1" s="1"/>
  <c r="H2193" i="1"/>
  <c r="E2193" i="1"/>
  <c r="G2192" i="1"/>
  <c r="J2192" i="1" s="1"/>
  <c r="G2191" i="1"/>
  <c r="J2191" i="1" s="1"/>
  <c r="G2190" i="1"/>
  <c r="J2190" i="1" s="1"/>
  <c r="G2189" i="1"/>
  <c r="J2189" i="1" s="1"/>
  <c r="G2188" i="1"/>
  <c r="J2188" i="1" s="1"/>
  <c r="G2187" i="1"/>
  <c r="J2187" i="1" s="1"/>
  <c r="G2186" i="1"/>
  <c r="J2186" i="1" s="1"/>
  <c r="G2185" i="1"/>
  <c r="J2185" i="1" s="1"/>
  <c r="G2184" i="1"/>
  <c r="J2184" i="1" s="1"/>
  <c r="G2183" i="1"/>
  <c r="J2183" i="1" s="1"/>
  <c r="F2181" i="1"/>
  <c r="I2180" i="1"/>
  <c r="H2180" i="1"/>
  <c r="G2179" i="1"/>
  <c r="J2179" i="1" s="1"/>
  <c r="G2178" i="1"/>
  <c r="J2178" i="1" s="1"/>
  <c r="G2177" i="1"/>
  <c r="J2177" i="1" s="1"/>
  <c r="G2176" i="1"/>
  <c r="J2176" i="1" s="1"/>
  <c r="G2175" i="1"/>
  <c r="J2175" i="1" s="1"/>
  <c r="G2174" i="1"/>
  <c r="J2174" i="1" s="1"/>
  <c r="G2173" i="1"/>
  <c r="J2173" i="1" s="1"/>
  <c r="G2172" i="1"/>
  <c r="E2172" i="1"/>
  <c r="E2180" i="1" s="1"/>
  <c r="E2181" i="1" s="1"/>
  <c r="C316" i="15" s="1"/>
  <c r="I2171" i="1"/>
  <c r="H2171" i="1"/>
  <c r="E2171" i="1"/>
  <c r="G2170" i="1"/>
  <c r="J2170" i="1" s="1"/>
  <c r="G2169" i="1"/>
  <c r="J2169" i="1" s="1"/>
  <c r="G2168" i="1"/>
  <c r="J2168" i="1" s="1"/>
  <c r="G2167" i="1"/>
  <c r="J2167" i="1" s="1"/>
  <c r="I2165" i="1"/>
  <c r="H2165" i="1"/>
  <c r="E2165" i="1"/>
  <c r="G2164" i="1"/>
  <c r="J2164" i="1" s="1"/>
  <c r="G2163" i="1"/>
  <c r="J2163" i="1" s="1"/>
  <c r="G2162" i="1"/>
  <c r="I2161" i="1"/>
  <c r="H2161" i="1"/>
  <c r="F2161" i="1"/>
  <c r="F2166" i="1" s="1"/>
  <c r="F2182" i="1" s="1"/>
  <c r="F2242" i="1" s="1"/>
  <c r="E2161" i="1"/>
  <c r="G2160" i="1"/>
  <c r="G2158" i="1"/>
  <c r="G2161" i="1" s="1"/>
  <c r="J2161" i="1" s="1"/>
  <c r="I2157" i="1"/>
  <c r="H2157" i="1"/>
  <c r="E2157" i="1"/>
  <c r="G2156" i="1"/>
  <c r="J2156" i="1" s="1"/>
  <c r="G2155" i="1"/>
  <c r="J2155" i="1" s="1"/>
  <c r="G2154" i="1"/>
  <c r="J2154" i="1" s="1"/>
  <c r="G2153" i="1"/>
  <c r="J2153" i="1" s="1"/>
  <c r="G2152" i="1"/>
  <c r="J2152" i="1" s="1"/>
  <c r="G2151" i="1"/>
  <c r="J2151" i="1" s="1"/>
  <c r="G2150" i="1"/>
  <c r="J2150" i="1" s="1"/>
  <c r="I2149" i="1"/>
  <c r="H2149" i="1"/>
  <c r="E2149" i="1"/>
  <c r="G2148" i="1"/>
  <c r="J2148" i="1" s="1"/>
  <c r="G2147" i="1"/>
  <c r="J2147" i="1" s="1"/>
  <c r="G2146" i="1"/>
  <c r="J2146" i="1" s="1"/>
  <c r="G2145" i="1"/>
  <c r="J2145" i="1" s="1"/>
  <c r="G2144" i="1"/>
  <c r="J2144" i="1" s="1"/>
  <c r="G2143" i="1"/>
  <c r="J2143" i="1" s="1"/>
  <c r="G2142" i="1"/>
  <c r="I2141" i="1"/>
  <c r="H2141" i="1"/>
  <c r="E2141" i="1"/>
  <c r="G2140" i="1"/>
  <c r="J2140" i="1" s="1"/>
  <c r="G2139" i="1"/>
  <c r="J2139" i="1" s="1"/>
  <c r="G2138" i="1"/>
  <c r="J2138" i="1" s="1"/>
  <c r="G2137" i="1"/>
  <c r="H2211" i="1" l="1"/>
  <c r="E2166" i="1"/>
  <c r="C315" i="15" s="1"/>
  <c r="C318" i="15"/>
  <c r="E2182" i="1"/>
  <c r="T25" i="14"/>
  <c r="H2200" i="1"/>
  <c r="H2213" i="1" s="1"/>
  <c r="H2214" i="1" s="1"/>
  <c r="E2200" i="1"/>
  <c r="E2213" i="1" s="1"/>
  <c r="E2214" i="1" s="1"/>
  <c r="C319" i="15" s="1"/>
  <c r="C321" i="15" s="1"/>
  <c r="G1260" i="17"/>
  <c r="D1260" i="17"/>
  <c r="F1268" i="17"/>
  <c r="F1269" i="17" s="1"/>
  <c r="I1269" i="17" s="1"/>
  <c r="P1268" i="17"/>
  <c r="P1269" i="17" s="1"/>
  <c r="H1816" i="16"/>
  <c r="H1769" i="16"/>
  <c r="H1792" i="16"/>
  <c r="H1840" i="16"/>
  <c r="F2297" i="13"/>
  <c r="G2149" i="1"/>
  <c r="J2149" i="1" s="1"/>
  <c r="G2141" i="1"/>
  <c r="J2141" i="1" s="1"/>
  <c r="G2218" i="1"/>
  <c r="J2218" i="1" s="1"/>
  <c r="I2331" i="13"/>
  <c r="I2332" i="13" s="1"/>
  <c r="F2146" i="13"/>
  <c r="F2162" i="13"/>
  <c r="F2170" i="13"/>
  <c r="F2223" i="13"/>
  <c r="F2166" i="13"/>
  <c r="F2176" i="13"/>
  <c r="F2198" i="13"/>
  <c r="F2204" i="13"/>
  <c r="F2215" i="13"/>
  <c r="F2231" i="13"/>
  <c r="F2331" i="13"/>
  <c r="F2332" i="13" s="1"/>
  <c r="F2359" i="13" s="1"/>
  <c r="J2142" i="1"/>
  <c r="G2165" i="1"/>
  <c r="J2165" i="1" s="1"/>
  <c r="J2215" i="1"/>
  <c r="F2209" i="13"/>
  <c r="F2216" i="13" s="1"/>
  <c r="F2228" i="13"/>
  <c r="F2236" i="13"/>
  <c r="G2239" i="1"/>
  <c r="J2239" i="1" s="1"/>
  <c r="F2154" i="13"/>
  <c r="F2240" i="13"/>
  <c r="S15" i="14"/>
  <c r="T15" i="14" s="1"/>
  <c r="S13" i="14"/>
  <c r="T13" i="14" s="1"/>
  <c r="S14" i="14"/>
  <c r="T14" i="14" s="1"/>
  <c r="R16" i="14"/>
  <c r="P16" i="14"/>
  <c r="Q16" i="14"/>
  <c r="S16" i="14" s="1"/>
  <c r="F1366" i="17"/>
  <c r="I1366" i="17" s="1"/>
  <c r="I1365" i="17"/>
  <c r="I2297" i="13"/>
  <c r="G2354" i="1"/>
  <c r="J2353" i="1"/>
  <c r="J2354" i="1" s="1"/>
  <c r="G2292" i="1"/>
  <c r="J2275" i="1"/>
  <c r="J2291" i="1"/>
  <c r="J2290" i="1"/>
  <c r="G2326" i="1"/>
  <c r="J2312" i="1"/>
  <c r="H1260" i="17"/>
  <c r="F2185" i="13"/>
  <c r="I2166" i="1"/>
  <c r="J2158" i="1"/>
  <c r="M46" i="14"/>
  <c r="O46" i="14"/>
  <c r="N46" i="14" s="1"/>
  <c r="R46" i="14" s="1"/>
  <c r="M48" i="14"/>
  <c r="O48" i="14"/>
  <c r="N48" i="14" s="1"/>
  <c r="R48" i="14" s="1"/>
  <c r="N40" i="14"/>
  <c r="N41" i="14"/>
  <c r="P41" i="14" s="1"/>
  <c r="N42" i="14"/>
  <c r="R42" i="14" s="1"/>
  <c r="O45" i="14"/>
  <c r="N45" i="14" s="1"/>
  <c r="R45" i="14" s="1"/>
  <c r="O47" i="14"/>
  <c r="N47" i="14" s="1"/>
  <c r="N49" i="14"/>
  <c r="R49" i="14" s="1"/>
  <c r="N50" i="14"/>
  <c r="R50" i="14" s="1"/>
  <c r="N51" i="14"/>
  <c r="R51" i="14" s="1"/>
  <c r="R40" i="14"/>
  <c r="P40" i="14"/>
  <c r="Q40" i="14"/>
  <c r="S40" i="14" s="1"/>
  <c r="P42" i="14"/>
  <c r="O36" i="14"/>
  <c r="N36" i="14" s="1"/>
  <c r="M36" i="14"/>
  <c r="O38" i="14"/>
  <c r="N38" i="14" s="1"/>
  <c r="M38" i="14"/>
  <c r="M40" i="14"/>
  <c r="M41" i="14"/>
  <c r="M42" i="14"/>
  <c r="L44" i="14"/>
  <c r="K44" i="14" s="1"/>
  <c r="C44" i="14"/>
  <c r="P45" i="14"/>
  <c r="R47" i="14"/>
  <c r="P47" i="14"/>
  <c r="P48" i="14"/>
  <c r="Q50" i="14"/>
  <c r="O37" i="14"/>
  <c r="N37" i="14" s="1"/>
  <c r="M37" i="14"/>
  <c r="L39" i="14"/>
  <c r="K39" i="14" s="1"/>
  <c r="C39" i="14"/>
  <c r="O43" i="14"/>
  <c r="N43" i="14" s="1"/>
  <c r="M43" i="14"/>
  <c r="Q47" i="14"/>
  <c r="M49" i="14"/>
  <c r="M50" i="14"/>
  <c r="M51" i="14"/>
  <c r="E1794" i="16"/>
  <c r="H1784" i="16"/>
  <c r="E1843" i="16"/>
  <c r="P1302" i="17"/>
  <c r="P1303" i="17" s="1"/>
  <c r="P1259" i="17"/>
  <c r="F1251" i="17"/>
  <c r="I1268" i="17"/>
  <c r="G1304" i="17"/>
  <c r="P1251" i="17"/>
  <c r="F1259" i="17"/>
  <c r="I1259" i="17" s="1"/>
  <c r="D1304" i="17"/>
  <c r="F1302" i="17"/>
  <c r="H1304" i="17"/>
  <c r="I2179" i="13"/>
  <c r="I2185" i="13" s="1"/>
  <c r="I2188" i="13"/>
  <c r="I2198" i="13" s="1"/>
  <c r="I2199" i="13"/>
  <c r="I2204" i="13" s="1"/>
  <c r="I2207" i="13"/>
  <c r="I2209" i="13" s="1"/>
  <c r="I2210" i="13"/>
  <c r="I2215" i="13" s="1"/>
  <c r="I2220" i="13"/>
  <c r="I2223" i="13" s="1"/>
  <c r="I2238" i="13"/>
  <c r="I2240" i="13" s="1"/>
  <c r="I2142" i="13"/>
  <c r="I2146" i="13" s="1"/>
  <c r="I2147" i="13"/>
  <c r="I2154" i="13" s="1"/>
  <c r="I2155" i="13"/>
  <c r="I2162" i="13" s="1"/>
  <c r="I2163" i="13"/>
  <c r="I2166" i="13" s="1"/>
  <c r="I2167" i="13"/>
  <c r="I2170" i="13" s="1"/>
  <c r="I2172" i="13"/>
  <c r="I2176" i="13" s="1"/>
  <c r="I2224" i="13"/>
  <c r="I2228" i="13" s="1"/>
  <c r="I2229" i="13"/>
  <c r="I2231" i="13" s="1"/>
  <c r="I2232" i="13"/>
  <c r="I2236" i="13" s="1"/>
  <c r="H2240" i="1"/>
  <c r="H2241" i="1" s="1"/>
  <c r="I2213" i="1"/>
  <c r="I2214" i="1" s="1"/>
  <c r="I2181" i="1"/>
  <c r="I2182" i="1" s="1"/>
  <c r="G2157" i="1"/>
  <c r="J2157" i="1" s="1"/>
  <c r="G2171" i="1"/>
  <c r="H2166" i="1"/>
  <c r="J2162" i="1"/>
  <c r="H2181" i="1"/>
  <c r="G2180" i="1"/>
  <c r="J2172" i="1"/>
  <c r="G2193" i="1"/>
  <c r="G2199" i="1"/>
  <c r="J2199" i="1" s="1"/>
  <c r="G2204" i="1"/>
  <c r="J2201" i="1"/>
  <c r="G2210" i="1"/>
  <c r="J2210" i="1" s="1"/>
  <c r="E2240" i="1"/>
  <c r="E2241" i="1" s="1"/>
  <c r="C322" i="15" s="1"/>
  <c r="C324" i="15" s="1"/>
  <c r="C325" i="15" s="1"/>
  <c r="I2240" i="1"/>
  <c r="I2241" i="1" s="1"/>
  <c r="G2223" i="1"/>
  <c r="J2223" i="1" s="1"/>
  <c r="J2219" i="1"/>
  <c r="G2226" i="1"/>
  <c r="J2226" i="1" s="1"/>
  <c r="J2224" i="1"/>
  <c r="G2232" i="1"/>
  <c r="J2232" i="1" s="1"/>
  <c r="G2236" i="1"/>
  <c r="J2236" i="1" s="1"/>
  <c r="F1696" i="16"/>
  <c r="F1790" i="16" s="1"/>
  <c r="I1790" i="16" s="1"/>
  <c r="F1695" i="16"/>
  <c r="F1789" i="16" s="1"/>
  <c r="F1884" i="16" s="1"/>
  <c r="I1884" i="16" s="1"/>
  <c r="H1695" i="16"/>
  <c r="I1695" i="16"/>
  <c r="H1694" i="16"/>
  <c r="E2242" i="1" l="1"/>
  <c r="S50" i="14"/>
  <c r="P1260" i="17"/>
  <c r="P50" i="14"/>
  <c r="Q41" i="14"/>
  <c r="S41" i="14" s="1"/>
  <c r="T41" i="14" s="1"/>
  <c r="P1304" i="17"/>
  <c r="R41" i="14"/>
  <c r="T40" i="14"/>
  <c r="H1794" i="16"/>
  <c r="F1885" i="16"/>
  <c r="I1885" i="16" s="1"/>
  <c r="I1789" i="16"/>
  <c r="F2171" i="13"/>
  <c r="F2187" i="13" s="1"/>
  <c r="I2359" i="13"/>
  <c r="F2244" i="13"/>
  <c r="F2245" i="13" s="1"/>
  <c r="I2216" i="13"/>
  <c r="F2186" i="13"/>
  <c r="F2205" i="13"/>
  <c r="F2218" i="13" s="1"/>
  <c r="F2219" i="13" s="1"/>
  <c r="T16" i="14"/>
  <c r="G2327" i="1"/>
  <c r="J2326" i="1"/>
  <c r="J2327" i="1" s="1"/>
  <c r="G2355" i="1"/>
  <c r="J2355" i="1" s="1"/>
  <c r="J2292" i="1"/>
  <c r="Q45" i="14"/>
  <c r="I2205" i="13"/>
  <c r="I2218" i="13" s="1"/>
  <c r="I2219" i="13" s="1"/>
  <c r="Q42" i="14"/>
  <c r="S42" i="14" s="1"/>
  <c r="T42" i="14" s="1"/>
  <c r="S47" i="14"/>
  <c r="P51" i="14"/>
  <c r="P49" i="14"/>
  <c r="P46" i="14"/>
  <c r="S45" i="14"/>
  <c r="T45" i="14" s="1"/>
  <c r="T47" i="14"/>
  <c r="T46" i="14"/>
  <c r="Q48" i="14"/>
  <c r="S48" i="14" s="1"/>
  <c r="T48" i="14" s="1"/>
  <c r="Q46" i="14"/>
  <c r="S46" i="14" s="1"/>
  <c r="Q51" i="14"/>
  <c r="S51" i="14" s="1"/>
  <c r="T51" i="14" s="1"/>
  <c r="Q49" i="14"/>
  <c r="S49" i="14" s="1"/>
  <c r="T49" i="14" s="1"/>
  <c r="Q43" i="14"/>
  <c r="P43" i="14"/>
  <c r="R43" i="14"/>
  <c r="O39" i="14"/>
  <c r="N39" i="14" s="1"/>
  <c r="M39" i="14"/>
  <c r="Q37" i="14"/>
  <c r="P37" i="14"/>
  <c r="R37" i="14"/>
  <c r="Q38" i="14"/>
  <c r="R38" i="14"/>
  <c r="P38" i="14"/>
  <c r="Q36" i="14"/>
  <c r="S36" i="14" s="1"/>
  <c r="T36" i="14" s="1"/>
  <c r="R36" i="14"/>
  <c r="P36" i="14"/>
  <c r="T50" i="14"/>
  <c r="M44" i="14"/>
  <c r="O44" i="14"/>
  <c r="N44" i="14" s="1"/>
  <c r="I1251" i="17"/>
  <c r="F1260" i="17"/>
  <c r="I1260" i="17" s="1"/>
  <c r="F1303" i="17"/>
  <c r="I1302" i="17"/>
  <c r="I2171" i="13"/>
  <c r="I2244" i="13"/>
  <c r="I2245" i="13" s="1"/>
  <c r="I2186" i="13"/>
  <c r="I2242" i="1"/>
  <c r="H2182" i="1"/>
  <c r="H2242" i="1" s="1"/>
  <c r="G2200" i="1"/>
  <c r="J2193" i="1"/>
  <c r="J2171" i="1"/>
  <c r="G2181" i="1"/>
  <c r="G2240" i="1"/>
  <c r="G2211" i="1"/>
  <c r="J2211" i="1" s="1"/>
  <c r="J2204" i="1"/>
  <c r="G2166" i="1"/>
  <c r="D61" i="14"/>
  <c r="F2246" i="13" l="1"/>
  <c r="S37" i="14"/>
  <c r="T37" i="14" s="1"/>
  <c r="R39" i="14"/>
  <c r="P39" i="14"/>
  <c r="Q39" i="14"/>
  <c r="R44" i="14"/>
  <c r="P44" i="14"/>
  <c r="Q44" i="14"/>
  <c r="S44" i="14" s="1"/>
  <c r="S38" i="14"/>
  <c r="T38" i="14" s="1"/>
  <c r="S43" i="14"/>
  <c r="T43" i="14" s="1"/>
  <c r="F1304" i="17"/>
  <c r="I1304" i="17" s="1"/>
  <c r="I1303" i="17"/>
  <c r="I2187" i="13"/>
  <c r="I2246" i="13" s="1"/>
  <c r="G2241" i="1"/>
  <c r="J2240" i="1"/>
  <c r="J2241" i="1" s="1"/>
  <c r="J2181" i="1"/>
  <c r="J2180" i="1"/>
  <c r="G2182" i="1"/>
  <c r="J2166" i="1"/>
  <c r="G2213" i="1"/>
  <c r="J2200" i="1"/>
  <c r="D66" i="14"/>
  <c r="D65" i="14"/>
  <c r="S39" i="14" l="1"/>
  <c r="T44" i="14"/>
  <c r="T39" i="14"/>
  <c r="J2182" i="1"/>
  <c r="G2214" i="1"/>
  <c r="G2242" i="1" s="1"/>
  <c r="J2242" i="1" s="1"/>
  <c r="J2213" i="1"/>
  <c r="J2214" i="1" s="1"/>
  <c r="L73" i="14" l="1"/>
  <c r="K73" i="14"/>
  <c r="O73" i="14" s="1"/>
  <c r="G73" i="14"/>
  <c r="C73" i="14"/>
  <c r="L72" i="14"/>
  <c r="K72" i="14" s="1"/>
  <c r="O72" i="14" s="1"/>
  <c r="G72" i="14"/>
  <c r="C72" i="14"/>
  <c r="L71" i="14"/>
  <c r="K71" i="14" s="1"/>
  <c r="O71" i="14" s="1"/>
  <c r="G71" i="14"/>
  <c r="C71" i="14"/>
  <c r="L70" i="14"/>
  <c r="K70" i="14" s="1"/>
  <c r="G70" i="14"/>
  <c r="C70" i="14"/>
  <c r="L69" i="14"/>
  <c r="K69" i="14" s="1"/>
  <c r="M69" i="14" s="1"/>
  <c r="G69" i="14"/>
  <c r="C69" i="14"/>
  <c r="G68" i="14"/>
  <c r="L67" i="14"/>
  <c r="K67" i="14" s="1"/>
  <c r="G67" i="14"/>
  <c r="C67" i="14"/>
  <c r="L66" i="14"/>
  <c r="K66" i="14" s="1"/>
  <c r="O66" i="14" s="1"/>
  <c r="G66" i="14"/>
  <c r="C66" i="14"/>
  <c r="L65" i="14"/>
  <c r="K65" i="14" s="1"/>
  <c r="O65" i="14" s="1"/>
  <c r="G65" i="14"/>
  <c r="C65" i="14"/>
  <c r="L64" i="14"/>
  <c r="K64" i="14" s="1"/>
  <c r="O64" i="14" s="1"/>
  <c r="G64" i="14"/>
  <c r="C64" i="14"/>
  <c r="L63" i="14"/>
  <c r="K63" i="14" s="1"/>
  <c r="O63" i="14" s="1"/>
  <c r="G63" i="14"/>
  <c r="C63" i="14"/>
  <c r="L62" i="14"/>
  <c r="K62" i="14" s="1"/>
  <c r="O62" i="14" s="1"/>
  <c r="G62" i="14"/>
  <c r="C62" i="14"/>
  <c r="G61" i="14"/>
  <c r="L60" i="14"/>
  <c r="K60" i="14" s="1"/>
  <c r="G60" i="14"/>
  <c r="C60" i="14"/>
  <c r="L59" i="14"/>
  <c r="K59" i="14" s="1"/>
  <c r="G59" i="14"/>
  <c r="C59" i="14"/>
  <c r="L58" i="14"/>
  <c r="K58" i="14" s="1"/>
  <c r="G58" i="14"/>
  <c r="C58" i="14"/>
  <c r="E308" i="15"/>
  <c r="E305" i="15"/>
  <c r="E302" i="15"/>
  <c r="H1747" i="16"/>
  <c r="E1746" i="16"/>
  <c r="H1745" i="16"/>
  <c r="H1744" i="16"/>
  <c r="H1743" i="16"/>
  <c r="H1742" i="16"/>
  <c r="H1741" i="16"/>
  <c r="H1740" i="16"/>
  <c r="H1739" i="16"/>
  <c r="H1738" i="16"/>
  <c r="H1737" i="16"/>
  <c r="H1736" i="16"/>
  <c r="H1735" i="16"/>
  <c r="H1734" i="16"/>
  <c r="H1733" i="16"/>
  <c r="H1732" i="16"/>
  <c r="H1731" i="16"/>
  <c r="H1730" i="16"/>
  <c r="H1729" i="16"/>
  <c r="H1728" i="16"/>
  <c r="H1727" i="16"/>
  <c r="H1726" i="16"/>
  <c r="H1725" i="16"/>
  <c r="H1724" i="16"/>
  <c r="H1723" i="16"/>
  <c r="E1722" i="16"/>
  <c r="H1721" i="16"/>
  <c r="H1720" i="16"/>
  <c r="H1719" i="16"/>
  <c r="H1718" i="16"/>
  <c r="H1717" i="16"/>
  <c r="H1716" i="16"/>
  <c r="H1715" i="16"/>
  <c r="H1714" i="16"/>
  <c r="H1713" i="16"/>
  <c r="H1712" i="16"/>
  <c r="H1711" i="16"/>
  <c r="H1710" i="16"/>
  <c r="H1709" i="16"/>
  <c r="H1708" i="16"/>
  <c r="H1707" i="16"/>
  <c r="H1706" i="16"/>
  <c r="H1705" i="16"/>
  <c r="H1704" i="16"/>
  <c r="H1703" i="16"/>
  <c r="H1702" i="16"/>
  <c r="H1701" i="16"/>
  <c r="I1699" i="16"/>
  <c r="E1698" i="16"/>
  <c r="H1697" i="16"/>
  <c r="H1696" i="16"/>
  <c r="H1693" i="16"/>
  <c r="H1692" i="16"/>
  <c r="H1691" i="16"/>
  <c r="E1690" i="16"/>
  <c r="H1689" i="16"/>
  <c r="H1688" i="16"/>
  <c r="H1687" i="16"/>
  <c r="H1686" i="16"/>
  <c r="H1685" i="16"/>
  <c r="H1684" i="16"/>
  <c r="H1683" i="16"/>
  <c r="H1682" i="16"/>
  <c r="H1681" i="16"/>
  <c r="H1680" i="16"/>
  <c r="H1679" i="16"/>
  <c r="H1678" i="16"/>
  <c r="H1677" i="16"/>
  <c r="H1676" i="16"/>
  <c r="E1675" i="16"/>
  <c r="H1674" i="16"/>
  <c r="H1673" i="16"/>
  <c r="H1672" i="16"/>
  <c r="H1671" i="16"/>
  <c r="H1670" i="16"/>
  <c r="H1669" i="16"/>
  <c r="H1668" i="16"/>
  <c r="H1667" i="16"/>
  <c r="H1666" i="16"/>
  <c r="H1665" i="16"/>
  <c r="H1664" i="16"/>
  <c r="H1663" i="16"/>
  <c r="H1662" i="16"/>
  <c r="H1661" i="16"/>
  <c r="H1660" i="16"/>
  <c r="H1241" i="17"/>
  <c r="E1241" i="17"/>
  <c r="D1241" i="17"/>
  <c r="H1240" i="17"/>
  <c r="G1240" i="17"/>
  <c r="G1241" i="17" s="1"/>
  <c r="D1240" i="17"/>
  <c r="P1239" i="17"/>
  <c r="F1239" i="17"/>
  <c r="I1239" i="17" s="1"/>
  <c r="P1238" i="17"/>
  <c r="F1238" i="17"/>
  <c r="I1238" i="17" s="1"/>
  <c r="P1237" i="17"/>
  <c r="I1237" i="17"/>
  <c r="F1237" i="17"/>
  <c r="P1236" i="17"/>
  <c r="F1236" i="17"/>
  <c r="I1236" i="17" s="1"/>
  <c r="P1235" i="17"/>
  <c r="F1235" i="17"/>
  <c r="I1235" i="17" s="1"/>
  <c r="P1234" i="17"/>
  <c r="F1234" i="17"/>
  <c r="I1234" i="17" s="1"/>
  <c r="P1233" i="17"/>
  <c r="F1233" i="17"/>
  <c r="I1233" i="17" s="1"/>
  <c r="P1232" i="17"/>
  <c r="F1232" i="17"/>
  <c r="I1232" i="17" s="1"/>
  <c r="P1231" i="17"/>
  <c r="F1231" i="17"/>
  <c r="I1231" i="17" s="1"/>
  <c r="P1230" i="17"/>
  <c r="F1230" i="17"/>
  <c r="I1230" i="17" s="1"/>
  <c r="P1229" i="17"/>
  <c r="F1229" i="17"/>
  <c r="I1229" i="17" s="1"/>
  <c r="P1228" i="17"/>
  <c r="F1228" i="17"/>
  <c r="I1228" i="17" s="1"/>
  <c r="P1227" i="17"/>
  <c r="F1227" i="17"/>
  <c r="I1227" i="17" s="1"/>
  <c r="P1226" i="17"/>
  <c r="F1226" i="17"/>
  <c r="I1226" i="17" s="1"/>
  <c r="P1225" i="17"/>
  <c r="F1225" i="17"/>
  <c r="I1225" i="17" s="1"/>
  <c r="P1224" i="17"/>
  <c r="F1224" i="17"/>
  <c r="I1224" i="17" s="1"/>
  <c r="P1223" i="17"/>
  <c r="F1223" i="17"/>
  <c r="I1223" i="17" s="1"/>
  <c r="P1222" i="17"/>
  <c r="F1222" i="17"/>
  <c r="I1222" i="17" s="1"/>
  <c r="P1221" i="17"/>
  <c r="F1221" i="17"/>
  <c r="I1221" i="17" s="1"/>
  <c r="P1220" i="17"/>
  <c r="F1220" i="17"/>
  <c r="I1220" i="17" s="1"/>
  <c r="P1219" i="17"/>
  <c r="I1219" i="17"/>
  <c r="F1219" i="17"/>
  <c r="P1218" i="17"/>
  <c r="F1218" i="17"/>
  <c r="I1218" i="17" s="1"/>
  <c r="P1217" i="17"/>
  <c r="F1217" i="17"/>
  <c r="I1217" i="17" s="1"/>
  <c r="P1216" i="17"/>
  <c r="F1216" i="17"/>
  <c r="I1216" i="17" s="1"/>
  <c r="P1215" i="17"/>
  <c r="F1215" i="17"/>
  <c r="I1215" i="17" s="1"/>
  <c r="P1214" i="17"/>
  <c r="F1214" i="17"/>
  <c r="P1213" i="17"/>
  <c r="I1213" i="17"/>
  <c r="F1213" i="17"/>
  <c r="P1212" i="17"/>
  <c r="F1212" i="17"/>
  <c r="I1212" i="17" s="1"/>
  <c r="P1211" i="17"/>
  <c r="F1211" i="17"/>
  <c r="I1211" i="17" s="1"/>
  <c r="P1210" i="17"/>
  <c r="F1210" i="17"/>
  <c r="I1210" i="17" s="1"/>
  <c r="P1209" i="17"/>
  <c r="F1209" i="17"/>
  <c r="I1209" i="17" s="1"/>
  <c r="P1208" i="17"/>
  <c r="I1208" i="17"/>
  <c r="F1208" i="17"/>
  <c r="H1207" i="17"/>
  <c r="E1207" i="17"/>
  <c r="E1242" i="17" s="1"/>
  <c r="D1207" i="17"/>
  <c r="H1206" i="17"/>
  <c r="G1206" i="17"/>
  <c r="G1207" i="17" s="1"/>
  <c r="P1205" i="17"/>
  <c r="F1205" i="17"/>
  <c r="I1205" i="17" s="1"/>
  <c r="P1204" i="17"/>
  <c r="I1204" i="17"/>
  <c r="F1204" i="17"/>
  <c r="P1203" i="17"/>
  <c r="F1203" i="17"/>
  <c r="I1203" i="17" s="1"/>
  <c r="P1202" i="17"/>
  <c r="F1202" i="17"/>
  <c r="I1202" i="17" s="1"/>
  <c r="P1201" i="17"/>
  <c r="F1201" i="17"/>
  <c r="I1201" i="17" s="1"/>
  <c r="P1200" i="17"/>
  <c r="F1200" i="17"/>
  <c r="I1200" i="17" s="1"/>
  <c r="P1199" i="17"/>
  <c r="F1199" i="17"/>
  <c r="E1198" i="17"/>
  <c r="H1197" i="17"/>
  <c r="G1197" i="17"/>
  <c r="D1197" i="17"/>
  <c r="P1196" i="17"/>
  <c r="F1196" i="17"/>
  <c r="I1196" i="17" s="1"/>
  <c r="P1195" i="17"/>
  <c r="F1195" i="17"/>
  <c r="I1195" i="17" s="1"/>
  <c r="P1194" i="17"/>
  <c r="F1194" i="17"/>
  <c r="I1194" i="17" s="1"/>
  <c r="P1193" i="17"/>
  <c r="F1193" i="17"/>
  <c r="I1193" i="17" s="1"/>
  <c r="P1192" i="17"/>
  <c r="I1192" i="17"/>
  <c r="F1192" i="17"/>
  <c r="P1191" i="17"/>
  <c r="F1191" i="17"/>
  <c r="I1191" i="17" s="1"/>
  <c r="P1190" i="17"/>
  <c r="F1190" i="17"/>
  <c r="I1190" i="17" s="1"/>
  <c r="H1189" i="17"/>
  <c r="G1189" i="17"/>
  <c r="G1198" i="17" s="1"/>
  <c r="D1189" i="17"/>
  <c r="P1188" i="17"/>
  <c r="F1188" i="17"/>
  <c r="I1188" i="17" s="1"/>
  <c r="P1187" i="17"/>
  <c r="F1187" i="17"/>
  <c r="I1187" i="17" s="1"/>
  <c r="P1186" i="17"/>
  <c r="F1186" i="17"/>
  <c r="I1186" i="17" s="1"/>
  <c r="P1185" i="17"/>
  <c r="F1185" i="17"/>
  <c r="I1185" i="17" s="1"/>
  <c r="P1184" i="17"/>
  <c r="F1184" i="17"/>
  <c r="I1184" i="17" s="1"/>
  <c r="J2134" i="13"/>
  <c r="I2134" i="13"/>
  <c r="F2133" i="13"/>
  <c r="F2132" i="13"/>
  <c r="F2130" i="13"/>
  <c r="I2130" i="13" s="1"/>
  <c r="F2129" i="13"/>
  <c r="F2128" i="13"/>
  <c r="I2128" i="13" s="1"/>
  <c r="F2126" i="13"/>
  <c r="I2126" i="13" s="1"/>
  <c r="F2125" i="13"/>
  <c r="I2125" i="13" s="1"/>
  <c r="F2124" i="13"/>
  <c r="I2124" i="13" s="1"/>
  <c r="F2123" i="13"/>
  <c r="F2121" i="13"/>
  <c r="I2121" i="13" s="1"/>
  <c r="F2120" i="13"/>
  <c r="F2118" i="13"/>
  <c r="I2118" i="13" s="1"/>
  <c r="F2117" i="13"/>
  <c r="I2117" i="13" s="1"/>
  <c r="F2116" i="13"/>
  <c r="I2116" i="13" s="1"/>
  <c r="F2115" i="13"/>
  <c r="F2113" i="13"/>
  <c r="I2113" i="13" s="1"/>
  <c r="F2112" i="13"/>
  <c r="I2112" i="13" s="1"/>
  <c r="F2111" i="13"/>
  <c r="F2108" i="13"/>
  <c r="I2108" i="13" s="1"/>
  <c r="F2105" i="13"/>
  <c r="I2105" i="13" s="1"/>
  <c r="F2104" i="13"/>
  <c r="I2104" i="13" s="1"/>
  <c r="F2103" i="13"/>
  <c r="I2103" i="13" s="1"/>
  <c r="F2102" i="13"/>
  <c r="I2102" i="13" s="1"/>
  <c r="F2101" i="13"/>
  <c r="F2099" i="13"/>
  <c r="I2099" i="13" s="1"/>
  <c r="F2098" i="13"/>
  <c r="F2097" i="13"/>
  <c r="I2097" i="13" s="1"/>
  <c r="F2094" i="13"/>
  <c r="I2094" i="13" s="1"/>
  <c r="F2093" i="13"/>
  <c r="I2093" i="13" s="1"/>
  <c r="F2092" i="13"/>
  <c r="I2092" i="13" s="1"/>
  <c r="F2091" i="13"/>
  <c r="I2091" i="13" s="1"/>
  <c r="F2090" i="13"/>
  <c r="F2088" i="13"/>
  <c r="I2088" i="13" s="1"/>
  <c r="F2087" i="13"/>
  <c r="I2087" i="13" s="1"/>
  <c r="F2086" i="13"/>
  <c r="I2086" i="13" s="1"/>
  <c r="F2085" i="13"/>
  <c r="I2085" i="13" s="1"/>
  <c r="F2084" i="13"/>
  <c r="I2084" i="13" s="1"/>
  <c r="F2083" i="13"/>
  <c r="I2083" i="13" s="1"/>
  <c r="F2082" i="13"/>
  <c r="I2082" i="13" s="1"/>
  <c r="F2081" i="13"/>
  <c r="I2081" i="13" s="1"/>
  <c r="F2080" i="13"/>
  <c r="I2080" i="13" s="1"/>
  <c r="F2079" i="13"/>
  <c r="F2075" i="13"/>
  <c r="I2075" i="13" s="1"/>
  <c r="F2074" i="13"/>
  <c r="I2074" i="13" s="1"/>
  <c r="F2073" i="13"/>
  <c r="I2073" i="13" s="1"/>
  <c r="F2072" i="13"/>
  <c r="I2072" i="13" s="1"/>
  <c r="F2071" i="13"/>
  <c r="I2071" i="13" s="1"/>
  <c r="F2070" i="13"/>
  <c r="F2069" i="13"/>
  <c r="I2069" i="13" s="1"/>
  <c r="F2068" i="13"/>
  <c r="I2068" i="13" s="1"/>
  <c r="F2066" i="13"/>
  <c r="I2066" i="13" s="1"/>
  <c r="F2065" i="13"/>
  <c r="I2065" i="13" s="1"/>
  <c r="F2064" i="13"/>
  <c r="I2064" i="13" s="1"/>
  <c r="F2063" i="13"/>
  <c r="F2060" i="13"/>
  <c r="I2060" i="13" s="1"/>
  <c r="F2059" i="13"/>
  <c r="I2059" i="13" s="1"/>
  <c r="F2058" i="13"/>
  <c r="F2056" i="13"/>
  <c r="I2056" i="13" s="1"/>
  <c r="F2055" i="13"/>
  <c r="I2055" i="13" s="1"/>
  <c r="F2054" i="13"/>
  <c r="F2052" i="13"/>
  <c r="I2052" i="13" s="1"/>
  <c r="F2051" i="13"/>
  <c r="I2051" i="13" s="1"/>
  <c r="F2050" i="13"/>
  <c r="I2050" i="13" s="1"/>
  <c r="F2049" i="13"/>
  <c r="I2049" i="13" s="1"/>
  <c r="F2048" i="13"/>
  <c r="I2048" i="13" s="1"/>
  <c r="F2047" i="13"/>
  <c r="I2047" i="13" s="1"/>
  <c r="F2046" i="13"/>
  <c r="F2044" i="13"/>
  <c r="I2044" i="13" s="1"/>
  <c r="F2043" i="13"/>
  <c r="I2043" i="13" s="1"/>
  <c r="F2042" i="13"/>
  <c r="I2042" i="13" s="1"/>
  <c r="F2041" i="13"/>
  <c r="I2041" i="13" s="1"/>
  <c r="F2040" i="13"/>
  <c r="I2040" i="13" s="1"/>
  <c r="F2039" i="13"/>
  <c r="I2039" i="13" s="1"/>
  <c r="F2038" i="13"/>
  <c r="F2036" i="13"/>
  <c r="I2036" i="13" s="1"/>
  <c r="F2035" i="13"/>
  <c r="I2035" i="13" s="1"/>
  <c r="F2034" i="13"/>
  <c r="I2034" i="13" s="1"/>
  <c r="F2033" i="13"/>
  <c r="F2131" i="1"/>
  <c r="F2132" i="1" s="1"/>
  <c r="I2130" i="1"/>
  <c r="H2130" i="1"/>
  <c r="F2134" i="13" s="1"/>
  <c r="G2129" i="1"/>
  <c r="J2129" i="1" s="1"/>
  <c r="G2128" i="1"/>
  <c r="J2128" i="1" s="1"/>
  <c r="I2127" i="1"/>
  <c r="H2127" i="1"/>
  <c r="E2127" i="1"/>
  <c r="G2126" i="1"/>
  <c r="J2126" i="1" s="1"/>
  <c r="G2125" i="1"/>
  <c r="J2125" i="1" s="1"/>
  <c r="G2124" i="1"/>
  <c r="J2124" i="1" s="1"/>
  <c r="I2123" i="1"/>
  <c r="H2123" i="1"/>
  <c r="E2123" i="1"/>
  <c r="G2122" i="1"/>
  <c r="J2122" i="1" s="1"/>
  <c r="G2121" i="1"/>
  <c r="J2121" i="1" s="1"/>
  <c r="G2120" i="1"/>
  <c r="J2120" i="1" s="1"/>
  <c r="G2119" i="1"/>
  <c r="J2119" i="1" s="1"/>
  <c r="G2118" i="1"/>
  <c r="J2118" i="1" s="1"/>
  <c r="I2117" i="1"/>
  <c r="H2117" i="1"/>
  <c r="E2117" i="1"/>
  <c r="G2116" i="1"/>
  <c r="J2116" i="1" s="1"/>
  <c r="G2115" i="1"/>
  <c r="I2114" i="1"/>
  <c r="H2114" i="1"/>
  <c r="E2114" i="1"/>
  <c r="G2113" i="1"/>
  <c r="J2113" i="1" s="1"/>
  <c r="G2112" i="1"/>
  <c r="J2112" i="1" s="1"/>
  <c r="G2111" i="1"/>
  <c r="J2111" i="1" s="1"/>
  <c r="G2110" i="1"/>
  <c r="I2109" i="1"/>
  <c r="H2109" i="1"/>
  <c r="E2109" i="1"/>
  <c r="G2108" i="1"/>
  <c r="J2108" i="1" s="1"/>
  <c r="G2107" i="1"/>
  <c r="J2107" i="1" s="1"/>
  <c r="G2106" i="1"/>
  <c r="F2104" i="1"/>
  <c r="F2105" i="1" s="1"/>
  <c r="G2103" i="1"/>
  <c r="J2103" i="1" s="1"/>
  <c r="I2101" i="1"/>
  <c r="H2101" i="1"/>
  <c r="E2101" i="1"/>
  <c r="E2102" i="1" s="1"/>
  <c r="G2100" i="1"/>
  <c r="J2100" i="1" s="1"/>
  <c r="G2099" i="1"/>
  <c r="J2099" i="1" s="1"/>
  <c r="G2096" i="1"/>
  <c r="J2096" i="1" s="1"/>
  <c r="I2095" i="1"/>
  <c r="I2102" i="1" s="1"/>
  <c r="H2095" i="1"/>
  <c r="G2094" i="1"/>
  <c r="J2094" i="1" s="1"/>
  <c r="G2093" i="1"/>
  <c r="J2093" i="1" s="1"/>
  <c r="G2092" i="1"/>
  <c r="I2090" i="1"/>
  <c r="H2090" i="1"/>
  <c r="E2090" i="1"/>
  <c r="G2089" i="1"/>
  <c r="J2089" i="1" s="1"/>
  <c r="G2088" i="1"/>
  <c r="J2088" i="1" s="1"/>
  <c r="G2087" i="1"/>
  <c r="J2087" i="1" s="1"/>
  <c r="G2086" i="1"/>
  <c r="J2086" i="1" s="1"/>
  <c r="G2085" i="1"/>
  <c r="J2085" i="1" s="1"/>
  <c r="I2084" i="1"/>
  <c r="I2091" i="1" s="1"/>
  <c r="H2084" i="1"/>
  <c r="E2084" i="1"/>
  <c r="G2083" i="1"/>
  <c r="J2083" i="1" s="1"/>
  <c r="G2082" i="1"/>
  <c r="J2082" i="1" s="1"/>
  <c r="G2081" i="1"/>
  <c r="J2081" i="1" s="1"/>
  <c r="G2080" i="1"/>
  <c r="J2080" i="1" s="1"/>
  <c r="G2079" i="1"/>
  <c r="J2079" i="1" s="1"/>
  <c r="G2078" i="1"/>
  <c r="J2078" i="1" s="1"/>
  <c r="G2077" i="1"/>
  <c r="J2077" i="1" s="1"/>
  <c r="G2076" i="1"/>
  <c r="J2076" i="1" s="1"/>
  <c r="G2075" i="1"/>
  <c r="J2075" i="1" s="1"/>
  <c r="G2074" i="1"/>
  <c r="J2074" i="1" s="1"/>
  <c r="F2072" i="1"/>
  <c r="I2071" i="1"/>
  <c r="H2071" i="1"/>
  <c r="G2070" i="1"/>
  <c r="J2070" i="1" s="1"/>
  <c r="G2069" i="1"/>
  <c r="J2069" i="1" s="1"/>
  <c r="G2068" i="1"/>
  <c r="J2068" i="1" s="1"/>
  <c r="G2067" i="1"/>
  <c r="J2067" i="1" s="1"/>
  <c r="G2066" i="1"/>
  <c r="J2066" i="1" s="1"/>
  <c r="G2065" i="1"/>
  <c r="J2065" i="1" s="1"/>
  <c r="G2064" i="1"/>
  <c r="J2064" i="1" s="1"/>
  <c r="G2063" i="1"/>
  <c r="E2063" i="1"/>
  <c r="E2071" i="1" s="1"/>
  <c r="E2072" i="1" s="1"/>
  <c r="C301" i="15" s="1"/>
  <c r="I2062" i="1"/>
  <c r="H2062" i="1"/>
  <c r="E2062" i="1"/>
  <c r="G2061" i="1"/>
  <c r="J2061" i="1" s="1"/>
  <c r="G2060" i="1"/>
  <c r="J2060" i="1" s="1"/>
  <c r="G2059" i="1"/>
  <c r="J2059" i="1" s="1"/>
  <c r="G2058" i="1"/>
  <c r="J2058" i="1" s="1"/>
  <c r="I2056" i="1"/>
  <c r="H2056" i="1"/>
  <c r="E2056" i="1"/>
  <c r="G2055" i="1"/>
  <c r="J2055" i="1" s="1"/>
  <c r="G2054" i="1"/>
  <c r="J2054" i="1" s="1"/>
  <c r="G2053" i="1"/>
  <c r="I2052" i="1"/>
  <c r="H2052" i="1"/>
  <c r="F2052" i="1"/>
  <c r="F2057" i="1" s="1"/>
  <c r="F2073" i="1" s="1"/>
  <c r="F2133" i="1" s="1"/>
  <c r="E2052" i="1"/>
  <c r="G2051" i="1"/>
  <c r="G2050" i="1"/>
  <c r="J2050" i="1" s="1"/>
  <c r="G2049" i="1"/>
  <c r="I2048" i="1"/>
  <c r="H2048" i="1"/>
  <c r="E2048" i="1"/>
  <c r="G2047" i="1"/>
  <c r="J2047" i="1" s="1"/>
  <c r="G2046" i="1"/>
  <c r="J2046" i="1" s="1"/>
  <c r="G2045" i="1"/>
  <c r="J2045" i="1" s="1"/>
  <c r="G2044" i="1"/>
  <c r="J2044" i="1" s="1"/>
  <c r="G2043" i="1"/>
  <c r="J2043" i="1" s="1"/>
  <c r="G2042" i="1"/>
  <c r="J2042" i="1" s="1"/>
  <c r="G2041" i="1"/>
  <c r="J2041" i="1" s="1"/>
  <c r="I2040" i="1"/>
  <c r="H2040" i="1"/>
  <c r="E2040" i="1"/>
  <c r="G2039" i="1"/>
  <c r="J2039" i="1" s="1"/>
  <c r="G2038" i="1"/>
  <c r="J2038" i="1" s="1"/>
  <c r="G2037" i="1"/>
  <c r="J2037" i="1" s="1"/>
  <c r="G2036" i="1"/>
  <c r="J2036" i="1" s="1"/>
  <c r="G2035" i="1"/>
  <c r="J2035" i="1" s="1"/>
  <c r="G2034" i="1"/>
  <c r="J2034" i="1" s="1"/>
  <c r="G2033" i="1"/>
  <c r="J2033" i="1" s="1"/>
  <c r="I2032" i="1"/>
  <c r="H2032" i="1"/>
  <c r="E2032" i="1"/>
  <c r="G2031" i="1"/>
  <c r="J2031" i="1" s="1"/>
  <c r="G2030" i="1"/>
  <c r="J2030" i="1" s="1"/>
  <c r="G2029" i="1"/>
  <c r="J2029" i="1" s="1"/>
  <c r="G2028" i="1"/>
  <c r="G2052" i="1" l="1"/>
  <c r="J2052" i="1" s="1"/>
  <c r="J2049" i="1"/>
  <c r="E2091" i="1"/>
  <c r="E2104" i="1" s="1"/>
  <c r="E2105" i="1" s="1"/>
  <c r="C304" i="15" s="1"/>
  <c r="C306" i="15" s="1"/>
  <c r="D1198" i="17"/>
  <c r="F1206" i="17"/>
  <c r="P1206" i="17"/>
  <c r="P1207" i="17" s="1"/>
  <c r="E2057" i="1"/>
  <c r="H2091" i="1"/>
  <c r="I1199" i="17"/>
  <c r="H1675" i="16"/>
  <c r="H1722" i="16"/>
  <c r="H1746" i="16"/>
  <c r="G2130" i="1"/>
  <c r="J2130" i="1" s="1"/>
  <c r="G2032" i="1"/>
  <c r="F2057" i="13"/>
  <c r="F2067" i="13"/>
  <c r="F2089" i="13"/>
  <c r="F2095" i="13"/>
  <c r="F2106" i="13"/>
  <c r="F2119" i="13"/>
  <c r="F2122" i="13"/>
  <c r="F2127" i="13"/>
  <c r="F2037" i="13"/>
  <c r="F2053" i="13"/>
  <c r="F2061" i="13"/>
  <c r="G2109" i="1"/>
  <c r="J2109" i="1" s="1"/>
  <c r="J2106" i="1"/>
  <c r="G2040" i="1"/>
  <c r="J2040" i="1" s="1"/>
  <c r="G2056" i="1"/>
  <c r="J2056" i="1" s="1"/>
  <c r="F2045" i="13"/>
  <c r="F2100" i="13"/>
  <c r="F2107" i="13" s="1"/>
  <c r="F2114" i="13"/>
  <c r="F2131" i="13"/>
  <c r="H1698" i="16"/>
  <c r="H1198" i="17"/>
  <c r="F2076" i="13"/>
  <c r="I2057" i="1"/>
  <c r="H2131" i="1"/>
  <c r="H2132" i="1" s="1"/>
  <c r="M70" i="14"/>
  <c r="O70" i="14"/>
  <c r="N70" i="14" s="1"/>
  <c r="P70" i="14" s="1"/>
  <c r="N62" i="14"/>
  <c r="N63" i="14"/>
  <c r="R63" i="14" s="1"/>
  <c r="N64" i="14"/>
  <c r="P64" i="14" s="1"/>
  <c r="N65" i="14"/>
  <c r="R65" i="14" s="1"/>
  <c r="N66" i="14"/>
  <c r="O69" i="14"/>
  <c r="N69" i="14" s="1"/>
  <c r="P69" i="14" s="1"/>
  <c r="N71" i="14"/>
  <c r="P71" i="14" s="1"/>
  <c r="N72" i="14"/>
  <c r="R72" i="14" s="1"/>
  <c r="N73" i="14"/>
  <c r="R62" i="14"/>
  <c r="P62" i="14"/>
  <c r="Q62" i="14"/>
  <c r="S62" i="14" s="1"/>
  <c r="R66" i="14"/>
  <c r="P66" i="14"/>
  <c r="Q66" i="14"/>
  <c r="O58" i="14"/>
  <c r="N58" i="14" s="1"/>
  <c r="M58" i="14"/>
  <c r="O60" i="14"/>
  <c r="N60" i="14" s="1"/>
  <c r="M60" i="14"/>
  <c r="M62" i="14"/>
  <c r="M63" i="14"/>
  <c r="M64" i="14"/>
  <c r="M65" i="14"/>
  <c r="M66" i="14"/>
  <c r="L68" i="14"/>
  <c r="K68" i="14" s="1"/>
  <c r="C68" i="14"/>
  <c r="R69" i="14"/>
  <c r="Q71" i="14"/>
  <c r="R73" i="14"/>
  <c r="P73" i="14"/>
  <c r="Q73" i="14"/>
  <c r="O59" i="14"/>
  <c r="N59" i="14" s="1"/>
  <c r="M59" i="14"/>
  <c r="L61" i="14"/>
  <c r="K61" i="14" s="1"/>
  <c r="C61" i="14"/>
  <c r="O67" i="14"/>
  <c r="N67" i="14" s="1"/>
  <c r="M67" i="14"/>
  <c r="M71" i="14"/>
  <c r="M72" i="14"/>
  <c r="M73" i="14"/>
  <c r="E1700" i="16"/>
  <c r="E1749" i="16" s="1"/>
  <c r="H1690" i="16"/>
  <c r="P1240" i="17"/>
  <c r="P1241" i="17" s="1"/>
  <c r="P1197" i="17"/>
  <c r="F1189" i="17"/>
  <c r="F1207" i="17"/>
  <c r="I1207" i="17" s="1"/>
  <c r="I1206" i="17"/>
  <c r="G1242" i="17"/>
  <c r="P1189" i="17"/>
  <c r="F1197" i="17"/>
  <c r="I1197" i="17" s="1"/>
  <c r="D1242" i="17"/>
  <c r="F1240" i="17"/>
  <c r="H1242" i="17"/>
  <c r="I2070" i="13"/>
  <c r="I2076" i="13" s="1"/>
  <c r="I2079" i="13"/>
  <c r="I2089" i="13" s="1"/>
  <c r="I2090" i="13"/>
  <c r="I2095" i="13" s="1"/>
  <c r="I2098" i="13"/>
  <c r="I2100" i="13" s="1"/>
  <c r="I2101" i="13"/>
  <c r="I2106" i="13" s="1"/>
  <c r="I2111" i="13"/>
  <c r="I2114" i="13" s="1"/>
  <c r="I2129" i="13"/>
  <c r="I2131" i="13" s="1"/>
  <c r="I2033" i="13"/>
  <c r="I2037" i="13" s="1"/>
  <c r="I2038" i="13"/>
  <c r="I2045" i="13" s="1"/>
  <c r="I2046" i="13"/>
  <c r="I2053" i="13" s="1"/>
  <c r="I2054" i="13"/>
  <c r="I2057" i="13" s="1"/>
  <c r="I2058" i="13"/>
  <c r="I2061" i="13" s="1"/>
  <c r="I2063" i="13"/>
  <c r="I2067" i="13" s="1"/>
  <c r="I2115" i="13"/>
  <c r="I2119" i="13" s="1"/>
  <c r="I2120" i="13"/>
  <c r="I2122" i="13" s="1"/>
  <c r="I2123" i="13"/>
  <c r="I2127" i="13" s="1"/>
  <c r="H2102" i="1"/>
  <c r="I2104" i="1"/>
  <c r="I2105" i="1" s="1"/>
  <c r="I2072" i="1"/>
  <c r="J2032" i="1"/>
  <c r="G2048" i="1"/>
  <c r="J2048" i="1" s="1"/>
  <c r="G2062" i="1"/>
  <c r="H2057" i="1"/>
  <c r="J2053" i="1"/>
  <c r="H2072" i="1"/>
  <c r="G2071" i="1"/>
  <c r="J2063" i="1"/>
  <c r="G2084" i="1"/>
  <c r="G2090" i="1"/>
  <c r="J2090" i="1" s="1"/>
  <c r="G2095" i="1"/>
  <c r="J2095" i="1" s="1"/>
  <c r="J2092" i="1"/>
  <c r="G2101" i="1"/>
  <c r="J2101" i="1" s="1"/>
  <c r="E2131" i="1"/>
  <c r="E2132" i="1" s="1"/>
  <c r="C307" i="15" s="1"/>
  <c r="C309" i="15" s="1"/>
  <c r="I2131" i="1"/>
  <c r="I2132" i="1" s="1"/>
  <c r="G2114" i="1"/>
  <c r="J2114" i="1" s="1"/>
  <c r="J2110" i="1"/>
  <c r="G2117" i="1"/>
  <c r="J2117" i="1" s="1"/>
  <c r="J2115" i="1"/>
  <c r="G2123" i="1"/>
  <c r="J2123" i="1" s="1"/>
  <c r="G2127" i="1"/>
  <c r="J2127" i="1" s="1"/>
  <c r="L1989" i="1"/>
  <c r="L2098" i="1" s="1"/>
  <c r="G1994" i="13"/>
  <c r="J1994" i="13" s="1"/>
  <c r="F1996" i="13"/>
  <c r="I1996" i="13" s="1"/>
  <c r="F1995" i="13"/>
  <c r="I1995" i="13" s="1"/>
  <c r="F1994" i="13"/>
  <c r="I1994" i="13" s="1"/>
  <c r="G1993" i="13"/>
  <c r="J1993" i="13" s="1"/>
  <c r="F1993" i="13"/>
  <c r="I1993" i="13" s="1"/>
  <c r="L1988" i="1"/>
  <c r="L2097" i="1" s="1"/>
  <c r="H2104" i="1" l="1"/>
  <c r="H2105" i="1" s="1"/>
  <c r="E2073" i="1"/>
  <c r="E2133" i="1" s="1"/>
  <c r="C300" i="15"/>
  <c r="C303" i="15" s="1"/>
  <c r="C310" i="15" s="1"/>
  <c r="L2207" i="1"/>
  <c r="G2103" i="13"/>
  <c r="J2103" i="13" s="1"/>
  <c r="L2206" i="1"/>
  <c r="G2102" i="13"/>
  <c r="J2102" i="13" s="1"/>
  <c r="I2073" i="1"/>
  <c r="P1198" i="17"/>
  <c r="S73" i="14"/>
  <c r="R71" i="14"/>
  <c r="S71" i="14" s="1"/>
  <c r="T71" i="14" s="1"/>
  <c r="Q64" i="14"/>
  <c r="S64" i="14" s="1"/>
  <c r="T64" i="14" s="1"/>
  <c r="S66" i="14"/>
  <c r="R64" i="14"/>
  <c r="F2062" i="13"/>
  <c r="F2077" i="13"/>
  <c r="F2096" i="13"/>
  <c r="F2109" i="13" s="1"/>
  <c r="F2110" i="13" s="1"/>
  <c r="I2107" i="13"/>
  <c r="I2096" i="13"/>
  <c r="F2135" i="13"/>
  <c r="F2136" i="13" s="1"/>
  <c r="H1700" i="16"/>
  <c r="P1242" i="17"/>
  <c r="F2078" i="13"/>
  <c r="Q70" i="14"/>
  <c r="P72" i="14"/>
  <c r="R70" i="14"/>
  <c r="P65" i="14"/>
  <c r="P63" i="14"/>
  <c r="T73" i="14"/>
  <c r="Q69" i="14"/>
  <c r="S69" i="14" s="1"/>
  <c r="T69" i="14" s="1"/>
  <c r="Q72" i="14"/>
  <c r="S72" i="14" s="1"/>
  <c r="T66" i="14"/>
  <c r="T62" i="14"/>
  <c r="Q65" i="14"/>
  <c r="S65" i="14" s="1"/>
  <c r="Q63" i="14"/>
  <c r="S63" i="14" s="1"/>
  <c r="Q67" i="14"/>
  <c r="P67" i="14"/>
  <c r="R67" i="14"/>
  <c r="O61" i="14"/>
  <c r="N61" i="14" s="1"/>
  <c r="M61" i="14"/>
  <c r="Q59" i="14"/>
  <c r="P59" i="14"/>
  <c r="R59" i="14"/>
  <c r="Q60" i="14"/>
  <c r="R60" i="14"/>
  <c r="P60" i="14"/>
  <c r="Q58" i="14"/>
  <c r="S58" i="14" s="1"/>
  <c r="R58" i="14"/>
  <c r="P58" i="14"/>
  <c r="T58" i="14" s="1"/>
  <c r="M68" i="14"/>
  <c r="O68" i="14"/>
  <c r="N68" i="14" s="1"/>
  <c r="I1189" i="17"/>
  <c r="F1198" i="17"/>
  <c r="I1198" i="17" s="1"/>
  <c r="F1241" i="17"/>
  <c r="I1240" i="17"/>
  <c r="I2062" i="13"/>
  <c r="I2135" i="13"/>
  <c r="I2136" i="13" s="1"/>
  <c r="I2077" i="13"/>
  <c r="I2133" i="1"/>
  <c r="G2091" i="1"/>
  <c r="J2084" i="1"/>
  <c r="J2062" i="1"/>
  <c r="G2072" i="1"/>
  <c r="G2131" i="1"/>
  <c r="G2102" i="1"/>
  <c r="J2102" i="1" s="1"/>
  <c r="H2073" i="1"/>
  <c r="G2057" i="1"/>
  <c r="D88" i="14"/>
  <c r="D89" i="14"/>
  <c r="H1175" i="1"/>
  <c r="D82" i="14"/>
  <c r="H2133" i="1" l="1"/>
  <c r="L2319" i="1"/>
  <c r="G2324" i="13" s="1"/>
  <c r="J2324" i="13" s="1"/>
  <c r="G2212" i="13"/>
  <c r="J2212" i="13" s="1"/>
  <c r="L2318" i="1"/>
  <c r="G2323" i="13" s="1"/>
  <c r="J2323" i="13" s="1"/>
  <c r="G2211" i="13"/>
  <c r="J2211" i="13" s="1"/>
  <c r="I2109" i="13"/>
  <c r="I2110" i="13" s="1"/>
  <c r="F2137" i="13"/>
  <c r="T65" i="14"/>
  <c r="T72" i="14"/>
  <c r="S70" i="14"/>
  <c r="T70" i="14" s="1"/>
  <c r="T63" i="14"/>
  <c r="S59" i="14"/>
  <c r="T59" i="14" s="1"/>
  <c r="R61" i="14"/>
  <c r="P61" i="14"/>
  <c r="Q61" i="14"/>
  <c r="S61" i="14" s="1"/>
  <c r="R68" i="14"/>
  <c r="P68" i="14"/>
  <c r="Q68" i="14"/>
  <c r="S60" i="14"/>
  <c r="T60" i="14" s="1"/>
  <c r="S67" i="14"/>
  <c r="T67" i="14" s="1"/>
  <c r="F1242" i="17"/>
  <c r="I1242" i="17" s="1"/>
  <c r="I1241" i="17"/>
  <c r="I2078" i="13"/>
  <c r="I2137" i="13" s="1"/>
  <c r="G2073" i="1"/>
  <c r="J2057" i="1"/>
  <c r="G2132" i="1"/>
  <c r="J2131" i="1"/>
  <c r="J2132" i="1" s="1"/>
  <c r="J2072" i="1"/>
  <c r="J2071" i="1"/>
  <c r="G2104" i="1"/>
  <c r="J2091" i="1"/>
  <c r="F1988" i="13"/>
  <c r="I1988" i="13" s="1"/>
  <c r="S68" i="14" l="1"/>
  <c r="T68" i="14"/>
  <c r="T61" i="14"/>
  <c r="G2105" i="1"/>
  <c r="G2133" i="1" s="1"/>
  <c r="J2133" i="1" s="1"/>
  <c r="J2104" i="1"/>
  <c r="J2105" i="1" s="1"/>
  <c r="J2073" i="1"/>
  <c r="L94" i="14"/>
  <c r="K94" i="14" s="1"/>
  <c r="O94" i="14" s="1"/>
  <c r="G94" i="14"/>
  <c r="C94" i="14"/>
  <c r="L93" i="14"/>
  <c r="K93" i="14" s="1"/>
  <c r="O93" i="14" s="1"/>
  <c r="G93" i="14"/>
  <c r="C93" i="14"/>
  <c r="L92" i="14"/>
  <c r="K92" i="14" s="1"/>
  <c r="O92" i="14" s="1"/>
  <c r="G92" i="14"/>
  <c r="C92" i="14"/>
  <c r="L91" i="14"/>
  <c r="K91" i="14" s="1"/>
  <c r="O91" i="14" s="1"/>
  <c r="G91" i="14"/>
  <c r="C91" i="14"/>
  <c r="L90" i="14"/>
  <c r="K90" i="14"/>
  <c r="O90" i="14" s="1"/>
  <c r="G90" i="14"/>
  <c r="C90" i="14"/>
  <c r="L89" i="14"/>
  <c r="K89" i="14" s="1"/>
  <c r="O89" i="14" s="1"/>
  <c r="G89" i="14"/>
  <c r="C89" i="14"/>
  <c r="L88" i="14"/>
  <c r="K88" i="14"/>
  <c r="O88" i="14" s="1"/>
  <c r="G88" i="14"/>
  <c r="C88" i="14"/>
  <c r="L87" i="14"/>
  <c r="K87" i="14" s="1"/>
  <c r="O87" i="14" s="1"/>
  <c r="G87" i="14"/>
  <c r="C87" i="14"/>
  <c r="L86" i="14"/>
  <c r="K86" i="14" s="1"/>
  <c r="G86" i="14"/>
  <c r="C86" i="14"/>
  <c r="L85" i="14"/>
  <c r="K85" i="14" s="1"/>
  <c r="G85" i="14"/>
  <c r="C85" i="14"/>
  <c r="L84" i="14"/>
  <c r="K84" i="14" s="1"/>
  <c r="O84" i="14" s="1"/>
  <c r="N84" i="14" s="1"/>
  <c r="G84" i="14"/>
  <c r="C84" i="14"/>
  <c r="L83" i="14"/>
  <c r="K83" i="14" s="1"/>
  <c r="O83" i="14" s="1"/>
  <c r="G83" i="14"/>
  <c r="C83" i="14"/>
  <c r="G82" i="14"/>
  <c r="L81" i="14"/>
  <c r="K81" i="14" s="1"/>
  <c r="G81" i="14"/>
  <c r="C81" i="14"/>
  <c r="L80" i="14"/>
  <c r="K80" i="14" s="1"/>
  <c r="G80" i="14"/>
  <c r="C80" i="14"/>
  <c r="L79" i="14"/>
  <c r="K79" i="14" s="1"/>
  <c r="G79" i="14"/>
  <c r="C79" i="14"/>
  <c r="E293" i="15"/>
  <c r="E290" i="15"/>
  <c r="E287" i="15"/>
  <c r="H1653" i="16"/>
  <c r="H1651" i="16"/>
  <c r="H1650" i="16"/>
  <c r="H1649" i="16"/>
  <c r="H1648" i="16"/>
  <c r="H1647" i="16"/>
  <c r="H1646" i="16"/>
  <c r="H1645" i="16"/>
  <c r="H1644" i="16"/>
  <c r="H1643" i="16"/>
  <c r="H1642" i="16"/>
  <c r="H1641" i="16"/>
  <c r="H1640" i="16"/>
  <c r="H1639" i="16"/>
  <c r="H1638" i="16"/>
  <c r="H1637" i="16"/>
  <c r="H1636" i="16"/>
  <c r="H1635" i="16"/>
  <c r="H1634" i="16"/>
  <c r="E1652" i="16"/>
  <c r="H1632" i="16"/>
  <c r="H1631" i="16"/>
  <c r="H1630" i="16"/>
  <c r="H1629" i="16"/>
  <c r="E1628" i="16"/>
  <c r="H1627" i="16"/>
  <c r="H1626" i="16"/>
  <c r="H1625" i="16"/>
  <c r="H1624" i="16"/>
  <c r="H1623" i="16"/>
  <c r="H1622" i="16"/>
  <c r="H1621" i="16"/>
  <c r="H1620" i="16"/>
  <c r="H1619" i="16"/>
  <c r="H1618" i="16"/>
  <c r="H1617" i="16"/>
  <c r="H1616" i="16"/>
  <c r="H1615" i="16"/>
  <c r="H1614" i="16"/>
  <c r="H1613" i="16"/>
  <c r="H1612" i="16"/>
  <c r="H1611" i="16"/>
  <c r="H1610" i="16"/>
  <c r="H1609" i="16"/>
  <c r="H1608" i="16"/>
  <c r="H1607" i="16"/>
  <c r="I1605" i="16"/>
  <c r="E1604" i="16"/>
  <c r="H1603" i="16"/>
  <c r="H1602" i="16"/>
  <c r="H1601" i="16"/>
  <c r="H1600" i="16"/>
  <c r="H1599" i="16"/>
  <c r="E1598" i="16"/>
  <c r="H1597" i="16"/>
  <c r="H1596" i="16"/>
  <c r="H1595" i="16"/>
  <c r="H1594" i="16"/>
  <c r="H1593" i="16"/>
  <c r="H1592" i="16"/>
  <c r="H1591" i="16"/>
  <c r="H1590" i="16"/>
  <c r="H1589" i="16"/>
  <c r="H1588" i="16"/>
  <c r="H1587" i="16"/>
  <c r="H1586" i="16"/>
  <c r="H1585" i="16"/>
  <c r="H1584" i="16"/>
  <c r="E1583" i="16"/>
  <c r="H1582" i="16"/>
  <c r="H1581" i="16"/>
  <c r="H1580" i="16"/>
  <c r="H1579" i="16"/>
  <c r="H1578" i="16"/>
  <c r="H1577" i="16"/>
  <c r="H1576" i="16"/>
  <c r="H1575" i="16"/>
  <c r="H1574" i="16"/>
  <c r="H1573" i="16"/>
  <c r="H1572" i="16"/>
  <c r="H1571" i="16"/>
  <c r="H1570" i="16"/>
  <c r="H1569" i="16"/>
  <c r="H1568" i="16"/>
  <c r="E1179" i="17"/>
  <c r="E1180" i="17" s="1"/>
  <c r="H1178" i="17"/>
  <c r="H1179" i="17" s="1"/>
  <c r="G1178" i="17"/>
  <c r="G1179" i="17" s="1"/>
  <c r="D1178" i="17"/>
  <c r="D1179" i="17" s="1"/>
  <c r="P1177" i="17"/>
  <c r="I1177" i="17"/>
  <c r="F1177" i="17"/>
  <c r="P1176" i="17"/>
  <c r="F1176" i="17"/>
  <c r="I1176" i="17" s="1"/>
  <c r="P1175" i="17"/>
  <c r="F1175" i="17"/>
  <c r="I1175" i="17" s="1"/>
  <c r="P1174" i="17"/>
  <c r="F1174" i="17"/>
  <c r="I1174" i="17" s="1"/>
  <c r="P1173" i="17"/>
  <c r="F1173" i="17"/>
  <c r="I1173" i="17" s="1"/>
  <c r="P1172" i="17"/>
  <c r="F1172" i="17"/>
  <c r="I1172" i="17" s="1"/>
  <c r="P1171" i="17"/>
  <c r="F1171" i="17"/>
  <c r="I1171" i="17" s="1"/>
  <c r="P1170" i="17"/>
  <c r="F1170" i="17"/>
  <c r="I1170" i="17" s="1"/>
  <c r="P1169" i="17"/>
  <c r="F1169" i="17"/>
  <c r="I1169" i="17" s="1"/>
  <c r="P1168" i="17"/>
  <c r="F1168" i="17"/>
  <c r="I1168" i="17" s="1"/>
  <c r="P1167" i="17"/>
  <c r="F1167" i="17"/>
  <c r="I1167" i="17" s="1"/>
  <c r="P1166" i="17"/>
  <c r="F1166" i="17"/>
  <c r="I1166" i="17" s="1"/>
  <c r="P1165" i="17"/>
  <c r="F1165" i="17"/>
  <c r="I1165" i="17" s="1"/>
  <c r="P1164" i="17"/>
  <c r="F1164" i="17"/>
  <c r="I1164" i="17" s="1"/>
  <c r="P1163" i="17"/>
  <c r="F1163" i="17"/>
  <c r="I1163" i="17" s="1"/>
  <c r="P1162" i="17"/>
  <c r="F1162" i="17"/>
  <c r="I1162" i="17" s="1"/>
  <c r="P1161" i="17"/>
  <c r="I1161" i="17"/>
  <c r="F1161" i="17"/>
  <c r="P1160" i="17"/>
  <c r="F1160" i="17"/>
  <c r="I1160" i="17" s="1"/>
  <c r="P1159" i="17"/>
  <c r="F1159" i="17"/>
  <c r="I1159" i="17" s="1"/>
  <c r="P1158" i="17"/>
  <c r="F1158" i="17"/>
  <c r="I1158" i="17" s="1"/>
  <c r="P1157" i="17"/>
  <c r="F1157" i="17"/>
  <c r="I1157" i="17" s="1"/>
  <c r="P1156" i="17"/>
  <c r="F1156" i="17"/>
  <c r="I1156" i="17" s="1"/>
  <c r="P1155" i="17"/>
  <c r="I1155" i="17"/>
  <c r="F1155" i="17"/>
  <c r="P1154" i="17"/>
  <c r="F1154" i="17"/>
  <c r="I1154" i="17" s="1"/>
  <c r="P1153" i="17"/>
  <c r="F1153" i="17"/>
  <c r="I1153" i="17" s="1"/>
  <c r="P1152" i="17"/>
  <c r="F1152" i="17"/>
  <c r="P1151" i="17"/>
  <c r="F1151" i="17"/>
  <c r="I1151" i="17" s="1"/>
  <c r="P1150" i="17"/>
  <c r="F1150" i="17"/>
  <c r="I1150" i="17" s="1"/>
  <c r="P1149" i="17"/>
  <c r="F1149" i="17"/>
  <c r="I1149" i="17" s="1"/>
  <c r="P1148" i="17"/>
  <c r="F1148" i="17"/>
  <c r="I1148" i="17" s="1"/>
  <c r="P1147" i="17"/>
  <c r="F1147" i="17"/>
  <c r="I1147" i="17" s="1"/>
  <c r="P1146" i="17"/>
  <c r="I1146" i="17"/>
  <c r="F1146" i="17"/>
  <c r="E1145" i="17"/>
  <c r="D1145" i="17"/>
  <c r="H1144" i="17"/>
  <c r="H1145" i="17" s="1"/>
  <c r="G1144" i="17"/>
  <c r="G1145" i="17" s="1"/>
  <c r="P1143" i="17"/>
  <c r="F1143" i="17"/>
  <c r="I1143" i="17" s="1"/>
  <c r="P1142" i="17"/>
  <c r="F1142" i="17"/>
  <c r="I1142" i="17" s="1"/>
  <c r="P1141" i="17"/>
  <c r="I1141" i="17"/>
  <c r="F1141" i="17"/>
  <c r="P1140" i="17"/>
  <c r="F1140" i="17"/>
  <c r="I1140" i="17" s="1"/>
  <c r="P1139" i="17"/>
  <c r="F1139" i="17"/>
  <c r="I1139" i="17" s="1"/>
  <c r="P1138" i="17"/>
  <c r="F1138" i="17"/>
  <c r="I1138" i="17" s="1"/>
  <c r="P1137" i="17"/>
  <c r="F1137" i="17"/>
  <c r="I1137" i="17" s="1"/>
  <c r="E1136" i="17"/>
  <c r="H1135" i="17"/>
  <c r="G1135" i="17"/>
  <c r="D1135" i="17"/>
  <c r="P1134" i="17"/>
  <c r="F1134" i="17"/>
  <c r="I1134" i="17" s="1"/>
  <c r="P1133" i="17"/>
  <c r="F1133" i="17"/>
  <c r="I1133" i="17" s="1"/>
  <c r="P1132" i="17"/>
  <c r="F1132" i="17"/>
  <c r="I1132" i="17" s="1"/>
  <c r="P1131" i="17"/>
  <c r="F1131" i="17"/>
  <c r="I1131" i="17" s="1"/>
  <c r="P1130" i="17"/>
  <c r="F1130" i="17"/>
  <c r="I1130" i="17" s="1"/>
  <c r="P1129" i="17"/>
  <c r="F1129" i="17"/>
  <c r="I1129" i="17" s="1"/>
  <c r="P1128" i="17"/>
  <c r="F1128" i="17"/>
  <c r="I1128" i="17" s="1"/>
  <c r="H1127" i="17"/>
  <c r="H1136" i="17" s="1"/>
  <c r="G1127" i="17"/>
  <c r="G1136" i="17" s="1"/>
  <c r="D1127" i="17"/>
  <c r="P1126" i="17"/>
  <c r="F1126" i="17"/>
  <c r="I1126" i="17" s="1"/>
  <c r="P1125" i="17"/>
  <c r="F1125" i="17"/>
  <c r="I1125" i="17" s="1"/>
  <c r="P1124" i="17"/>
  <c r="F1124" i="17"/>
  <c r="I1124" i="17" s="1"/>
  <c r="P1123" i="17"/>
  <c r="F1123" i="17"/>
  <c r="I1123" i="17" s="1"/>
  <c r="P1122" i="17"/>
  <c r="F1122" i="17"/>
  <c r="I1122" i="17" s="1"/>
  <c r="J2025" i="13"/>
  <c r="I2025" i="13"/>
  <c r="F2024" i="13"/>
  <c r="F2023" i="13"/>
  <c r="F2021" i="13"/>
  <c r="I2021" i="13" s="1"/>
  <c r="F2020" i="13"/>
  <c r="F2019" i="13"/>
  <c r="I2019" i="13" s="1"/>
  <c r="F2017" i="13"/>
  <c r="I2017" i="13" s="1"/>
  <c r="F2016" i="13"/>
  <c r="I2016" i="13" s="1"/>
  <c r="F2015" i="13"/>
  <c r="I2015" i="13" s="1"/>
  <c r="F2014" i="13"/>
  <c r="F2012" i="13"/>
  <c r="I2012" i="13" s="1"/>
  <c r="F2011" i="13"/>
  <c r="F2009" i="13"/>
  <c r="I2009" i="13" s="1"/>
  <c r="F2008" i="13"/>
  <c r="I2008" i="13" s="1"/>
  <c r="F2007" i="13"/>
  <c r="I2007" i="13" s="1"/>
  <c r="F2006" i="13"/>
  <c r="F2004" i="13"/>
  <c r="I2004" i="13" s="1"/>
  <c r="F2003" i="13"/>
  <c r="I2003" i="13" s="1"/>
  <c r="F2002" i="13"/>
  <c r="F1999" i="13"/>
  <c r="I1999" i="13" s="1"/>
  <c r="F1992" i="13"/>
  <c r="I1992" i="13" s="1"/>
  <c r="F1990" i="13"/>
  <c r="I1990" i="13" s="1"/>
  <c r="F1989" i="13"/>
  <c r="F1985" i="13"/>
  <c r="I1985" i="13" s="1"/>
  <c r="F1984" i="13"/>
  <c r="I1984" i="13" s="1"/>
  <c r="F1983" i="13"/>
  <c r="I1983" i="13" s="1"/>
  <c r="F1982" i="13"/>
  <c r="I1982" i="13" s="1"/>
  <c r="F1981" i="13"/>
  <c r="F1979" i="13"/>
  <c r="I1979" i="13" s="1"/>
  <c r="F1978" i="13"/>
  <c r="I1978" i="13" s="1"/>
  <c r="F1977" i="13"/>
  <c r="I1977" i="13" s="1"/>
  <c r="F1976" i="13"/>
  <c r="I1976" i="13" s="1"/>
  <c r="F1975" i="13"/>
  <c r="I1975" i="13" s="1"/>
  <c r="F1974" i="13"/>
  <c r="I1974" i="13" s="1"/>
  <c r="F1973" i="13"/>
  <c r="I1973" i="13" s="1"/>
  <c r="F1972" i="13"/>
  <c r="I1972" i="13" s="1"/>
  <c r="F1971" i="13"/>
  <c r="I1971" i="13" s="1"/>
  <c r="F1970" i="13"/>
  <c r="F1966" i="13"/>
  <c r="I1966" i="13" s="1"/>
  <c r="F1965" i="13"/>
  <c r="I1965" i="13" s="1"/>
  <c r="F1964" i="13"/>
  <c r="I1964" i="13" s="1"/>
  <c r="F1963" i="13"/>
  <c r="I1963" i="13" s="1"/>
  <c r="F1962" i="13"/>
  <c r="I1962" i="13" s="1"/>
  <c r="F1961" i="13"/>
  <c r="I1961" i="13" s="1"/>
  <c r="F1960" i="13"/>
  <c r="I1960" i="13" s="1"/>
  <c r="F1959" i="13"/>
  <c r="F1957" i="13"/>
  <c r="I1957" i="13" s="1"/>
  <c r="F1956" i="13"/>
  <c r="I1956" i="13" s="1"/>
  <c r="F1955" i="13"/>
  <c r="I1955" i="13" s="1"/>
  <c r="F1954" i="13"/>
  <c r="F1951" i="13"/>
  <c r="I1951" i="13" s="1"/>
  <c r="F1950" i="13"/>
  <c r="I1950" i="13" s="1"/>
  <c r="F1949" i="13"/>
  <c r="F1947" i="13"/>
  <c r="I1947" i="13" s="1"/>
  <c r="F1946" i="13"/>
  <c r="I1946" i="13" s="1"/>
  <c r="F1945" i="13"/>
  <c r="F1943" i="13"/>
  <c r="I1943" i="13" s="1"/>
  <c r="F1942" i="13"/>
  <c r="I1942" i="13" s="1"/>
  <c r="F1941" i="13"/>
  <c r="I1941" i="13" s="1"/>
  <c r="F1940" i="13"/>
  <c r="I1940" i="13" s="1"/>
  <c r="F1939" i="13"/>
  <c r="I1939" i="13" s="1"/>
  <c r="F1938" i="13"/>
  <c r="I1938" i="13" s="1"/>
  <c r="F1937" i="13"/>
  <c r="F1935" i="13"/>
  <c r="I1935" i="13" s="1"/>
  <c r="F1934" i="13"/>
  <c r="I1934" i="13" s="1"/>
  <c r="F1933" i="13"/>
  <c r="I1933" i="13" s="1"/>
  <c r="F1932" i="13"/>
  <c r="I1932" i="13" s="1"/>
  <c r="F1931" i="13"/>
  <c r="I1931" i="13" s="1"/>
  <c r="F1930" i="13"/>
  <c r="I1930" i="13" s="1"/>
  <c r="F1929" i="13"/>
  <c r="F1927" i="13"/>
  <c r="I1927" i="13" s="1"/>
  <c r="F1926" i="13"/>
  <c r="I1926" i="13" s="1"/>
  <c r="F1925" i="13"/>
  <c r="I1925" i="13" s="1"/>
  <c r="F1924" i="13"/>
  <c r="F2022" i="1"/>
  <c r="F2023" i="1" s="1"/>
  <c r="I2021" i="1"/>
  <c r="H2021" i="1"/>
  <c r="F2025" i="13" s="1"/>
  <c r="G2020" i="1"/>
  <c r="G2019" i="1"/>
  <c r="J2019" i="1" s="1"/>
  <c r="I2018" i="1"/>
  <c r="H2018" i="1"/>
  <c r="E2018" i="1"/>
  <c r="G2017" i="1"/>
  <c r="J2017" i="1" s="1"/>
  <c r="G2016" i="1"/>
  <c r="J2016" i="1" s="1"/>
  <c r="G2015" i="1"/>
  <c r="J2015" i="1" s="1"/>
  <c r="I2014" i="1"/>
  <c r="H2014" i="1"/>
  <c r="E2014" i="1"/>
  <c r="G2013" i="1"/>
  <c r="J2013" i="1" s="1"/>
  <c r="G2012" i="1"/>
  <c r="J2012" i="1" s="1"/>
  <c r="G2011" i="1"/>
  <c r="J2011" i="1" s="1"/>
  <c r="G2010" i="1"/>
  <c r="J2010" i="1" s="1"/>
  <c r="G2009" i="1"/>
  <c r="J2009" i="1" s="1"/>
  <c r="I2008" i="1"/>
  <c r="H2008" i="1"/>
  <c r="E2008" i="1"/>
  <c r="G2007" i="1"/>
  <c r="J2007" i="1" s="1"/>
  <c r="G2006" i="1"/>
  <c r="I2005" i="1"/>
  <c r="H2005" i="1"/>
  <c r="E2005" i="1"/>
  <c r="G2004" i="1"/>
  <c r="J2004" i="1" s="1"/>
  <c r="G2003" i="1"/>
  <c r="J2003" i="1" s="1"/>
  <c r="G2002" i="1"/>
  <c r="J2002" i="1" s="1"/>
  <c r="G2001" i="1"/>
  <c r="I2000" i="1"/>
  <c r="H2000" i="1"/>
  <c r="E2000" i="1"/>
  <c r="G1999" i="1"/>
  <c r="J1999" i="1" s="1"/>
  <c r="G1998" i="1"/>
  <c r="J1998" i="1" s="1"/>
  <c r="G1997" i="1"/>
  <c r="F1995" i="1"/>
  <c r="F1996" i="1" s="1"/>
  <c r="G1994" i="1"/>
  <c r="J1994" i="1" s="1"/>
  <c r="I1992" i="1"/>
  <c r="I1993" i="1" s="1"/>
  <c r="H1992" i="1"/>
  <c r="E1992" i="1"/>
  <c r="E1993" i="1" s="1"/>
  <c r="G1991" i="1"/>
  <c r="J1991" i="1" s="1"/>
  <c r="G1990" i="1"/>
  <c r="J1990" i="1" s="1"/>
  <c r="G1987" i="1"/>
  <c r="J1987" i="1" s="1"/>
  <c r="I1986" i="1"/>
  <c r="H1986" i="1"/>
  <c r="G1985" i="1"/>
  <c r="J1985" i="1" s="1"/>
  <c r="G1984" i="1"/>
  <c r="J1984" i="1" s="1"/>
  <c r="G1983" i="1"/>
  <c r="I1981" i="1"/>
  <c r="H1981" i="1"/>
  <c r="E1981" i="1"/>
  <c r="G1980" i="1"/>
  <c r="J1980" i="1" s="1"/>
  <c r="G1979" i="1"/>
  <c r="J1979" i="1" s="1"/>
  <c r="G1978" i="1"/>
  <c r="J1978" i="1" s="1"/>
  <c r="G1977" i="1"/>
  <c r="J1977" i="1" s="1"/>
  <c r="G1976" i="1"/>
  <c r="J1976" i="1" s="1"/>
  <c r="I1975" i="1"/>
  <c r="I1982" i="1" s="1"/>
  <c r="H1975" i="1"/>
  <c r="E1975" i="1"/>
  <c r="G1974" i="1"/>
  <c r="J1974" i="1" s="1"/>
  <c r="G1973" i="1"/>
  <c r="J1973" i="1" s="1"/>
  <c r="G1972" i="1"/>
  <c r="J1972" i="1" s="1"/>
  <c r="G1971" i="1"/>
  <c r="J1971" i="1" s="1"/>
  <c r="G1970" i="1"/>
  <c r="J1970" i="1" s="1"/>
  <c r="G1969" i="1"/>
  <c r="J1969" i="1" s="1"/>
  <c r="G1968" i="1"/>
  <c r="J1968" i="1" s="1"/>
  <c r="G1967" i="1"/>
  <c r="J1967" i="1" s="1"/>
  <c r="G1966" i="1"/>
  <c r="J1966" i="1" s="1"/>
  <c r="G1965" i="1"/>
  <c r="J1965" i="1" s="1"/>
  <c r="F1963" i="1"/>
  <c r="I1962" i="1"/>
  <c r="H1962" i="1"/>
  <c r="G1961" i="1"/>
  <c r="J1961" i="1" s="1"/>
  <c r="G1960" i="1"/>
  <c r="J1960" i="1" s="1"/>
  <c r="G1959" i="1"/>
  <c r="J1959" i="1" s="1"/>
  <c r="G1958" i="1"/>
  <c r="J1958" i="1" s="1"/>
  <c r="G1957" i="1"/>
  <c r="J1957" i="1" s="1"/>
  <c r="G1956" i="1"/>
  <c r="J1956" i="1" s="1"/>
  <c r="G1955" i="1"/>
  <c r="J1955" i="1" s="1"/>
  <c r="G1954" i="1"/>
  <c r="E1954" i="1"/>
  <c r="E1962" i="1" s="1"/>
  <c r="E1963" i="1" s="1"/>
  <c r="C286" i="15" s="1"/>
  <c r="I1953" i="1"/>
  <c r="H1953" i="1"/>
  <c r="E1953" i="1"/>
  <c r="G1952" i="1"/>
  <c r="J1952" i="1" s="1"/>
  <c r="G1951" i="1"/>
  <c r="J1951" i="1" s="1"/>
  <c r="G1950" i="1"/>
  <c r="J1950" i="1" s="1"/>
  <c r="G1949" i="1"/>
  <c r="J1949" i="1" s="1"/>
  <c r="I1947" i="1"/>
  <c r="H1947" i="1"/>
  <c r="E1947" i="1"/>
  <c r="G1946" i="1"/>
  <c r="J1946" i="1" s="1"/>
  <c r="G1945" i="1"/>
  <c r="J1945" i="1" s="1"/>
  <c r="G1944" i="1"/>
  <c r="H1943" i="1"/>
  <c r="F1943" i="1"/>
  <c r="F1948" i="1" s="1"/>
  <c r="E1943" i="1"/>
  <c r="G1942" i="1"/>
  <c r="I1943" i="1"/>
  <c r="G1941" i="1"/>
  <c r="J1941" i="1" s="1"/>
  <c r="G1940" i="1"/>
  <c r="G1943" i="1" s="1"/>
  <c r="J1943" i="1" s="1"/>
  <c r="I1939" i="1"/>
  <c r="H1939" i="1"/>
  <c r="E1939" i="1"/>
  <c r="G1938" i="1"/>
  <c r="J1938" i="1" s="1"/>
  <c r="G1937" i="1"/>
  <c r="J1937" i="1" s="1"/>
  <c r="G1936" i="1"/>
  <c r="J1936" i="1" s="1"/>
  <c r="G1935" i="1"/>
  <c r="J1935" i="1" s="1"/>
  <c r="G1934" i="1"/>
  <c r="J1934" i="1" s="1"/>
  <c r="G1933" i="1"/>
  <c r="J1933" i="1" s="1"/>
  <c r="G1932" i="1"/>
  <c r="J1932" i="1" s="1"/>
  <c r="I1931" i="1"/>
  <c r="H1931" i="1"/>
  <c r="E1931" i="1"/>
  <c r="G1930" i="1"/>
  <c r="J1930" i="1" s="1"/>
  <c r="G1929" i="1"/>
  <c r="J1929" i="1" s="1"/>
  <c r="G1928" i="1"/>
  <c r="J1928" i="1" s="1"/>
  <c r="G1927" i="1"/>
  <c r="J1927" i="1" s="1"/>
  <c r="G1926" i="1"/>
  <c r="J1926" i="1" s="1"/>
  <c r="G1925" i="1"/>
  <c r="J1925" i="1" s="1"/>
  <c r="G1924" i="1"/>
  <c r="I1923" i="1"/>
  <c r="H1923" i="1"/>
  <c r="E1923" i="1"/>
  <c r="G1922" i="1"/>
  <c r="J1922" i="1" s="1"/>
  <c r="G1921" i="1"/>
  <c r="J1921" i="1" s="1"/>
  <c r="G1920" i="1"/>
  <c r="J1920" i="1" s="1"/>
  <c r="G1919" i="1"/>
  <c r="G2021" i="1" l="1"/>
  <c r="J2021" i="1" s="1"/>
  <c r="E1982" i="1"/>
  <c r="E1995" i="1" s="1"/>
  <c r="E1996" i="1" s="1"/>
  <c r="C289" i="15" s="1"/>
  <c r="C291" i="15" s="1"/>
  <c r="H1982" i="1"/>
  <c r="E1948" i="1"/>
  <c r="C285" i="15" s="1"/>
  <c r="C288" i="15" s="1"/>
  <c r="F1964" i="1"/>
  <c r="F2024" i="1" s="1"/>
  <c r="N83" i="14"/>
  <c r="D1136" i="17"/>
  <c r="F1144" i="17"/>
  <c r="G2000" i="1"/>
  <c r="J2000" i="1" s="1"/>
  <c r="F1980" i="13"/>
  <c r="J1997" i="1"/>
  <c r="J2020" i="1"/>
  <c r="F2022" i="13"/>
  <c r="H1628" i="16"/>
  <c r="G1923" i="1"/>
  <c r="G1947" i="1"/>
  <c r="J1947" i="1" s="1"/>
  <c r="F1928" i="13"/>
  <c r="F1944" i="13"/>
  <c r="F1952" i="13"/>
  <c r="F2010" i="13"/>
  <c r="F2013" i="13"/>
  <c r="G1931" i="1"/>
  <c r="J1931" i="1" s="1"/>
  <c r="J1924" i="1"/>
  <c r="J1940" i="1"/>
  <c r="J1944" i="1"/>
  <c r="F1936" i="13"/>
  <c r="F1948" i="13"/>
  <c r="F1958" i="13"/>
  <c r="F1967" i="13"/>
  <c r="F2005" i="13"/>
  <c r="F2018" i="13"/>
  <c r="F1986" i="13"/>
  <c r="F1987" i="13" s="1"/>
  <c r="F1991" i="13"/>
  <c r="F1997" i="13"/>
  <c r="P1144" i="17"/>
  <c r="P1145" i="17" s="1"/>
  <c r="E1606" i="16"/>
  <c r="I1995" i="1"/>
  <c r="I1996" i="1" s="1"/>
  <c r="H1993" i="1"/>
  <c r="N87" i="14"/>
  <c r="P87" i="14" s="1"/>
  <c r="N88" i="14"/>
  <c r="N89" i="14"/>
  <c r="P89" i="14" s="1"/>
  <c r="N90" i="14"/>
  <c r="Q90" i="14" s="1"/>
  <c r="S90" i="14" s="1"/>
  <c r="N91" i="14"/>
  <c r="P91" i="14" s="1"/>
  <c r="N92" i="14"/>
  <c r="R92" i="14" s="1"/>
  <c r="N93" i="14"/>
  <c r="R93" i="14" s="1"/>
  <c r="N94" i="14"/>
  <c r="P94" i="14" s="1"/>
  <c r="R83" i="14"/>
  <c r="P83" i="14"/>
  <c r="Q83" i="14"/>
  <c r="R84" i="14"/>
  <c r="P84" i="14"/>
  <c r="Q84" i="14"/>
  <c r="R87" i="14"/>
  <c r="Q87" i="14"/>
  <c r="S87" i="14" s="1"/>
  <c r="R88" i="14"/>
  <c r="P88" i="14"/>
  <c r="Q88" i="14"/>
  <c r="R90" i="14"/>
  <c r="P90" i="14"/>
  <c r="O79" i="14"/>
  <c r="N79" i="14" s="1"/>
  <c r="M79" i="14"/>
  <c r="O81" i="14"/>
  <c r="N81" i="14" s="1"/>
  <c r="M81" i="14"/>
  <c r="M83" i="14"/>
  <c r="M84" i="14"/>
  <c r="O86" i="14"/>
  <c r="N86" i="14" s="1"/>
  <c r="M86" i="14"/>
  <c r="M87" i="14"/>
  <c r="M88" i="14"/>
  <c r="M89" i="14"/>
  <c r="M90" i="14"/>
  <c r="M91" i="14"/>
  <c r="P92" i="14"/>
  <c r="O80" i="14"/>
  <c r="N80" i="14" s="1"/>
  <c r="M80" i="14"/>
  <c r="L82" i="14"/>
  <c r="K82" i="14" s="1"/>
  <c r="C82" i="14"/>
  <c r="O85" i="14"/>
  <c r="N85" i="14" s="1"/>
  <c r="M85" i="14"/>
  <c r="M92" i="14"/>
  <c r="M93" i="14"/>
  <c r="M94" i="14"/>
  <c r="H1598" i="16"/>
  <c r="H1583" i="16"/>
  <c r="E1655" i="16"/>
  <c r="H1604" i="16"/>
  <c r="H1633" i="16"/>
  <c r="H1652" i="16" s="1"/>
  <c r="P1178" i="17"/>
  <c r="P1179" i="17" s="1"/>
  <c r="P1135" i="17"/>
  <c r="F1127" i="17"/>
  <c r="F1145" i="17"/>
  <c r="I1145" i="17" s="1"/>
  <c r="I1144" i="17"/>
  <c r="G1180" i="17"/>
  <c r="P1127" i="17"/>
  <c r="F1135" i="17"/>
  <c r="I1135" i="17" s="1"/>
  <c r="D1180" i="17"/>
  <c r="F1178" i="17"/>
  <c r="H1180" i="17"/>
  <c r="I1959" i="13"/>
  <c r="I1967" i="13" s="1"/>
  <c r="I1970" i="13"/>
  <c r="I1980" i="13" s="1"/>
  <c r="I1981" i="13"/>
  <c r="I1986" i="13" s="1"/>
  <c r="I1989" i="13"/>
  <c r="I1991" i="13" s="1"/>
  <c r="I1997" i="13"/>
  <c r="I2002" i="13"/>
  <c r="I2005" i="13" s="1"/>
  <c r="I2020" i="13"/>
  <c r="I2022" i="13" s="1"/>
  <c r="I1924" i="13"/>
  <c r="I1928" i="13" s="1"/>
  <c r="I1929" i="13"/>
  <c r="I1936" i="13" s="1"/>
  <c r="I1937" i="13"/>
  <c r="I1944" i="13" s="1"/>
  <c r="I1945" i="13"/>
  <c r="I1948" i="13" s="1"/>
  <c r="I1949" i="13"/>
  <c r="I1952" i="13" s="1"/>
  <c r="I1954" i="13"/>
  <c r="I1958" i="13" s="1"/>
  <c r="I1968" i="13" s="1"/>
  <c r="I2006" i="13"/>
  <c r="I2010" i="13" s="1"/>
  <c r="I2011" i="13"/>
  <c r="I2013" i="13" s="1"/>
  <c r="I2014" i="13"/>
  <c r="I2018" i="13" s="1"/>
  <c r="H2022" i="1"/>
  <c r="H2023" i="1" s="1"/>
  <c r="I1963" i="1"/>
  <c r="J1923" i="1"/>
  <c r="E1964" i="1"/>
  <c r="I1948" i="1"/>
  <c r="I1964" i="1" s="1"/>
  <c r="G1939" i="1"/>
  <c r="J1939" i="1" s="1"/>
  <c r="G1953" i="1"/>
  <c r="H1948" i="1"/>
  <c r="H1963" i="1"/>
  <c r="G1962" i="1"/>
  <c r="J1954" i="1"/>
  <c r="G1975" i="1"/>
  <c r="G1981" i="1"/>
  <c r="J1981" i="1" s="1"/>
  <c r="G1986" i="1"/>
  <c r="J1983" i="1"/>
  <c r="G1992" i="1"/>
  <c r="J1992" i="1" s="1"/>
  <c r="E2022" i="1"/>
  <c r="E2023" i="1" s="1"/>
  <c r="C292" i="15" s="1"/>
  <c r="C294" i="15" s="1"/>
  <c r="I2022" i="1"/>
  <c r="I2023" i="1" s="1"/>
  <c r="G2005" i="1"/>
  <c r="J2005" i="1" s="1"/>
  <c r="J2001" i="1"/>
  <c r="G2008" i="1"/>
  <c r="J2008" i="1" s="1"/>
  <c r="J2006" i="1"/>
  <c r="G2014" i="1"/>
  <c r="J2014" i="1" s="1"/>
  <c r="G2018" i="1"/>
  <c r="J2018" i="1" s="1"/>
  <c r="D105" i="14"/>
  <c r="D102" i="14"/>
  <c r="I107" i="14"/>
  <c r="H1995" i="1" l="1"/>
  <c r="H1996" i="1" s="1"/>
  <c r="C295" i="15"/>
  <c r="Q91" i="14"/>
  <c r="S88" i="14"/>
  <c r="S83" i="14"/>
  <c r="T83" i="14" s="1"/>
  <c r="E2024" i="1"/>
  <c r="R94" i="14"/>
  <c r="S84" i="14"/>
  <c r="F1953" i="13"/>
  <c r="F2026" i="13"/>
  <c r="F2027" i="13" s="1"/>
  <c r="F1968" i="13"/>
  <c r="F1998" i="13"/>
  <c r="F2000" i="13" s="1"/>
  <c r="F2001" i="13" s="1"/>
  <c r="G1948" i="1"/>
  <c r="R89" i="14"/>
  <c r="I1998" i="13"/>
  <c r="Q94" i="14"/>
  <c r="S94" i="14" s="1"/>
  <c r="T94" i="14" s="1"/>
  <c r="Q92" i="14"/>
  <c r="S92" i="14" s="1"/>
  <c r="T92" i="14" s="1"/>
  <c r="P93" i="14"/>
  <c r="R91" i="14"/>
  <c r="S91" i="14" s="1"/>
  <c r="T91" i="14" s="1"/>
  <c r="Q89" i="14"/>
  <c r="S89" i="14" s="1"/>
  <c r="T89" i="14" s="1"/>
  <c r="Q93" i="14"/>
  <c r="S93" i="14" s="1"/>
  <c r="T87" i="14"/>
  <c r="Q85" i="14"/>
  <c r="P85" i="14"/>
  <c r="R85" i="14"/>
  <c r="O82" i="14"/>
  <c r="N82" i="14" s="1"/>
  <c r="M82" i="14"/>
  <c r="Q80" i="14"/>
  <c r="P80" i="14"/>
  <c r="R80" i="14"/>
  <c r="Q86" i="14"/>
  <c r="R86" i="14"/>
  <c r="P86" i="14"/>
  <c r="Q81" i="14"/>
  <c r="R81" i="14"/>
  <c r="P81" i="14"/>
  <c r="Q79" i="14"/>
  <c r="R79" i="14"/>
  <c r="P79" i="14"/>
  <c r="T90" i="14"/>
  <c r="T88" i="14"/>
  <c r="T84" i="14"/>
  <c r="H1606" i="16"/>
  <c r="P1136" i="17"/>
  <c r="P1180" i="17" s="1"/>
  <c r="I1127" i="17"/>
  <c r="F1136" i="17"/>
  <c r="I1136" i="17" s="1"/>
  <c r="F1179" i="17"/>
  <c r="I1178" i="17"/>
  <c r="I1953" i="13"/>
  <c r="I1969" i="13" s="1"/>
  <c r="I2026" i="13"/>
  <c r="I2027" i="13" s="1"/>
  <c r="I1987" i="13"/>
  <c r="G1982" i="1"/>
  <c r="J1975" i="1"/>
  <c r="H1964" i="1"/>
  <c r="H2024" i="1" s="1"/>
  <c r="J1948" i="1"/>
  <c r="G2022" i="1"/>
  <c r="G1993" i="1"/>
  <c r="J1993" i="1" s="1"/>
  <c r="J1986" i="1"/>
  <c r="J1953" i="1"/>
  <c r="G1963" i="1"/>
  <c r="I2024" i="1"/>
  <c r="F1483" i="16"/>
  <c r="H1476" i="16"/>
  <c r="H1477" i="16"/>
  <c r="H1478" i="16"/>
  <c r="H1479" i="16"/>
  <c r="H1480" i="16"/>
  <c r="H1481" i="16"/>
  <c r="H1482" i="16"/>
  <c r="H1485" i="16"/>
  <c r="H1486" i="16"/>
  <c r="H1487" i="16"/>
  <c r="H1488" i="16"/>
  <c r="H1489" i="16"/>
  <c r="H1490" i="16"/>
  <c r="E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E1506" i="16"/>
  <c r="H1507" i="16"/>
  <c r="H1508" i="16"/>
  <c r="H1509" i="16"/>
  <c r="H1510" i="16"/>
  <c r="H1511" i="16"/>
  <c r="E1512" i="16"/>
  <c r="I1513" i="16"/>
  <c r="F1969" i="13" l="1"/>
  <c r="F2028" i="13" s="1"/>
  <c r="F1575" i="16"/>
  <c r="I1483" i="16"/>
  <c r="H1512" i="16"/>
  <c r="F1667" i="16"/>
  <c r="I1575" i="16"/>
  <c r="I2000" i="13"/>
  <c r="I2001" i="13" s="1"/>
  <c r="I2028" i="13" s="1"/>
  <c r="T93" i="14"/>
  <c r="S81" i="14"/>
  <c r="T81" i="14" s="1"/>
  <c r="S80" i="14"/>
  <c r="T80" i="14" s="1"/>
  <c r="R82" i="14"/>
  <c r="P82" i="14"/>
  <c r="Q82" i="14"/>
  <c r="S79" i="14"/>
  <c r="T79" i="14" s="1"/>
  <c r="S86" i="14"/>
  <c r="T86" i="14" s="1"/>
  <c r="S85" i="14"/>
  <c r="T85" i="14" s="1"/>
  <c r="F1180" i="17"/>
  <c r="I1180" i="17" s="1"/>
  <c r="I1179" i="17"/>
  <c r="J1963" i="1"/>
  <c r="J1962" i="1"/>
  <c r="G1964" i="1"/>
  <c r="G2023" i="1"/>
  <c r="J2022" i="1"/>
  <c r="J2023" i="1" s="1"/>
  <c r="G1995" i="1"/>
  <c r="J1982" i="1"/>
  <c r="H1506" i="16"/>
  <c r="E1514" i="16"/>
  <c r="I1834" i="1"/>
  <c r="H1834" i="1"/>
  <c r="I1770" i="1"/>
  <c r="H1770" i="1"/>
  <c r="I1762" i="1"/>
  <c r="H1762" i="1"/>
  <c r="H1763" i="1"/>
  <c r="E1541" i="16"/>
  <c r="S82" i="14" l="1"/>
  <c r="I1667" i="16"/>
  <c r="F1761" i="16"/>
  <c r="T82" i="14"/>
  <c r="G1996" i="1"/>
  <c r="J1995" i="1"/>
  <c r="J1996" i="1" s="1"/>
  <c r="G2024" i="1"/>
  <c r="J2024" i="1" s="1"/>
  <c r="J1964" i="1"/>
  <c r="L114" i="14"/>
  <c r="K114" i="14" s="1"/>
  <c r="O114" i="14" s="1"/>
  <c r="G114" i="14"/>
  <c r="C114" i="14"/>
  <c r="L113" i="14"/>
  <c r="K113" i="14" s="1"/>
  <c r="G113" i="14"/>
  <c r="C113" i="14"/>
  <c r="L112" i="14"/>
  <c r="K112" i="14" s="1"/>
  <c r="G112" i="14"/>
  <c r="C112" i="14"/>
  <c r="L111" i="14"/>
  <c r="K111" i="14" s="1"/>
  <c r="G111" i="14"/>
  <c r="C111" i="14"/>
  <c r="L110" i="14"/>
  <c r="K110" i="14" s="1"/>
  <c r="O110" i="14" s="1"/>
  <c r="G110" i="14"/>
  <c r="C110" i="14"/>
  <c r="L109" i="14"/>
  <c r="K109" i="14" s="1"/>
  <c r="O109" i="14" s="1"/>
  <c r="G109" i="14"/>
  <c r="C109" i="14"/>
  <c r="L108" i="14"/>
  <c r="K108" i="14" s="1"/>
  <c r="O108" i="14" s="1"/>
  <c r="N108" i="14" s="1"/>
  <c r="G108" i="14"/>
  <c r="C108" i="14"/>
  <c r="G107" i="14"/>
  <c r="L106" i="14"/>
  <c r="K106" i="14" s="1"/>
  <c r="G106" i="14"/>
  <c r="C106" i="14"/>
  <c r="L105" i="14"/>
  <c r="K105" i="14"/>
  <c r="M105" i="14" s="1"/>
  <c r="G105" i="14"/>
  <c r="C105" i="14"/>
  <c r="L104" i="14"/>
  <c r="K104" i="14" s="1"/>
  <c r="G104" i="14"/>
  <c r="C104" i="14"/>
  <c r="L103" i="14"/>
  <c r="K103" i="14" s="1"/>
  <c r="M103" i="14" s="1"/>
  <c r="G103" i="14"/>
  <c r="C103" i="14"/>
  <c r="L102" i="14"/>
  <c r="K102" i="14" s="1"/>
  <c r="M102" i="14" s="1"/>
  <c r="G102" i="14"/>
  <c r="C102" i="14"/>
  <c r="L101" i="14"/>
  <c r="K101" i="14" s="1"/>
  <c r="G101" i="14"/>
  <c r="C101" i="14"/>
  <c r="L100" i="14"/>
  <c r="K100" i="14" s="1"/>
  <c r="G100" i="14"/>
  <c r="C100" i="14"/>
  <c r="L99" i="14"/>
  <c r="K99" i="14" s="1"/>
  <c r="G99" i="14"/>
  <c r="C99" i="14"/>
  <c r="E278" i="15"/>
  <c r="E275" i="15"/>
  <c r="E272" i="15"/>
  <c r="H1561" i="16"/>
  <c r="E1560" i="16"/>
  <c r="H1559" i="16"/>
  <c r="H1558" i="16"/>
  <c r="H1557" i="16"/>
  <c r="H1556" i="16"/>
  <c r="H1555" i="16"/>
  <c r="H1554" i="16"/>
  <c r="H1553" i="16"/>
  <c r="H1552" i="16"/>
  <c r="H1551" i="16"/>
  <c r="H1550" i="16"/>
  <c r="H1549" i="16"/>
  <c r="H1548" i="16"/>
  <c r="H1547" i="16"/>
  <c r="H1546" i="16"/>
  <c r="H1545" i="16"/>
  <c r="H1544" i="16"/>
  <c r="H1543" i="16"/>
  <c r="H1542" i="16"/>
  <c r="H1541" i="16"/>
  <c r="H1540" i="16"/>
  <c r="H1539" i="16"/>
  <c r="H1538" i="16"/>
  <c r="H1537" i="16"/>
  <c r="E1536" i="16"/>
  <c r="H1535" i="16"/>
  <c r="H1534" i="16"/>
  <c r="H1533" i="16"/>
  <c r="H1532" i="16"/>
  <c r="H1531" i="16"/>
  <c r="H1530" i="16"/>
  <c r="H1529" i="16"/>
  <c r="H1528" i="16"/>
  <c r="H1527" i="16"/>
  <c r="H1526" i="16"/>
  <c r="H1525" i="16"/>
  <c r="H1524" i="16"/>
  <c r="H1523" i="16"/>
  <c r="H1522" i="16"/>
  <c r="H1521" i="16"/>
  <c r="H1520" i="16"/>
  <c r="H1519" i="16"/>
  <c r="H1518" i="16"/>
  <c r="H1517" i="16"/>
  <c r="H1516" i="16"/>
  <c r="H1515" i="16"/>
  <c r="H1484" i="16"/>
  <c r="H1491" i="16" s="1"/>
  <c r="H1514" i="16" s="1"/>
  <c r="E1117" i="17"/>
  <c r="E1118" i="17" s="1"/>
  <c r="D1116" i="17"/>
  <c r="D1117" i="17" s="1"/>
  <c r="P1115" i="17"/>
  <c r="I1115" i="17"/>
  <c r="F1115" i="17"/>
  <c r="P1114" i="17"/>
  <c r="F1114" i="17"/>
  <c r="I1114" i="17" s="1"/>
  <c r="P1113" i="17"/>
  <c r="F1113" i="17"/>
  <c r="I1113" i="17" s="1"/>
  <c r="P1112" i="17"/>
  <c r="F1112" i="17"/>
  <c r="I1112" i="17" s="1"/>
  <c r="P1111" i="17"/>
  <c r="F1111" i="17"/>
  <c r="I1111" i="17" s="1"/>
  <c r="P1110" i="17"/>
  <c r="F1110" i="17"/>
  <c r="I1110" i="17" s="1"/>
  <c r="P1109" i="17"/>
  <c r="F1109" i="17"/>
  <c r="I1109" i="17" s="1"/>
  <c r="P1108" i="17"/>
  <c r="F1108" i="17"/>
  <c r="I1108" i="17" s="1"/>
  <c r="P1107" i="17"/>
  <c r="F1107" i="17"/>
  <c r="I1107" i="17" s="1"/>
  <c r="P1106" i="17"/>
  <c r="F1106" i="17"/>
  <c r="I1106" i="17" s="1"/>
  <c r="P1105" i="17"/>
  <c r="I1105" i="17"/>
  <c r="F1105" i="17"/>
  <c r="P1104" i="17"/>
  <c r="F1104" i="17"/>
  <c r="I1104" i="17" s="1"/>
  <c r="P1103" i="17"/>
  <c r="I1103" i="17"/>
  <c r="F1103" i="17"/>
  <c r="P1102" i="17"/>
  <c r="F1102" i="17"/>
  <c r="I1102" i="17" s="1"/>
  <c r="P1101" i="17"/>
  <c r="I1101" i="17"/>
  <c r="F1101" i="17"/>
  <c r="P1100" i="17"/>
  <c r="F1100" i="17"/>
  <c r="I1100" i="17" s="1"/>
  <c r="P1099" i="17"/>
  <c r="I1099" i="17"/>
  <c r="F1099" i="17"/>
  <c r="P1098" i="17"/>
  <c r="F1098" i="17"/>
  <c r="I1098" i="17" s="1"/>
  <c r="P1097" i="17"/>
  <c r="F1097" i="17"/>
  <c r="I1097" i="17" s="1"/>
  <c r="P1096" i="17"/>
  <c r="F1096" i="17"/>
  <c r="I1096" i="17" s="1"/>
  <c r="P1095" i="17"/>
  <c r="F1095" i="17"/>
  <c r="I1095" i="17" s="1"/>
  <c r="P1094" i="17"/>
  <c r="F1094" i="17"/>
  <c r="I1094" i="17" s="1"/>
  <c r="P1093" i="17"/>
  <c r="F1093" i="17"/>
  <c r="I1093" i="17" s="1"/>
  <c r="P1092" i="17"/>
  <c r="I1092" i="17"/>
  <c r="F1092" i="17"/>
  <c r="P1091" i="17"/>
  <c r="F1091" i="17"/>
  <c r="I1091" i="17" s="1"/>
  <c r="P1090" i="17"/>
  <c r="F1090" i="17"/>
  <c r="P1089" i="17"/>
  <c r="F1089" i="17"/>
  <c r="I1089" i="17" s="1"/>
  <c r="P1088" i="17"/>
  <c r="F1088" i="17"/>
  <c r="I1088" i="17" s="1"/>
  <c r="P1087" i="17"/>
  <c r="F1087" i="17"/>
  <c r="I1087" i="17" s="1"/>
  <c r="P1086" i="17"/>
  <c r="F1086" i="17"/>
  <c r="I1086" i="17" s="1"/>
  <c r="P1085" i="17"/>
  <c r="F1085" i="17"/>
  <c r="I1085" i="17" s="1"/>
  <c r="H1083" i="17"/>
  <c r="E1083" i="17"/>
  <c r="D1083" i="17"/>
  <c r="H1082" i="17"/>
  <c r="G1082" i="17"/>
  <c r="G1083" i="17" s="1"/>
  <c r="P1081" i="17"/>
  <c r="F1081" i="17"/>
  <c r="I1081" i="17" s="1"/>
  <c r="P1080" i="17"/>
  <c r="I1080" i="17"/>
  <c r="F1080" i="17"/>
  <c r="P1079" i="17"/>
  <c r="F1079" i="17"/>
  <c r="I1079" i="17" s="1"/>
  <c r="P1078" i="17"/>
  <c r="F1078" i="17"/>
  <c r="I1078" i="17" s="1"/>
  <c r="P1077" i="17"/>
  <c r="I1077" i="17"/>
  <c r="F1077" i="17"/>
  <c r="P1076" i="17"/>
  <c r="F1076" i="17"/>
  <c r="I1076" i="17" s="1"/>
  <c r="P1075" i="17"/>
  <c r="I1075" i="17"/>
  <c r="F1075" i="17"/>
  <c r="E1074" i="17"/>
  <c r="H1073" i="17"/>
  <c r="G1073" i="17"/>
  <c r="D1073" i="17"/>
  <c r="P1072" i="17"/>
  <c r="I1072" i="17"/>
  <c r="F1072" i="17"/>
  <c r="P1071" i="17"/>
  <c r="F1071" i="17"/>
  <c r="I1071" i="17" s="1"/>
  <c r="P1070" i="17"/>
  <c r="I1070" i="17"/>
  <c r="F1070" i="17"/>
  <c r="P1069" i="17"/>
  <c r="F1069" i="17"/>
  <c r="I1069" i="17" s="1"/>
  <c r="P1068" i="17"/>
  <c r="I1068" i="17"/>
  <c r="F1068" i="17"/>
  <c r="P1067" i="17"/>
  <c r="F1067" i="17"/>
  <c r="I1067" i="17" s="1"/>
  <c r="P1066" i="17"/>
  <c r="P1073" i="17" s="1"/>
  <c r="F1066" i="17"/>
  <c r="F1073" i="17" s="1"/>
  <c r="I1073" i="17" s="1"/>
  <c r="H1065" i="17"/>
  <c r="H1074" i="17" s="1"/>
  <c r="G1065" i="17"/>
  <c r="D1065" i="17"/>
  <c r="D1074" i="17" s="1"/>
  <c r="P1064" i="17"/>
  <c r="F1064" i="17"/>
  <c r="I1064" i="17" s="1"/>
  <c r="P1063" i="17"/>
  <c r="F1063" i="17"/>
  <c r="I1063" i="17" s="1"/>
  <c r="P1062" i="17"/>
  <c r="F1062" i="17"/>
  <c r="I1062" i="17" s="1"/>
  <c r="P1061" i="17"/>
  <c r="I1061" i="17"/>
  <c r="F1061" i="17"/>
  <c r="P1060" i="17"/>
  <c r="P1065" i="17" s="1"/>
  <c r="F1060" i="17"/>
  <c r="I1060" i="17" s="1"/>
  <c r="J1916" i="13"/>
  <c r="I1916" i="13"/>
  <c r="F1915" i="13"/>
  <c r="F1914" i="13"/>
  <c r="F1912" i="13"/>
  <c r="I1912" i="13" s="1"/>
  <c r="F1911" i="13"/>
  <c r="I1911" i="13" s="1"/>
  <c r="F1910" i="13"/>
  <c r="I1910" i="13" s="1"/>
  <c r="F1908" i="13"/>
  <c r="I1908" i="13" s="1"/>
  <c r="F1907" i="13"/>
  <c r="I1907" i="13" s="1"/>
  <c r="F1906" i="13"/>
  <c r="I1906" i="13" s="1"/>
  <c r="F1905" i="13"/>
  <c r="F1903" i="13"/>
  <c r="I1903" i="13" s="1"/>
  <c r="F1902" i="13"/>
  <c r="F1900" i="13"/>
  <c r="I1900" i="13" s="1"/>
  <c r="F1899" i="13"/>
  <c r="I1899" i="13" s="1"/>
  <c r="F1898" i="13"/>
  <c r="I1898" i="13" s="1"/>
  <c r="F1897" i="13"/>
  <c r="F1895" i="13"/>
  <c r="I1895" i="13" s="1"/>
  <c r="F1894" i="13"/>
  <c r="F1893" i="13"/>
  <c r="I1893" i="13" s="1"/>
  <c r="F1890" i="13"/>
  <c r="I1890" i="13" s="1"/>
  <c r="F1887" i="13"/>
  <c r="I1887" i="13" s="1"/>
  <c r="F1886" i="13"/>
  <c r="F1885" i="13"/>
  <c r="I1885" i="13" s="1"/>
  <c r="F1883" i="13"/>
  <c r="I1883" i="13" s="1"/>
  <c r="F1882" i="13"/>
  <c r="I1882" i="13" s="1"/>
  <c r="F1881" i="13"/>
  <c r="I1881" i="13" s="1"/>
  <c r="F1878" i="13"/>
  <c r="I1878" i="13" s="1"/>
  <c r="F1877" i="13"/>
  <c r="I1877" i="13" s="1"/>
  <c r="F1876" i="13"/>
  <c r="I1876" i="13" s="1"/>
  <c r="F1875" i="13"/>
  <c r="F1874" i="13"/>
  <c r="I1874" i="13" s="1"/>
  <c r="F1872" i="13"/>
  <c r="I1872" i="13" s="1"/>
  <c r="F1871" i="13"/>
  <c r="I1871" i="13" s="1"/>
  <c r="F1870" i="13"/>
  <c r="I1870" i="13" s="1"/>
  <c r="F1869" i="13"/>
  <c r="I1869" i="13" s="1"/>
  <c r="F1868" i="13"/>
  <c r="I1868" i="13" s="1"/>
  <c r="F1867" i="13"/>
  <c r="I1867" i="13" s="1"/>
  <c r="F1866" i="13"/>
  <c r="I1866" i="13" s="1"/>
  <c r="F1865" i="13"/>
  <c r="I1865" i="13" s="1"/>
  <c r="F1864" i="13"/>
  <c r="I1864" i="13" s="1"/>
  <c r="F1863" i="13"/>
  <c r="F1859" i="13"/>
  <c r="I1859" i="13" s="1"/>
  <c r="F1858" i="13"/>
  <c r="I1858" i="13" s="1"/>
  <c r="F1857" i="13"/>
  <c r="I1857" i="13" s="1"/>
  <c r="F1856" i="13"/>
  <c r="I1856" i="13" s="1"/>
  <c r="F1855" i="13"/>
  <c r="I1855" i="13" s="1"/>
  <c r="F1854" i="13"/>
  <c r="I1854" i="13" s="1"/>
  <c r="F1853" i="13"/>
  <c r="I1853" i="13" s="1"/>
  <c r="F1852" i="13"/>
  <c r="F1850" i="13"/>
  <c r="I1850" i="13" s="1"/>
  <c r="F1849" i="13"/>
  <c r="I1849" i="13" s="1"/>
  <c r="F1848" i="13"/>
  <c r="I1848" i="13" s="1"/>
  <c r="F1847" i="13"/>
  <c r="F1844" i="13"/>
  <c r="I1844" i="13" s="1"/>
  <c r="F1843" i="13"/>
  <c r="I1843" i="13" s="1"/>
  <c r="F1842" i="13"/>
  <c r="F1840" i="13"/>
  <c r="I1840" i="13" s="1"/>
  <c r="F1839" i="13"/>
  <c r="I1839" i="13" s="1"/>
  <c r="F1838" i="13"/>
  <c r="F1836" i="13"/>
  <c r="I1836" i="13" s="1"/>
  <c r="F1835" i="13"/>
  <c r="I1835" i="13" s="1"/>
  <c r="F1834" i="13"/>
  <c r="I1834" i="13" s="1"/>
  <c r="F1833" i="13"/>
  <c r="I1833" i="13" s="1"/>
  <c r="F1832" i="13"/>
  <c r="I1832" i="13" s="1"/>
  <c r="F1831" i="13"/>
  <c r="I1831" i="13" s="1"/>
  <c r="F1830" i="13"/>
  <c r="F1828" i="13"/>
  <c r="I1828" i="13" s="1"/>
  <c r="F1827" i="13"/>
  <c r="I1827" i="13" s="1"/>
  <c r="F1826" i="13"/>
  <c r="I1826" i="13" s="1"/>
  <c r="F1825" i="13"/>
  <c r="I1825" i="13" s="1"/>
  <c r="F1824" i="13"/>
  <c r="I1824" i="13" s="1"/>
  <c r="F1823" i="13"/>
  <c r="I1823" i="13" s="1"/>
  <c r="F1822" i="13"/>
  <c r="F1820" i="13"/>
  <c r="I1820" i="13" s="1"/>
  <c r="F1819" i="13"/>
  <c r="I1819" i="13" s="1"/>
  <c r="F1818" i="13"/>
  <c r="I1818" i="13" s="1"/>
  <c r="F1817" i="13"/>
  <c r="F1913" i="1"/>
  <c r="F1914" i="1" s="1"/>
  <c r="I1912" i="1"/>
  <c r="H1912" i="1"/>
  <c r="F1916" i="13" s="1"/>
  <c r="G1911" i="1"/>
  <c r="J1911" i="1" s="1"/>
  <c r="G1910" i="1"/>
  <c r="J1910" i="1" s="1"/>
  <c r="I1909" i="1"/>
  <c r="H1909" i="1"/>
  <c r="E1909" i="1"/>
  <c r="G1908" i="1"/>
  <c r="J1908" i="1" s="1"/>
  <c r="G1907" i="1"/>
  <c r="J1907" i="1" s="1"/>
  <c r="G1906" i="1"/>
  <c r="J1906" i="1" s="1"/>
  <c r="E1905" i="1"/>
  <c r="G1904" i="1"/>
  <c r="J1904" i="1" s="1"/>
  <c r="G1903" i="1"/>
  <c r="J1903" i="1" s="1"/>
  <c r="G1902" i="1"/>
  <c r="J1902" i="1" s="1"/>
  <c r="G1901" i="1"/>
  <c r="J1901" i="1" s="1"/>
  <c r="I1905" i="1"/>
  <c r="H1905" i="1"/>
  <c r="G1900" i="1"/>
  <c r="J1900" i="1" s="1"/>
  <c r="E1899" i="1"/>
  <c r="I1899" i="1"/>
  <c r="G1898" i="1"/>
  <c r="J1898" i="1" s="1"/>
  <c r="G1897" i="1"/>
  <c r="E1896" i="1"/>
  <c r="G1895" i="1"/>
  <c r="J1895" i="1" s="1"/>
  <c r="G1894" i="1"/>
  <c r="J1894" i="1" s="1"/>
  <c r="I1896" i="1"/>
  <c r="G1892" i="1"/>
  <c r="E1891" i="1"/>
  <c r="G1890" i="1"/>
  <c r="J1890" i="1" s="1"/>
  <c r="I1891" i="1"/>
  <c r="G1888" i="1"/>
  <c r="F1886" i="1"/>
  <c r="F1887" i="1" s="1"/>
  <c r="G1885" i="1"/>
  <c r="J1885" i="1" s="1"/>
  <c r="I1883" i="1"/>
  <c r="H1883" i="1"/>
  <c r="E1883" i="1"/>
  <c r="E1884" i="1" s="1"/>
  <c r="G1882" i="1"/>
  <c r="J1882" i="1" s="1"/>
  <c r="G1881" i="1"/>
  <c r="J1881" i="1" s="1"/>
  <c r="G1880" i="1"/>
  <c r="J1880" i="1" s="1"/>
  <c r="I1879" i="1"/>
  <c r="H1879" i="1"/>
  <c r="H1884" i="1" s="1"/>
  <c r="G1878" i="1"/>
  <c r="J1878" i="1" s="1"/>
  <c r="G1877" i="1"/>
  <c r="J1877" i="1" s="1"/>
  <c r="G1876" i="1"/>
  <c r="I1874" i="1"/>
  <c r="H1874" i="1"/>
  <c r="E1874" i="1"/>
  <c r="G1873" i="1"/>
  <c r="J1873" i="1" s="1"/>
  <c r="G1872" i="1"/>
  <c r="J1872" i="1" s="1"/>
  <c r="G1871" i="1"/>
  <c r="J1871" i="1" s="1"/>
  <c r="G1870" i="1"/>
  <c r="J1870" i="1" s="1"/>
  <c r="G1869" i="1"/>
  <c r="I1868" i="1"/>
  <c r="H1868" i="1"/>
  <c r="E1868" i="1"/>
  <c r="G1867" i="1"/>
  <c r="J1867" i="1" s="1"/>
  <c r="G1866" i="1"/>
  <c r="J1866" i="1" s="1"/>
  <c r="G1865" i="1"/>
  <c r="J1865" i="1" s="1"/>
  <c r="G1864" i="1"/>
  <c r="J1864" i="1" s="1"/>
  <c r="G1863" i="1"/>
  <c r="J1863" i="1" s="1"/>
  <c r="G1862" i="1"/>
  <c r="J1862" i="1" s="1"/>
  <c r="G1861" i="1"/>
  <c r="J1861" i="1" s="1"/>
  <c r="G1860" i="1"/>
  <c r="J1860" i="1" s="1"/>
  <c r="G1859" i="1"/>
  <c r="J1859" i="1" s="1"/>
  <c r="G1858" i="1"/>
  <c r="J1858" i="1" s="1"/>
  <c r="F1856" i="1"/>
  <c r="I1855" i="1"/>
  <c r="H1855" i="1"/>
  <c r="G1854" i="1"/>
  <c r="J1854" i="1" s="1"/>
  <c r="G1853" i="1"/>
  <c r="J1853" i="1" s="1"/>
  <c r="G1852" i="1"/>
  <c r="J1852" i="1" s="1"/>
  <c r="G1851" i="1"/>
  <c r="J1851" i="1" s="1"/>
  <c r="G1850" i="1"/>
  <c r="J1850" i="1" s="1"/>
  <c r="G1849" i="1"/>
  <c r="J1849" i="1" s="1"/>
  <c r="G1848" i="1"/>
  <c r="J1848" i="1" s="1"/>
  <c r="G1847" i="1"/>
  <c r="E1847" i="1"/>
  <c r="E1855" i="1" s="1"/>
  <c r="E1856" i="1" s="1"/>
  <c r="C271" i="15" s="1"/>
  <c r="I1846" i="1"/>
  <c r="H1846" i="1"/>
  <c r="E1846" i="1"/>
  <c r="G1845" i="1"/>
  <c r="J1845" i="1" s="1"/>
  <c r="G1844" i="1"/>
  <c r="J1844" i="1" s="1"/>
  <c r="G1843" i="1"/>
  <c r="J1843" i="1" s="1"/>
  <c r="G1842" i="1"/>
  <c r="J1842" i="1" s="1"/>
  <c r="I1840" i="1"/>
  <c r="H1840" i="1"/>
  <c r="E1840" i="1"/>
  <c r="G1839" i="1"/>
  <c r="J1839" i="1" s="1"/>
  <c r="G1838" i="1"/>
  <c r="J1838" i="1" s="1"/>
  <c r="G1837" i="1"/>
  <c r="J1837" i="1" s="1"/>
  <c r="I1836" i="1"/>
  <c r="F1836" i="1"/>
  <c r="F1841" i="1" s="1"/>
  <c r="F1857" i="1" s="1"/>
  <c r="E1836" i="1"/>
  <c r="G1835" i="1"/>
  <c r="H1836" i="1"/>
  <c r="G1834" i="1"/>
  <c r="J1834" i="1" s="1"/>
  <c r="G1833" i="1"/>
  <c r="G1836" i="1" s="1"/>
  <c r="J1836" i="1" s="1"/>
  <c r="I1832" i="1"/>
  <c r="H1832" i="1"/>
  <c r="E1832" i="1"/>
  <c r="G1831" i="1"/>
  <c r="J1831" i="1" s="1"/>
  <c r="G1830" i="1"/>
  <c r="J1830" i="1" s="1"/>
  <c r="G1829" i="1"/>
  <c r="J1829" i="1" s="1"/>
  <c r="G1828" i="1"/>
  <c r="J1828" i="1" s="1"/>
  <c r="G1827" i="1"/>
  <c r="J1827" i="1" s="1"/>
  <c r="G1826" i="1"/>
  <c r="J1826" i="1" s="1"/>
  <c r="G1825" i="1"/>
  <c r="J1825" i="1" s="1"/>
  <c r="I1824" i="1"/>
  <c r="H1824" i="1"/>
  <c r="E1824" i="1"/>
  <c r="G1823" i="1"/>
  <c r="J1823" i="1" s="1"/>
  <c r="G1822" i="1"/>
  <c r="J1822" i="1" s="1"/>
  <c r="G1821" i="1"/>
  <c r="J1821" i="1" s="1"/>
  <c r="G1820" i="1"/>
  <c r="J1820" i="1" s="1"/>
  <c r="G1819" i="1"/>
  <c r="J1819" i="1" s="1"/>
  <c r="G1818" i="1"/>
  <c r="J1818" i="1" s="1"/>
  <c r="G1817" i="1"/>
  <c r="I1816" i="1"/>
  <c r="H1816" i="1"/>
  <c r="E1816" i="1"/>
  <c r="G1815" i="1"/>
  <c r="J1815" i="1" s="1"/>
  <c r="G1814" i="1"/>
  <c r="J1814" i="1" s="1"/>
  <c r="G1813" i="1"/>
  <c r="J1813" i="1" s="1"/>
  <c r="G1812" i="1"/>
  <c r="F1915" i="1" l="1"/>
  <c r="H1856" i="1"/>
  <c r="G1874" i="1"/>
  <c r="J1874" i="1" s="1"/>
  <c r="E1841" i="1"/>
  <c r="C270" i="15" s="1"/>
  <c r="C273" i="15" s="1"/>
  <c r="I1841" i="1"/>
  <c r="E1875" i="1"/>
  <c r="E1886" i="1" s="1"/>
  <c r="E1887" i="1" s="1"/>
  <c r="C274" i="15" s="1"/>
  <c r="C276" i="15" s="1"/>
  <c r="I1066" i="17"/>
  <c r="N110" i="14"/>
  <c r="N114" i="14"/>
  <c r="H1875" i="1"/>
  <c r="I1884" i="1"/>
  <c r="N109" i="14"/>
  <c r="F1855" i="16"/>
  <c r="I1855" i="16" s="1"/>
  <c r="I1761" i="16"/>
  <c r="H1536" i="16"/>
  <c r="H1560" i="16"/>
  <c r="F1841" i="13"/>
  <c r="F1851" i="13"/>
  <c r="F1860" i="13"/>
  <c r="F1873" i="13"/>
  <c r="F1904" i="13"/>
  <c r="F1909" i="13"/>
  <c r="G1816" i="1"/>
  <c r="G1824" i="1"/>
  <c r="J1824" i="1" s="1"/>
  <c r="J1833" i="1"/>
  <c r="F1821" i="13"/>
  <c r="F1837" i="13"/>
  <c r="F1845" i="13"/>
  <c r="J1817" i="1"/>
  <c r="J1869" i="1"/>
  <c r="G1912" i="1"/>
  <c r="J1912" i="1" s="1"/>
  <c r="F1829" i="13"/>
  <c r="F1888" i="13"/>
  <c r="F1896" i="13"/>
  <c r="F1901" i="13"/>
  <c r="I1913" i="13"/>
  <c r="F1082" i="17"/>
  <c r="F1083" i="17" s="1"/>
  <c r="I1083" i="17" s="1"/>
  <c r="P1082" i="17"/>
  <c r="P1083" i="17" s="1"/>
  <c r="H1886" i="1"/>
  <c r="H1887" i="1" s="1"/>
  <c r="I1884" i="13"/>
  <c r="I1875" i="1"/>
  <c r="I1886" i="1" s="1"/>
  <c r="I1887" i="1" s="1"/>
  <c r="F1879" i="13"/>
  <c r="G1074" i="17"/>
  <c r="I1856" i="1"/>
  <c r="M104" i="14"/>
  <c r="O104" i="14"/>
  <c r="N104" i="14" s="1"/>
  <c r="R104" i="14" s="1"/>
  <c r="O103" i="14"/>
  <c r="N103" i="14" s="1"/>
  <c r="P103" i="14" s="1"/>
  <c r="O105" i="14"/>
  <c r="N105" i="14" s="1"/>
  <c r="R105" i="14" s="1"/>
  <c r="R108" i="14"/>
  <c r="P108" i="14"/>
  <c r="Q108" i="14"/>
  <c r="S108" i="14" s="1"/>
  <c r="R109" i="14"/>
  <c r="P109" i="14"/>
  <c r="Q109" i="14"/>
  <c r="S109" i="14" s="1"/>
  <c r="R110" i="14"/>
  <c r="P110" i="14"/>
  <c r="Q110" i="14"/>
  <c r="O99" i="14"/>
  <c r="N99" i="14" s="1"/>
  <c r="M99" i="14"/>
  <c r="O101" i="14"/>
  <c r="N101" i="14" s="1"/>
  <c r="M101" i="14"/>
  <c r="O102" i="14"/>
  <c r="N102" i="14" s="1"/>
  <c r="R103" i="14"/>
  <c r="P105" i="14"/>
  <c r="O106" i="14"/>
  <c r="N106" i="14" s="1"/>
  <c r="M106" i="14"/>
  <c r="M108" i="14"/>
  <c r="M109" i="14"/>
  <c r="M110" i="14"/>
  <c r="O111" i="14"/>
  <c r="N111" i="14" s="1"/>
  <c r="M111" i="14"/>
  <c r="R114" i="14"/>
  <c r="P114" i="14"/>
  <c r="Q114" i="14"/>
  <c r="S114" i="14" s="1"/>
  <c r="O100" i="14"/>
  <c r="N100" i="14" s="1"/>
  <c r="M100" i="14"/>
  <c r="Q104" i="14"/>
  <c r="L107" i="14"/>
  <c r="K107" i="14" s="1"/>
  <c r="C107" i="14"/>
  <c r="O112" i="14"/>
  <c r="N112" i="14" s="1"/>
  <c r="M112" i="14"/>
  <c r="O113" i="14"/>
  <c r="N113" i="14" s="1"/>
  <c r="M113" i="14"/>
  <c r="M114" i="14"/>
  <c r="E1563" i="16"/>
  <c r="P1074" i="17"/>
  <c r="G1116" i="17"/>
  <c r="G1117" i="17" s="1"/>
  <c r="G1118" i="17" s="1"/>
  <c r="F1084" i="17"/>
  <c r="P1084" i="17"/>
  <c r="P1116" i="17" s="1"/>
  <c r="P1117" i="17" s="1"/>
  <c r="F1065" i="17"/>
  <c r="D1118" i="17"/>
  <c r="H1116" i="17"/>
  <c r="H1117" i="17" s="1"/>
  <c r="H1118" i="17" s="1"/>
  <c r="I1852" i="13"/>
  <c r="I1860" i="13" s="1"/>
  <c r="I1863" i="13"/>
  <c r="I1873" i="13" s="1"/>
  <c r="F1884" i="13"/>
  <c r="F1889" i="13" s="1"/>
  <c r="F1913" i="13"/>
  <c r="I1817" i="13"/>
  <c r="I1821" i="13" s="1"/>
  <c r="I1822" i="13"/>
  <c r="I1829" i="13" s="1"/>
  <c r="I1830" i="13"/>
  <c r="I1837" i="13" s="1"/>
  <c r="I1838" i="13"/>
  <c r="I1841" i="13" s="1"/>
  <c r="I1842" i="13"/>
  <c r="I1845" i="13" s="1"/>
  <c r="I1847" i="13"/>
  <c r="I1851" i="13" s="1"/>
  <c r="I1875" i="13"/>
  <c r="I1879" i="13" s="1"/>
  <c r="I1886" i="13"/>
  <c r="I1888" i="13" s="1"/>
  <c r="I1894" i="13"/>
  <c r="I1896" i="13" s="1"/>
  <c r="I1897" i="13"/>
  <c r="I1901" i="13" s="1"/>
  <c r="I1902" i="13"/>
  <c r="I1904" i="13" s="1"/>
  <c r="I1905" i="13"/>
  <c r="I1909" i="13" s="1"/>
  <c r="I1857" i="1"/>
  <c r="J1816" i="1"/>
  <c r="E1857" i="1"/>
  <c r="G1832" i="1"/>
  <c r="J1832" i="1" s="1"/>
  <c r="G1855" i="1"/>
  <c r="J1847" i="1"/>
  <c r="G1868" i="1"/>
  <c r="G1879" i="1"/>
  <c r="J1879" i="1" s="1"/>
  <c r="J1876" i="1"/>
  <c r="G1883" i="1"/>
  <c r="J1883" i="1" s="1"/>
  <c r="J1888" i="1"/>
  <c r="G1893" i="1"/>
  <c r="J1893" i="1" s="1"/>
  <c r="H1896" i="1"/>
  <c r="G1899" i="1"/>
  <c r="J1899" i="1" s="1"/>
  <c r="J1897" i="1"/>
  <c r="H1841" i="1"/>
  <c r="H1857" i="1" s="1"/>
  <c r="G1840" i="1"/>
  <c r="J1840" i="1" s="1"/>
  <c r="G1846" i="1"/>
  <c r="H1891" i="1"/>
  <c r="G1889" i="1"/>
  <c r="J1889" i="1" s="1"/>
  <c r="E1913" i="1"/>
  <c r="E1914" i="1" s="1"/>
  <c r="C277" i="15" s="1"/>
  <c r="C279" i="15" s="1"/>
  <c r="G1905" i="1"/>
  <c r="J1905" i="1" s="1"/>
  <c r="I1913" i="1"/>
  <c r="I1914" i="1" s="1"/>
  <c r="J1892" i="1"/>
  <c r="H1899" i="1"/>
  <c r="G1909" i="1"/>
  <c r="J1909" i="1" s="1"/>
  <c r="H1046" i="17"/>
  <c r="G1046" i="17"/>
  <c r="H1042" i="17"/>
  <c r="G1042" i="17"/>
  <c r="H1036" i="17"/>
  <c r="G1036" i="17"/>
  <c r="H1029" i="17"/>
  <c r="G1029" i="17"/>
  <c r="H1022" i="17"/>
  <c r="G1022" i="17"/>
  <c r="I1793" i="1"/>
  <c r="H1793" i="1"/>
  <c r="I1791" i="1"/>
  <c r="H1791" i="1"/>
  <c r="I1786" i="1"/>
  <c r="H1786" i="1"/>
  <c r="I1782" i="1"/>
  <c r="H1782" i="1"/>
  <c r="I132" i="14"/>
  <c r="H132" i="14"/>
  <c r="I130" i="14"/>
  <c r="H130" i="14"/>
  <c r="J132" i="14"/>
  <c r="J130" i="14"/>
  <c r="H1031" i="17"/>
  <c r="G1031" i="17"/>
  <c r="D125" i="14"/>
  <c r="D126" i="14"/>
  <c r="J121" i="14"/>
  <c r="F1880" i="13" l="1"/>
  <c r="Q103" i="14"/>
  <c r="S103" i="14" s="1"/>
  <c r="T103" i="14" s="1"/>
  <c r="C280" i="15"/>
  <c r="I1915" i="1"/>
  <c r="T109" i="14"/>
  <c r="S110" i="14"/>
  <c r="F1861" i="13"/>
  <c r="I1889" i="13"/>
  <c r="F1917" i="13"/>
  <c r="F1918" i="13" s="1"/>
  <c r="F1846" i="13"/>
  <c r="I1082" i="17"/>
  <c r="F1891" i="13"/>
  <c r="F1892" i="13" s="1"/>
  <c r="G1896" i="1"/>
  <c r="J1896" i="1" s="1"/>
  <c r="I1917" i="13"/>
  <c r="I1918" i="13" s="1"/>
  <c r="I1861" i="13"/>
  <c r="T114" i="14"/>
  <c r="P104" i="14"/>
  <c r="T104" i="14" s="1"/>
  <c r="S104" i="14"/>
  <c r="Q105" i="14"/>
  <c r="S105" i="14" s="1"/>
  <c r="T105" i="14" s="1"/>
  <c r="R113" i="14"/>
  <c r="P113" i="14"/>
  <c r="Q113" i="14"/>
  <c r="Q112" i="14"/>
  <c r="P112" i="14"/>
  <c r="R112" i="14"/>
  <c r="O107" i="14"/>
  <c r="N107" i="14" s="1"/>
  <c r="M107" i="14"/>
  <c r="Q111" i="14"/>
  <c r="R111" i="14"/>
  <c r="P111" i="14"/>
  <c r="R102" i="14"/>
  <c r="P102" i="14"/>
  <c r="Q102" i="14"/>
  <c r="S102" i="14" s="1"/>
  <c r="Q101" i="14"/>
  <c r="R101" i="14"/>
  <c r="P101" i="14"/>
  <c r="Q99" i="14"/>
  <c r="S99" i="14" s="1"/>
  <c r="R99" i="14"/>
  <c r="P99" i="14"/>
  <c r="Q100" i="14"/>
  <c r="P100" i="14"/>
  <c r="R100" i="14"/>
  <c r="T110" i="14"/>
  <c r="T108" i="14"/>
  <c r="Q106" i="14"/>
  <c r="R106" i="14"/>
  <c r="P106" i="14"/>
  <c r="P1118" i="17"/>
  <c r="F1116" i="17"/>
  <c r="I1084" i="17"/>
  <c r="I1065" i="17"/>
  <c r="F1074" i="17"/>
  <c r="I1074" i="17" s="1"/>
  <c r="I1846" i="13"/>
  <c r="I1880" i="13"/>
  <c r="J1846" i="1"/>
  <c r="G1856" i="1"/>
  <c r="G1891" i="1"/>
  <c r="G1875" i="1"/>
  <c r="J1868" i="1"/>
  <c r="H1913" i="1"/>
  <c r="H1914" i="1" s="1"/>
  <c r="H1915" i="1" s="1"/>
  <c r="G1884" i="1"/>
  <c r="J1884" i="1" s="1"/>
  <c r="E1915" i="1"/>
  <c r="G1841" i="1"/>
  <c r="H1727" i="1"/>
  <c r="I1891" i="13" l="1"/>
  <c r="I1892" i="13" s="1"/>
  <c r="F1862" i="13"/>
  <c r="T99" i="14"/>
  <c r="F1919" i="13"/>
  <c r="S113" i="14"/>
  <c r="T113" i="14" s="1"/>
  <c r="I1862" i="13"/>
  <c r="S111" i="14"/>
  <c r="T111" i="14" s="1"/>
  <c r="S112" i="14"/>
  <c r="T112" i="14" s="1"/>
  <c r="S106" i="14"/>
  <c r="T106" i="14" s="1"/>
  <c r="S100" i="14"/>
  <c r="T100" i="14" s="1"/>
  <c r="S101" i="14"/>
  <c r="T101" i="14" s="1"/>
  <c r="T102" i="14"/>
  <c r="R107" i="14"/>
  <c r="P107" i="14"/>
  <c r="Q107" i="14"/>
  <c r="S107" i="14" s="1"/>
  <c r="F1117" i="17"/>
  <c r="I1116" i="17"/>
  <c r="G1857" i="1"/>
  <c r="J1841" i="1"/>
  <c r="J1875" i="1"/>
  <c r="G1886" i="1"/>
  <c r="G1913" i="1"/>
  <c r="J1891" i="1"/>
  <c r="J1856" i="1"/>
  <c r="J1855" i="1"/>
  <c r="E1394" i="16"/>
  <c r="I1919" i="13" l="1"/>
  <c r="T107" i="14"/>
  <c r="F1118" i="17"/>
  <c r="I1118" i="17" s="1"/>
  <c r="I1117" i="17"/>
  <c r="G1914" i="1"/>
  <c r="J1913" i="1"/>
  <c r="J1914" i="1" s="1"/>
  <c r="G1887" i="1"/>
  <c r="J1886" i="1"/>
  <c r="J1887" i="1" s="1"/>
  <c r="J1857" i="1"/>
  <c r="L133" i="14"/>
  <c r="K133" i="14" s="1"/>
  <c r="O133" i="14" s="1"/>
  <c r="G133" i="14"/>
  <c r="C133" i="14"/>
  <c r="L132" i="14"/>
  <c r="K132" i="14" s="1"/>
  <c r="O132" i="14" s="1"/>
  <c r="G132" i="14"/>
  <c r="C132" i="14"/>
  <c r="L131" i="14"/>
  <c r="K131" i="14"/>
  <c r="O131" i="14" s="1"/>
  <c r="G131" i="14"/>
  <c r="C131" i="14"/>
  <c r="L130" i="14"/>
  <c r="K130" i="14" s="1"/>
  <c r="O130" i="14" s="1"/>
  <c r="G130" i="14"/>
  <c r="C130" i="14"/>
  <c r="L129" i="14"/>
  <c r="K129" i="14" s="1"/>
  <c r="G129" i="14"/>
  <c r="C129" i="14"/>
  <c r="L128" i="14"/>
  <c r="K128" i="14" s="1"/>
  <c r="M128" i="14" s="1"/>
  <c r="G128" i="14"/>
  <c r="C128" i="14"/>
  <c r="L127" i="14"/>
  <c r="K127" i="14" s="1"/>
  <c r="G127" i="14"/>
  <c r="C127" i="14"/>
  <c r="G126" i="14"/>
  <c r="L125" i="14"/>
  <c r="K125" i="14" s="1"/>
  <c r="G125" i="14"/>
  <c r="C125" i="14"/>
  <c r="L124" i="14"/>
  <c r="K124" i="14" s="1"/>
  <c r="O124" i="14" s="1"/>
  <c r="G124" i="14"/>
  <c r="C124" i="14"/>
  <c r="L123" i="14"/>
  <c r="K123" i="14" s="1"/>
  <c r="O123" i="14" s="1"/>
  <c r="G123" i="14"/>
  <c r="C123" i="14"/>
  <c r="L122" i="14"/>
  <c r="K122" i="14" s="1"/>
  <c r="O122" i="14" s="1"/>
  <c r="N122" i="14" s="1"/>
  <c r="G122" i="14"/>
  <c r="C122" i="14"/>
  <c r="L121" i="14"/>
  <c r="K121" i="14" s="1"/>
  <c r="O121" i="14" s="1"/>
  <c r="G121" i="14"/>
  <c r="C121" i="14"/>
  <c r="L120" i="14"/>
  <c r="K120" i="14" s="1"/>
  <c r="O120" i="14" s="1"/>
  <c r="G120" i="14"/>
  <c r="C120" i="14"/>
  <c r="G119" i="14"/>
  <c r="L118" i="14"/>
  <c r="K118" i="14" s="1"/>
  <c r="G118" i="14"/>
  <c r="C118" i="14"/>
  <c r="E263" i="15"/>
  <c r="E260" i="15"/>
  <c r="E257" i="15"/>
  <c r="H1469" i="16"/>
  <c r="E1468" i="16"/>
  <c r="H1467" i="16"/>
  <c r="H1466" i="16"/>
  <c r="H1465" i="16"/>
  <c r="H1464" i="16"/>
  <c r="H1463" i="16"/>
  <c r="H1462" i="16"/>
  <c r="H1461" i="16"/>
  <c r="H1460" i="16"/>
  <c r="H1459" i="16"/>
  <c r="H1458" i="16"/>
  <c r="H1457" i="16"/>
  <c r="H1456" i="16"/>
  <c r="H1455" i="16"/>
  <c r="H1454" i="16"/>
  <c r="H1453" i="16"/>
  <c r="H1452" i="16"/>
  <c r="H1451" i="16"/>
  <c r="H1450" i="16"/>
  <c r="H1449" i="16"/>
  <c r="H1448" i="16"/>
  <c r="H1447" i="16"/>
  <c r="H1446" i="16"/>
  <c r="H1445" i="16"/>
  <c r="E1444" i="16"/>
  <c r="H1443" i="16"/>
  <c r="H1442" i="16"/>
  <c r="H1441" i="16"/>
  <c r="H1440" i="16"/>
  <c r="H1439" i="16"/>
  <c r="H1438" i="16"/>
  <c r="H1437" i="16"/>
  <c r="H1436" i="16"/>
  <c r="H1435" i="16"/>
  <c r="H1434" i="16"/>
  <c r="H1433" i="16"/>
  <c r="H1432" i="16"/>
  <c r="H1431" i="16"/>
  <c r="H1430" i="16"/>
  <c r="H1429" i="16"/>
  <c r="H1428" i="16"/>
  <c r="H1427" i="16"/>
  <c r="H1426" i="16"/>
  <c r="H1425" i="16"/>
  <c r="H1424" i="16"/>
  <c r="H1423" i="16"/>
  <c r="I1421" i="16"/>
  <c r="E1420" i="16"/>
  <c r="H1419" i="16"/>
  <c r="H1418" i="16"/>
  <c r="H1417" i="16"/>
  <c r="H1416" i="16"/>
  <c r="H1415" i="16"/>
  <c r="H1413" i="16"/>
  <c r="H1411" i="16"/>
  <c r="H1410" i="16"/>
  <c r="H1409" i="16"/>
  <c r="H1408" i="16"/>
  <c r="H1407" i="16"/>
  <c r="H1406" i="16"/>
  <c r="H1405" i="16"/>
  <c r="H1404" i="16"/>
  <c r="H1403" i="16"/>
  <c r="H1402" i="16"/>
  <c r="H1401" i="16"/>
  <c r="E1414" i="16"/>
  <c r="E1399" i="16"/>
  <c r="H1398" i="16"/>
  <c r="H1397" i="16"/>
  <c r="H1396" i="16"/>
  <c r="H1395" i="16"/>
  <c r="H1394" i="16"/>
  <c r="H1393" i="16"/>
  <c r="H1392" i="16"/>
  <c r="H1391" i="16"/>
  <c r="H1390" i="16"/>
  <c r="H1389" i="16"/>
  <c r="H1388" i="16"/>
  <c r="H1387" i="16"/>
  <c r="H1386" i="16"/>
  <c r="H1385" i="16"/>
  <c r="E1055" i="17"/>
  <c r="H1054" i="17"/>
  <c r="H1055" i="17" s="1"/>
  <c r="G1054" i="17"/>
  <c r="G1055" i="17" s="1"/>
  <c r="D1054" i="17"/>
  <c r="D1055" i="17" s="1"/>
  <c r="P1053" i="17"/>
  <c r="F1053" i="17"/>
  <c r="I1053" i="17" s="1"/>
  <c r="P1052" i="17"/>
  <c r="F1052" i="17"/>
  <c r="I1052" i="17" s="1"/>
  <c r="P1051" i="17"/>
  <c r="I1051" i="17"/>
  <c r="F1051" i="17"/>
  <c r="P1050" i="17"/>
  <c r="F1050" i="17"/>
  <c r="I1050" i="17" s="1"/>
  <c r="P1049" i="17"/>
  <c r="I1049" i="17"/>
  <c r="F1049" i="17"/>
  <c r="P1048" i="17"/>
  <c r="F1048" i="17"/>
  <c r="I1048" i="17" s="1"/>
  <c r="P1047" i="17"/>
  <c r="I1047" i="17"/>
  <c r="F1047" i="17"/>
  <c r="P1046" i="17"/>
  <c r="F1046" i="17"/>
  <c r="I1046" i="17" s="1"/>
  <c r="P1045" i="17"/>
  <c r="F1045" i="17"/>
  <c r="I1045" i="17" s="1"/>
  <c r="P1044" i="17"/>
  <c r="F1044" i="17"/>
  <c r="I1044" i="17" s="1"/>
  <c r="P1043" i="17"/>
  <c r="F1043" i="17"/>
  <c r="I1043" i="17" s="1"/>
  <c r="P1042" i="17"/>
  <c r="F1042" i="17"/>
  <c r="I1042" i="17" s="1"/>
  <c r="P1041" i="17"/>
  <c r="I1041" i="17"/>
  <c r="F1041" i="17"/>
  <c r="P1040" i="17"/>
  <c r="F1040" i="17"/>
  <c r="I1040" i="17" s="1"/>
  <c r="P1039" i="17"/>
  <c r="F1039" i="17"/>
  <c r="I1039" i="17" s="1"/>
  <c r="P1038" i="17"/>
  <c r="F1038" i="17"/>
  <c r="I1038" i="17" s="1"/>
  <c r="P1037" i="17"/>
  <c r="F1037" i="17"/>
  <c r="I1037" i="17" s="1"/>
  <c r="P1036" i="17"/>
  <c r="F1036" i="17"/>
  <c r="I1036" i="17" s="1"/>
  <c r="P1035" i="17"/>
  <c r="F1035" i="17"/>
  <c r="I1035" i="17" s="1"/>
  <c r="P1034" i="17"/>
  <c r="F1034" i="17"/>
  <c r="I1034" i="17" s="1"/>
  <c r="P1033" i="17"/>
  <c r="I1033" i="17"/>
  <c r="F1033" i="17"/>
  <c r="P1032" i="17"/>
  <c r="F1032" i="17"/>
  <c r="I1032" i="17" s="1"/>
  <c r="P1031" i="17"/>
  <c r="F1031" i="17"/>
  <c r="I1031" i="17" s="1"/>
  <c r="P1030" i="17"/>
  <c r="F1030" i="17"/>
  <c r="I1030" i="17" s="1"/>
  <c r="P1029" i="17"/>
  <c r="F1029" i="17"/>
  <c r="I1029" i="17" s="1"/>
  <c r="P1028" i="17"/>
  <c r="F1028" i="17"/>
  <c r="P1027" i="17"/>
  <c r="I1027" i="17"/>
  <c r="F1027" i="17"/>
  <c r="P1026" i="17"/>
  <c r="F1026" i="17"/>
  <c r="I1026" i="17" s="1"/>
  <c r="P1025" i="17"/>
  <c r="F1025" i="17"/>
  <c r="I1025" i="17" s="1"/>
  <c r="P1024" i="17"/>
  <c r="F1024" i="17"/>
  <c r="I1024" i="17" s="1"/>
  <c r="P1023" i="17"/>
  <c r="F1023" i="17"/>
  <c r="I1023" i="17" s="1"/>
  <c r="P1022" i="17"/>
  <c r="F1022" i="17"/>
  <c r="I1022" i="17" s="1"/>
  <c r="E1021" i="17"/>
  <c r="D1021" i="17"/>
  <c r="H1020" i="17"/>
  <c r="H1021" i="17" s="1"/>
  <c r="G1020" i="17"/>
  <c r="G1021" i="17" s="1"/>
  <c r="P1019" i="17"/>
  <c r="F1019" i="17"/>
  <c r="I1019" i="17" s="1"/>
  <c r="P1018" i="17"/>
  <c r="F1018" i="17"/>
  <c r="I1018" i="17" s="1"/>
  <c r="P1017" i="17"/>
  <c r="I1017" i="17"/>
  <c r="F1017" i="17"/>
  <c r="P1016" i="17"/>
  <c r="F1016" i="17"/>
  <c r="I1016" i="17" s="1"/>
  <c r="P1015" i="17"/>
  <c r="F1015" i="17"/>
  <c r="I1015" i="17" s="1"/>
  <c r="P1014" i="17"/>
  <c r="F1014" i="17"/>
  <c r="I1014" i="17" s="1"/>
  <c r="P1013" i="17"/>
  <c r="F1013" i="17"/>
  <c r="E1012" i="17"/>
  <c r="E1056" i="17" s="1"/>
  <c r="H1011" i="17"/>
  <c r="G1011" i="17"/>
  <c r="D1011" i="17"/>
  <c r="P1010" i="17"/>
  <c r="F1010" i="17"/>
  <c r="I1010" i="17" s="1"/>
  <c r="P1009" i="17"/>
  <c r="F1009" i="17"/>
  <c r="I1009" i="17" s="1"/>
  <c r="P1008" i="17"/>
  <c r="F1008" i="17"/>
  <c r="I1008" i="17" s="1"/>
  <c r="P1007" i="17"/>
  <c r="F1007" i="17"/>
  <c r="I1007" i="17" s="1"/>
  <c r="P1006" i="17"/>
  <c r="F1006" i="17"/>
  <c r="I1006" i="17" s="1"/>
  <c r="P1005" i="17"/>
  <c r="F1005" i="17"/>
  <c r="I1005" i="17" s="1"/>
  <c r="P1004" i="17"/>
  <c r="F1004" i="17"/>
  <c r="I1004" i="17" s="1"/>
  <c r="H1003" i="17"/>
  <c r="H1012" i="17" s="1"/>
  <c r="G1003" i="17"/>
  <c r="G1012" i="17" s="1"/>
  <c r="D1003" i="17"/>
  <c r="P1002" i="17"/>
  <c r="F1002" i="17"/>
  <c r="I1002" i="17" s="1"/>
  <c r="P1001" i="17"/>
  <c r="F1001" i="17"/>
  <c r="I1001" i="17" s="1"/>
  <c r="P1000" i="17"/>
  <c r="F1000" i="17"/>
  <c r="I1000" i="17" s="1"/>
  <c r="P999" i="17"/>
  <c r="I999" i="17"/>
  <c r="F999" i="17"/>
  <c r="P998" i="17"/>
  <c r="F998" i="17"/>
  <c r="I998" i="17" s="1"/>
  <c r="J1809" i="13"/>
  <c r="I1809" i="13"/>
  <c r="F1808" i="13"/>
  <c r="F1807" i="13"/>
  <c r="F1805" i="13"/>
  <c r="I1805" i="13" s="1"/>
  <c r="F1804" i="13"/>
  <c r="F1803" i="13"/>
  <c r="I1803" i="13" s="1"/>
  <c r="F1801" i="13"/>
  <c r="I1801" i="13" s="1"/>
  <c r="F1800" i="13"/>
  <c r="I1800" i="13" s="1"/>
  <c r="F1799" i="13"/>
  <c r="I1799" i="13" s="1"/>
  <c r="F1798" i="13"/>
  <c r="F1796" i="13"/>
  <c r="I1796" i="13" s="1"/>
  <c r="F1795" i="13"/>
  <c r="F1793" i="13"/>
  <c r="I1793" i="13" s="1"/>
  <c r="F1792" i="13"/>
  <c r="I1792" i="13" s="1"/>
  <c r="F1791" i="13"/>
  <c r="I1791" i="13" s="1"/>
  <c r="F1790" i="13"/>
  <c r="F1788" i="13"/>
  <c r="I1788" i="13" s="1"/>
  <c r="F1787" i="13"/>
  <c r="I1787" i="13" s="1"/>
  <c r="F1786" i="13"/>
  <c r="F1783" i="13"/>
  <c r="I1783" i="13" s="1"/>
  <c r="F1780" i="13"/>
  <c r="I1780" i="13" s="1"/>
  <c r="F1779" i="13"/>
  <c r="I1779" i="13" s="1"/>
  <c r="F1778" i="13"/>
  <c r="F1776" i="13"/>
  <c r="I1776" i="13" s="1"/>
  <c r="F1775" i="13"/>
  <c r="F1774" i="13"/>
  <c r="I1774" i="13" s="1"/>
  <c r="F1771" i="13"/>
  <c r="I1771" i="13" s="1"/>
  <c r="F1770" i="13"/>
  <c r="I1770" i="13" s="1"/>
  <c r="F1769" i="13"/>
  <c r="I1769" i="13" s="1"/>
  <c r="F1768" i="13"/>
  <c r="I1768" i="13" s="1"/>
  <c r="F1767" i="13"/>
  <c r="F1765" i="13"/>
  <c r="I1765" i="13" s="1"/>
  <c r="F1764" i="13"/>
  <c r="I1764" i="13" s="1"/>
  <c r="F1763" i="13"/>
  <c r="I1763" i="13" s="1"/>
  <c r="F1762" i="13"/>
  <c r="I1762" i="13" s="1"/>
  <c r="F1761" i="13"/>
  <c r="I1761" i="13" s="1"/>
  <c r="F1760" i="13"/>
  <c r="I1760" i="13" s="1"/>
  <c r="F1759" i="13"/>
  <c r="I1759" i="13" s="1"/>
  <c r="F1758" i="13"/>
  <c r="I1758" i="13" s="1"/>
  <c r="F1757" i="13"/>
  <c r="I1757" i="13" s="1"/>
  <c r="F1756" i="13"/>
  <c r="F1752" i="13"/>
  <c r="I1752" i="13" s="1"/>
  <c r="F1751" i="13"/>
  <c r="I1751" i="13" s="1"/>
  <c r="F1750" i="13"/>
  <c r="I1750" i="13" s="1"/>
  <c r="F1749" i="13"/>
  <c r="I1749" i="13" s="1"/>
  <c r="F1748" i="13"/>
  <c r="I1748" i="13" s="1"/>
  <c r="F1747" i="13"/>
  <c r="I1747" i="13" s="1"/>
  <c r="F1746" i="13"/>
  <c r="I1746" i="13" s="1"/>
  <c r="F1745" i="13"/>
  <c r="F1743" i="13"/>
  <c r="I1743" i="13" s="1"/>
  <c r="F1742" i="13"/>
  <c r="I1742" i="13" s="1"/>
  <c r="F1741" i="13"/>
  <c r="I1741" i="13" s="1"/>
  <c r="F1740" i="13"/>
  <c r="F1737" i="13"/>
  <c r="I1737" i="13" s="1"/>
  <c r="F1736" i="13"/>
  <c r="I1736" i="13" s="1"/>
  <c r="F1735" i="13"/>
  <c r="F1733" i="13"/>
  <c r="I1733" i="13" s="1"/>
  <c r="F1732" i="13"/>
  <c r="I1732" i="13" s="1"/>
  <c r="F1731" i="13"/>
  <c r="F1729" i="13"/>
  <c r="I1729" i="13" s="1"/>
  <c r="F1728" i="13"/>
  <c r="I1728" i="13" s="1"/>
  <c r="F1727" i="13"/>
  <c r="I1727" i="13" s="1"/>
  <c r="F1726" i="13"/>
  <c r="I1726" i="13" s="1"/>
  <c r="F1725" i="13"/>
  <c r="I1725" i="13" s="1"/>
  <c r="F1724" i="13"/>
  <c r="I1724" i="13" s="1"/>
  <c r="F1723" i="13"/>
  <c r="F1721" i="13"/>
  <c r="I1721" i="13" s="1"/>
  <c r="F1720" i="13"/>
  <c r="I1720" i="13" s="1"/>
  <c r="F1719" i="13"/>
  <c r="I1719" i="13" s="1"/>
  <c r="F1718" i="13"/>
  <c r="I1718" i="13" s="1"/>
  <c r="F1717" i="13"/>
  <c r="I1717" i="13" s="1"/>
  <c r="F1716" i="13"/>
  <c r="I1716" i="13" s="1"/>
  <c r="F1715" i="13"/>
  <c r="F1713" i="13"/>
  <c r="I1713" i="13" s="1"/>
  <c r="F1712" i="13"/>
  <c r="I1712" i="13" s="1"/>
  <c r="F1711" i="13"/>
  <c r="I1711" i="13" s="1"/>
  <c r="F1710" i="13"/>
  <c r="F1806" i="1"/>
  <c r="F1807" i="1" s="1"/>
  <c r="I1805" i="1"/>
  <c r="H1805" i="1"/>
  <c r="F1809" i="13" s="1"/>
  <c r="G1804" i="1"/>
  <c r="J1804" i="1" s="1"/>
  <c r="G1803" i="1"/>
  <c r="J1803" i="1" s="1"/>
  <c r="I1802" i="1"/>
  <c r="H1802" i="1"/>
  <c r="E1802" i="1"/>
  <c r="G1801" i="1"/>
  <c r="J1801" i="1" s="1"/>
  <c r="G1800" i="1"/>
  <c r="J1800" i="1" s="1"/>
  <c r="G1799" i="1"/>
  <c r="J1799" i="1" s="1"/>
  <c r="I1798" i="1"/>
  <c r="H1798" i="1"/>
  <c r="E1798" i="1"/>
  <c r="G1797" i="1"/>
  <c r="J1797" i="1" s="1"/>
  <c r="G1796" i="1"/>
  <c r="J1796" i="1" s="1"/>
  <c r="G1795" i="1"/>
  <c r="J1795" i="1" s="1"/>
  <c r="G1794" i="1"/>
  <c r="J1794" i="1" s="1"/>
  <c r="G1793" i="1"/>
  <c r="J1793" i="1" s="1"/>
  <c r="I1792" i="1"/>
  <c r="H1792" i="1"/>
  <c r="E1792" i="1"/>
  <c r="G1791" i="1"/>
  <c r="J1791" i="1" s="1"/>
  <c r="G1790" i="1"/>
  <c r="I1789" i="1"/>
  <c r="H1789" i="1"/>
  <c r="E1789" i="1"/>
  <c r="G1788" i="1"/>
  <c r="J1788" i="1" s="1"/>
  <c r="G1787" i="1"/>
  <c r="J1787" i="1" s="1"/>
  <c r="G1786" i="1"/>
  <c r="J1786" i="1" s="1"/>
  <c r="G1785" i="1"/>
  <c r="I1784" i="1"/>
  <c r="H1784" i="1"/>
  <c r="E1784" i="1"/>
  <c r="G1783" i="1"/>
  <c r="J1783" i="1" s="1"/>
  <c r="G1782" i="1"/>
  <c r="J1782" i="1" s="1"/>
  <c r="G1781" i="1"/>
  <c r="J1781" i="1" s="1"/>
  <c r="F1779" i="1"/>
  <c r="F1780" i="1" s="1"/>
  <c r="G1778" i="1"/>
  <c r="J1778" i="1" s="1"/>
  <c r="I1776" i="1"/>
  <c r="H1776" i="1"/>
  <c r="E1776" i="1"/>
  <c r="E1777" i="1" s="1"/>
  <c r="G1775" i="1"/>
  <c r="J1775" i="1" s="1"/>
  <c r="G1774" i="1"/>
  <c r="J1774" i="1" s="1"/>
  <c r="G1773" i="1"/>
  <c r="J1773" i="1" s="1"/>
  <c r="I1772" i="1"/>
  <c r="H1772" i="1"/>
  <c r="H1777" i="1" s="1"/>
  <c r="G1771" i="1"/>
  <c r="J1771" i="1" s="1"/>
  <c r="G1770" i="1"/>
  <c r="J1770" i="1" s="1"/>
  <c r="G1769" i="1"/>
  <c r="I1767" i="1"/>
  <c r="H1767" i="1"/>
  <c r="E1767" i="1"/>
  <c r="G1766" i="1"/>
  <c r="J1766" i="1" s="1"/>
  <c r="G1765" i="1"/>
  <c r="J1765" i="1" s="1"/>
  <c r="G1764" i="1"/>
  <c r="J1764" i="1" s="1"/>
  <c r="G1763" i="1"/>
  <c r="J1763" i="1" s="1"/>
  <c r="G1762" i="1"/>
  <c r="J1762" i="1" s="1"/>
  <c r="I1761" i="1"/>
  <c r="H1761" i="1"/>
  <c r="E1761" i="1"/>
  <c r="G1760" i="1"/>
  <c r="J1760" i="1" s="1"/>
  <c r="G1759" i="1"/>
  <c r="J1759" i="1" s="1"/>
  <c r="G1758" i="1"/>
  <c r="J1758" i="1" s="1"/>
  <c r="G1757" i="1"/>
  <c r="J1757" i="1" s="1"/>
  <c r="G1756" i="1"/>
  <c r="J1756" i="1" s="1"/>
  <c r="G1755" i="1"/>
  <c r="J1755" i="1" s="1"/>
  <c r="G1754" i="1"/>
  <c r="J1754" i="1" s="1"/>
  <c r="G1753" i="1"/>
  <c r="J1753" i="1" s="1"/>
  <c r="G1752" i="1"/>
  <c r="J1752" i="1" s="1"/>
  <c r="G1751" i="1"/>
  <c r="J1751" i="1" s="1"/>
  <c r="F1749" i="1"/>
  <c r="I1748" i="1"/>
  <c r="H1748" i="1"/>
  <c r="G1747" i="1"/>
  <c r="J1747" i="1" s="1"/>
  <c r="G1746" i="1"/>
  <c r="J1746" i="1" s="1"/>
  <c r="G1745" i="1"/>
  <c r="J1745" i="1" s="1"/>
  <c r="G1744" i="1"/>
  <c r="J1744" i="1" s="1"/>
  <c r="G1743" i="1"/>
  <c r="J1743" i="1" s="1"/>
  <c r="G1742" i="1"/>
  <c r="J1742" i="1" s="1"/>
  <c r="G1741" i="1"/>
  <c r="J1741" i="1" s="1"/>
  <c r="G1740" i="1"/>
  <c r="E1740" i="1"/>
  <c r="E1748" i="1" s="1"/>
  <c r="I1739" i="1"/>
  <c r="H1739" i="1"/>
  <c r="E1739" i="1"/>
  <c r="G1738" i="1"/>
  <c r="J1738" i="1" s="1"/>
  <c r="G1737" i="1"/>
  <c r="J1737" i="1" s="1"/>
  <c r="G1736" i="1"/>
  <c r="J1736" i="1" s="1"/>
  <c r="G1735" i="1"/>
  <c r="J1735" i="1" s="1"/>
  <c r="I1733" i="1"/>
  <c r="H1733" i="1"/>
  <c r="E1733" i="1"/>
  <c r="G1732" i="1"/>
  <c r="J1732" i="1" s="1"/>
  <c r="G1731" i="1"/>
  <c r="J1731" i="1" s="1"/>
  <c r="G1730" i="1"/>
  <c r="I1729" i="1"/>
  <c r="H1729" i="1"/>
  <c r="F1729" i="1"/>
  <c r="F1734" i="1" s="1"/>
  <c r="F1750" i="1" s="1"/>
  <c r="E1729" i="1"/>
  <c r="G1728" i="1"/>
  <c r="G1727" i="1"/>
  <c r="J1727" i="1" s="1"/>
  <c r="G1726" i="1"/>
  <c r="G1729" i="1" s="1"/>
  <c r="J1729" i="1" s="1"/>
  <c r="I1725" i="1"/>
  <c r="H1725" i="1"/>
  <c r="E1725" i="1"/>
  <c r="G1724" i="1"/>
  <c r="J1724" i="1" s="1"/>
  <c r="G1723" i="1"/>
  <c r="J1723" i="1" s="1"/>
  <c r="G1722" i="1"/>
  <c r="J1722" i="1" s="1"/>
  <c r="G1721" i="1"/>
  <c r="J1721" i="1" s="1"/>
  <c r="G1720" i="1"/>
  <c r="J1720" i="1" s="1"/>
  <c r="G1719" i="1"/>
  <c r="J1719" i="1" s="1"/>
  <c r="G1718" i="1"/>
  <c r="J1718" i="1" s="1"/>
  <c r="I1717" i="1"/>
  <c r="H1717" i="1"/>
  <c r="E1717" i="1"/>
  <c r="G1716" i="1"/>
  <c r="J1716" i="1" s="1"/>
  <c r="G1715" i="1"/>
  <c r="J1715" i="1" s="1"/>
  <c r="G1714" i="1"/>
  <c r="J1714" i="1" s="1"/>
  <c r="G1713" i="1"/>
  <c r="J1713" i="1" s="1"/>
  <c r="G1712" i="1"/>
  <c r="J1712" i="1" s="1"/>
  <c r="G1711" i="1"/>
  <c r="J1711" i="1" s="1"/>
  <c r="G1710" i="1"/>
  <c r="J1710" i="1" s="1"/>
  <c r="I1709" i="1"/>
  <c r="H1709" i="1"/>
  <c r="E1709" i="1"/>
  <c r="E1734" i="1" s="1"/>
  <c r="C255" i="15" s="1"/>
  <c r="G1708" i="1"/>
  <c r="J1708" i="1" s="1"/>
  <c r="G1707" i="1"/>
  <c r="J1707" i="1" s="1"/>
  <c r="G1706" i="1"/>
  <c r="J1706" i="1" s="1"/>
  <c r="G1705" i="1"/>
  <c r="F1808" i="1" l="1"/>
  <c r="E1749" i="1"/>
  <c r="C256" i="15" s="1"/>
  <c r="C258" i="15" s="1"/>
  <c r="H1768" i="1"/>
  <c r="N120" i="14"/>
  <c r="N124" i="14"/>
  <c r="D1012" i="17"/>
  <c r="D1056" i="17" s="1"/>
  <c r="F1020" i="17"/>
  <c r="P1020" i="17"/>
  <c r="P1021" i="17" s="1"/>
  <c r="I1777" i="1"/>
  <c r="I1013" i="17"/>
  <c r="N123" i="14"/>
  <c r="E1768" i="1"/>
  <c r="E1779" i="1" s="1"/>
  <c r="E1780" i="1" s="1"/>
  <c r="C259" i="15" s="1"/>
  <c r="C261" i="15" s="1"/>
  <c r="H1420" i="16"/>
  <c r="F1714" i="13"/>
  <c r="F1730" i="13"/>
  <c r="F1738" i="13"/>
  <c r="F1789" i="13"/>
  <c r="G1733" i="1"/>
  <c r="J1733" i="1" s="1"/>
  <c r="F1734" i="13"/>
  <c r="F1744" i="13"/>
  <c r="F1753" i="13"/>
  <c r="F1766" i="13"/>
  <c r="F1781" i="13"/>
  <c r="F1797" i="13"/>
  <c r="F1806" i="13"/>
  <c r="G1709" i="1"/>
  <c r="J1709" i="1" s="1"/>
  <c r="G1717" i="1"/>
  <c r="J1717" i="1" s="1"/>
  <c r="J1730" i="1"/>
  <c r="G1784" i="1"/>
  <c r="J1784" i="1" s="1"/>
  <c r="G1805" i="1"/>
  <c r="J1805" i="1" s="1"/>
  <c r="F1722" i="13"/>
  <c r="F1772" i="13"/>
  <c r="F1773" i="13" s="1"/>
  <c r="F1794" i="13"/>
  <c r="F1802" i="13"/>
  <c r="G1915" i="1"/>
  <c r="J1915" i="1" s="1"/>
  <c r="F1777" i="13"/>
  <c r="H1444" i="16"/>
  <c r="I1768" i="1"/>
  <c r="I1779" i="1" s="1"/>
  <c r="I1780" i="1" s="1"/>
  <c r="H1779" i="1"/>
  <c r="H1780" i="1" s="1"/>
  <c r="H1468" i="16"/>
  <c r="N121" i="14"/>
  <c r="J1726" i="1"/>
  <c r="M127" i="14"/>
  <c r="O127" i="14"/>
  <c r="N127" i="14" s="1"/>
  <c r="R127" i="14" s="1"/>
  <c r="M129" i="14"/>
  <c r="O129" i="14"/>
  <c r="N129" i="14" s="1"/>
  <c r="R129" i="14" s="1"/>
  <c r="O128" i="14"/>
  <c r="N128" i="14" s="1"/>
  <c r="N131" i="14"/>
  <c r="R131" i="14" s="1"/>
  <c r="N132" i="14"/>
  <c r="R132" i="14" s="1"/>
  <c r="N133" i="14"/>
  <c r="R133" i="14" s="1"/>
  <c r="R120" i="14"/>
  <c r="P120" i="14"/>
  <c r="Q120" i="14"/>
  <c r="R121" i="14"/>
  <c r="P121" i="14"/>
  <c r="Q121" i="14"/>
  <c r="R122" i="14"/>
  <c r="P122" i="14"/>
  <c r="Q122" i="14"/>
  <c r="S122" i="14" s="1"/>
  <c r="R123" i="14"/>
  <c r="P123" i="14"/>
  <c r="Q123" i="14"/>
  <c r="S123" i="14" s="1"/>
  <c r="R124" i="14"/>
  <c r="P124" i="14"/>
  <c r="Q124" i="14"/>
  <c r="O118" i="14"/>
  <c r="N118" i="14" s="1"/>
  <c r="M118" i="14"/>
  <c r="M120" i="14"/>
  <c r="M121" i="14"/>
  <c r="M122" i="14"/>
  <c r="M123" i="14"/>
  <c r="M124" i="14"/>
  <c r="L126" i="14"/>
  <c r="K126" i="14" s="1"/>
  <c r="C126" i="14"/>
  <c r="R128" i="14"/>
  <c r="P128" i="14"/>
  <c r="L119" i="14"/>
  <c r="K119" i="14" s="1"/>
  <c r="C119" i="14"/>
  <c r="O125" i="14"/>
  <c r="N125" i="14" s="1"/>
  <c r="M125" i="14"/>
  <c r="Q127" i="14"/>
  <c r="Q128" i="14"/>
  <c r="N130" i="14"/>
  <c r="M130" i="14"/>
  <c r="M131" i="14"/>
  <c r="M132" i="14"/>
  <c r="M133" i="14"/>
  <c r="E1422" i="16"/>
  <c r="E1471" i="16" s="1"/>
  <c r="H1399" i="16"/>
  <c r="H1412" i="16"/>
  <c r="H1400" i="16"/>
  <c r="P1054" i="17"/>
  <c r="P1055" i="17" s="1"/>
  <c r="P1011" i="17"/>
  <c r="F1003" i="17"/>
  <c r="F1021" i="17"/>
  <c r="I1021" i="17" s="1"/>
  <c r="I1020" i="17"/>
  <c r="G1056" i="17"/>
  <c r="P1003" i="17"/>
  <c r="F1011" i="17"/>
  <c r="I1011" i="17" s="1"/>
  <c r="F1054" i="17"/>
  <c r="H1056" i="17"/>
  <c r="I1745" i="13"/>
  <c r="I1753" i="13" s="1"/>
  <c r="I1756" i="13"/>
  <c r="I1766" i="13" s="1"/>
  <c r="I1767" i="13"/>
  <c r="I1772" i="13" s="1"/>
  <c r="I1775" i="13"/>
  <c r="I1777" i="13" s="1"/>
  <c r="I1778" i="13"/>
  <c r="I1781" i="13" s="1"/>
  <c r="I1786" i="13"/>
  <c r="I1789" i="13" s="1"/>
  <c r="I1804" i="13"/>
  <c r="I1806" i="13" s="1"/>
  <c r="I1710" i="13"/>
  <c r="I1714" i="13" s="1"/>
  <c r="I1715" i="13"/>
  <c r="I1722" i="13" s="1"/>
  <c r="I1723" i="13"/>
  <c r="I1730" i="13" s="1"/>
  <c r="I1731" i="13"/>
  <c r="I1734" i="13" s="1"/>
  <c r="I1735" i="13"/>
  <c r="I1738" i="13" s="1"/>
  <c r="I1740" i="13"/>
  <c r="I1744" i="13" s="1"/>
  <c r="I1754" i="13" s="1"/>
  <c r="I1790" i="13"/>
  <c r="I1794" i="13" s="1"/>
  <c r="I1795" i="13"/>
  <c r="I1797" i="13" s="1"/>
  <c r="I1798" i="13"/>
  <c r="I1802" i="13" s="1"/>
  <c r="H1806" i="1"/>
  <c r="H1807" i="1" s="1"/>
  <c r="I1749" i="1"/>
  <c r="I1734" i="1"/>
  <c r="E1750" i="1"/>
  <c r="G1725" i="1"/>
  <c r="J1725" i="1" s="1"/>
  <c r="G1739" i="1"/>
  <c r="H1734" i="1"/>
  <c r="H1749" i="1"/>
  <c r="G1748" i="1"/>
  <c r="J1740" i="1"/>
  <c r="G1761" i="1"/>
  <c r="G1767" i="1"/>
  <c r="J1767" i="1" s="1"/>
  <c r="G1772" i="1"/>
  <c r="J1769" i="1"/>
  <c r="G1776" i="1"/>
  <c r="J1776" i="1" s="1"/>
  <c r="E1806" i="1"/>
  <c r="E1807" i="1" s="1"/>
  <c r="C262" i="15" s="1"/>
  <c r="C264" i="15" s="1"/>
  <c r="I1806" i="1"/>
  <c r="I1807" i="1" s="1"/>
  <c r="G1789" i="1"/>
  <c r="J1789" i="1" s="1"/>
  <c r="J1785" i="1"/>
  <c r="G1792" i="1"/>
  <c r="J1792" i="1" s="1"/>
  <c r="J1790" i="1"/>
  <c r="G1798" i="1"/>
  <c r="J1798" i="1" s="1"/>
  <c r="G1802" i="1"/>
  <c r="J1802" i="1" s="1"/>
  <c r="F1320" i="16"/>
  <c r="F1411" i="16" s="1"/>
  <c r="E1321" i="16"/>
  <c r="E1309" i="16"/>
  <c r="F1739" i="13" l="1"/>
  <c r="C265" i="15"/>
  <c r="P129" i="14"/>
  <c r="S124" i="14"/>
  <c r="S120" i="14"/>
  <c r="T120" i="14" s="1"/>
  <c r="I1750" i="1"/>
  <c r="I1808" i="1" s="1"/>
  <c r="Q129" i="14"/>
  <c r="S121" i="14"/>
  <c r="I1320" i="16"/>
  <c r="F1782" i="13"/>
  <c r="F1784" i="13" s="1"/>
  <c r="F1785" i="13" s="1"/>
  <c r="F1810" i="13"/>
  <c r="F1811" i="13" s="1"/>
  <c r="F1754" i="13"/>
  <c r="F1755" i="13" s="1"/>
  <c r="F1503" i="16"/>
  <c r="I1411" i="16"/>
  <c r="G1734" i="1"/>
  <c r="I1782" i="13"/>
  <c r="P132" i="14"/>
  <c r="Q132" i="14"/>
  <c r="S132" i="14" s="1"/>
  <c r="T132" i="14" s="1"/>
  <c r="S128" i="14"/>
  <c r="T128" i="14" s="1"/>
  <c r="P133" i="14"/>
  <c r="P131" i="14"/>
  <c r="P127" i="14"/>
  <c r="Q133" i="14"/>
  <c r="S133" i="14" s="1"/>
  <c r="T133" i="14" s="1"/>
  <c r="Q131" i="14"/>
  <c r="S131" i="14" s="1"/>
  <c r="T131" i="14" s="1"/>
  <c r="T123" i="14"/>
  <c r="T121" i="14"/>
  <c r="R130" i="14"/>
  <c r="P130" i="14"/>
  <c r="Q130" i="14"/>
  <c r="M126" i="14"/>
  <c r="O126" i="14"/>
  <c r="N126" i="14" s="1"/>
  <c r="S129" i="14"/>
  <c r="T129" i="14" s="1"/>
  <c r="S127" i="14"/>
  <c r="T127" i="14" s="1"/>
  <c r="Q125" i="14"/>
  <c r="P125" i="14"/>
  <c r="R125" i="14"/>
  <c r="O119" i="14"/>
  <c r="N119" i="14" s="1"/>
  <c r="M119" i="14"/>
  <c r="T124" i="14"/>
  <c r="T122" i="14"/>
  <c r="Q118" i="14"/>
  <c r="R118" i="14"/>
  <c r="P118" i="14"/>
  <c r="H1414" i="16"/>
  <c r="H1422" i="16" s="1"/>
  <c r="P1012" i="17"/>
  <c r="P1056" i="17" s="1"/>
  <c r="I1003" i="17"/>
  <c r="F1012" i="17"/>
  <c r="I1012" i="17" s="1"/>
  <c r="F1055" i="17"/>
  <c r="I1054" i="17"/>
  <c r="I1810" i="13"/>
  <c r="I1811" i="13" s="1"/>
  <c r="I1773" i="13"/>
  <c r="I1739" i="13"/>
  <c r="I1755" i="13" s="1"/>
  <c r="G1806" i="1"/>
  <c r="G1777" i="1"/>
  <c r="J1777" i="1" s="1"/>
  <c r="J1772" i="1"/>
  <c r="J1739" i="1"/>
  <c r="G1749" i="1"/>
  <c r="E1808" i="1"/>
  <c r="G1750" i="1"/>
  <c r="J1734" i="1"/>
  <c r="G1768" i="1"/>
  <c r="J1761" i="1"/>
  <c r="H1750" i="1"/>
  <c r="H1808" i="1" s="1"/>
  <c r="H1320" i="16"/>
  <c r="D143" i="14"/>
  <c r="D144" i="14"/>
  <c r="D137" i="14"/>
  <c r="F1812" i="13" l="1"/>
  <c r="S130" i="14"/>
  <c r="I1503" i="16"/>
  <c r="F1595" i="16"/>
  <c r="I1784" i="13"/>
  <c r="I1785" i="13" s="1"/>
  <c r="I1812" i="13" s="1"/>
  <c r="T130" i="14"/>
  <c r="R119" i="14"/>
  <c r="P119" i="14"/>
  <c r="Q119" i="14"/>
  <c r="S118" i="14"/>
  <c r="T118" i="14" s="1"/>
  <c r="S125" i="14"/>
  <c r="T125" i="14" s="1"/>
  <c r="R126" i="14"/>
  <c r="P126" i="14"/>
  <c r="Q126" i="14"/>
  <c r="F1056" i="17"/>
  <c r="I1056" i="17" s="1"/>
  <c r="I1055" i="17"/>
  <c r="G1779" i="1"/>
  <c r="J1768" i="1"/>
  <c r="G1807" i="1"/>
  <c r="J1806" i="1"/>
  <c r="J1807" i="1" s="1"/>
  <c r="J1750" i="1"/>
  <c r="J1749" i="1"/>
  <c r="J1748" i="1"/>
  <c r="L151" i="14"/>
  <c r="K151" i="14"/>
  <c r="O151" i="14" s="1"/>
  <c r="G151" i="14"/>
  <c r="C151" i="14"/>
  <c r="L150" i="14"/>
  <c r="K150" i="14" s="1"/>
  <c r="O150" i="14" s="1"/>
  <c r="G150" i="14"/>
  <c r="C150" i="14"/>
  <c r="L149" i="14"/>
  <c r="K149" i="14" s="1"/>
  <c r="O149" i="14" s="1"/>
  <c r="G149" i="14"/>
  <c r="C149" i="14"/>
  <c r="L148" i="14"/>
  <c r="K148" i="14" s="1"/>
  <c r="O148" i="14" s="1"/>
  <c r="G148" i="14"/>
  <c r="C148" i="14"/>
  <c r="L147" i="14"/>
  <c r="K147" i="14" s="1"/>
  <c r="G147" i="14"/>
  <c r="C147" i="14"/>
  <c r="L146" i="14"/>
  <c r="K146" i="14" s="1"/>
  <c r="M146" i="14" s="1"/>
  <c r="G146" i="14"/>
  <c r="C146" i="14"/>
  <c r="L145" i="14"/>
  <c r="K145" i="14" s="1"/>
  <c r="G145" i="14"/>
  <c r="C145" i="14"/>
  <c r="L144" i="14"/>
  <c r="K144" i="14" s="1"/>
  <c r="M144" i="14" s="1"/>
  <c r="G144" i="14"/>
  <c r="C144" i="14"/>
  <c r="L143" i="14"/>
  <c r="K143" i="14" s="1"/>
  <c r="G143" i="14"/>
  <c r="C143" i="14"/>
  <c r="L142" i="14"/>
  <c r="K142" i="14" s="1"/>
  <c r="O142" i="14" s="1"/>
  <c r="G142" i="14"/>
  <c r="C142" i="14"/>
  <c r="L141" i="14"/>
  <c r="K141" i="14" s="1"/>
  <c r="O141" i="14" s="1"/>
  <c r="G141" i="14"/>
  <c r="C141" i="14"/>
  <c r="L140" i="14"/>
  <c r="K140" i="14" s="1"/>
  <c r="O140" i="14" s="1"/>
  <c r="N140" i="14" s="1"/>
  <c r="G140" i="14"/>
  <c r="C140" i="14"/>
  <c r="L139" i="14"/>
  <c r="K139" i="14" s="1"/>
  <c r="O139" i="14" s="1"/>
  <c r="G139" i="14"/>
  <c r="C139" i="14"/>
  <c r="L138" i="14"/>
  <c r="K138" i="14" s="1"/>
  <c r="O138" i="14" s="1"/>
  <c r="G138" i="14"/>
  <c r="C138" i="14"/>
  <c r="G137" i="14"/>
  <c r="L136" i="14"/>
  <c r="K136" i="14" s="1"/>
  <c r="G136" i="14"/>
  <c r="C136" i="14"/>
  <c r="E248" i="15"/>
  <c r="E245" i="15"/>
  <c r="E242" i="15"/>
  <c r="H1378" i="16"/>
  <c r="E1377" i="16"/>
  <c r="H1376" i="16"/>
  <c r="H1375" i="16"/>
  <c r="H1374" i="16"/>
  <c r="H1373" i="16"/>
  <c r="H1372" i="16"/>
  <c r="H1371" i="16"/>
  <c r="H1370" i="16"/>
  <c r="H1369" i="16"/>
  <c r="H1368" i="16"/>
  <c r="H1367" i="16"/>
  <c r="H1366" i="16"/>
  <c r="H1365" i="16"/>
  <c r="H1364" i="16"/>
  <c r="H1363" i="16"/>
  <c r="H1362" i="16"/>
  <c r="H1361" i="16"/>
  <c r="H1360" i="16"/>
  <c r="H1359" i="16"/>
  <c r="H1358" i="16"/>
  <c r="H1357" i="16"/>
  <c r="H1356" i="16"/>
  <c r="H1355" i="16"/>
  <c r="H1354" i="16"/>
  <c r="E1353" i="16"/>
  <c r="H1352" i="16"/>
  <c r="H1351" i="16"/>
  <c r="H1350" i="16"/>
  <c r="H1349" i="16"/>
  <c r="H1348" i="16"/>
  <c r="H1347" i="16"/>
  <c r="H1346" i="16"/>
  <c r="H1345" i="16"/>
  <c r="H1344" i="16"/>
  <c r="H1343" i="16"/>
  <c r="H1342" i="16"/>
  <c r="H1341" i="16"/>
  <c r="H1340" i="16"/>
  <c r="H1339" i="16"/>
  <c r="H1338" i="16"/>
  <c r="H1337" i="16"/>
  <c r="H1336" i="16"/>
  <c r="H1335" i="16"/>
  <c r="H1334" i="16"/>
  <c r="H1333" i="16"/>
  <c r="H1332" i="16"/>
  <c r="I1330" i="16"/>
  <c r="E1329" i="16"/>
  <c r="H1328" i="16"/>
  <c r="H1327" i="16"/>
  <c r="H1326" i="16"/>
  <c r="H1325" i="16"/>
  <c r="H1324" i="16"/>
  <c r="H1322" i="16"/>
  <c r="H1321" i="16"/>
  <c r="H1319" i="16"/>
  <c r="H1318" i="16"/>
  <c r="H1317" i="16"/>
  <c r="H1316" i="16"/>
  <c r="H1315" i="16"/>
  <c r="H1314" i="16"/>
  <c r="H1313" i="16"/>
  <c r="H1312" i="16"/>
  <c r="H1311" i="16"/>
  <c r="H1310" i="16"/>
  <c r="E1323" i="16"/>
  <c r="E1308" i="16"/>
  <c r="H1307" i="16"/>
  <c r="H1306" i="16"/>
  <c r="H1305" i="16"/>
  <c r="H1304" i="16"/>
  <c r="H1303" i="16"/>
  <c r="H1302" i="16"/>
  <c r="H1301" i="16"/>
  <c r="H1300" i="16"/>
  <c r="H1299" i="16"/>
  <c r="H1298" i="16"/>
  <c r="H1297" i="16"/>
  <c r="H1296" i="16"/>
  <c r="H1295" i="16"/>
  <c r="H1294" i="16"/>
  <c r="N138" i="14" l="1"/>
  <c r="S126" i="14"/>
  <c r="N141" i="14"/>
  <c r="S119" i="14"/>
  <c r="T119" i="14" s="1"/>
  <c r="H1329" i="16"/>
  <c r="F1687" i="16"/>
  <c r="I1595" i="16"/>
  <c r="T126" i="14"/>
  <c r="G1780" i="1"/>
  <c r="G1808" i="1" s="1"/>
  <c r="J1808" i="1" s="1"/>
  <c r="J1779" i="1"/>
  <c r="J1780" i="1" s="1"/>
  <c r="H1353" i="16"/>
  <c r="H1377" i="16"/>
  <c r="N142" i="14"/>
  <c r="P142" i="14" s="1"/>
  <c r="N139" i="14"/>
  <c r="N148" i="14"/>
  <c r="P148" i="14" s="1"/>
  <c r="N149" i="14"/>
  <c r="R149" i="14" s="1"/>
  <c r="N150" i="14"/>
  <c r="R150" i="14" s="1"/>
  <c r="N151" i="14"/>
  <c r="R151" i="14" s="1"/>
  <c r="M145" i="14"/>
  <c r="O145" i="14"/>
  <c r="N145" i="14" s="1"/>
  <c r="P145" i="14" s="1"/>
  <c r="M143" i="14"/>
  <c r="O143" i="14"/>
  <c r="N143" i="14" s="1"/>
  <c r="M147" i="14"/>
  <c r="O147" i="14"/>
  <c r="N147" i="14" s="1"/>
  <c r="P147" i="14" s="1"/>
  <c r="O144" i="14"/>
  <c r="N144" i="14" s="1"/>
  <c r="P144" i="14" s="1"/>
  <c r="O146" i="14"/>
  <c r="N146" i="14" s="1"/>
  <c r="P146" i="14" s="1"/>
  <c r="R138" i="14"/>
  <c r="P138" i="14"/>
  <c r="Q138" i="14"/>
  <c r="S138" i="14" s="1"/>
  <c r="R139" i="14"/>
  <c r="P139" i="14"/>
  <c r="Q139" i="14"/>
  <c r="S139" i="14" s="1"/>
  <c r="R140" i="14"/>
  <c r="P140" i="14"/>
  <c r="Q140" i="14"/>
  <c r="R141" i="14"/>
  <c r="P141" i="14"/>
  <c r="Q141" i="14"/>
  <c r="S141" i="14" s="1"/>
  <c r="O136" i="14"/>
  <c r="N136" i="14" s="1"/>
  <c r="M136" i="14"/>
  <c r="M138" i="14"/>
  <c r="M139" i="14"/>
  <c r="M140" i="14"/>
  <c r="M141" i="14"/>
  <c r="M142" i="14"/>
  <c r="R147" i="14"/>
  <c r="R148" i="14"/>
  <c r="Q148" i="14"/>
  <c r="P149" i="14"/>
  <c r="P151" i="14"/>
  <c r="L137" i="14"/>
  <c r="K137" i="14" s="1"/>
  <c r="C137" i="14"/>
  <c r="M148" i="14"/>
  <c r="M149" i="14"/>
  <c r="M150" i="14"/>
  <c r="M151" i="14"/>
  <c r="E1331" i="16"/>
  <c r="H1308" i="16"/>
  <c r="E1380" i="16"/>
  <c r="H1309" i="16"/>
  <c r="H1323" i="16" s="1"/>
  <c r="E993" i="17"/>
  <c r="E994" i="17" s="1"/>
  <c r="H992" i="17"/>
  <c r="H993" i="17" s="1"/>
  <c r="G992" i="17"/>
  <c r="G993" i="17" s="1"/>
  <c r="D992" i="17"/>
  <c r="D993" i="17" s="1"/>
  <c r="P991" i="17"/>
  <c r="I991" i="17"/>
  <c r="F991" i="17"/>
  <c r="P990" i="17"/>
  <c r="F990" i="17"/>
  <c r="I990" i="17" s="1"/>
  <c r="P989" i="17"/>
  <c r="F989" i="17"/>
  <c r="I989" i="17" s="1"/>
  <c r="P988" i="17"/>
  <c r="F988" i="17"/>
  <c r="I988" i="17" s="1"/>
  <c r="P987" i="17"/>
  <c r="F987" i="17"/>
  <c r="I987" i="17" s="1"/>
  <c r="P986" i="17"/>
  <c r="F986" i="17"/>
  <c r="I986" i="17" s="1"/>
  <c r="P985" i="17"/>
  <c r="I985" i="17"/>
  <c r="F985" i="17"/>
  <c r="P984" i="17"/>
  <c r="F984" i="17"/>
  <c r="I984" i="17" s="1"/>
  <c r="P983" i="17"/>
  <c r="F983" i="17"/>
  <c r="I983" i="17" s="1"/>
  <c r="P982" i="17"/>
  <c r="F982" i="17"/>
  <c r="I982" i="17" s="1"/>
  <c r="P981" i="17"/>
  <c r="F981" i="17"/>
  <c r="I981" i="17" s="1"/>
  <c r="P980" i="17"/>
  <c r="F980" i="17"/>
  <c r="I980" i="17" s="1"/>
  <c r="P979" i="17"/>
  <c r="I979" i="17"/>
  <c r="F979" i="17"/>
  <c r="P978" i="17"/>
  <c r="F978" i="17"/>
  <c r="I978" i="17" s="1"/>
  <c r="P977" i="17"/>
  <c r="F977" i="17"/>
  <c r="I977" i="17" s="1"/>
  <c r="P976" i="17"/>
  <c r="F976" i="17"/>
  <c r="I976" i="17" s="1"/>
  <c r="P975" i="17"/>
  <c r="F975" i="17"/>
  <c r="I975" i="17" s="1"/>
  <c r="P974" i="17"/>
  <c r="F974" i="17"/>
  <c r="I974" i="17" s="1"/>
  <c r="P973" i="17"/>
  <c r="F973" i="17"/>
  <c r="I973" i="17" s="1"/>
  <c r="P972" i="17"/>
  <c r="F972" i="17"/>
  <c r="I972" i="17" s="1"/>
  <c r="P971" i="17"/>
  <c r="F971" i="17"/>
  <c r="I971" i="17" s="1"/>
  <c r="P970" i="17"/>
  <c r="F970" i="17"/>
  <c r="I970" i="17" s="1"/>
  <c r="P969" i="17"/>
  <c r="F969" i="17"/>
  <c r="I969" i="17" s="1"/>
  <c r="P968" i="17"/>
  <c r="F968" i="17"/>
  <c r="I968" i="17" s="1"/>
  <c r="P967" i="17"/>
  <c r="I967" i="17"/>
  <c r="F967" i="17"/>
  <c r="P966" i="17"/>
  <c r="F966" i="17"/>
  <c r="P965" i="17"/>
  <c r="F965" i="17"/>
  <c r="I965" i="17" s="1"/>
  <c r="P964" i="17"/>
  <c r="F964" i="17"/>
  <c r="I964" i="17" s="1"/>
  <c r="P963" i="17"/>
  <c r="F963" i="17"/>
  <c r="I963" i="17" s="1"/>
  <c r="P962" i="17"/>
  <c r="I962" i="17"/>
  <c r="F962" i="17"/>
  <c r="P961" i="17"/>
  <c r="F961" i="17"/>
  <c r="I961" i="17" s="1"/>
  <c r="P960" i="17"/>
  <c r="F960" i="17"/>
  <c r="I960" i="17" s="1"/>
  <c r="H959" i="17"/>
  <c r="E959" i="17"/>
  <c r="D959" i="17"/>
  <c r="H958" i="17"/>
  <c r="G958" i="17"/>
  <c r="G959" i="17" s="1"/>
  <c r="P957" i="17"/>
  <c r="F957" i="17"/>
  <c r="I957" i="17" s="1"/>
  <c r="P956" i="17"/>
  <c r="I956" i="17"/>
  <c r="F956" i="17"/>
  <c r="P955" i="17"/>
  <c r="F955" i="17"/>
  <c r="I955" i="17" s="1"/>
  <c r="P954" i="17"/>
  <c r="F954" i="17"/>
  <c r="I954" i="17" s="1"/>
  <c r="P953" i="17"/>
  <c r="I953" i="17"/>
  <c r="F953" i="17"/>
  <c r="P952" i="17"/>
  <c r="F952" i="17"/>
  <c r="I952" i="17" s="1"/>
  <c r="P951" i="17"/>
  <c r="F951" i="17"/>
  <c r="E950" i="17"/>
  <c r="H949" i="17"/>
  <c r="G949" i="17"/>
  <c r="D949" i="17"/>
  <c r="D950" i="17" s="1"/>
  <c r="P948" i="17"/>
  <c r="I948" i="17"/>
  <c r="F948" i="17"/>
  <c r="P947" i="17"/>
  <c r="F947" i="17"/>
  <c r="I947" i="17" s="1"/>
  <c r="P946" i="17"/>
  <c r="F946" i="17"/>
  <c r="I946" i="17" s="1"/>
  <c r="P945" i="17"/>
  <c r="F945" i="17"/>
  <c r="I945" i="17" s="1"/>
  <c r="P944" i="17"/>
  <c r="I944" i="17"/>
  <c r="F944" i="17"/>
  <c r="P943" i="17"/>
  <c r="F943" i="17"/>
  <c r="I943" i="17" s="1"/>
  <c r="P942" i="17"/>
  <c r="P949" i="17" s="1"/>
  <c r="F942" i="17"/>
  <c r="I942" i="17" s="1"/>
  <c r="H941" i="17"/>
  <c r="G941" i="17"/>
  <c r="G950" i="17" s="1"/>
  <c r="D941" i="17"/>
  <c r="P940" i="17"/>
  <c r="F940" i="17"/>
  <c r="I940" i="17" s="1"/>
  <c r="P939" i="17"/>
  <c r="F939" i="17"/>
  <c r="I939" i="17" s="1"/>
  <c r="P938" i="17"/>
  <c r="F938" i="17"/>
  <c r="I938" i="17" s="1"/>
  <c r="P937" i="17"/>
  <c r="I937" i="17"/>
  <c r="F937" i="17"/>
  <c r="P936" i="17"/>
  <c r="F936" i="17"/>
  <c r="I936" i="17" s="1"/>
  <c r="J1702" i="13"/>
  <c r="I1702" i="13"/>
  <c r="F1701" i="13"/>
  <c r="F1700" i="13"/>
  <c r="F1698" i="13"/>
  <c r="I1698" i="13" s="1"/>
  <c r="F1697" i="13"/>
  <c r="F1696" i="13"/>
  <c r="I1696" i="13" s="1"/>
  <c r="F1694" i="13"/>
  <c r="I1694" i="13" s="1"/>
  <c r="F1693" i="13"/>
  <c r="I1693" i="13" s="1"/>
  <c r="F1692" i="13"/>
  <c r="I1692" i="13" s="1"/>
  <c r="F1691" i="13"/>
  <c r="F1689" i="13"/>
  <c r="I1689" i="13" s="1"/>
  <c r="F1688" i="13"/>
  <c r="F1686" i="13"/>
  <c r="I1686" i="13" s="1"/>
  <c r="F1685" i="13"/>
  <c r="I1685" i="13" s="1"/>
  <c r="F1684" i="13"/>
  <c r="I1684" i="13" s="1"/>
  <c r="F1683" i="13"/>
  <c r="F1681" i="13"/>
  <c r="I1681" i="13" s="1"/>
  <c r="F1680" i="13"/>
  <c r="I1680" i="13" s="1"/>
  <c r="F1679" i="13"/>
  <c r="F1676" i="13"/>
  <c r="I1676" i="13" s="1"/>
  <c r="F1673" i="13"/>
  <c r="I1673" i="13" s="1"/>
  <c r="F1672" i="13"/>
  <c r="I1672" i="13" s="1"/>
  <c r="F1671" i="13"/>
  <c r="F1669" i="13"/>
  <c r="I1669" i="13" s="1"/>
  <c r="F1668" i="13"/>
  <c r="F1667" i="13"/>
  <c r="I1667" i="13" s="1"/>
  <c r="F1664" i="13"/>
  <c r="I1664" i="13" s="1"/>
  <c r="F1663" i="13"/>
  <c r="I1663" i="13" s="1"/>
  <c r="F1662" i="13"/>
  <c r="I1662" i="13" s="1"/>
  <c r="F1661" i="13"/>
  <c r="I1661" i="13" s="1"/>
  <c r="F1660" i="13"/>
  <c r="F1658" i="13"/>
  <c r="I1658" i="13" s="1"/>
  <c r="F1657" i="13"/>
  <c r="I1657" i="13" s="1"/>
  <c r="F1656" i="13"/>
  <c r="I1656" i="13" s="1"/>
  <c r="F1655" i="13"/>
  <c r="I1655" i="13" s="1"/>
  <c r="F1654" i="13"/>
  <c r="I1654" i="13" s="1"/>
  <c r="F1653" i="13"/>
  <c r="I1653" i="13" s="1"/>
  <c r="F1652" i="13"/>
  <c r="I1652" i="13" s="1"/>
  <c r="F1651" i="13"/>
  <c r="I1651" i="13" s="1"/>
  <c r="F1650" i="13"/>
  <c r="I1650" i="13" s="1"/>
  <c r="F1649" i="13"/>
  <c r="F1645" i="13"/>
  <c r="I1645" i="13" s="1"/>
  <c r="F1644" i="13"/>
  <c r="I1644" i="13" s="1"/>
  <c r="F1643" i="13"/>
  <c r="I1643" i="13" s="1"/>
  <c r="F1642" i="13"/>
  <c r="I1642" i="13" s="1"/>
  <c r="F1641" i="13"/>
  <c r="I1641" i="13" s="1"/>
  <c r="F1640" i="13"/>
  <c r="I1640" i="13" s="1"/>
  <c r="F1639" i="13"/>
  <c r="I1639" i="13" s="1"/>
  <c r="F1638" i="13"/>
  <c r="F1636" i="13"/>
  <c r="I1636" i="13" s="1"/>
  <c r="F1635" i="13"/>
  <c r="I1635" i="13" s="1"/>
  <c r="F1634" i="13"/>
  <c r="I1634" i="13" s="1"/>
  <c r="F1633" i="13"/>
  <c r="F1630" i="13"/>
  <c r="I1630" i="13" s="1"/>
  <c r="F1629" i="13"/>
  <c r="I1629" i="13" s="1"/>
  <c r="F1628" i="13"/>
  <c r="F1626" i="13"/>
  <c r="I1626" i="13" s="1"/>
  <c r="F1625" i="13"/>
  <c r="I1625" i="13" s="1"/>
  <c r="F1624" i="13"/>
  <c r="F1622" i="13"/>
  <c r="I1622" i="13" s="1"/>
  <c r="F1621" i="13"/>
  <c r="I1621" i="13" s="1"/>
  <c r="F1620" i="13"/>
  <c r="I1620" i="13" s="1"/>
  <c r="F1619" i="13"/>
  <c r="I1619" i="13" s="1"/>
  <c r="F1618" i="13"/>
  <c r="I1618" i="13" s="1"/>
  <c r="F1617" i="13"/>
  <c r="I1617" i="13" s="1"/>
  <c r="F1616" i="13"/>
  <c r="F1614" i="13"/>
  <c r="I1614" i="13" s="1"/>
  <c r="F1613" i="13"/>
  <c r="I1613" i="13" s="1"/>
  <c r="F1612" i="13"/>
  <c r="I1612" i="13" s="1"/>
  <c r="F1611" i="13"/>
  <c r="I1611" i="13" s="1"/>
  <c r="F1610" i="13"/>
  <c r="I1610" i="13" s="1"/>
  <c r="F1609" i="13"/>
  <c r="I1609" i="13" s="1"/>
  <c r="F1608" i="13"/>
  <c r="F1606" i="13"/>
  <c r="I1606" i="13" s="1"/>
  <c r="F1605" i="13"/>
  <c r="I1605" i="13" s="1"/>
  <c r="F1604" i="13"/>
  <c r="I1604" i="13" s="1"/>
  <c r="F1603" i="13"/>
  <c r="F1699" i="1"/>
  <c r="F1700" i="1" s="1"/>
  <c r="I1698" i="1"/>
  <c r="H1698" i="1"/>
  <c r="F1702" i="13" s="1"/>
  <c r="G1697" i="1"/>
  <c r="J1697" i="1" s="1"/>
  <c r="G1696" i="1"/>
  <c r="J1696" i="1" s="1"/>
  <c r="I1695" i="1"/>
  <c r="H1695" i="1"/>
  <c r="E1695" i="1"/>
  <c r="G1694" i="1"/>
  <c r="J1694" i="1" s="1"/>
  <c r="G1693" i="1"/>
  <c r="J1693" i="1" s="1"/>
  <c r="G1692" i="1"/>
  <c r="J1692" i="1" s="1"/>
  <c r="I1691" i="1"/>
  <c r="H1691" i="1"/>
  <c r="E1691" i="1"/>
  <c r="G1690" i="1"/>
  <c r="J1690" i="1" s="1"/>
  <c r="G1689" i="1"/>
  <c r="J1689" i="1" s="1"/>
  <c r="G1688" i="1"/>
  <c r="J1688" i="1" s="1"/>
  <c r="G1687" i="1"/>
  <c r="J1687" i="1" s="1"/>
  <c r="G1686" i="1"/>
  <c r="J1686" i="1" s="1"/>
  <c r="I1685" i="1"/>
  <c r="H1685" i="1"/>
  <c r="E1685" i="1"/>
  <c r="G1684" i="1"/>
  <c r="J1684" i="1" s="1"/>
  <c r="G1683" i="1"/>
  <c r="I1682" i="1"/>
  <c r="H1682" i="1"/>
  <c r="E1682" i="1"/>
  <c r="G1681" i="1"/>
  <c r="J1681" i="1" s="1"/>
  <c r="G1680" i="1"/>
  <c r="J1680" i="1" s="1"/>
  <c r="G1679" i="1"/>
  <c r="J1679" i="1" s="1"/>
  <c r="G1678" i="1"/>
  <c r="I1677" i="1"/>
  <c r="H1677" i="1"/>
  <c r="E1677" i="1"/>
  <c r="G1676" i="1"/>
  <c r="J1676" i="1" s="1"/>
  <c r="G1675" i="1"/>
  <c r="J1675" i="1" s="1"/>
  <c r="G1674" i="1"/>
  <c r="F1672" i="1"/>
  <c r="F1673" i="1" s="1"/>
  <c r="G1671" i="1"/>
  <c r="J1671" i="1" s="1"/>
  <c r="I1669" i="1"/>
  <c r="H1669" i="1"/>
  <c r="E1669" i="1"/>
  <c r="E1670" i="1" s="1"/>
  <c r="G1668" i="1"/>
  <c r="J1668" i="1" s="1"/>
  <c r="G1667" i="1"/>
  <c r="J1667" i="1" s="1"/>
  <c r="G1666" i="1"/>
  <c r="I1665" i="1"/>
  <c r="H1665" i="1"/>
  <c r="H1670" i="1" s="1"/>
  <c r="G1664" i="1"/>
  <c r="J1664" i="1" s="1"/>
  <c r="G1663" i="1"/>
  <c r="J1663" i="1" s="1"/>
  <c r="G1662" i="1"/>
  <c r="I1660" i="1"/>
  <c r="H1660" i="1"/>
  <c r="E1660" i="1"/>
  <c r="G1659" i="1"/>
  <c r="J1659" i="1" s="1"/>
  <c r="G1658" i="1"/>
  <c r="J1658" i="1" s="1"/>
  <c r="G1657" i="1"/>
  <c r="J1657" i="1" s="1"/>
  <c r="G1656" i="1"/>
  <c r="J1656" i="1" s="1"/>
  <c r="G1655" i="1"/>
  <c r="I1654" i="1"/>
  <c r="H1654" i="1"/>
  <c r="H1661" i="1" s="1"/>
  <c r="H1672" i="1" s="1"/>
  <c r="H1673" i="1" s="1"/>
  <c r="E1654" i="1"/>
  <c r="G1653" i="1"/>
  <c r="J1653" i="1" s="1"/>
  <c r="G1652" i="1"/>
  <c r="J1652" i="1" s="1"/>
  <c r="G1651" i="1"/>
  <c r="J1651" i="1" s="1"/>
  <c r="G1650" i="1"/>
  <c r="J1650" i="1" s="1"/>
  <c r="G1649" i="1"/>
  <c r="J1649" i="1" s="1"/>
  <c r="G1648" i="1"/>
  <c r="J1648" i="1" s="1"/>
  <c r="G1647" i="1"/>
  <c r="J1647" i="1" s="1"/>
  <c r="G1646" i="1"/>
  <c r="J1646" i="1" s="1"/>
  <c r="G1645" i="1"/>
  <c r="J1645" i="1" s="1"/>
  <c r="G1644" i="1"/>
  <c r="F1642" i="1"/>
  <c r="I1641" i="1"/>
  <c r="H1641" i="1"/>
  <c r="G1640" i="1"/>
  <c r="J1640" i="1" s="1"/>
  <c r="G1639" i="1"/>
  <c r="J1639" i="1" s="1"/>
  <c r="G1638" i="1"/>
  <c r="J1638" i="1" s="1"/>
  <c r="G1637" i="1"/>
  <c r="J1637" i="1" s="1"/>
  <c r="G1636" i="1"/>
  <c r="J1636" i="1" s="1"/>
  <c r="G1635" i="1"/>
  <c r="J1635" i="1" s="1"/>
  <c r="G1634" i="1"/>
  <c r="G1633" i="1"/>
  <c r="J1633" i="1" s="1"/>
  <c r="E1633" i="1"/>
  <c r="E1641" i="1" s="1"/>
  <c r="I1632" i="1"/>
  <c r="H1632" i="1"/>
  <c r="E1632" i="1"/>
  <c r="G1631" i="1"/>
  <c r="J1631" i="1" s="1"/>
  <c r="G1630" i="1"/>
  <c r="J1630" i="1" s="1"/>
  <c r="G1629" i="1"/>
  <c r="J1629" i="1" s="1"/>
  <c r="G1628" i="1"/>
  <c r="I1626" i="1"/>
  <c r="H1626" i="1"/>
  <c r="E1626" i="1"/>
  <c r="G1625" i="1"/>
  <c r="J1625" i="1" s="1"/>
  <c r="G1624" i="1"/>
  <c r="J1624" i="1" s="1"/>
  <c r="G1623" i="1"/>
  <c r="I1622" i="1"/>
  <c r="H1622" i="1"/>
  <c r="F1622" i="1"/>
  <c r="F1627" i="1" s="1"/>
  <c r="E1622" i="1"/>
  <c r="G1621" i="1"/>
  <c r="G1620" i="1"/>
  <c r="J1620" i="1" s="1"/>
  <c r="G1619" i="1"/>
  <c r="G1622" i="1" s="1"/>
  <c r="J1622" i="1" s="1"/>
  <c r="I1618" i="1"/>
  <c r="H1618" i="1"/>
  <c r="E1618" i="1"/>
  <c r="G1617" i="1"/>
  <c r="J1617" i="1" s="1"/>
  <c r="G1616" i="1"/>
  <c r="J1616" i="1" s="1"/>
  <c r="G1615" i="1"/>
  <c r="J1615" i="1" s="1"/>
  <c r="G1614" i="1"/>
  <c r="J1614" i="1" s="1"/>
  <c r="G1613" i="1"/>
  <c r="J1613" i="1" s="1"/>
  <c r="G1612" i="1"/>
  <c r="J1612" i="1" s="1"/>
  <c r="G1611" i="1"/>
  <c r="J1611" i="1" s="1"/>
  <c r="I1610" i="1"/>
  <c r="H1610" i="1"/>
  <c r="E1610" i="1"/>
  <c r="G1609" i="1"/>
  <c r="J1609" i="1" s="1"/>
  <c r="G1608" i="1"/>
  <c r="J1608" i="1" s="1"/>
  <c r="G1607" i="1"/>
  <c r="J1607" i="1" s="1"/>
  <c r="G1606" i="1"/>
  <c r="J1606" i="1" s="1"/>
  <c r="G1605" i="1"/>
  <c r="J1605" i="1" s="1"/>
  <c r="G1604" i="1"/>
  <c r="J1604" i="1" s="1"/>
  <c r="G1603" i="1"/>
  <c r="J1603" i="1" s="1"/>
  <c r="I1602" i="1"/>
  <c r="H1602" i="1"/>
  <c r="E1602" i="1"/>
  <c r="E1627" i="1" s="1"/>
  <c r="C240" i="15" s="1"/>
  <c r="G1601" i="1"/>
  <c r="J1601" i="1" s="1"/>
  <c r="G1600" i="1"/>
  <c r="J1600" i="1" s="1"/>
  <c r="G1599" i="1"/>
  <c r="J1599" i="1" s="1"/>
  <c r="G1598" i="1"/>
  <c r="P150" i="14" l="1"/>
  <c r="I1642" i="1"/>
  <c r="F958" i="17"/>
  <c r="I958" i="17" s="1"/>
  <c r="P958" i="17"/>
  <c r="P959" i="17" s="1"/>
  <c r="R144" i="14"/>
  <c r="R142" i="14"/>
  <c r="S140" i="14"/>
  <c r="T140" i="14" s="1"/>
  <c r="E1699" i="1"/>
  <c r="E1700" i="1" s="1"/>
  <c r="C247" i="15" s="1"/>
  <c r="C249" i="15" s="1"/>
  <c r="I1670" i="1"/>
  <c r="F1643" i="1"/>
  <c r="F1701" i="1" s="1"/>
  <c r="I1699" i="1"/>
  <c r="I1700" i="1" s="1"/>
  <c r="H950" i="17"/>
  <c r="I951" i="17"/>
  <c r="S148" i="14"/>
  <c r="I1687" i="16"/>
  <c r="F1781" i="16"/>
  <c r="F1637" i="13"/>
  <c r="F1646" i="13"/>
  <c r="F1659" i="13"/>
  <c r="F1665" i="13"/>
  <c r="F1674" i="13"/>
  <c r="F1690" i="13"/>
  <c r="J1619" i="1"/>
  <c r="G1654" i="1"/>
  <c r="J1654" i="1" s="1"/>
  <c r="G1626" i="1"/>
  <c r="J1626" i="1" s="1"/>
  <c r="G1632" i="1"/>
  <c r="J1632" i="1" s="1"/>
  <c r="F1607" i="13"/>
  <c r="F1631" i="13"/>
  <c r="F1682" i="13"/>
  <c r="G1602" i="1"/>
  <c r="J1602" i="1" s="1"/>
  <c r="G1610" i="1"/>
  <c r="J1610" i="1" s="1"/>
  <c r="J1644" i="1"/>
  <c r="G1665" i="1"/>
  <c r="J1662" i="1"/>
  <c r="G1669" i="1"/>
  <c r="J1669" i="1" s="1"/>
  <c r="J1666" i="1"/>
  <c r="G1677" i="1"/>
  <c r="J1674" i="1"/>
  <c r="F1615" i="13"/>
  <c r="F1623" i="13"/>
  <c r="G1695" i="1"/>
  <c r="J1695" i="1" s="1"/>
  <c r="F1699" i="13"/>
  <c r="F1627" i="13"/>
  <c r="F1670" i="13"/>
  <c r="F1687" i="13"/>
  <c r="F1695" i="13"/>
  <c r="F1703" i="13" s="1"/>
  <c r="F1704" i="13" s="1"/>
  <c r="Q149" i="14"/>
  <c r="S149" i="14" s="1"/>
  <c r="T149" i="14" s="1"/>
  <c r="Q151" i="14"/>
  <c r="S151" i="14" s="1"/>
  <c r="T151" i="14" s="1"/>
  <c r="Q150" i="14"/>
  <c r="S150" i="14" s="1"/>
  <c r="T150" i="14" s="1"/>
  <c r="Q144" i="14"/>
  <c r="S144" i="14" s="1"/>
  <c r="T144" i="14" s="1"/>
  <c r="Q142" i="14"/>
  <c r="I1627" i="1"/>
  <c r="R146" i="14"/>
  <c r="R145" i="14"/>
  <c r="Q146" i="14"/>
  <c r="S146" i="14" s="1"/>
  <c r="T146" i="14" s="1"/>
  <c r="Q147" i="14"/>
  <c r="S147" i="14" s="1"/>
  <c r="T147" i="14" s="1"/>
  <c r="Q145" i="14"/>
  <c r="T141" i="14"/>
  <c r="T139" i="14"/>
  <c r="R143" i="14"/>
  <c r="P143" i="14"/>
  <c r="Q143" i="14"/>
  <c r="T148" i="14"/>
  <c r="O137" i="14"/>
  <c r="N137" i="14" s="1"/>
  <c r="M137" i="14"/>
  <c r="T138" i="14"/>
  <c r="Q136" i="14"/>
  <c r="S136" i="14" s="1"/>
  <c r="R136" i="14"/>
  <c r="P136" i="14"/>
  <c r="H1331" i="16"/>
  <c r="P992" i="17"/>
  <c r="P993" i="17" s="1"/>
  <c r="F941" i="17"/>
  <c r="F959" i="17"/>
  <c r="I959" i="17" s="1"/>
  <c r="G994" i="17"/>
  <c r="P941" i="17"/>
  <c r="P950" i="17" s="1"/>
  <c r="F949" i="17"/>
  <c r="I949" i="17" s="1"/>
  <c r="D994" i="17"/>
  <c r="F992" i="17"/>
  <c r="H994" i="17"/>
  <c r="I1638" i="13"/>
  <c r="I1646" i="13" s="1"/>
  <c r="I1649" i="13"/>
  <c r="I1659" i="13" s="1"/>
  <c r="I1660" i="13"/>
  <c r="I1665" i="13" s="1"/>
  <c r="I1668" i="13"/>
  <c r="I1670" i="13" s="1"/>
  <c r="I1671" i="13"/>
  <c r="I1674" i="13" s="1"/>
  <c r="I1679" i="13"/>
  <c r="I1682" i="13" s="1"/>
  <c r="I1697" i="13"/>
  <c r="I1699" i="13" s="1"/>
  <c r="I1603" i="13"/>
  <c r="I1607" i="13" s="1"/>
  <c r="I1608" i="13"/>
  <c r="I1615" i="13" s="1"/>
  <c r="I1616" i="13"/>
  <c r="I1623" i="13" s="1"/>
  <c r="I1624" i="13"/>
  <c r="I1627" i="13" s="1"/>
  <c r="I1628" i="13"/>
  <c r="I1631" i="13" s="1"/>
  <c r="I1633" i="13"/>
  <c r="I1637" i="13" s="1"/>
  <c r="I1647" i="13" s="1"/>
  <c r="I1683" i="13"/>
  <c r="I1687" i="13" s="1"/>
  <c r="I1688" i="13"/>
  <c r="I1690" i="13" s="1"/>
  <c r="I1691" i="13"/>
  <c r="I1695" i="13" s="1"/>
  <c r="H1699" i="1"/>
  <c r="H1700" i="1" s="1"/>
  <c r="I1661" i="1"/>
  <c r="I1672" i="1" s="1"/>
  <c r="I1673" i="1" s="1"/>
  <c r="G1641" i="1"/>
  <c r="G1642" i="1" s="1"/>
  <c r="H1642" i="1"/>
  <c r="H1627" i="1"/>
  <c r="E1642" i="1"/>
  <c r="G1618" i="1"/>
  <c r="J1618" i="1" s="1"/>
  <c r="J1623" i="1"/>
  <c r="J1628" i="1"/>
  <c r="J1634" i="1"/>
  <c r="G1660" i="1"/>
  <c r="J1660" i="1" s="1"/>
  <c r="J1655" i="1"/>
  <c r="E1661" i="1"/>
  <c r="E1672" i="1" s="1"/>
  <c r="E1673" i="1" s="1"/>
  <c r="C244" i="15" s="1"/>
  <c r="C246" i="15" s="1"/>
  <c r="J1665" i="1"/>
  <c r="J1677" i="1"/>
  <c r="G1698" i="1"/>
  <c r="J1698" i="1" s="1"/>
  <c r="G1682" i="1"/>
  <c r="J1682" i="1" s="1"/>
  <c r="J1678" i="1"/>
  <c r="G1685" i="1"/>
  <c r="J1685" i="1" s="1"/>
  <c r="J1683" i="1"/>
  <c r="G1691" i="1"/>
  <c r="J1691" i="1" s="1"/>
  <c r="D155" i="14"/>
  <c r="I161" i="14"/>
  <c r="H161" i="14"/>
  <c r="T136" i="14" l="1"/>
  <c r="S143" i="14"/>
  <c r="E1643" i="1"/>
  <c r="E1701" i="1" s="1"/>
  <c r="C241" i="15"/>
  <c r="C243" i="15" s="1"/>
  <c r="C250" i="15" s="1"/>
  <c r="H1643" i="1"/>
  <c r="I1643" i="1"/>
  <c r="S142" i="14"/>
  <c r="T142" i="14" s="1"/>
  <c r="F1675" i="13"/>
  <c r="F1876" i="16"/>
  <c r="I1876" i="16" s="1"/>
  <c r="I1781" i="16"/>
  <c r="F1666" i="13"/>
  <c r="F1647" i="13"/>
  <c r="F1632" i="13"/>
  <c r="I1675" i="13"/>
  <c r="G1670" i="1"/>
  <c r="J1670" i="1" s="1"/>
  <c r="P994" i="17"/>
  <c r="H1701" i="1"/>
  <c r="I1701" i="1"/>
  <c r="S145" i="14"/>
  <c r="T145" i="14" s="1"/>
  <c r="T143" i="14"/>
  <c r="R137" i="14"/>
  <c r="P137" i="14"/>
  <c r="Q137" i="14"/>
  <c r="I941" i="17"/>
  <c r="F950" i="17"/>
  <c r="I950" i="17" s="1"/>
  <c r="F993" i="17"/>
  <c r="I992" i="17"/>
  <c r="I1632" i="13"/>
  <c r="I1648" i="13" s="1"/>
  <c r="I1703" i="13"/>
  <c r="I1704" i="13" s="1"/>
  <c r="I1666" i="13"/>
  <c r="G1699" i="1"/>
  <c r="G1661" i="1"/>
  <c r="J1642" i="1"/>
  <c r="J1641" i="1"/>
  <c r="G1627" i="1"/>
  <c r="E1219" i="16"/>
  <c r="S137" i="14" l="1"/>
  <c r="F1677" i="13"/>
  <c r="F1678" i="13" s="1"/>
  <c r="F1648" i="13"/>
  <c r="F1705" i="13"/>
  <c r="I1677" i="13"/>
  <c r="I1678" i="13" s="1"/>
  <c r="T137" i="14"/>
  <c r="F994" i="17"/>
  <c r="I994" i="17" s="1"/>
  <c r="I993" i="17"/>
  <c r="I1705" i="13"/>
  <c r="G1643" i="1"/>
  <c r="J1627" i="1"/>
  <c r="G1672" i="1"/>
  <c r="J1661" i="1"/>
  <c r="G1700" i="1"/>
  <c r="J1699" i="1"/>
  <c r="J1700" i="1" s="1"/>
  <c r="L169" i="14"/>
  <c r="K169" i="14" s="1"/>
  <c r="O169" i="14" s="1"/>
  <c r="G169" i="14"/>
  <c r="C169" i="14"/>
  <c r="L168" i="14"/>
  <c r="K168" i="14" s="1"/>
  <c r="O168" i="14" s="1"/>
  <c r="G168" i="14"/>
  <c r="C168" i="14"/>
  <c r="L167" i="14"/>
  <c r="K167" i="14" s="1"/>
  <c r="O167" i="14" s="1"/>
  <c r="G167" i="14"/>
  <c r="C167" i="14"/>
  <c r="L166" i="14"/>
  <c r="K166" i="14" s="1"/>
  <c r="O166" i="14" s="1"/>
  <c r="G166" i="14"/>
  <c r="C166" i="14"/>
  <c r="L165" i="14"/>
  <c r="K165" i="14" s="1"/>
  <c r="O165" i="14" s="1"/>
  <c r="N165" i="14" s="1"/>
  <c r="G165" i="14"/>
  <c r="C165" i="14"/>
  <c r="L164" i="14"/>
  <c r="K164" i="14" s="1"/>
  <c r="O164" i="14" s="1"/>
  <c r="G164" i="14"/>
  <c r="C164" i="14"/>
  <c r="L163" i="14"/>
  <c r="K163" i="14" s="1"/>
  <c r="O163" i="14" s="1"/>
  <c r="G163" i="14"/>
  <c r="C163" i="14"/>
  <c r="L162" i="14"/>
  <c r="K162" i="14"/>
  <c r="G162" i="14"/>
  <c r="C162" i="14"/>
  <c r="L161" i="14"/>
  <c r="K161" i="14" s="1"/>
  <c r="O161" i="14" s="1"/>
  <c r="G161" i="14"/>
  <c r="C161" i="14"/>
  <c r="L160" i="14"/>
  <c r="K160" i="14"/>
  <c r="O160" i="14" s="1"/>
  <c r="N160" i="14" s="1"/>
  <c r="G160" i="14"/>
  <c r="C160" i="14"/>
  <c r="L159" i="14"/>
  <c r="K159" i="14"/>
  <c r="O159" i="14" s="1"/>
  <c r="N159" i="14" s="1"/>
  <c r="G159" i="14"/>
  <c r="C159" i="14"/>
  <c r="L158" i="14"/>
  <c r="K158" i="14"/>
  <c r="O158" i="14" s="1"/>
  <c r="N158" i="14" s="1"/>
  <c r="G158" i="14"/>
  <c r="C158" i="14"/>
  <c r="L157" i="14"/>
  <c r="K157" i="14"/>
  <c r="O157" i="14" s="1"/>
  <c r="N157" i="14" s="1"/>
  <c r="G157" i="14"/>
  <c r="C157" i="14"/>
  <c r="L156" i="14"/>
  <c r="K156" i="14"/>
  <c r="O156" i="14" s="1"/>
  <c r="N156" i="14" s="1"/>
  <c r="G156" i="14"/>
  <c r="C156" i="14"/>
  <c r="L155" i="14"/>
  <c r="K155" i="14" s="1"/>
  <c r="O155" i="14" s="1"/>
  <c r="G155" i="14"/>
  <c r="C155" i="14"/>
  <c r="L154" i="14"/>
  <c r="K154" i="14"/>
  <c r="O154" i="14" s="1"/>
  <c r="G154" i="14"/>
  <c r="C154" i="14"/>
  <c r="C172" i="14"/>
  <c r="G172" i="14"/>
  <c r="L172" i="14"/>
  <c r="K172" i="14" s="1"/>
  <c r="C173" i="14"/>
  <c r="G173" i="14"/>
  <c r="L173" i="14"/>
  <c r="K173" i="14" s="1"/>
  <c r="C174" i="14"/>
  <c r="G174" i="14"/>
  <c r="L174" i="14"/>
  <c r="K174" i="14" s="1"/>
  <c r="C175" i="14"/>
  <c r="G175" i="14"/>
  <c r="L175" i="14"/>
  <c r="K175" i="14" s="1"/>
  <c r="C176" i="14"/>
  <c r="G176" i="14"/>
  <c r="L176" i="14"/>
  <c r="K176" i="14" s="1"/>
  <c r="C177" i="14"/>
  <c r="G177" i="14"/>
  <c r="L177" i="14"/>
  <c r="K177" i="14" s="1"/>
  <c r="C178" i="14"/>
  <c r="G178" i="14"/>
  <c r="L178" i="14"/>
  <c r="K178" i="14" s="1"/>
  <c r="C179" i="14"/>
  <c r="G179" i="14"/>
  <c r="L179" i="14"/>
  <c r="K179" i="14" s="1"/>
  <c r="C180" i="14"/>
  <c r="G180" i="14"/>
  <c r="L180" i="14"/>
  <c r="K180" i="14" s="1"/>
  <c r="C181" i="14"/>
  <c r="G181" i="14"/>
  <c r="L181" i="14"/>
  <c r="K181" i="14" s="1"/>
  <c r="C182" i="14"/>
  <c r="G182" i="14"/>
  <c r="L182" i="14"/>
  <c r="K182" i="14" s="1"/>
  <c r="C183" i="14"/>
  <c r="G183" i="14"/>
  <c r="L183" i="14"/>
  <c r="K183" i="14" s="1"/>
  <c r="C184" i="14"/>
  <c r="G184" i="14"/>
  <c r="L184" i="14"/>
  <c r="K184" i="14" s="1"/>
  <c r="C185" i="14"/>
  <c r="G185" i="14"/>
  <c r="L185" i="14"/>
  <c r="K185" i="14" s="1"/>
  <c r="C186" i="14"/>
  <c r="G186" i="14"/>
  <c r="L186" i="14"/>
  <c r="K186" i="14" s="1"/>
  <c r="C187" i="14"/>
  <c r="G187" i="14"/>
  <c r="L187" i="14"/>
  <c r="K187" i="14" s="1"/>
  <c r="E233" i="15"/>
  <c r="E230" i="15"/>
  <c r="E227" i="15"/>
  <c r="H1287" i="16"/>
  <c r="E1286" i="16"/>
  <c r="H1285" i="16"/>
  <c r="H1284" i="16"/>
  <c r="H1283" i="16"/>
  <c r="H1282" i="16"/>
  <c r="H1281" i="16"/>
  <c r="H1280" i="16"/>
  <c r="H1279" i="16"/>
  <c r="H1278" i="16"/>
  <c r="H1277" i="16"/>
  <c r="H1276" i="16"/>
  <c r="H1275" i="16"/>
  <c r="H1274" i="16"/>
  <c r="H1273" i="16"/>
  <c r="H1272" i="16"/>
  <c r="H1271" i="16"/>
  <c r="H1270" i="16"/>
  <c r="H1269" i="16"/>
  <c r="H1268" i="16"/>
  <c r="H1267" i="16"/>
  <c r="H1266" i="16"/>
  <c r="H1265" i="16"/>
  <c r="H1264" i="16"/>
  <c r="H1263" i="16"/>
  <c r="E1262" i="16"/>
  <c r="H1261" i="16"/>
  <c r="H1260" i="16"/>
  <c r="H1259" i="16"/>
  <c r="H1258" i="16"/>
  <c r="H1257" i="16"/>
  <c r="H1256" i="16"/>
  <c r="H1255" i="16"/>
  <c r="H1254" i="16"/>
  <c r="H1253" i="16"/>
  <c r="H1252" i="16"/>
  <c r="H1251" i="16"/>
  <c r="H1250" i="16"/>
  <c r="H1249" i="16"/>
  <c r="H1248" i="16"/>
  <c r="H1247" i="16"/>
  <c r="H1246" i="16"/>
  <c r="H1245" i="16"/>
  <c r="H1244" i="16"/>
  <c r="H1243" i="16"/>
  <c r="H1242" i="16"/>
  <c r="H1241" i="16"/>
  <c r="I1239" i="16"/>
  <c r="E1238" i="16"/>
  <c r="H1237" i="16"/>
  <c r="H1236" i="16"/>
  <c r="H1235" i="16"/>
  <c r="H1234" i="16"/>
  <c r="H1233" i="16"/>
  <c r="E1232" i="16"/>
  <c r="H1230" i="16"/>
  <c r="H1229" i="16"/>
  <c r="H1228" i="16"/>
  <c r="H1227" i="16"/>
  <c r="H1226" i="16"/>
  <c r="H1225" i="16"/>
  <c r="H1224" i="16"/>
  <c r="H1223" i="16"/>
  <c r="H1222" i="16"/>
  <c r="H1221" i="16"/>
  <c r="H1220" i="16"/>
  <c r="H1219" i="16"/>
  <c r="E1218" i="16"/>
  <c r="H1217" i="16"/>
  <c r="H1216" i="16"/>
  <c r="H1215" i="16"/>
  <c r="H1214" i="16"/>
  <c r="H1213" i="16"/>
  <c r="H1212" i="16"/>
  <c r="H1211" i="16"/>
  <c r="H1210" i="16"/>
  <c r="H1209" i="16"/>
  <c r="H1208" i="16"/>
  <c r="H1207" i="16"/>
  <c r="H1206" i="16"/>
  <c r="H1205" i="16"/>
  <c r="H1204" i="16"/>
  <c r="E931" i="17"/>
  <c r="H930" i="17"/>
  <c r="H931" i="17" s="1"/>
  <c r="G930" i="17"/>
  <c r="G931" i="17" s="1"/>
  <c r="D930" i="17"/>
  <c r="D931" i="17" s="1"/>
  <c r="P929" i="17"/>
  <c r="F929" i="17"/>
  <c r="I929" i="17" s="1"/>
  <c r="P928" i="17"/>
  <c r="F928" i="17"/>
  <c r="I928" i="17" s="1"/>
  <c r="P927" i="17"/>
  <c r="F927" i="17"/>
  <c r="I927" i="17" s="1"/>
  <c r="P926" i="17"/>
  <c r="F926" i="17"/>
  <c r="I926" i="17" s="1"/>
  <c r="P925" i="17"/>
  <c r="I925" i="17"/>
  <c r="F925" i="17"/>
  <c r="P924" i="17"/>
  <c r="F924" i="17"/>
  <c r="I924" i="17" s="1"/>
  <c r="P923" i="17"/>
  <c r="I923" i="17"/>
  <c r="F923" i="17"/>
  <c r="P922" i="17"/>
  <c r="F922" i="17"/>
  <c r="I922" i="17" s="1"/>
  <c r="P921" i="17"/>
  <c r="F921" i="17"/>
  <c r="I921" i="17" s="1"/>
  <c r="P920" i="17"/>
  <c r="F920" i="17"/>
  <c r="I920" i="17" s="1"/>
  <c r="P919" i="17"/>
  <c r="F919" i="17"/>
  <c r="I919" i="17" s="1"/>
  <c r="P918" i="17"/>
  <c r="F918" i="17"/>
  <c r="I918" i="17" s="1"/>
  <c r="P917" i="17"/>
  <c r="I917" i="17"/>
  <c r="F917" i="17"/>
  <c r="P916" i="17"/>
  <c r="F916" i="17"/>
  <c r="I916" i="17" s="1"/>
  <c r="P915" i="17"/>
  <c r="F915" i="17"/>
  <c r="I915" i="17" s="1"/>
  <c r="P914" i="17"/>
  <c r="F914" i="17"/>
  <c r="I914" i="17" s="1"/>
  <c r="P913" i="17"/>
  <c r="F913" i="17"/>
  <c r="I913" i="17" s="1"/>
  <c r="P912" i="17"/>
  <c r="F912" i="17"/>
  <c r="I912" i="17" s="1"/>
  <c r="P911" i="17"/>
  <c r="F911" i="17"/>
  <c r="I911" i="17" s="1"/>
  <c r="P910" i="17"/>
  <c r="F910" i="17"/>
  <c r="I910" i="17" s="1"/>
  <c r="P909" i="17"/>
  <c r="F909" i="17"/>
  <c r="I909" i="17" s="1"/>
  <c r="P908" i="17"/>
  <c r="F908" i="17"/>
  <c r="I908" i="17" s="1"/>
  <c r="P907" i="17"/>
  <c r="F907" i="17"/>
  <c r="I907" i="17" s="1"/>
  <c r="P906" i="17"/>
  <c r="F906" i="17"/>
  <c r="I906" i="17" s="1"/>
  <c r="P905" i="17"/>
  <c r="F905" i="17"/>
  <c r="I905" i="17" s="1"/>
  <c r="P904" i="17"/>
  <c r="F904" i="17"/>
  <c r="P903" i="17"/>
  <c r="F903" i="17"/>
  <c r="I903" i="17" s="1"/>
  <c r="P902" i="17"/>
  <c r="F902" i="17"/>
  <c r="I902" i="17" s="1"/>
  <c r="P901" i="17"/>
  <c r="F901" i="17"/>
  <c r="I901" i="17" s="1"/>
  <c r="P900" i="17"/>
  <c r="F900" i="17"/>
  <c r="I900" i="17" s="1"/>
  <c r="P899" i="17"/>
  <c r="F899" i="17"/>
  <c r="I899" i="17" s="1"/>
  <c r="P898" i="17"/>
  <c r="F898" i="17"/>
  <c r="I898" i="17" s="1"/>
  <c r="H897" i="17"/>
  <c r="E897" i="17"/>
  <c r="E932" i="17" s="1"/>
  <c r="D897" i="17"/>
  <c r="H896" i="17"/>
  <c r="G896" i="17"/>
  <c r="G897" i="17" s="1"/>
  <c r="P895" i="17"/>
  <c r="F895" i="17"/>
  <c r="I895" i="17" s="1"/>
  <c r="P894" i="17"/>
  <c r="F894" i="17"/>
  <c r="I894" i="17" s="1"/>
  <c r="P893" i="17"/>
  <c r="F893" i="17"/>
  <c r="I893" i="17" s="1"/>
  <c r="P892" i="17"/>
  <c r="F892" i="17"/>
  <c r="I892" i="17" s="1"/>
  <c r="P891" i="17"/>
  <c r="I891" i="17"/>
  <c r="F891" i="17"/>
  <c r="P890" i="17"/>
  <c r="F890" i="17"/>
  <c r="I890" i="17" s="1"/>
  <c r="P889" i="17"/>
  <c r="I889" i="17"/>
  <c r="F889" i="17"/>
  <c r="E888" i="17"/>
  <c r="H887" i="17"/>
  <c r="G887" i="17"/>
  <c r="D887" i="17"/>
  <c r="P886" i="17"/>
  <c r="I886" i="17"/>
  <c r="F886" i="17"/>
  <c r="P885" i="17"/>
  <c r="F885" i="17"/>
  <c r="I885" i="17" s="1"/>
  <c r="P884" i="17"/>
  <c r="F884" i="17"/>
  <c r="I884" i="17" s="1"/>
  <c r="P883" i="17"/>
  <c r="F883" i="17"/>
  <c r="I883" i="17" s="1"/>
  <c r="P882" i="17"/>
  <c r="F882" i="17"/>
  <c r="I882" i="17" s="1"/>
  <c r="P881" i="17"/>
  <c r="F881" i="17"/>
  <c r="I881" i="17" s="1"/>
  <c r="P880" i="17"/>
  <c r="I880" i="17"/>
  <c r="F880" i="17"/>
  <c r="D879" i="17"/>
  <c r="P878" i="17"/>
  <c r="F878" i="17"/>
  <c r="I878" i="17" s="1"/>
  <c r="P877" i="17"/>
  <c r="F877" i="17"/>
  <c r="I877" i="17" s="1"/>
  <c r="H879" i="17"/>
  <c r="G879" i="17"/>
  <c r="F876" i="17"/>
  <c r="I876" i="17" s="1"/>
  <c r="P875" i="17"/>
  <c r="F875" i="17"/>
  <c r="I875" i="17" s="1"/>
  <c r="P874" i="17"/>
  <c r="F874" i="17"/>
  <c r="I874" i="17" s="1"/>
  <c r="F1523" i="13"/>
  <c r="I1523" i="13" s="1"/>
  <c r="F1522" i="13"/>
  <c r="I1522" i="13" s="1"/>
  <c r="F1521" i="13"/>
  <c r="F1519" i="13"/>
  <c r="I1519" i="13" s="1"/>
  <c r="F1518" i="13"/>
  <c r="I1518" i="13" s="1"/>
  <c r="F1517" i="13"/>
  <c r="F1515" i="13"/>
  <c r="I1515" i="13" s="1"/>
  <c r="F1514" i="13"/>
  <c r="I1514" i="13" s="1"/>
  <c r="F1513" i="13"/>
  <c r="I1513" i="13" s="1"/>
  <c r="F1512" i="13"/>
  <c r="I1512" i="13" s="1"/>
  <c r="F1511" i="13"/>
  <c r="I1511" i="13" s="1"/>
  <c r="F1510" i="13"/>
  <c r="I1510" i="13" s="1"/>
  <c r="F1509" i="13"/>
  <c r="F1507" i="13"/>
  <c r="I1507" i="13" s="1"/>
  <c r="F1506" i="13"/>
  <c r="I1506" i="13" s="1"/>
  <c r="F1505" i="13"/>
  <c r="I1505" i="13" s="1"/>
  <c r="F1504" i="13"/>
  <c r="I1504" i="13" s="1"/>
  <c r="F1503" i="13"/>
  <c r="I1503" i="13" s="1"/>
  <c r="F1502" i="13"/>
  <c r="I1502" i="13" s="1"/>
  <c r="F1501" i="13"/>
  <c r="F1499" i="13"/>
  <c r="I1499" i="13" s="1"/>
  <c r="F1498" i="13"/>
  <c r="I1498" i="13" s="1"/>
  <c r="F1497" i="13"/>
  <c r="I1497" i="13" s="1"/>
  <c r="J1595" i="13"/>
  <c r="I1595" i="13"/>
  <c r="F1594" i="13"/>
  <c r="F1593" i="13"/>
  <c r="F1591" i="13"/>
  <c r="I1591" i="13" s="1"/>
  <c r="F1590" i="13"/>
  <c r="F1589" i="13"/>
  <c r="I1589" i="13" s="1"/>
  <c r="F1587" i="13"/>
  <c r="I1587" i="13" s="1"/>
  <c r="F1586" i="13"/>
  <c r="I1586" i="13" s="1"/>
  <c r="F1585" i="13"/>
  <c r="I1585" i="13" s="1"/>
  <c r="F1584" i="13"/>
  <c r="F1582" i="13"/>
  <c r="I1582" i="13" s="1"/>
  <c r="F1581" i="13"/>
  <c r="F1579" i="13"/>
  <c r="I1579" i="13" s="1"/>
  <c r="F1578" i="13"/>
  <c r="I1578" i="13" s="1"/>
  <c r="F1577" i="13"/>
  <c r="I1577" i="13" s="1"/>
  <c r="F1576" i="13"/>
  <c r="F1574" i="13"/>
  <c r="I1574" i="13" s="1"/>
  <c r="F1573" i="13"/>
  <c r="I1573" i="13" s="1"/>
  <c r="F1572" i="13"/>
  <c r="F1569" i="13"/>
  <c r="I1569" i="13" s="1"/>
  <c r="F1566" i="13"/>
  <c r="I1566" i="13" s="1"/>
  <c r="F1565" i="13"/>
  <c r="I1565" i="13" s="1"/>
  <c r="F1564" i="13"/>
  <c r="F1562" i="13"/>
  <c r="I1562" i="13" s="1"/>
  <c r="F1561" i="13"/>
  <c r="F1560" i="13"/>
  <c r="I1560" i="13" s="1"/>
  <c r="F1557" i="13"/>
  <c r="I1557" i="13" s="1"/>
  <c r="F1556" i="13"/>
  <c r="I1556" i="13" s="1"/>
  <c r="F1555" i="13"/>
  <c r="I1555" i="13" s="1"/>
  <c r="F1554" i="13"/>
  <c r="I1554" i="13" s="1"/>
  <c r="F1553" i="13"/>
  <c r="F1551" i="13"/>
  <c r="I1551" i="13" s="1"/>
  <c r="F1550" i="13"/>
  <c r="I1550" i="13" s="1"/>
  <c r="F1549" i="13"/>
  <c r="I1549" i="13" s="1"/>
  <c r="F1548" i="13"/>
  <c r="I1548" i="13" s="1"/>
  <c r="F1547" i="13"/>
  <c r="I1547" i="13" s="1"/>
  <c r="F1546" i="13"/>
  <c r="I1546" i="13" s="1"/>
  <c r="F1545" i="13"/>
  <c r="I1545" i="13" s="1"/>
  <c r="F1544" i="13"/>
  <c r="I1544" i="13" s="1"/>
  <c r="F1543" i="13"/>
  <c r="I1543" i="13" s="1"/>
  <c r="F1542" i="13"/>
  <c r="F1538" i="13"/>
  <c r="I1538" i="13" s="1"/>
  <c r="F1537" i="13"/>
  <c r="I1537" i="13" s="1"/>
  <c r="F1536" i="13"/>
  <c r="I1536" i="13" s="1"/>
  <c r="F1535" i="13"/>
  <c r="I1535" i="13" s="1"/>
  <c r="F1534" i="13"/>
  <c r="I1534" i="13" s="1"/>
  <c r="F1533" i="13"/>
  <c r="I1533" i="13" s="1"/>
  <c r="F1532" i="13"/>
  <c r="I1532" i="13" s="1"/>
  <c r="F1531" i="13"/>
  <c r="F1529" i="13"/>
  <c r="I1529" i="13" s="1"/>
  <c r="F1528" i="13"/>
  <c r="I1528" i="13" s="1"/>
  <c r="F1527" i="13"/>
  <c r="I1527" i="13" s="1"/>
  <c r="F1526" i="13"/>
  <c r="F1496" i="13"/>
  <c r="F1592" i="1"/>
  <c r="F1593" i="1" s="1"/>
  <c r="I1591" i="1"/>
  <c r="H1591" i="1"/>
  <c r="F1595" i="13" s="1"/>
  <c r="G1590" i="1"/>
  <c r="J1590" i="1" s="1"/>
  <c r="G1589" i="1"/>
  <c r="J1589" i="1" s="1"/>
  <c r="I1588" i="1"/>
  <c r="H1588" i="1"/>
  <c r="E1588" i="1"/>
  <c r="G1587" i="1"/>
  <c r="J1587" i="1" s="1"/>
  <c r="G1586" i="1"/>
  <c r="J1586" i="1" s="1"/>
  <c r="G1585" i="1"/>
  <c r="J1585" i="1" s="1"/>
  <c r="I1584" i="1"/>
  <c r="H1584" i="1"/>
  <c r="E1584" i="1"/>
  <c r="G1583" i="1"/>
  <c r="J1583" i="1" s="1"/>
  <c r="G1582" i="1"/>
  <c r="J1582" i="1" s="1"/>
  <c r="G1581" i="1"/>
  <c r="J1581" i="1" s="1"/>
  <c r="G1580" i="1"/>
  <c r="J1580" i="1" s="1"/>
  <c r="G1579" i="1"/>
  <c r="J1579" i="1" s="1"/>
  <c r="I1578" i="1"/>
  <c r="H1578" i="1"/>
  <c r="E1578" i="1"/>
  <c r="G1577" i="1"/>
  <c r="J1577" i="1" s="1"/>
  <c r="G1576" i="1"/>
  <c r="I1575" i="1"/>
  <c r="H1575" i="1"/>
  <c r="E1575" i="1"/>
  <c r="G1574" i="1"/>
  <c r="J1574" i="1" s="1"/>
  <c r="G1573" i="1"/>
  <c r="J1573" i="1" s="1"/>
  <c r="G1572" i="1"/>
  <c r="J1572" i="1" s="1"/>
  <c r="G1571" i="1"/>
  <c r="I1570" i="1"/>
  <c r="H1570" i="1"/>
  <c r="E1570" i="1"/>
  <c r="G1569" i="1"/>
  <c r="J1569" i="1" s="1"/>
  <c r="G1568" i="1"/>
  <c r="J1568" i="1" s="1"/>
  <c r="G1567" i="1"/>
  <c r="F1565" i="1"/>
  <c r="F1566" i="1" s="1"/>
  <c r="G1564" i="1"/>
  <c r="J1564" i="1" s="1"/>
  <c r="I1562" i="1"/>
  <c r="H1562" i="1"/>
  <c r="E1562" i="1"/>
  <c r="E1563" i="1" s="1"/>
  <c r="G1561" i="1"/>
  <c r="J1561" i="1" s="1"/>
  <c r="G1560" i="1"/>
  <c r="J1560" i="1" s="1"/>
  <c r="G1559" i="1"/>
  <c r="J1559" i="1" s="1"/>
  <c r="I1558" i="1"/>
  <c r="H1558" i="1"/>
  <c r="G1557" i="1"/>
  <c r="J1557" i="1" s="1"/>
  <c r="G1556" i="1"/>
  <c r="J1556" i="1" s="1"/>
  <c r="G1555" i="1"/>
  <c r="I1553" i="1"/>
  <c r="H1553" i="1"/>
  <c r="E1553" i="1"/>
  <c r="G1552" i="1"/>
  <c r="J1552" i="1" s="1"/>
  <c r="G1551" i="1"/>
  <c r="J1551" i="1" s="1"/>
  <c r="G1550" i="1"/>
  <c r="J1550" i="1" s="1"/>
  <c r="G1549" i="1"/>
  <c r="J1549" i="1" s="1"/>
  <c r="G1548" i="1"/>
  <c r="J1548" i="1" s="1"/>
  <c r="I1547" i="1"/>
  <c r="H1547" i="1"/>
  <c r="E1547" i="1"/>
  <c r="G1546" i="1"/>
  <c r="J1546" i="1" s="1"/>
  <c r="G1545" i="1"/>
  <c r="J1545" i="1" s="1"/>
  <c r="G1544" i="1"/>
  <c r="J1544" i="1" s="1"/>
  <c r="G1543" i="1"/>
  <c r="J1543" i="1" s="1"/>
  <c r="G1542" i="1"/>
  <c r="J1542" i="1" s="1"/>
  <c r="G1541" i="1"/>
  <c r="J1541" i="1" s="1"/>
  <c r="G1540" i="1"/>
  <c r="J1540" i="1" s="1"/>
  <c r="G1539" i="1"/>
  <c r="J1539" i="1" s="1"/>
  <c r="G1538" i="1"/>
  <c r="J1538" i="1" s="1"/>
  <c r="G1537" i="1"/>
  <c r="J1537" i="1" s="1"/>
  <c r="F1535" i="1"/>
  <c r="I1534" i="1"/>
  <c r="H1534" i="1"/>
  <c r="G1533" i="1"/>
  <c r="J1533" i="1" s="1"/>
  <c r="G1532" i="1"/>
  <c r="J1532" i="1" s="1"/>
  <c r="G1531" i="1"/>
  <c r="J1531" i="1" s="1"/>
  <c r="G1530" i="1"/>
  <c r="J1530" i="1" s="1"/>
  <c r="G1529" i="1"/>
  <c r="J1529" i="1" s="1"/>
  <c r="G1528" i="1"/>
  <c r="J1528" i="1" s="1"/>
  <c r="G1527" i="1"/>
  <c r="J1527" i="1" s="1"/>
  <c r="G1526" i="1"/>
  <c r="E1526" i="1"/>
  <c r="E1534" i="1" s="1"/>
  <c r="E1535" i="1" s="1"/>
  <c r="C226" i="15" s="1"/>
  <c r="I1525" i="1"/>
  <c r="E1525" i="1"/>
  <c r="G1524" i="1"/>
  <c r="J1524" i="1" s="1"/>
  <c r="H1525" i="1"/>
  <c r="H1535" i="1" s="1"/>
  <c r="G1523" i="1"/>
  <c r="J1523" i="1" s="1"/>
  <c r="G1522" i="1"/>
  <c r="J1522" i="1" s="1"/>
  <c r="G1521" i="1"/>
  <c r="J1521" i="1" s="1"/>
  <c r="I1519" i="1"/>
  <c r="H1519" i="1"/>
  <c r="E1519" i="1"/>
  <c r="G1518" i="1"/>
  <c r="J1518" i="1" s="1"/>
  <c r="G1517" i="1"/>
  <c r="J1517" i="1" s="1"/>
  <c r="G1516" i="1"/>
  <c r="J1516" i="1" s="1"/>
  <c r="I1515" i="1"/>
  <c r="H1515" i="1"/>
  <c r="F1515" i="1"/>
  <c r="F1520" i="1" s="1"/>
  <c r="F1536" i="1" s="1"/>
  <c r="F1594" i="1" s="1"/>
  <c r="E1515" i="1"/>
  <c r="G1514" i="1"/>
  <c r="G1513" i="1"/>
  <c r="J1513" i="1" s="1"/>
  <c r="G1512" i="1"/>
  <c r="J1512" i="1" s="1"/>
  <c r="I1511" i="1"/>
  <c r="H1511" i="1"/>
  <c r="E1511" i="1"/>
  <c r="G1510" i="1"/>
  <c r="J1510" i="1" s="1"/>
  <c r="G1509" i="1"/>
  <c r="J1509" i="1" s="1"/>
  <c r="G1508" i="1"/>
  <c r="J1508" i="1" s="1"/>
  <c r="G1507" i="1"/>
  <c r="J1507" i="1" s="1"/>
  <c r="G1506" i="1"/>
  <c r="J1506" i="1" s="1"/>
  <c r="G1505" i="1"/>
  <c r="J1505" i="1" s="1"/>
  <c r="G1504" i="1"/>
  <c r="I1503" i="1"/>
  <c r="E1503" i="1"/>
  <c r="G1502" i="1"/>
  <c r="J1502" i="1" s="1"/>
  <c r="G1501" i="1"/>
  <c r="J1501" i="1" s="1"/>
  <c r="G1500" i="1"/>
  <c r="J1500" i="1" s="1"/>
  <c r="H1503" i="1"/>
  <c r="G1498" i="1"/>
  <c r="J1498" i="1" s="1"/>
  <c r="G1497" i="1"/>
  <c r="J1497" i="1" s="1"/>
  <c r="G1496" i="1"/>
  <c r="J1496" i="1" s="1"/>
  <c r="I1495" i="1"/>
  <c r="H1495" i="1"/>
  <c r="E1495" i="1"/>
  <c r="G1494" i="1"/>
  <c r="J1494" i="1" s="1"/>
  <c r="G1493" i="1"/>
  <c r="J1493" i="1" s="1"/>
  <c r="G1492" i="1"/>
  <c r="J1492" i="1" s="1"/>
  <c r="G1491" i="1"/>
  <c r="I1563" i="1" l="1"/>
  <c r="M173" i="14"/>
  <c r="O173" i="14"/>
  <c r="N173" i="14" s="1"/>
  <c r="M172" i="14"/>
  <c r="O172" i="14"/>
  <c r="N172" i="14" s="1"/>
  <c r="E1554" i="1"/>
  <c r="E1565" i="1" s="1"/>
  <c r="E1520" i="1"/>
  <c r="C225" i="15" s="1"/>
  <c r="C228" i="15" s="1"/>
  <c r="I1554" i="1"/>
  <c r="H1554" i="1"/>
  <c r="H1592" i="1"/>
  <c r="H1593" i="1" s="1"/>
  <c r="G888" i="17"/>
  <c r="F887" i="17"/>
  <c r="I887" i="17" s="1"/>
  <c r="N154" i="14"/>
  <c r="N155" i="14"/>
  <c r="H1520" i="1"/>
  <c r="H1536" i="1" s="1"/>
  <c r="D888" i="17"/>
  <c r="F896" i="17"/>
  <c r="P896" i="17"/>
  <c r="P897" i="17" s="1"/>
  <c r="G1495" i="1"/>
  <c r="J1495" i="1" s="1"/>
  <c r="G1511" i="1"/>
  <c r="J1511" i="1" s="1"/>
  <c r="G1570" i="1"/>
  <c r="J1570" i="1" s="1"/>
  <c r="F1558" i="13"/>
  <c r="F1567" i="13"/>
  <c r="F1580" i="13"/>
  <c r="F1583" i="13"/>
  <c r="F1588" i="13"/>
  <c r="F1524" i="13"/>
  <c r="F1500" i="13"/>
  <c r="F1530" i="13"/>
  <c r="F1539" i="13"/>
  <c r="F1552" i="13"/>
  <c r="F1575" i="13"/>
  <c r="F1508" i="13"/>
  <c r="F1516" i="13"/>
  <c r="F1520" i="13"/>
  <c r="F1563" i="13"/>
  <c r="J1504" i="1"/>
  <c r="J1567" i="1"/>
  <c r="G1591" i="1"/>
  <c r="J1591" i="1" s="1"/>
  <c r="F1592" i="13"/>
  <c r="H1262" i="16"/>
  <c r="H1238" i="16"/>
  <c r="J1643" i="1"/>
  <c r="G1673" i="1"/>
  <c r="G1701" i="1" s="1"/>
  <c r="J1701" i="1" s="1"/>
  <c r="J1672" i="1"/>
  <c r="J1673" i="1" s="1"/>
  <c r="N161" i="14"/>
  <c r="H1286" i="16"/>
  <c r="N164" i="14"/>
  <c r="P164" i="14" s="1"/>
  <c r="N163" i="14"/>
  <c r="N166" i="14"/>
  <c r="R166" i="14" s="1"/>
  <c r="N167" i="14"/>
  <c r="P167" i="14" s="1"/>
  <c r="N168" i="14"/>
  <c r="N169" i="14"/>
  <c r="P169" i="14" s="1"/>
  <c r="R154" i="14"/>
  <c r="P154" i="14"/>
  <c r="Q154" i="14"/>
  <c r="S154" i="14" s="1"/>
  <c r="R155" i="14"/>
  <c r="P155" i="14"/>
  <c r="Q155" i="14"/>
  <c r="S155" i="14" s="1"/>
  <c r="R156" i="14"/>
  <c r="P156" i="14"/>
  <c r="Q156" i="14"/>
  <c r="R157" i="14"/>
  <c r="P157" i="14"/>
  <c r="Q157" i="14"/>
  <c r="R158" i="14"/>
  <c r="P158" i="14"/>
  <c r="Q158" i="14"/>
  <c r="S158" i="14" s="1"/>
  <c r="R159" i="14"/>
  <c r="P159" i="14"/>
  <c r="Q159" i="14"/>
  <c r="S159" i="14" s="1"/>
  <c r="R160" i="14"/>
  <c r="P160" i="14"/>
  <c r="Q160" i="14"/>
  <c r="R161" i="14"/>
  <c r="P161" i="14"/>
  <c r="Q161" i="14"/>
  <c r="M187" i="14"/>
  <c r="O187" i="14"/>
  <c r="N187" i="14" s="1"/>
  <c r="M185" i="14"/>
  <c r="O185" i="14"/>
  <c r="N185" i="14" s="1"/>
  <c r="M183" i="14"/>
  <c r="O183" i="14"/>
  <c r="N183" i="14" s="1"/>
  <c r="M181" i="14"/>
  <c r="O181" i="14"/>
  <c r="N181" i="14" s="1"/>
  <c r="M179" i="14"/>
  <c r="O179" i="14"/>
  <c r="N179" i="14" s="1"/>
  <c r="M177" i="14"/>
  <c r="O177" i="14"/>
  <c r="N177" i="14" s="1"/>
  <c r="M175" i="14"/>
  <c r="O175" i="14"/>
  <c r="N175" i="14" s="1"/>
  <c r="M154" i="14"/>
  <c r="M155" i="14"/>
  <c r="M156" i="14"/>
  <c r="M157" i="14"/>
  <c r="M158" i="14"/>
  <c r="M159" i="14"/>
  <c r="M160" i="14"/>
  <c r="M161" i="14"/>
  <c r="O162" i="14"/>
  <c r="N162" i="14" s="1"/>
  <c r="M162" i="14"/>
  <c r="R163" i="14"/>
  <c r="P163" i="14"/>
  <c r="Q163" i="14"/>
  <c r="S163" i="14" s="1"/>
  <c r="R164" i="14"/>
  <c r="Q164" i="14"/>
  <c r="S164" i="14" s="1"/>
  <c r="R165" i="14"/>
  <c r="P165" i="14"/>
  <c r="Q165" i="14"/>
  <c r="P166" i="14"/>
  <c r="R167" i="14"/>
  <c r="Q167" i="14"/>
  <c r="S167" i="14" s="1"/>
  <c r="R168" i="14"/>
  <c r="P168" i="14"/>
  <c r="Q168" i="14"/>
  <c r="S168" i="14" s="1"/>
  <c r="R169" i="14"/>
  <c r="Q169" i="14"/>
  <c r="M186" i="14"/>
  <c r="O186" i="14"/>
  <c r="N186" i="14" s="1"/>
  <c r="M184" i="14"/>
  <c r="O184" i="14"/>
  <c r="N184" i="14" s="1"/>
  <c r="M182" i="14"/>
  <c r="O182" i="14"/>
  <c r="N182" i="14" s="1"/>
  <c r="M180" i="14"/>
  <c r="O180" i="14"/>
  <c r="N180" i="14" s="1"/>
  <c r="M178" i="14"/>
  <c r="O178" i="14"/>
  <c r="N178" i="14" s="1"/>
  <c r="M176" i="14"/>
  <c r="O176" i="14"/>
  <c r="N176" i="14" s="1"/>
  <c r="M174" i="14"/>
  <c r="O174" i="14"/>
  <c r="N174" i="14" s="1"/>
  <c r="R173" i="14"/>
  <c r="R172" i="14"/>
  <c r="M163" i="14"/>
  <c r="M164" i="14"/>
  <c r="M165" i="14"/>
  <c r="M166" i="14"/>
  <c r="M167" i="14"/>
  <c r="M168" i="14"/>
  <c r="M169" i="14"/>
  <c r="E1240" i="16"/>
  <c r="E1289" i="16" s="1"/>
  <c r="H1218" i="16"/>
  <c r="H1231" i="16"/>
  <c r="H1232" i="16" s="1"/>
  <c r="P930" i="17"/>
  <c r="P931" i="17" s="1"/>
  <c r="H888" i="17"/>
  <c r="H932" i="17" s="1"/>
  <c r="F879" i="17"/>
  <c r="F897" i="17"/>
  <c r="I897" i="17" s="1"/>
  <c r="I896" i="17"/>
  <c r="G932" i="17"/>
  <c r="P887" i="17"/>
  <c r="D932" i="17"/>
  <c r="P876" i="17"/>
  <c r="P879" i="17" s="1"/>
  <c r="F930" i="17"/>
  <c r="I1531" i="13"/>
  <c r="I1539" i="13" s="1"/>
  <c r="I1542" i="13"/>
  <c r="I1552" i="13" s="1"/>
  <c r="I1553" i="13"/>
  <c r="I1558" i="13" s="1"/>
  <c r="I1561" i="13"/>
  <c r="I1563" i="13" s="1"/>
  <c r="I1564" i="13"/>
  <c r="I1567" i="13" s="1"/>
  <c r="I1572" i="13"/>
  <c r="I1575" i="13" s="1"/>
  <c r="I1590" i="13"/>
  <c r="I1592" i="13" s="1"/>
  <c r="I1496" i="13"/>
  <c r="I1500" i="13" s="1"/>
  <c r="I1501" i="13"/>
  <c r="I1508" i="13" s="1"/>
  <c r="I1509" i="13"/>
  <c r="I1516" i="13" s="1"/>
  <c r="I1517" i="13"/>
  <c r="I1520" i="13" s="1"/>
  <c r="I1521" i="13"/>
  <c r="I1524" i="13" s="1"/>
  <c r="I1526" i="13"/>
  <c r="I1530" i="13" s="1"/>
  <c r="I1540" i="13" s="1"/>
  <c r="I1576" i="13"/>
  <c r="I1580" i="13" s="1"/>
  <c r="I1581" i="13"/>
  <c r="I1583" i="13" s="1"/>
  <c r="I1584" i="13"/>
  <c r="I1588" i="13" s="1"/>
  <c r="H1563" i="1"/>
  <c r="H1565" i="1" s="1"/>
  <c r="H1566" i="1" s="1"/>
  <c r="H1594" i="1" s="1"/>
  <c r="I1565" i="1"/>
  <c r="I1566" i="1" s="1"/>
  <c r="I1535" i="1"/>
  <c r="E1536" i="1"/>
  <c r="G1515" i="1"/>
  <c r="J1515" i="1" s="1"/>
  <c r="G1519" i="1"/>
  <c r="J1519" i="1" s="1"/>
  <c r="I1520" i="1"/>
  <c r="I1536" i="1" s="1"/>
  <c r="G1499" i="1"/>
  <c r="J1499" i="1" s="1"/>
  <c r="G1525" i="1"/>
  <c r="G1534" i="1"/>
  <c r="J1526" i="1"/>
  <c r="G1547" i="1"/>
  <c r="G1553" i="1"/>
  <c r="J1553" i="1" s="1"/>
  <c r="G1558" i="1"/>
  <c r="J1555" i="1"/>
  <c r="G1562" i="1"/>
  <c r="J1562" i="1" s="1"/>
  <c r="E1592" i="1"/>
  <c r="E1593" i="1" s="1"/>
  <c r="C232" i="15" s="1"/>
  <c r="C234" i="15" s="1"/>
  <c r="I1592" i="1"/>
  <c r="I1593" i="1" s="1"/>
  <c r="G1575" i="1"/>
  <c r="J1575" i="1" s="1"/>
  <c r="J1571" i="1"/>
  <c r="G1578" i="1"/>
  <c r="J1578" i="1" s="1"/>
  <c r="J1576" i="1"/>
  <c r="G1584" i="1"/>
  <c r="J1584" i="1" s="1"/>
  <c r="G1588" i="1"/>
  <c r="J1588" i="1" s="1"/>
  <c r="F1226" i="16"/>
  <c r="F1225" i="16"/>
  <c r="H1136" i="16"/>
  <c r="H1135" i="16"/>
  <c r="I1135" i="16"/>
  <c r="Q172" i="14" l="1"/>
  <c r="S172" i="14" s="1"/>
  <c r="T172" i="14" s="1"/>
  <c r="P172" i="14"/>
  <c r="T165" i="14"/>
  <c r="S169" i="14"/>
  <c r="S165" i="14"/>
  <c r="T159" i="14"/>
  <c r="S160" i="14"/>
  <c r="T160" i="14" s="1"/>
  <c r="S156" i="14"/>
  <c r="S161" i="14"/>
  <c r="S157" i="14"/>
  <c r="Q173" i="14"/>
  <c r="S173" i="14" s="1"/>
  <c r="T173" i="14" s="1"/>
  <c r="P173" i="14"/>
  <c r="T157" i="14"/>
  <c r="E1566" i="1"/>
  <c r="E1594" i="1" s="1"/>
  <c r="C229" i="15"/>
  <c r="C231" i="15" s="1"/>
  <c r="C235" i="15" s="1"/>
  <c r="F1596" i="13"/>
  <c r="F1597" i="13" s="1"/>
  <c r="F1568" i="13"/>
  <c r="F1525" i="13"/>
  <c r="I1136" i="16"/>
  <c r="H1240" i="16"/>
  <c r="F1559" i="13"/>
  <c r="F1540" i="13"/>
  <c r="I1568" i="13"/>
  <c r="F1315" i="16"/>
  <c r="I1225" i="16"/>
  <c r="F1316" i="16"/>
  <c r="I1226" i="16"/>
  <c r="T161" i="14"/>
  <c r="T155" i="14"/>
  <c r="Q166" i="14"/>
  <c r="S166" i="14" s="1"/>
  <c r="T166" i="14" s="1"/>
  <c r="T163" i="14"/>
  <c r="T169" i="14"/>
  <c r="T167" i="14"/>
  <c r="Q175" i="14"/>
  <c r="R175" i="14"/>
  <c r="P175" i="14"/>
  <c r="Q177" i="14"/>
  <c r="R177" i="14"/>
  <c r="P177" i="14"/>
  <c r="Q179" i="14"/>
  <c r="R179" i="14"/>
  <c r="P179" i="14"/>
  <c r="Q181" i="14"/>
  <c r="S181" i="14" s="1"/>
  <c r="T181" i="14" s="1"/>
  <c r="R181" i="14"/>
  <c r="P181" i="14"/>
  <c r="Q183" i="14"/>
  <c r="R183" i="14"/>
  <c r="P183" i="14"/>
  <c r="Q185" i="14"/>
  <c r="R185" i="14"/>
  <c r="P185" i="14"/>
  <c r="Q187" i="14"/>
  <c r="R187" i="14"/>
  <c r="P187" i="14"/>
  <c r="T168" i="14"/>
  <c r="T164" i="14"/>
  <c r="Q174" i="14"/>
  <c r="P174" i="14"/>
  <c r="R174" i="14"/>
  <c r="Q176" i="14"/>
  <c r="P176" i="14"/>
  <c r="R176" i="14"/>
  <c r="Q178" i="14"/>
  <c r="P178" i="14"/>
  <c r="R178" i="14"/>
  <c r="Q180" i="14"/>
  <c r="P180" i="14"/>
  <c r="R180" i="14"/>
  <c r="Q182" i="14"/>
  <c r="P182" i="14"/>
  <c r="R182" i="14"/>
  <c r="Q184" i="14"/>
  <c r="P184" i="14"/>
  <c r="R184" i="14"/>
  <c r="Q186" i="14"/>
  <c r="P186" i="14"/>
  <c r="R186" i="14"/>
  <c r="R162" i="14"/>
  <c r="P162" i="14"/>
  <c r="Q162" i="14"/>
  <c r="T158" i="14"/>
  <c r="T156" i="14"/>
  <c r="T154" i="14"/>
  <c r="P888" i="17"/>
  <c r="P932" i="17" s="1"/>
  <c r="F931" i="17"/>
  <c r="I930" i="17"/>
  <c r="I879" i="17"/>
  <c r="F888" i="17"/>
  <c r="I888" i="17" s="1"/>
  <c r="I1525" i="13"/>
  <c r="I1541" i="13" s="1"/>
  <c r="I1596" i="13"/>
  <c r="I1597" i="13" s="1"/>
  <c r="I1559" i="13"/>
  <c r="I1570" i="13" s="1"/>
  <c r="I1571" i="13" s="1"/>
  <c r="I1594" i="1"/>
  <c r="G1554" i="1"/>
  <c r="J1547" i="1"/>
  <c r="G1592" i="1"/>
  <c r="G1563" i="1"/>
  <c r="J1563" i="1" s="1"/>
  <c r="J1525" i="1"/>
  <c r="G1535" i="1"/>
  <c r="J1558" i="1"/>
  <c r="G1503" i="1"/>
  <c r="E1141" i="16"/>
  <c r="H1125" i="16"/>
  <c r="S185" i="14" l="1"/>
  <c r="T185" i="14" s="1"/>
  <c r="S177" i="14"/>
  <c r="T177" i="14" s="1"/>
  <c r="F1541" i="13"/>
  <c r="S162" i="14"/>
  <c r="F1570" i="13"/>
  <c r="F1571" i="13" s="1"/>
  <c r="F1598" i="13" s="1"/>
  <c r="I1316" i="16"/>
  <c r="F1407" i="16"/>
  <c r="I1315" i="16"/>
  <c r="F1406" i="16"/>
  <c r="T162" i="14"/>
  <c r="T174" i="14"/>
  <c r="S184" i="14"/>
  <c r="T184" i="14" s="1"/>
  <c r="S180" i="14"/>
  <c r="T180" i="14" s="1"/>
  <c r="S176" i="14"/>
  <c r="T176" i="14" s="1"/>
  <c r="S186" i="14"/>
  <c r="T186" i="14" s="1"/>
  <c r="S182" i="14"/>
  <c r="T182" i="14" s="1"/>
  <c r="S178" i="14"/>
  <c r="T178" i="14" s="1"/>
  <c r="S174" i="14"/>
  <c r="S187" i="14"/>
  <c r="T187" i="14" s="1"/>
  <c r="S183" i="14"/>
  <c r="T183" i="14" s="1"/>
  <c r="S179" i="14"/>
  <c r="T179" i="14" s="1"/>
  <c r="S175" i="14"/>
  <c r="T175" i="14" s="1"/>
  <c r="F932" i="17"/>
  <c r="I931" i="17"/>
  <c r="I1598" i="13"/>
  <c r="J1503" i="1"/>
  <c r="G1520" i="1"/>
  <c r="J1535" i="1"/>
  <c r="J1534" i="1"/>
  <c r="G1593" i="1"/>
  <c r="J1592" i="1"/>
  <c r="J1593" i="1" s="1"/>
  <c r="G1565" i="1"/>
  <c r="J1554" i="1"/>
  <c r="F1443" i="13"/>
  <c r="I1443" i="13" s="1"/>
  <c r="F1436" i="13"/>
  <c r="F1437" i="13"/>
  <c r="F1438" i="13"/>
  <c r="F1439" i="13"/>
  <c r="F1440" i="13"/>
  <c r="F1441" i="13"/>
  <c r="F1442" i="13"/>
  <c r="F1444" i="13"/>
  <c r="F1435" i="13"/>
  <c r="M1437" i="1"/>
  <c r="M1544" i="1" s="1"/>
  <c r="L1437" i="1"/>
  <c r="G1437" i="1"/>
  <c r="J1437" i="1" s="1"/>
  <c r="H1416" i="1"/>
  <c r="H814" i="17"/>
  <c r="G814" i="17"/>
  <c r="I1392" i="1"/>
  <c r="H1392" i="1"/>
  <c r="M1651" i="1" l="1"/>
  <c r="M1758" i="1" s="1"/>
  <c r="M1865" i="1" s="1"/>
  <c r="M1972" i="1" s="1"/>
  <c r="M2081" i="1" s="1"/>
  <c r="M2190" i="1" s="1"/>
  <c r="M2300" i="1" s="1"/>
  <c r="K1437" i="1"/>
  <c r="L1544" i="1"/>
  <c r="G1443" i="13"/>
  <c r="J1443" i="13" s="1"/>
  <c r="F1498" i="16"/>
  <c r="I1406" i="16"/>
  <c r="F1499" i="16"/>
  <c r="I1407" i="16"/>
  <c r="I932" i="17"/>
  <c r="G1566" i="1"/>
  <c r="J1565" i="1"/>
  <c r="J1566" i="1" s="1"/>
  <c r="G1536" i="1"/>
  <c r="J1520" i="1"/>
  <c r="O1437" i="1"/>
  <c r="K1544" i="1" l="1"/>
  <c r="O1544" i="1" s="1"/>
  <c r="L1651" i="1"/>
  <c r="G1550" i="13"/>
  <c r="J1550" i="13" s="1"/>
  <c r="I1499" i="16"/>
  <c r="F1591" i="16"/>
  <c r="I1498" i="16"/>
  <c r="F1590" i="16"/>
  <c r="G1594" i="1"/>
  <c r="J1594" i="1" s="1"/>
  <c r="J1536" i="1"/>
  <c r="E218" i="15"/>
  <c r="E215" i="15"/>
  <c r="E212" i="15"/>
  <c r="H1197" i="16"/>
  <c r="E1196" i="16"/>
  <c r="H1195" i="16"/>
  <c r="H1194" i="16"/>
  <c r="H1193" i="16"/>
  <c r="H1192" i="16"/>
  <c r="H1191" i="16"/>
  <c r="H1190" i="16"/>
  <c r="H1189" i="16"/>
  <c r="H1188" i="16"/>
  <c r="H1187" i="16"/>
  <c r="H1186" i="16"/>
  <c r="H1185" i="16"/>
  <c r="H1184" i="16"/>
  <c r="H1183" i="16"/>
  <c r="H1182" i="16"/>
  <c r="H1181" i="16"/>
  <c r="H1180" i="16"/>
  <c r="H1179" i="16"/>
  <c r="H1178" i="16"/>
  <c r="H1177" i="16"/>
  <c r="H1176" i="16"/>
  <c r="H1175" i="16"/>
  <c r="H1174" i="16"/>
  <c r="H1173" i="16"/>
  <c r="E1172" i="16"/>
  <c r="H1171" i="16"/>
  <c r="H1170" i="16"/>
  <c r="H1169" i="16"/>
  <c r="H1168" i="16"/>
  <c r="H1167" i="16"/>
  <c r="H1166" i="16"/>
  <c r="H1165" i="16"/>
  <c r="H1164" i="16"/>
  <c r="H1163" i="16"/>
  <c r="H1162" i="16"/>
  <c r="H1161" i="16"/>
  <c r="H1160" i="16"/>
  <c r="H1159" i="16"/>
  <c r="H1158" i="16"/>
  <c r="H1157" i="16"/>
  <c r="H1156" i="16"/>
  <c r="H1155" i="16"/>
  <c r="H1154" i="16"/>
  <c r="H1153" i="16"/>
  <c r="H1152" i="16"/>
  <c r="H1151" i="16"/>
  <c r="I1149" i="16"/>
  <c r="E1148" i="16"/>
  <c r="H1147" i="16"/>
  <c r="H1146" i="16"/>
  <c r="H1145" i="16"/>
  <c r="H1144" i="16"/>
  <c r="H1143" i="16"/>
  <c r="H1141" i="16"/>
  <c r="H1139" i="16"/>
  <c r="H1138" i="16"/>
  <c r="H1137" i="16"/>
  <c r="H1134" i="16"/>
  <c r="H1133" i="16"/>
  <c r="H1132" i="16"/>
  <c r="H1131" i="16"/>
  <c r="H1130" i="16"/>
  <c r="E1142" i="16"/>
  <c r="E1128" i="16"/>
  <c r="H1127" i="16"/>
  <c r="H1126" i="16"/>
  <c r="H1124" i="16"/>
  <c r="H1123" i="16"/>
  <c r="H1122" i="16"/>
  <c r="H1121" i="16"/>
  <c r="H1120" i="16"/>
  <c r="H1119" i="16"/>
  <c r="H1118" i="16"/>
  <c r="H1117" i="16"/>
  <c r="H1116" i="16"/>
  <c r="H1115" i="16"/>
  <c r="H1114" i="16"/>
  <c r="E869" i="17"/>
  <c r="E870" i="17" s="1"/>
  <c r="H868" i="17"/>
  <c r="H869" i="17" s="1"/>
  <c r="G868" i="17"/>
  <c r="G869" i="17" s="1"/>
  <c r="D868" i="17"/>
  <c r="D869" i="17" s="1"/>
  <c r="P867" i="17"/>
  <c r="I867" i="17"/>
  <c r="F867" i="17"/>
  <c r="P866" i="17"/>
  <c r="F866" i="17"/>
  <c r="I866" i="17" s="1"/>
  <c r="P865" i="17"/>
  <c r="F865" i="17"/>
  <c r="I865" i="17" s="1"/>
  <c r="P864" i="17"/>
  <c r="F864" i="17"/>
  <c r="I864" i="17" s="1"/>
  <c r="P863" i="17"/>
  <c r="F863" i="17"/>
  <c r="I863" i="17" s="1"/>
  <c r="P862" i="17"/>
  <c r="F862" i="17"/>
  <c r="I862" i="17" s="1"/>
  <c r="P861" i="17"/>
  <c r="F861" i="17"/>
  <c r="I861" i="17" s="1"/>
  <c r="P860" i="17"/>
  <c r="F860" i="17"/>
  <c r="I860" i="17" s="1"/>
  <c r="P859" i="17"/>
  <c r="F859" i="17"/>
  <c r="I859" i="17" s="1"/>
  <c r="P858" i="17"/>
  <c r="F858" i="17"/>
  <c r="I858" i="17" s="1"/>
  <c r="P857" i="17"/>
  <c r="F857" i="17"/>
  <c r="I857" i="17" s="1"/>
  <c r="P856" i="17"/>
  <c r="F856" i="17"/>
  <c r="I856" i="17" s="1"/>
  <c r="P855" i="17"/>
  <c r="F855" i="17"/>
  <c r="I855" i="17" s="1"/>
  <c r="P854" i="17"/>
  <c r="F854" i="17"/>
  <c r="I854" i="17" s="1"/>
  <c r="P853" i="17"/>
  <c r="I853" i="17"/>
  <c r="F853" i="17"/>
  <c r="P852" i="17"/>
  <c r="F852" i="17"/>
  <c r="I852" i="17" s="1"/>
  <c r="P851" i="17"/>
  <c r="F851" i="17"/>
  <c r="I851" i="17" s="1"/>
  <c r="P850" i="17"/>
  <c r="F850" i="17"/>
  <c r="I850" i="17" s="1"/>
  <c r="P849" i="17"/>
  <c r="F849" i="17"/>
  <c r="I849" i="17" s="1"/>
  <c r="P848" i="17"/>
  <c r="F848" i="17"/>
  <c r="I848" i="17" s="1"/>
  <c r="P847" i="17"/>
  <c r="I847" i="17"/>
  <c r="F847" i="17"/>
  <c r="P846" i="17"/>
  <c r="F846" i="17"/>
  <c r="I846" i="17" s="1"/>
  <c r="P845" i="17"/>
  <c r="I845" i="17"/>
  <c r="F845" i="17"/>
  <c r="P844" i="17"/>
  <c r="F844" i="17"/>
  <c r="I844" i="17" s="1"/>
  <c r="P843" i="17"/>
  <c r="F843" i="17"/>
  <c r="I843" i="17" s="1"/>
  <c r="P842" i="17"/>
  <c r="F842" i="17"/>
  <c r="P841" i="17"/>
  <c r="F841" i="17"/>
  <c r="I841" i="17" s="1"/>
  <c r="P840" i="17"/>
  <c r="F840" i="17"/>
  <c r="I840" i="17" s="1"/>
  <c r="P839" i="17"/>
  <c r="F839" i="17"/>
  <c r="I839" i="17" s="1"/>
  <c r="P838" i="17"/>
  <c r="F838" i="17"/>
  <c r="I838" i="17" s="1"/>
  <c r="P837" i="17"/>
  <c r="F837" i="17"/>
  <c r="I837" i="17" s="1"/>
  <c r="P836" i="17"/>
  <c r="I836" i="17"/>
  <c r="F836" i="17"/>
  <c r="H835" i="17"/>
  <c r="E835" i="17"/>
  <c r="D835" i="17"/>
  <c r="H834" i="17"/>
  <c r="G834" i="17"/>
  <c r="G835" i="17" s="1"/>
  <c r="P833" i="17"/>
  <c r="F833" i="17"/>
  <c r="I833" i="17" s="1"/>
  <c r="P832" i="17"/>
  <c r="I832" i="17"/>
  <c r="F832" i="17"/>
  <c r="P831" i="17"/>
  <c r="F831" i="17"/>
  <c r="I831" i="17" s="1"/>
  <c r="P830" i="17"/>
  <c r="F830" i="17"/>
  <c r="I830" i="17" s="1"/>
  <c r="P829" i="17"/>
  <c r="I829" i="17"/>
  <c r="F829" i="17"/>
  <c r="P828" i="17"/>
  <c r="F828" i="17"/>
  <c r="I828" i="17" s="1"/>
  <c r="P827" i="17"/>
  <c r="P834" i="17" s="1"/>
  <c r="P835" i="17" s="1"/>
  <c r="F827" i="17"/>
  <c r="F834" i="17" s="1"/>
  <c r="E826" i="17"/>
  <c r="H825" i="17"/>
  <c r="G825" i="17"/>
  <c r="D825" i="17"/>
  <c r="D826" i="17" s="1"/>
  <c r="P824" i="17"/>
  <c r="I824" i="17"/>
  <c r="F824" i="17"/>
  <c r="P823" i="17"/>
  <c r="F823" i="17"/>
  <c r="I823" i="17" s="1"/>
  <c r="P822" i="17"/>
  <c r="F822" i="17"/>
  <c r="I822" i="17" s="1"/>
  <c r="P821" i="17"/>
  <c r="F821" i="17"/>
  <c r="I821" i="17" s="1"/>
  <c r="P820" i="17"/>
  <c r="F820" i="17"/>
  <c r="I820" i="17" s="1"/>
  <c r="P819" i="17"/>
  <c r="F819" i="17"/>
  <c r="I819" i="17" s="1"/>
  <c r="P818" i="17"/>
  <c r="F818" i="17"/>
  <c r="I818" i="17" s="1"/>
  <c r="H817" i="17"/>
  <c r="H826" i="17" s="1"/>
  <c r="G817" i="17"/>
  <c r="D817" i="17"/>
  <c r="P816" i="17"/>
  <c r="F816" i="17"/>
  <c r="I816" i="17" s="1"/>
  <c r="P815" i="17"/>
  <c r="F815" i="17"/>
  <c r="I815" i="17" s="1"/>
  <c r="P814" i="17"/>
  <c r="F814" i="17"/>
  <c r="I814" i="17" s="1"/>
  <c r="P813" i="17"/>
  <c r="I813" i="17"/>
  <c r="F813" i="17"/>
  <c r="P812" i="17"/>
  <c r="F812" i="17"/>
  <c r="I812" i="17" s="1"/>
  <c r="J1488" i="13"/>
  <c r="I1488" i="13"/>
  <c r="F1487" i="13"/>
  <c r="F1486" i="13"/>
  <c r="F1484" i="13"/>
  <c r="I1484" i="13" s="1"/>
  <c r="F1483" i="13"/>
  <c r="F1482" i="13"/>
  <c r="I1482" i="13" s="1"/>
  <c r="F1480" i="13"/>
  <c r="I1480" i="13" s="1"/>
  <c r="F1479" i="13"/>
  <c r="I1479" i="13" s="1"/>
  <c r="F1478" i="13"/>
  <c r="I1478" i="13" s="1"/>
  <c r="F1477" i="13"/>
  <c r="F1475" i="13"/>
  <c r="I1475" i="13" s="1"/>
  <c r="F1474" i="13"/>
  <c r="F1472" i="13"/>
  <c r="I1472" i="13" s="1"/>
  <c r="F1471" i="13"/>
  <c r="I1471" i="13" s="1"/>
  <c r="F1470" i="13"/>
  <c r="I1470" i="13" s="1"/>
  <c r="F1469" i="13"/>
  <c r="F1467" i="13"/>
  <c r="I1467" i="13" s="1"/>
  <c r="F1466" i="13"/>
  <c r="I1466" i="13" s="1"/>
  <c r="F1465" i="13"/>
  <c r="F1462" i="13"/>
  <c r="I1462" i="13" s="1"/>
  <c r="F1459" i="13"/>
  <c r="I1459" i="13" s="1"/>
  <c r="F1458" i="13"/>
  <c r="I1458" i="13" s="1"/>
  <c r="F1457" i="13"/>
  <c r="F1455" i="13"/>
  <c r="I1455" i="13" s="1"/>
  <c r="F1454" i="13"/>
  <c r="F1453" i="13"/>
  <c r="I1453" i="13" s="1"/>
  <c r="F1450" i="13"/>
  <c r="I1450" i="13" s="1"/>
  <c r="F1449" i="13"/>
  <c r="I1449" i="13" s="1"/>
  <c r="F1448" i="13"/>
  <c r="I1448" i="13" s="1"/>
  <c r="F1447" i="13"/>
  <c r="I1447" i="13" s="1"/>
  <c r="F1446" i="13"/>
  <c r="I1444" i="13"/>
  <c r="I1442" i="13"/>
  <c r="I1441" i="13"/>
  <c r="I1440" i="13"/>
  <c r="I1439" i="13"/>
  <c r="I1438" i="13"/>
  <c r="I1437" i="13"/>
  <c r="I1435" i="13"/>
  <c r="F1431" i="13"/>
  <c r="I1431" i="13" s="1"/>
  <c r="F1430" i="13"/>
  <c r="I1430" i="13" s="1"/>
  <c r="F1429" i="13"/>
  <c r="I1429" i="13" s="1"/>
  <c r="F1428" i="13"/>
  <c r="I1428" i="13" s="1"/>
  <c r="F1427" i="13"/>
  <c r="I1427" i="13" s="1"/>
  <c r="F1426" i="13"/>
  <c r="I1426" i="13" s="1"/>
  <c r="F1425" i="13"/>
  <c r="I1425" i="13" s="1"/>
  <c r="F1424" i="13"/>
  <c r="F1422" i="13"/>
  <c r="I1422" i="13" s="1"/>
  <c r="F1421" i="13"/>
  <c r="I1421" i="13" s="1"/>
  <c r="F1420" i="13"/>
  <c r="I1420" i="13" s="1"/>
  <c r="F1419" i="13"/>
  <c r="F1416" i="13"/>
  <c r="I1416" i="13" s="1"/>
  <c r="F1415" i="13"/>
  <c r="I1415" i="13" s="1"/>
  <c r="F1414" i="13"/>
  <c r="F1412" i="13"/>
  <c r="I1412" i="13" s="1"/>
  <c r="F1411" i="13"/>
  <c r="I1411" i="13" s="1"/>
  <c r="F1410" i="13"/>
  <c r="F1408" i="13"/>
  <c r="I1408" i="13" s="1"/>
  <c r="F1407" i="13"/>
  <c r="I1407" i="13" s="1"/>
  <c r="F1406" i="13"/>
  <c r="I1406" i="13" s="1"/>
  <c r="F1405" i="13"/>
  <c r="I1405" i="13" s="1"/>
  <c r="F1404" i="13"/>
  <c r="I1404" i="13" s="1"/>
  <c r="F1403" i="13"/>
  <c r="I1403" i="13" s="1"/>
  <c r="F1402" i="13"/>
  <c r="F1400" i="13"/>
  <c r="I1400" i="13" s="1"/>
  <c r="F1399" i="13"/>
  <c r="I1399" i="13" s="1"/>
  <c r="F1398" i="13"/>
  <c r="I1398" i="13" s="1"/>
  <c r="F1397" i="13"/>
  <c r="I1397" i="13" s="1"/>
  <c r="F1396" i="13"/>
  <c r="I1396" i="13" s="1"/>
  <c r="F1395" i="13"/>
  <c r="I1395" i="13" s="1"/>
  <c r="F1394" i="13"/>
  <c r="F1392" i="13"/>
  <c r="I1392" i="13" s="1"/>
  <c r="F1391" i="13"/>
  <c r="I1391" i="13" s="1"/>
  <c r="F1390" i="13"/>
  <c r="I1390" i="13" s="1"/>
  <c r="F1389" i="13"/>
  <c r="F1485" i="1"/>
  <c r="F1486" i="1" s="1"/>
  <c r="I1484" i="1"/>
  <c r="H1484" i="1"/>
  <c r="F1488" i="13" s="1"/>
  <c r="G1483" i="1"/>
  <c r="J1483" i="1" s="1"/>
  <c r="G1482" i="1"/>
  <c r="J1482" i="1" s="1"/>
  <c r="I1481" i="1"/>
  <c r="H1481" i="1"/>
  <c r="E1481" i="1"/>
  <c r="G1480" i="1"/>
  <c r="J1480" i="1" s="1"/>
  <c r="G1479" i="1"/>
  <c r="J1479" i="1" s="1"/>
  <c r="G1478" i="1"/>
  <c r="J1478" i="1" s="1"/>
  <c r="I1477" i="1"/>
  <c r="H1477" i="1"/>
  <c r="E1477" i="1"/>
  <c r="G1476" i="1"/>
  <c r="J1476" i="1" s="1"/>
  <c r="G1475" i="1"/>
  <c r="J1475" i="1" s="1"/>
  <c r="G1474" i="1"/>
  <c r="J1474" i="1" s="1"/>
  <c r="G1473" i="1"/>
  <c r="J1473" i="1" s="1"/>
  <c r="G1472" i="1"/>
  <c r="J1472" i="1" s="1"/>
  <c r="I1471" i="1"/>
  <c r="H1471" i="1"/>
  <c r="E1471" i="1"/>
  <c r="G1470" i="1"/>
  <c r="J1470" i="1" s="1"/>
  <c r="G1469" i="1"/>
  <c r="I1468" i="1"/>
  <c r="H1468" i="1"/>
  <c r="E1468" i="1"/>
  <c r="G1467" i="1"/>
  <c r="J1467" i="1" s="1"/>
  <c r="G1466" i="1"/>
  <c r="J1466" i="1" s="1"/>
  <c r="G1465" i="1"/>
  <c r="J1465" i="1" s="1"/>
  <c r="G1464" i="1"/>
  <c r="I1463" i="1"/>
  <c r="H1463" i="1"/>
  <c r="E1463" i="1"/>
  <c r="G1462" i="1"/>
  <c r="J1462" i="1" s="1"/>
  <c r="G1461" i="1"/>
  <c r="J1461" i="1" s="1"/>
  <c r="G1460" i="1"/>
  <c r="F1458" i="1"/>
  <c r="F1459" i="1" s="1"/>
  <c r="J1457" i="1"/>
  <c r="G1457" i="1"/>
  <c r="I1455" i="1"/>
  <c r="H1455" i="1"/>
  <c r="E1455" i="1"/>
  <c r="E1456" i="1" s="1"/>
  <c r="G1454" i="1"/>
  <c r="J1454" i="1" s="1"/>
  <c r="G1453" i="1"/>
  <c r="J1453" i="1" s="1"/>
  <c r="G1452" i="1"/>
  <c r="J1452" i="1" s="1"/>
  <c r="I1451" i="1"/>
  <c r="I1456" i="1" s="1"/>
  <c r="H1451" i="1"/>
  <c r="G1450" i="1"/>
  <c r="J1450" i="1" s="1"/>
  <c r="G1449" i="1"/>
  <c r="J1449" i="1" s="1"/>
  <c r="G1448" i="1"/>
  <c r="I1446" i="1"/>
  <c r="H1446" i="1"/>
  <c r="E1446" i="1"/>
  <c r="G1445" i="1"/>
  <c r="J1445" i="1" s="1"/>
  <c r="G1444" i="1"/>
  <c r="J1444" i="1" s="1"/>
  <c r="G1443" i="1"/>
  <c r="J1443" i="1" s="1"/>
  <c r="G1442" i="1"/>
  <c r="J1442" i="1" s="1"/>
  <c r="G1441" i="1"/>
  <c r="J1441" i="1" s="1"/>
  <c r="I1440" i="1"/>
  <c r="I1447" i="1" s="1"/>
  <c r="H1440" i="1"/>
  <c r="E1440" i="1"/>
  <c r="G1439" i="1"/>
  <c r="J1439" i="1" s="1"/>
  <c r="G1438" i="1"/>
  <c r="J1438" i="1" s="1"/>
  <c r="G1436" i="1"/>
  <c r="J1436" i="1" s="1"/>
  <c r="G1435" i="1"/>
  <c r="J1435" i="1" s="1"/>
  <c r="G1434" i="1"/>
  <c r="J1434" i="1" s="1"/>
  <c r="G1433" i="1"/>
  <c r="J1433" i="1" s="1"/>
  <c r="G1432" i="1"/>
  <c r="J1432" i="1" s="1"/>
  <c r="G1431" i="1"/>
  <c r="J1431" i="1" s="1"/>
  <c r="G1430" i="1"/>
  <c r="J1430" i="1" s="1"/>
  <c r="F1428" i="1"/>
  <c r="I1427" i="1"/>
  <c r="H1427" i="1"/>
  <c r="G1426" i="1"/>
  <c r="J1426" i="1" s="1"/>
  <c r="G1425" i="1"/>
  <c r="J1425" i="1" s="1"/>
  <c r="G1424" i="1"/>
  <c r="J1424" i="1" s="1"/>
  <c r="G1423" i="1"/>
  <c r="J1423" i="1" s="1"/>
  <c r="G1422" i="1"/>
  <c r="J1422" i="1" s="1"/>
  <c r="G1421" i="1"/>
  <c r="J1421" i="1" s="1"/>
  <c r="G1420" i="1"/>
  <c r="J1420" i="1" s="1"/>
  <c r="G1419" i="1"/>
  <c r="E1419" i="1"/>
  <c r="E1427" i="1" s="1"/>
  <c r="E1428" i="1" s="1"/>
  <c r="C211" i="15" s="1"/>
  <c r="I1418" i="1"/>
  <c r="H1418" i="1"/>
  <c r="E1418" i="1"/>
  <c r="G1417" i="1"/>
  <c r="J1417" i="1" s="1"/>
  <c r="G1416" i="1"/>
  <c r="J1416" i="1" s="1"/>
  <c r="G1415" i="1"/>
  <c r="J1415" i="1" s="1"/>
  <c r="G1414" i="1"/>
  <c r="J1414" i="1" s="1"/>
  <c r="I1412" i="1"/>
  <c r="H1412" i="1"/>
  <c r="E1412" i="1"/>
  <c r="G1411" i="1"/>
  <c r="J1411" i="1" s="1"/>
  <c r="G1410" i="1"/>
  <c r="J1410" i="1" s="1"/>
  <c r="G1409" i="1"/>
  <c r="I1408" i="1"/>
  <c r="H1408" i="1"/>
  <c r="F1408" i="1"/>
  <c r="F1413" i="1" s="1"/>
  <c r="F1429" i="1" s="1"/>
  <c r="F1487" i="1" s="1"/>
  <c r="E1408" i="1"/>
  <c r="G1407" i="1"/>
  <c r="G1406" i="1"/>
  <c r="J1406" i="1" s="1"/>
  <c r="G1405" i="1"/>
  <c r="J1405" i="1" s="1"/>
  <c r="I1404" i="1"/>
  <c r="H1404" i="1"/>
  <c r="E1404" i="1"/>
  <c r="G1403" i="1"/>
  <c r="J1403" i="1" s="1"/>
  <c r="G1402" i="1"/>
  <c r="J1402" i="1" s="1"/>
  <c r="G1401" i="1"/>
  <c r="J1401" i="1" s="1"/>
  <c r="G1400" i="1"/>
  <c r="J1400" i="1" s="1"/>
  <c r="G1399" i="1"/>
  <c r="J1399" i="1" s="1"/>
  <c r="G1398" i="1"/>
  <c r="J1398" i="1" s="1"/>
  <c r="G1397" i="1"/>
  <c r="J1397" i="1" s="1"/>
  <c r="I1396" i="1"/>
  <c r="H1396" i="1"/>
  <c r="E1396" i="1"/>
  <c r="G1395" i="1"/>
  <c r="J1395" i="1" s="1"/>
  <c r="G1394" i="1"/>
  <c r="J1394" i="1" s="1"/>
  <c r="G1393" i="1"/>
  <c r="J1393" i="1" s="1"/>
  <c r="G1392" i="1"/>
  <c r="J1392" i="1" s="1"/>
  <c r="G1391" i="1"/>
  <c r="J1391" i="1" s="1"/>
  <c r="G1390" i="1"/>
  <c r="J1390" i="1" s="1"/>
  <c r="G1389" i="1"/>
  <c r="I1388" i="1"/>
  <c r="H1388" i="1"/>
  <c r="E1388" i="1"/>
  <c r="G1387" i="1"/>
  <c r="J1387" i="1" s="1"/>
  <c r="G1386" i="1"/>
  <c r="J1386" i="1" s="1"/>
  <c r="G1385" i="1"/>
  <c r="J1385" i="1" s="1"/>
  <c r="G1384" i="1"/>
  <c r="I1428" i="1" l="1"/>
  <c r="E1447" i="1"/>
  <c r="E1458" i="1" s="1"/>
  <c r="E1459" i="1" s="1"/>
  <c r="C214" i="15" s="1"/>
  <c r="C216" i="15" s="1"/>
  <c r="I827" i="17"/>
  <c r="G1657" i="13"/>
  <c r="J1657" i="13" s="1"/>
  <c r="L1758" i="1"/>
  <c r="K1651" i="1"/>
  <c r="O1651" i="1" s="1"/>
  <c r="E1413" i="1"/>
  <c r="G1412" i="1"/>
  <c r="J1412" i="1" s="1"/>
  <c r="G1463" i="1"/>
  <c r="J1463" i="1" s="1"/>
  <c r="F1413" i="13"/>
  <c r="F1451" i="13"/>
  <c r="F1460" i="13"/>
  <c r="F1473" i="13"/>
  <c r="F1476" i="13"/>
  <c r="F1456" i="13"/>
  <c r="I1590" i="16"/>
  <c r="F1682" i="16"/>
  <c r="F1683" i="16"/>
  <c r="I1591" i="16"/>
  <c r="J1409" i="1"/>
  <c r="J1460" i="1"/>
  <c r="G1484" i="1"/>
  <c r="J1484" i="1" s="1"/>
  <c r="H1148" i="16"/>
  <c r="H1172" i="16"/>
  <c r="H1196" i="16"/>
  <c r="H1128" i="16"/>
  <c r="F1409" i="13"/>
  <c r="F1417" i="13"/>
  <c r="H1456" i="1"/>
  <c r="G1408" i="1"/>
  <c r="J1408" i="1" s="1"/>
  <c r="F1468" i="13"/>
  <c r="F1485" i="13"/>
  <c r="F1393" i="13"/>
  <c r="F1423" i="13"/>
  <c r="F1481" i="13"/>
  <c r="F1445" i="13"/>
  <c r="H1447" i="1"/>
  <c r="G826" i="17"/>
  <c r="F1432" i="13"/>
  <c r="G1396" i="1"/>
  <c r="J1396" i="1" s="1"/>
  <c r="F1401" i="13"/>
  <c r="G1388" i="1"/>
  <c r="J1388" i="1" s="1"/>
  <c r="H1485" i="1"/>
  <c r="H1486" i="1" s="1"/>
  <c r="E1150" i="16"/>
  <c r="E1199" i="16" s="1"/>
  <c r="H1140" i="16"/>
  <c r="H1129" i="16"/>
  <c r="P868" i="17"/>
  <c r="P869" i="17" s="1"/>
  <c r="P825" i="17"/>
  <c r="F817" i="17"/>
  <c r="F835" i="17"/>
  <c r="I835" i="17" s="1"/>
  <c r="I834" i="17"/>
  <c r="G870" i="17"/>
  <c r="P817" i="17"/>
  <c r="F825" i="17"/>
  <c r="I825" i="17" s="1"/>
  <c r="D870" i="17"/>
  <c r="F868" i="17"/>
  <c r="H870" i="17"/>
  <c r="I1436" i="13"/>
  <c r="I1445" i="13" s="1"/>
  <c r="I1446" i="13"/>
  <c r="I1451" i="13" s="1"/>
  <c r="I1454" i="13"/>
  <c r="I1456" i="13" s="1"/>
  <c r="I1457" i="13"/>
  <c r="I1460" i="13" s="1"/>
  <c r="I1465" i="13"/>
  <c r="I1468" i="13" s="1"/>
  <c r="I1483" i="13"/>
  <c r="I1485" i="13" s="1"/>
  <c r="I1389" i="13"/>
  <c r="I1393" i="13" s="1"/>
  <c r="I1394" i="13"/>
  <c r="I1401" i="13" s="1"/>
  <c r="I1402" i="13"/>
  <c r="I1409" i="13" s="1"/>
  <c r="I1410" i="13"/>
  <c r="I1413" i="13" s="1"/>
  <c r="I1414" i="13"/>
  <c r="I1417" i="13" s="1"/>
  <c r="I1419" i="13"/>
  <c r="I1423" i="13" s="1"/>
  <c r="I1424" i="13"/>
  <c r="I1432" i="13" s="1"/>
  <c r="I1469" i="13"/>
  <c r="I1473" i="13" s="1"/>
  <c r="I1474" i="13"/>
  <c r="I1476" i="13" s="1"/>
  <c r="I1477" i="13"/>
  <c r="I1481" i="13" s="1"/>
  <c r="I1458" i="1"/>
  <c r="I1459" i="1" s="1"/>
  <c r="I1413" i="1"/>
  <c r="I1429" i="1" s="1"/>
  <c r="J1389" i="1"/>
  <c r="G1404" i="1"/>
  <c r="J1404" i="1" s="1"/>
  <c r="G1418" i="1"/>
  <c r="H1413" i="1"/>
  <c r="H1428" i="1"/>
  <c r="G1427" i="1"/>
  <c r="J1419" i="1"/>
  <c r="G1440" i="1"/>
  <c r="G1446" i="1"/>
  <c r="J1446" i="1" s="1"/>
  <c r="G1451" i="1"/>
  <c r="J1448" i="1"/>
  <c r="G1455" i="1"/>
  <c r="J1455" i="1" s="1"/>
  <c r="E1485" i="1"/>
  <c r="I1485" i="1"/>
  <c r="I1486" i="1" s="1"/>
  <c r="G1468" i="1"/>
  <c r="J1468" i="1" s="1"/>
  <c r="J1464" i="1"/>
  <c r="G1471" i="1"/>
  <c r="J1471" i="1" s="1"/>
  <c r="J1469" i="1"/>
  <c r="G1477" i="1"/>
  <c r="J1477" i="1" s="1"/>
  <c r="G1481" i="1"/>
  <c r="J1481" i="1" s="1"/>
  <c r="E1050" i="16"/>
  <c r="E1043" i="16"/>
  <c r="E1041" i="16"/>
  <c r="I1252" i="1"/>
  <c r="L1865" i="1" l="1"/>
  <c r="G1764" i="13"/>
  <c r="J1764" i="13" s="1"/>
  <c r="K1758" i="1"/>
  <c r="O1758" i="1" s="1"/>
  <c r="E1486" i="1"/>
  <c r="E1487" i="1" s="1"/>
  <c r="C217" i="15"/>
  <c r="C219" i="15" s="1"/>
  <c r="E1429" i="1"/>
  <c r="C210" i="15"/>
  <c r="C213" i="15" s="1"/>
  <c r="P826" i="17"/>
  <c r="P870" i="17" s="1"/>
  <c r="I1683" i="16"/>
  <c r="F1777" i="16"/>
  <c r="I1682" i="16"/>
  <c r="F1776" i="16"/>
  <c r="F1461" i="13"/>
  <c r="F1452" i="13"/>
  <c r="F1433" i="13"/>
  <c r="H1142" i="16"/>
  <c r="H1150" i="16" s="1"/>
  <c r="F1418" i="13"/>
  <c r="F1489" i="13"/>
  <c r="F1490" i="13" s="1"/>
  <c r="H1458" i="1"/>
  <c r="H1459" i="1" s="1"/>
  <c r="I1452" i="13"/>
  <c r="F1434" i="13"/>
  <c r="I1433" i="13"/>
  <c r="G1413" i="1"/>
  <c r="I817" i="17"/>
  <c r="F826" i="17"/>
  <c r="I826" i="17" s="1"/>
  <c r="F869" i="17"/>
  <c r="I868" i="17"/>
  <c r="I1461" i="13"/>
  <c r="I1463" i="13" s="1"/>
  <c r="I1464" i="13" s="1"/>
  <c r="I1418" i="13"/>
  <c r="I1489" i="13"/>
  <c r="I1490" i="13" s="1"/>
  <c r="I1487" i="1"/>
  <c r="G1485" i="1"/>
  <c r="G1456" i="1"/>
  <c r="J1456" i="1" s="1"/>
  <c r="J1451" i="1"/>
  <c r="J1413" i="1"/>
  <c r="G1447" i="1"/>
  <c r="J1440" i="1"/>
  <c r="H1429" i="1"/>
  <c r="J1418" i="1"/>
  <c r="G1428" i="1"/>
  <c r="L206" i="14"/>
  <c r="K206" i="14" s="1"/>
  <c r="O206" i="14" s="1"/>
  <c r="G206" i="14"/>
  <c r="C206" i="14"/>
  <c r="L205" i="14"/>
  <c r="K205" i="14" s="1"/>
  <c r="G205" i="14"/>
  <c r="C205" i="14"/>
  <c r="L204" i="14"/>
  <c r="K204" i="14" s="1"/>
  <c r="G204" i="14"/>
  <c r="C204" i="14"/>
  <c r="L203" i="14"/>
  <c r="K203" i="14" s="1"/>
  <c r="G203" i="14"/>
  <c r="C203" i="14"/>
  <c r="L202" i="14"/>
  <c r="K202" i="14"/>
  <c r="M202" i="14" s="1"/>
  <c r="G202" i="14"/>
  <c r="C202" i="14"/>
  <c r="L201" i="14"/>
  <c r="K201" i="14" s="1"/>
  <c r="G201" i="14"/>
  <c r="C201" i="14"/>
  <c r="G200" i="14"/>
  <c r="C200" i="14"/>
  <c r="L199" i="14"/>
  <c r="K199" i="14" s="1"/>
  <c r="G199" i="14"/>
  <c r="C199" i="14"/>
  <c r="L198" i="14"/>
  <c r="K198" i="14" s="1"/>
  <c r="G198" i="14"/>
  <c r="C198" i="14"/>
  <c r="G197" i="14"/>
  <c r="L196" i="14"/>
  <c r="K196" i="14" s="1"/>
  <c r="G196" i="14"/>
  <c r="C196" i="14"/>
  <c r="L195" i="14"/>
  <c r="K195" i="14" s="1"/>
  <c r="G195" i="14"/>
  <c r="C195" i="14"/>
  <c r="L194" i="14"/>
  <c r="K194" i="14" s="1"/>
  <c r="G194" i="14"/>
  <c r="C194" i="14"/>
  <c r="L193" i="14"/>
  <c r="K193" i="14" s="1"/>
  <c r="G193" i="14"/>
  <c r="C193" i="14"/>
  <c r="L192" i="14"/>
  <c r="K192" i="14" s="1"/>
  <c r="G192" i="14"/>
  <c r="C192" i="14"/>
  <c r="L191" i="14"/>
  <c r="G191" i="14"/>
  <c r="C191" i="14"/>
  <c r="E203" i="15"/>
  <c r="E200" i="15"/>
  <c r="E197" i="15"/>
  <c r="H1107" i="16"/>
  <c r="E1106" i="16"/>
  <c r="H1105" i="16"/>
  <c r="H1104" i="16"/>
  <c r="H1103" i="16"/>
  <c r="H1102" i="16"/>
  <c r="H1101" i="16"/>
  <c r="H1100" i="16"/>
  <c r="H1099" i="16"/>
  <c r="H1098" i="16"/>
  <c r="H1097" i="16"/>
  <c r="H1096" i="16"/>
  <c r="H1095" i="16"/>
  <c r="H1094" i="16"/>
  <c r="H1093" i="16"/>
  <c r="H1092" i="16"/>
  <c r="H1091" i="16"/>
  <c r="H1090" i="16"/>
  <c r="H1089" i="16"/>
  <c r="H1088" i="16"/>
  <c r="H1087" i="16"/>
  <c r="H1086" i="16"/>
  <c r="H1085" i="16"/>
  <c r="H1084" i="16"/>
  <c r="H1083" i="16"/>
  <c r="E1082" i="16"/>
  <c r="H1081" i="16"/>
  <c r="H1080" i="16"/>
  <c r="H1079" i="16"/>
  <c r="H1078" i="16"/>
  <c r="H1077" i="16"/>
  <c r="H1076" i="16"/>
  <c r="H1075" i="16"/>
  <c r="H1074" i="16"/>
  <c r="H1073" i="16"/>
  <c r="H1072" i="16"/>
  <c r="H1071" i="16"/>
  <c r="H1070" i="16"/>
  <c r="H1069" i="16"/>
  <c r="H1068" i="16"/>
  <c r="H1067" i="16"/>
  <c r="H1066" i="16"/>
  <c r="H1065" i="16"/>
  <c r="H1064" i="16"/>
  <c r="H1063" i="16"/>
  <c r="H1062" i="16"/>
  <c r="H1061" i="16"/>
  <c r="I1059" i="16"/>
  <c r="E1058" i="16"/>
  <c r="H1057" i="16"/>
  <c r="H1056" i="16"/>
  <c r="H1055" i="16"/>
  <c r="H1054" i="16"/>
  <c r="H1053" i="16"/>
  <c r="E1052" i="16"/>
  <c r="H1051" i="16"/>
  <c r="H1050" i="16"/>
  <c r="H1049" i="16"/>
  <c r="H1048" i="16"/>
  <c r="H1047" i="16"/>
  <c r="H1046" i="16"/>
  <c r="H1045" i="16"/>
  <c r="H1044" i="16"/>
  <c r="H1043" i="16"/>
  <c r="H1042" i="16"/>
  <c r="H1041" i="16"/>
  <c r="E1040" i="16"/>
  <c r="H1039" i="16"/>
  <c r="H1038" i="16"/>
  <c r="H1037" i="16"/>
  <c r="H1036" i="16"/>
  <c r="H1035" i="16"/>
  <c r="H1034" i="16"/>
  <c r="H1033" i="16"/>
  <c r="H1032" i="16"/>
  <c r="H1031" i="16"/>
  <c r="H1030" i="16"/>
  <c r="H1029" i="16"/>
  <c r="H1028" i="16"/>
  <c r="H1027" i="16"/>
  <c r="H1026" i="16"/>
  <c r="E807" i="17"/>
  <c r="D806" i="17"/>
  <c r="D807" i="17" s="1"/>
  <c r="P805" i="17"/>
  <c r="F805" i="17"/>
  <c r="I805" i="17" s="1"/>
  <c r="P804" i="17"/>
  <c r="F804" i="17"/>
  <c r="I804" i="17" s="1"/>
  <c r="P803" i="17"/>
  <c r="I803" i="17"/>
  <c r="F803" i="17"/>
  <c r="P802" i="17"/>
  <c r="F802" i="17"/>
  <c r="I802" i="17" s="1"/>
  <c r="P801" i="17"/>
  <c r="F801" i="17"/>
  <c r="I801" i="17" s="1"/>
  <c r="P800" i="17"/>
  <c r="F800" i="17"/>
  <c r="I800" i="17" s="1"/>
  <c r="P799" i="17"/>
  <c r="F799" i="17"/>
  <c r="I799" i="17" s="1"/>
  <c r="P798" i="17"/>
  <c r="F798" i="17"/>
  <c r="I798" i="17" s="1"/>
  <c r="P797" i="17"/>
  <c r="F797" i="17"/>
  <c r="I797" i="17" s="1"/>
  <c r="P796" i="17"/>
  <c r="F796" i="17"/>
  <c r="I796" i="17" s="1"/>
  <c r="P795" i="17"/>
  <c r="F795" i="17"/>
  <c r="I795" i="17" s="1"/>
  <c r="P794" i="17"/>
  <c r="F794" i="17"/>
  <c r="I794" i="17" s="1"/>
  <c r="P793" i="17"/>
  <c r="F793" i="17"/>
  <c r="I793" i="17" s="1"/>
  <c r="P792" i="17"/>
  <c r="F792" i="17"/>
  <c r="I792" i="17" s="1"/>
  <c r="P791" i="17"/>
  <c r="I791" i="17"/>
  <c r="F791" i="17"/>
  <c r="P790" i="17"/>
  <c r="F790" i="17"/>
  <c r="I790" i="17" s="1"/>
  <c r="P789" i="17"/>
  <c r="F789" i="17"/>
  <c r="I789" i="17" s="1"/>
  <c r="P788" i="17"/>
  <c r="F788" i="17"/>
  <c r="I788" i="17" s="1"/>
  <c r="P787" i="17"/>
  <c r="F787" i="17"/>
  <c r="I787" i="17" s="1"/>
  <c r="P786" i="17"/>
  <c r="F786" i="17"/>
  <c r="I786" i="17" s="1"/>
  <c r="P785" i="17"/>
  <c r="F785" i="17"/>
  <c r="I785" i="17" s="1"/>
  <c r="P784" i="17"/>
  <c r="F784" i="17"/>
  <c r="I784" i="17" s="1"/>
  <c r="P783" i="17"/>
  <c r="I783" i="17"/>
  <c r="F783" i="17"/>
  <c r="P782" i="17"/>
  <c r="F782" i="17"/>
  <c r="I782" i="17" s="1"/>
  <c r="P781" i="17"/>
  <c r="F781" i="17"/>
  <c r="I781" i="17" s="1"/>
  <c r="P780" i="17"/>
  <c r="F780" i="17"/>
  <c r="P779" i="17"/>
  <c r="F779" i="17"/>
  <c r="I779" i="17" s="1"/>
  <c r="P778" i="17"/>
  <c r="I778" i="17"/>
  <c r="F778" i="17"/>
  <c r="P777" i="17"/>
  <c r="F777" i="17"/>
  <c r="I777" i="17" s="1"/>
  <c r="P776" i="17"/>
  <c r="F776" i="17"/>
  <c r="I776" i="17" s="1"/>
  <c r="P775" i="17"/>
  <c r="F775" i="17"/>
  <c r="I775" i="17" s="1"/>
  <c r="G806" i="17"/>
  <c r="G807" i="17" s="1"/>
  <c r="E773" i="17"/>
  <c r="E808" i="17" s="1"/>
  <c r="D773" i="17"/>
  <c r="H772" i="17"/>
  <c r="H773" i="17" s="1"/>
  <c r="G772" i="17"/>
  <c r="G773" i="17" s="1"/>
  <c r="P771" i="17"/>
  <c r="F771" i="17"/>
  <c r="I771" i="17" s="1"/>
  <c r="P770" i="17"/>
  <c r="I770" i="17"/>
  <c r="F770" i="17"/>
  <c r="P769" i="17"/>
  <c r="I769" i="17"/>
  <c r="F769" i="17"/>
  <c r="P768" i="17"/>
  <c r="F768" i="17"/>
  <c r="I768" i="17" s="1"/>
  <c r="P767" i="17"/>
  <c r="I767" i="17"/>
  <c r="F767" i="17"/>
  <c r="P766" i="17"/>
  <c r="F766" i="17"/>
  <c r="I766" i="17" s="1"/>
  <c r="P765" i="17"/>
  <c r="I765" i="17"/>
  <c r="F765" i="17"/>
  <c r="E764" i="17"/>
  <c r="H763" i="17"/>
  <c r="G763" i="17"/>
  <c r="D763" i="17"/>
  <c r="P762" i="17"/>
  <c r="F762" i="17"/>
  <c r="I762" i="17" s="1"/>
  <c r="P761" i="17"/>
  <c r="F761" i="17"/>
  <c r="I761" i="17" s="1"/>
  <c r="P760" i="17"/>
  <c r="F760" i="17"/>
  <c r="I760" i="17" s="1"/>
  <c r="P759" i="17"/>
  <c r="F759" i="17"/>
  <c r="I759" i="17" s="1"/>
  <c r="P758" i="17"/>
  <c r="I758" i="17"/>
  <c r="F758" i="17"/>
  <c r="P757" i="17"/>
  <c r="F757" i="17"/>
  <c r="I757" i="17" s="1"/>
  <c r="P756" i="17"/>
  <c r="I756" i="17"/>
  <c r="F756" i="17"/>
  <c r="H755" i="17"/>
  <c r="G755" i="17"/>
  <c r="D755" i="17"/>
  <c r="D764" i="17" s="1"/>
  <c r="P754" i="17"/>
  <c r="F754" i="17"/>
  <c r="I754" i="17" s="1"/>
  <c r="P753" i="17"/>
  <c r="I753" i="17"/>
  <c r="F753" i="17"/>
  <c r="P752" i="17"/>
  <c r="F752" i="17"/>
  <c r="I752" i="17" s="1"/>
  <c r="P751" i="17"/>
  <c r="I751" i="17"/>
  <c r="F751" i="17"/>
  <c r="P750" i="17"/>
  <c r="F750" i="17"/>
  <c r="I750" i="17" s="1"/>
  <c r="J1381" i="13"/>
  <c r="I1381" i="13"/>
  <c r="F1380" i="13"/>
  <c r="F1379" i="13"/>
  <c r="F1377" i="13"/>
  <c r="I1377" i="13" s="1"/>
  <c r="F1376" i="13"/>
  <c r="F1375" i="13"/>
  <c r="I1375" i="13" s="1"/>
  <c r="F1373" i="13"/>
  <c r="I1373" i="13" s="1"/>
  <c r="F1372" i="13"/>
  <c r="I1372" i="13" s="1"/>
  <c r="F1371" i="13"/>
  <c r="I1371" i="13" s="1"/>
  <c r="F1370" i="13"/>
  <c r="F1368" i="13"/>
  <c r="I1368" i="13" s="1"/>
  <c r="F1367" i="13"/>
  <c r="F1365" i="13"/>
  <c r="I1365" i="13" s="1"/>
  <c r="F1364" i="13"/>
  <c r="I1364" i="13" s="1"/>
  <c r="F1363" i="13"/>
  <c r="I1363" i="13" s="1"/>
  <c r="F1362" i="13"/>
  <c r="F1360" i="13"/>
  <c r="I1360" i="13" s="1"/>
  <c r="F1359" i="13"/>
  <c r="I1359" i="13" s="1"/>
  <c r="F1358" i="13"/>
  <c r="F1355" i="13"/>
  <c r="I1355" i="13" s="1"/>
  <c r="F1352" i="13"/>
  <c r="I1352" i="13" s="1"/>
  <c r="F1351" i="13"/>
  <c r="I1351" i="13" s="1"/>
  <c r="F1350" i="13"/>
  <c r="F1348" i="13"/>
  <c r="I1348" i="13" s="1"/>
  <c r="F1347" i="13"/>
  <c r="F1346" i="13"/>
  <c r="I1346" i="13" s="1"/>
  <c r="F1343" i="13"/>
  <c r="I1343" i="13" s="1"/>
  <c r="F1342" i="13"/>
  <c r="I1342" i="13" s="1"/>
  <c r="F1341" i="13"/>
  <c r="I1341" i="13" s="1"/>
  <c r="F1340" i="13"/>
  <c r="I1340" i="13" s="1"/>
  <c r="F1339" i="13"/>
  <c r="F1337" i="13"/>
  <c r="I1337" i="13" s="1"/>
  <c r="F1336" i="13"/>
  <c r="I1336" i="13" s="1"/>
  <c r="F1335" i="13"/>
  <c r="I1335" i="13" s="1"/>
  <c r="F1334" i="13"/>
  <c r="I1334" i="13" s="1"/>
  <c r="F1333" i="13"/>
  <c r="I1333" i="13" s="1"/>
  <c r="F1332" i="13"/>
  <c r="I1332" i="13" s="1"/>
  <c r="F1331" i="13"/>
  <c r="I1331" i="13" s="1"/>
  <c r="F1330" i="13"/>
  <c r="F1329" i="13"/>
  <c r="I1329" i="13" s="1"/>
  <c r="F1325" i="13"/>
  <c r="I1325" i="13" s="1"/>
  <c r="F1324" i="13"/>
  <c r="I1324" i="13" s="1"/>
  <c r="F1323" i="13"/>
  <c r="I1323" i="13" s="1"/>
  <c r="F1322" i="13"/>
  <c r="I1322" i="13" s="1"/>
  <c r="F1321" i="13"/>
  <c r="I1321" i="13" s="1"/>
  <c r="F1320" i="13"/>
  <c r="I1320" i="13" s="1"/>
  <c r="F1319" i="13"/>
  <c r="I1319" i="13" s="1"/>
  <c r="F1318" i="13"/>
  <c r="F1316" i="13"/>
  <c r="I1316" i="13" s="1"/>
  <c r="F1315" i="13"/>
  <c r="I1315" i="13" s="1"/>
  <c r="F1314" i="13"/>
  <c r="I1314" i="13" s="1"/>
  <c r="F1313" i="13"/>
  <c r="F1310" i="13"/>
  <c r="I1310" i="13" s="1"/>
  <c r="F1309" i="13"/>
  <c r="I1309" i="13" s="1"/>
  <c r="F1308" i="13"/>
  <c r="F1306" i="13"/>
  <c r="I1306" i="13" s="1"/>
  <c r="F1305" i="13"/>
  <c r="I1305" i="13" s="1"/>
  <c r="F1304" i="13"/>
  <c r="F1302" i="13"/>
  <c r="I1302" i="13" s="1"/>
  <c r="F1301" i="13"/>
  <c r="I1301" i="13" s="1"/>
  <c r="F1300" i="13"/>
  <c r="I1300" i="13" s="1"/>
  <c r="F1299" i="13"/>
  <c r="I1299" i="13" s="1"/>
  <c r="F1298" i="13"/>
  <c r="I1298" i="13" s="1"/>
  <c r="F1297" i="13"/>
  <c r="I1297" i="13" s="1"/>
  <c r="F1296" i="13"/>
  <c r="F1294" i="13"/>
  <c r="I1294" i="13" s="1"/>
  <c r="F1293" i="13"/>
  <c r="I1293" i="13" s="1"/>
  <c r="F1292" i="13"/>
  <c r="I1292" i="13" s="1"/>
  <c r="F1291" i="13"/>
  <c r="I1291" i="13" s="1"/>
  <c r="F1290" i="13"/>
  <c r="I1290" i="13" s="1"/>
  <c r="F1289" i="13"/>
  <c r="I1289" i="13" s="1"/>
  <c r="F1288" i="13"/>
  <c r="F1286" i="13"/>
  <c r="I1286" i="13" s="1"/>
  <c r="F1285" i="13"/>
  <c r="I1285" i="13" s="1"/>
  <c r="F1284" i="13"/>
  <c r="I1284" i="13" s="1"/>
  <c r="F1283" i="13"/>
  <c r="F1378" i="1"/>
  <c r="F1379" i="1" s="1"/>
  <c r="I1377" i="1"/>
  <c r="H1377" i="1"/>
  <c r="F1381" i="13" s="1"/>
  <c r="G1376" i="1"/>
  <c r="J1376" i="1" s="1"/>
  <c r="G1375" i="1"/>
  <c r="J1375" i="1" s="1"/>
  <c r="H1374" i="1"/>
  <c r="E1374" i="1"/>
  <c r="G1373" i="1"/>
  <c r="J1373" i="1" s="1"/>
  <c r="I1374" i="1"/>
  <c r="G1372" i="1"/>
  <c r="J1372" i="1" s="1"/>
  <c r="G1371" i="1"/>
  <c r="J1371" i="1" s="1"/>
  <c r="E1370" i="1"/>
  <c r="G1369" i="1"/>
  <c r="J1369" i="1" s="1"/>
  <c r="G1368" i="1"/>
  <c r="J1368" i="1" s="1"/>
  <c r="G1367" i="1"/>
  <c r="J1367" i="1" s="1"/>
  <c r="G1366" i="1"/>
  <c r="J1366" i="1" s="1"/>
  <c r="I1370" i="1"/>
  <c r="H1370" i="1"/>
  <c r="G1365" i="1"/>
  <c r="J1365" i="1" s="1"/>
  <c r="I1364" i="1"/>
  <c r="H1364" i="1"/>
  <c r="E1364" i="1"/>
  <c r="G1363" i="1"/>
  <c r="J1363" i="1" s="1"/>
  <c r="G1362" i="1"/>
  <c r="E1361" i="1"/>
  <c r="G1360" i="1"/>
  <c r="J1360" i="1" s="1"/>
  <c r="G1359" i="1"/>
  <c r="J1359" i="1" s="1"/>
  <c r="I1361" i="1"/>
  <c r="G1358" i="1"/>
  <c r="J1358" i="1" s="1"/>
  <c r="G1357" i="1"/>
  <c r="I1356" i="1"/>
  <c r="H1356" i="1"/>
  <c r="E1356" i="1"/>
  <c r="G1355" i="1"/>
  <c r="J1355" i="1" s="1"/>
  <c r="G1354" i="1"/>
  <c r="J1354" i="1" s="1"/>
  <c r="G1353" i="1"/>
  <c r="J1353" i="1" s="1"/>
  <c r="F1351" i="1"/>
  <c r="F1352" i="1" s="1"/>
  <c r="G1350" i="1"/>
  <c r="J1350" i="1" s="1"/>
  <c r="I1348" i="1"/>
  <c r="H1348" i="1"/>
  <c r="E1348" i="1"/>
  <c r="E1349" i="1" s="1"/>
  <c r="G1347" i="1"/>
  <c r="J1347" i="1" s="1"/>
  <c r="G1346" i="1"/>
  <c r="J1346" i="1" s="1"/>
  <c r="G1345" i="1"/>
  <c r="J1345" i="1" s="1"/>
  <c r="I1344" i="1"/>
  <c r="H1344" i="1"/>
  <c r="G1343" i="1"/>
  <c r="J1343" i="1" s="1"/>
  <c r="G1342" i="1"/>
  <c r="J1342" i="1" s="1"/>
  <c r="G1341" i="1"/>
  <c r="H1339" i="1"/>
  <c r="E1339" i="1"/>
  <c r="G1338" i="1"/>
  <c r="J1338" i="1" s="1"/>
  <c r="G1337" i="1"/>
  <c r="J1337" i="1" s="1"/>
  <c r="G1336" i="1"/>
  <c r="J1336" i="1" s="1"/>
  <c r="I1339" i="1"/>
  <c r="G1335" i="1"/>
  <c r="J1335" i="1" s="1"/>
  <c r="G1334" i="1"/>
  <c r="J1334" i="1" s="1"/>
  <c r="I1333" i="1"/>
  <c r="H1333" i="1"/>
  <c r="E1333" i="1"/>
  <c r="G1332" i="1"/>
  <c r="J1332" i="1" s="1"/>
  <c r="G1331" i="1"/>
  <c r="J1331" i="1" s="1"/>
  <c r="G1330" i="1"/>
  <c r="J1330" i="1" s="1"/>
  <c r="G1329" i="1"/>
  <c r="J1329" i="1" s="1"/>
  <c r="G1328" i="1"/>
  <c r="J1328" i="1" s="1"/>
  <c r="G1327" i="1"/>
  <c r="J1327" i="1" s="1"/>
  <c r="G1326" i="1"/>
  <c r="J1326" i="1" s="1"/>
  <c r="G1325" i="1"/>
  <c r="J1325" i="1" s="1"/>
  <c r="G1324" i="1"/>
  <c r="F1322" i="1"/>
  <c r="I1321" i="1"/>
  <c r="H1321" i="1"/>
  <c r="G1320" i="1"/>
  <c r="J1320" i="1" s="1"/>
  <c r="G1319" i="1"/>
  <c r="J1319" i="1" s="1"/>
  <c r="G1318" i="1"/>
  <c r="J1318" i="1" s="1"/>
  <c r="G1317" i="1"/>
  <c r="J1317" i="1" s="1"/>
  <c r="G1316" i="1"/>
  <c r="J1316" i="1" s="1"/>
  <c r="G1315" i="1"/>
  <c r="J1315" i="1" s="1"/>
  <c r="G1314" i="1"/>
  <c r="J1314" i="1" s="1"/>
  <c r="G1313" i="1"/>
  <c r="E1313" i="1"/>
  <c r="E1321" i="1" s="1"/>
  <c r="I1312" i="1"/>
  <c r="H1312" i="1"/>
  <c r="H1322" i="1" s="1"/>
  <c r="E1312" i="1"/>
  <c r="G1311" i="1"/>
  <c r="J1311" i="1" s="1"/>
  <c r="G1310" i="1"/>
  <c r="J1310" i="1" s="1"/>
  <c r="G1309" i="1"/>
  <c r="J1309" i="1" s="1"/>
  <c r="G1308" i="1"/>
  <c r="J1308" i="1" s="1"/>
  <c r="I1306" i="1"/>
  <c r="H1306" i="1"/>
  <c r="E1306" i="1"/>
  <c r="G1305" i="1"/>
  <c r="J1305" i="1" s="1"/>
  <c r="G1304" i="1"/>
  <c r="J1304" i="1" s="1"/>
  <c r="G1303" i="1"/>
  <c r="J1303" i="1" s="1"/>
  <c r="I1302" i="1"/>
  <c r="H1302" i="1"/>
  <c r="F1302" i="1"/>
  <c r="F1307" i="1" s="1"/>
  <c r="E1302" i="1"/>
  <c r="G1301" i="1"/>
  <c r="G1300" i="1"/>
  <c r="J1300" i="1" s="1"/>
  <c r="G1299" i="1"/>
  <c r="G1302" i="1" s="1"/>
  <c r="J1302" i="1" s="1"/>
  <c r="I1298" i="1"/>
  <c r="H1298" i="1"/>
  <c r="E1298" i="1"/>
  <c r="G1297" i="1"/>
  <c r="J1297" i="1" s="1"/>
  <c r="G1296" i="1"/>
  <c r="J1296" i="1" s="1"/>
  <c r="G1295" i="1"/>
  <c r="J1295" i="1" s="1"/>
  <c r="G1294" i="1"/>
  <c r="J1294" i="1" s="1"/>
  <c r="G1293" i="1"/>
  <c r="J1293" i="1" s="1"/>
  <c r="G1292" i="1"/>
  <c r="J1292" i="1" s="1"/>
  <c r="G1291" i="1"/>
  <c r="J1291" i="1" s="1"/>
  <c r="E1290" i="1"/>
  <c r="G1289" i="1"/>
  <c r="J1289" i="1" s="1"/>
  <c r="G1288" i="1"/>
  <c r="J1288" i="1" s="1"/>
  <c r="H1290" i="1"/>
  <c r="G1286" i="1"/>
  <c r="J1286" i="1" s="1"/>
  <c r="G1285" i="1"/>
  <c r="J1285" i="1" s="1"/>
  <c r="G1284" i="1"/>
  <c r="J1284" i="1" s="1"/>
  <c r="G1283" i="1"/>
  <c r="E1282" i="1"/>
  <c r="I1282" i="1"/>
  <c r="H1282" i="1"/>
  <c r="G1280" i="1"/>
  <c r="J1280" i="1" s="1"/>
  <c r="G1279" i="1"/>
  <c r="J1279" i="1" s="1"/>
  <c r="G1278" i="1"/>
  <c r="I1322" i="1" l="1"/>
  <c r="C220" i="15"/>
  <c r="F1323" i="1"/>
  <c r="E1322" i="1"/>
  <c r="C196" i="15" s="1"/>
  <c r="H1487" i="1"/>
  <c r="H1307" i="1"/>
  <c r="E1340" i="1"/>
  <c r="E1351" i="1" s="1"/>
  <c r="F1380" i="1"/>
  <c r="H1349" i="1"/>
  <c r="H764" i="17"/>
  <c r="E1307" i="1"/>
  <c r="E1378" i="1"/>
  <c r="F772" i="17"/>
  <c r="F773" i="17" s="1"/>
  <c r="I773" i="17" s="1"/>
  <c r="P772" i="17"/>
  <c r="P773" i="17" s="1"/>
  <c r="K1865" i="1"/>
  <c r="O1865" i="1" s="1"/>
  <c r="L1972" i="1"/>
  <c r="G1871" i="13"/>
  <c r="J1871" i="13" s="1"/>
  <c r="I1776" i="16"/>
  <c r="F1871" i="16"/>
  <c r="I1871" i="16" s="1"/>
  <c r="F1872" i="16"/>
  <c r="I1872" i="16" s="1"/>
  <c r="I1777" i="16"/>
  <c r="F1463" i="13"/>
  <c r="F1464" i="13" s="1"/>
  <c r="H1082" i="16"/>
  <c r="H1106" i="16"/>
  <c r="G1298" i="1"/>
  <c r="J1298" i="1" s="1"/>
  <c r="G1344" i="1"/>
  <c r="J1344" i="1" s="1"/>
  <c r="F1307" i="13"/>
  <c r="F1317" i="13"/>
  <c r="G1429" i="1"/>
  <c r="J1429" i="1" s="1"/>
  <c r="H1058" i="16"/>
  <c r="H1040" i="16"/>
  <c r="I1434" i="13"/>
  <c r="F1491" i="13"/>
  <c r="F1303" i="13"/>
  <c r="F1311" i="13"/>
  <c r="F1344" i="13"/>
  <c r="F1353" i="13"/>
  <c r="F1366" i="13"/>
  <c r="F1369" i="13"/>
  <c r="F1338" i="13"/>
  <c r="F1345" i="13" s="1"/>
  <c r="F1378" i="13"/>
  <c r="G1339" i="1"/>
  <c r="J1339" i="1" s="1"/>
  <c r="F1287" i="13"/>
  <c r="F1295" i="13"/>
  <c r="F1326" i="13"/>
  <c r="F1327" i="13" s="1"/>
  <c r="F1349" i="13"/>
  <c r="F1361" i="13"/>
  <c r="F1374" i="13"/>
  <c r="F870" i="17"/>
  <c r="I870" i="17" s="1"/>
  <c r="I869" i="17"/>
  <c r="I1491" i="13"/>
  <c r="G1486" i="1"/>
  <c r="J1485" i="1"/>
  <c r="J1486" i="1" s="1"/>
  <c r="J1428" i="1"/>
  <c r="J1427" i="1"/>
  <c r="G1458" i="1"/>
  <c r="J1447" i="1"/>
  <c r="H1323" i="1"/>
  <c r="I1349" i="1"/>
  <c r="N206" i="14"/>
  <c r="R206" i="14" s="1"/>
  <c r="M201" i="14"/>
  <c r="O201" i="14"/>
  <c r="N201" i="14" s="1"/>
  <c r="R201" i="14" s="1"/>
  <c r="O202" i="14"/>
  <c r="N202" i="14" s="1"/>
  <c r="R202" i="14" s="1"/>
  <c r="O204" i="14"/>
  <c r="N204" i="14" s="1"/>
  <c r="M204" i="14"/>
  <c r="O198" i="14"/>
  <c r="N198" i="14" s="1"/>
  <c r="M198" i="14"/>
  <c r="O203" i="14"/>
  <c r="N203" i="14" s="1"/>
  <c r="M203" i="14"/>
  <c r="K191" i="14"/>
  <c r="O193" i="14"/>
  <c r="N193" i="14" s="1"/>
  <c r="M193" i="14"/>
  <c r="O195" i="14"/>
  <c r="N195" i="14" s="1"/>
  <c r="M195" i="14"/>
  <c r="L197" i="14"/>
  <c r="K197" i="14" s="1"/>
  <c r="C197" i="14"/>
  <c r="P202" i="14"/>
  <c r="O205" i="14"/>
  <c r="N205" i="14" s="1"/>
  <c r="M205" i="14"/>
  <c r="P206" i="14"/>
  <c r="O192" i="14"/>
  <c r="N192" i="14" s="1"/>
  <c r="M192" i="14"/>
  <c r="O194" i="14"/>
  <c r="N194" i="14" s="1"/>
  <c r="M194" i="14"/>
  <c r="O196" i="14"/>
  <c r="N196" i="14" s="1"/>
  <c r="M196" i="14"/>
  <c r="O199" i="14"/>
  <c r="N199" i="14" s="1"/>
  <c r="M199" i="14"/>
  <c r="L200" i="14"/>
  <c r="K200" i="14" s="1"/>
  <c r="Q202" i="14"/>
  <c r="M206" i="14"/>
  <c r="E1060" i="16"/>
  <c r="E1109" i="16" s="1"/>
  <c r="H1052" i="16"/>
  <c r="G764" i="17"/>
  <c r="G808" i="17" s="1"/>
  <c r="F763" i="17"/>
  <c r="I763" i="17" s="1"/>
  <c r="P763" i="17"/>
  <c r="P755" i="17"/>
  <c r="P764" i="17" s="1"/>
  <c r="I772" i="17"/>
  <c r="F755" i="17"/>
  <c r="D808" i="17"/>
  <c r="P774" i="17"/>
  <c r="P806" i="17" s="1"/>
  <c r="P807" i="17" s="1"/>
  <c r="F774" i="17"/>
  <c r="H806" i="17"/>
  <c r="H807" i="17" s="1"/>
  <c r="H808" i="17" s="1"/>
  <c r="I1330" i="13"/>
  <c r="I1338" i="13" s="1"/>
  <c r="I1339" i="13"/>
  <c r="I1344" i="13" s="1"/>
  <c r="I1347" i="13"/>
  <c r="I1349" i="13" s="1"/>
  <c r="I1350" i="13"/>
  <c r="I1353" i="13" s="1"/>
  <c r="I1358" i="13"/>
  <c r="I1361" i="13" s="1"/>
  <c r="I1376" i="13"/>
  <c r="I1378" i="13" s="1"/>
  <c r="I1283" i="13"/>
  <c r="I1287" i="13" s="1"/>
  <c r="I1288" i="13"/>
  <c r="I1295" i="13" s="1"/>
  <c r="I1296" i="13"/>
  <c r="I1303" i="13" s="1"/>
  <c r="I1304" i="13"/>
  <c r="I1307" i="13" s="1"/>
  <c r="I1308" i="13"/>
  <c r="I1311" i="13" s="1"/>
  <c r="I1313" i="13"/>
  <c r="I1317" i="13" s="1"/>
  <c r="I1318" i="13"/>
  <c r="I1326" i="13" s="1"/>
  <c r="I1362" i="13"/>
  <c r="I1366" i="13" s="1"/>
  <c r="I1367" i="13"/>
  <c r="I1369" i="13" s="1"/>
  <c r="I1370" i="13"/>
  <c r="I1374" i="13" s="1"/>
  <c r="I1340" i="1"/>
  <c r="H1340" i="1"/>
  <c r="H1351" i="1" s="1"/>
  <c r="H1352" i="1" s="1"/>
  <c r="G1287" i="1"/>
  <c r="J1287" i="1" s="1"/>
  <c r="I1290" i="1"/>
  <c r="I1307" i="1" s="1"/>
  <c r="G1281" i="1"/>
  <c r="J1281" i="1" s="1"/>
  <c r="J1283" i="1"/>
  <c r="J1299" i="1"/>
  <c r="G1306" i="1"/>
  <c r="J1306" i="1" s="1"/>
  <c r="G1312" i="1"/>
  <c r="G1321" i="1"/>
  <c r="J1313" i="1"/>
  <c r="J1324" i="1"/>
  <c r="G1333" i="1"/>
  <c r="G1348" i="1"/>
  <c r="J1348" i="1" s="1"/>
  <c r="I1378" i="1"/>
  <c r="I1379" i="1" s="1"/>
  <c r="G1361" i="1"/>
  <c r="J1361" i="1" s="1"/>
  <c r="J1357" i="1"/>
  <c r="G1370" i="1"/>
  <c r="J1370" i="1" s="1"/>
  <c r="G1377" i="1"/>
  <c r="J1377" i="1" s="1"/>
  <c r="J1341" i="1"/>
  <c r="G1356" i="1"/>
  <c r="H1361" i="1"/>
  <c r="H1378" i="1" s="1"/>
  <c r="H1379" i="1" s="1"/>
  <c r="G1364" i="1"/>
  <c r="J1364" i="1" s="1"/>
  <c r="J1362" i="1"/>
  <c r="G1374" i="1"/>
  <c r="J1374" i="1" s="1"/>
  <c r="I1229" i="1"/>
  <c r="H1229" i="1"/>
  <c r="F1237" i="13"/>
  <c r="F1236" i="13"/>
  <c r="F1235" i="13"/>
  <c r="F1234" i="13"/>
  <c r="F1231" i="13"/>
  <c r="F1230" i="13"/>
  <c r="F1229" i="13"/>
  <c r="F1228" i="13"/>
  <c r="F1227" i="13"/>
  <c r="F1226" i="13"/>
  <c r="F1225" i="13"/>
  <c r="F1224" i="13"/>
  <c r="F1233" i="13"/>
  <c r="H738" i="17"/>
  <c r="G738" i="17"/>
  <c r="H736" i="17"/>
  <c r="G736" i="17"/>
  <c r="H732" i="17"/>
  <c r="G732" i="17"/>
  <c r="H726" i="17"/>
  <c r="G726" i="17"/>
  <c r="H712" i="17"/>
  <c r="G712" i="17"/>
  <c r="I1175" i="1"/>
  <c r="I1259" i="1"/>
  <c r="H1259" i="1"/>
  <c r="H1252" i="1"/>
  <c r="I224" i="14"/>
  <c r="H224" i="14"/>
  <c r="H223" i="14"/>
  <c r="I223" i="14"/>
  <c r="I221" i="14"/>
  <c r="H221" i="14"/>
  <c r="J224" i="14"/>
  <c r="J223" i="14"/>
  <c r="J222" i="14"/>
  <c r="J221" i="14"/>
  <c r="I1266" i="1"/>
  <c r="H1266" i="1"/>
  <c r="D216" i="14"/>
  <c r="I216" i="14"/>
  <c r="H216" i="14"/>
  <c r="J216" i="14"/>
  <c r="D210" i="14"/>
  <c r="E209" i="14"/>
  <c r="D215" i="14"/>
  <c r="I210" i="14"/>
  <c r="H210" i="14"/>
  <c r="D217" i="14"/>
  <c r="I1181" i="1"/>
  <c r="H1181" i="1"/>
  <c r="E218" i="14"/>
  <c r="D218" i="14"/>
  <c r="I218" i="14"/>
  <c r="H218" i="14"/>
  <c r="J218" i="14"/>
  <c r="I1323" i="1" l="1"/>
  <c r="L2081" i="1"/>
  <c r="K1972" i="1"/>
  <c r="O1972" i="1" s="1"/>
  <c r="G1978" i="13"/>
  <c r="J1978" i="13" s="1"/>
  <c r="E1379" i="1"/>
  <c r="C202" i="15"/>
  <c r="C204" i="15" s="1"/>
  <c r="E1323" i="1"/>
  <c r="C195" i="15"/>
  <c r="C198" i="15" s="1"/>
  <c r="C205" i="15" s="1"/>
  <c r="E1352" i="1"/>
  <c r="C199" i="15"/>
  <c r="C201" i="15" s="1"/>
  <c r="F1382" i="13"/>
  <c r="F1383" i="13" s="1"/>
  <c r="F1312" i="13"/>
  <c r="F1328" i="13" s="1"/>
  <c r="H1060" i="16"/>
  <c r="F1354" i="13"/>
  <c r="F1356" i="13" s="1"/>
  <c r="F1357" i="13" s="1"/>
  <c r="I1345" i="13"/>
  <c r="G1459" i="1"/>
  <c r="G1487" i="1" s="1"/>
  <c r="J1487" i="1" s="1"/>
  <c r="J1458" i="1"/>
  <c r="J1459" i="1" s="1"/>
  <c r="I1327" i="13"/>
  <c r="Q206" i="14"/>
  <c r="S206" i="14" s="1"/>
  <c r="T206" i="14" s="1"/>
  <c r="I1351" i="1"/>
  <c r="I1352" i="1" s="1"/>
  <c r="I1380" i="1" s="1"/>
  <c r="P201" i="14"/>
  <c r="Q201" i="14"/>
  <c r="S201" i="14" s="1"/>
  <c r="T201" i="14" s="1"/>
  <c r="Q205" i="14"/>
  <c r="R205" i="14"/>
  <c r="P205" i="14"/>
  <c r="M197" i="14"/>
  <c r="O197" i="14"/>
  <c r="N197" i="14" s="1"/>
  <c r="Q195" i="14"/>
  <c r="R195" i="14"/>
  <c r="P195" i="14"/>
  <c r="Q193" i="14"/>
  <c r="R193" i="14"/>
  <c r="P193" i="14"/>
  <c r="R198" i="14"/>
  <c r="P198" i="14"/>
  <c r="Q198" i="14"/>
  <c r="R204" i="14"/>
  <c r="P204" i="14"/>
  <c r="Q204" i="14"/>
  <c r="S204" i="14" s="1"/>
  <c r="S202" i="14"/>
  <c r="T202" i="14" s="1"/>
  <c r="M200" i="14"/>
  <c r="O200" i="14"/>
  <c r="N200" i="14" s="1"/>
  <c r="Q199" i="14"/>
  <c r="P199" i="14"/>
  <c r="R199" i="14"/>
  <c r="Q196" i="14"/>
  <c r="P196" i="14"/>
  <c r="R196" i="14"/>
  <c r="Q194" i="14"/>
  <c r="P194" i="14"/>
  <c r="R194" i="14"/>
  <c r="Q192" i="14"/>
  <c r="P192" i="14"/>
  <c r="R192" i="14"/>
  <c r="O191" i="14"/>
  <c r="N191" i="14" s="1"/>
  <c r="M191" i="14"/>
  <c r="Q203" i="14"/>
  <c r="P203" i="14"/>
  <c r="R203" i="14"/>
  <c r="P808" i="17"/>
  <c r="F806" i="17"/>
  <c r="I774" i="17"/>
  <c r="I755" i="17"/>
  <c r="F764" i="17"/>
  <c r="I764" i="17" s="1"/>
  <c r="I1354" i="13"/>
  <c r="I1312" i="13"/>
  <c r="I1382" i="13"/>
  <c r="I1383" i="13" s="1"/>
  <c r="H1380" i="1"/>
  <c r="G1378" i="1"/>
  <c r="J1356" i="1"/>
  <c r="G1349" i="1"/>
  <c r="J1349" i="1" s="1"/>
  <c r="G1340" i="1"/>
  <c r="J1333" i="1"/>
  <c r="J1312" i="1"/>
  <c r="G1322" i="1"/>
  <c r="G1282" i="1"/>
  <c r="G1290" i="1"/>
  <c r="J1290" i="1" s="1"/>
  <c r="L224" i="14"/>
  <c r="K224" i="14" s="1"/>
  <c r="O224" i="14" s="1"/>
  <c r="G224" i="14"/>
  <c r="C224" i="14"/>
  <c r="L223" i="14"/>
  <c r="K223" i="14"/>
  <c r="O223" i="14" s="1"/>
  <c r="G223" i="14"/>
  <c r="C223" i="14"/>
  <c r="L222" i="14"/>
  <c r="K222" i="14"/>
  <c r="O222" i="14" s="1"/>
  <c r="N222" i="14" s="1"/>
  <c r="G222" i="14"/>
  <c r="C222" i="14"/>
  <c r="L221" i="14"/>
  <c r="K221" i="14" s="1"/>
  <c r="G221" i="14"/>
  <c r="C221" i="14"/>
  <c r="L220" i="14"/>
  <c r="K220" i="14" s="1"/>
  <c r="M220" i="14" s="1"/>
  <c r="G220" i="14"/>
  <c r="C220" i="14"/>
  <c r="L219" i="14"/>
  <c r="K219" i="14" s="1"/>
  <c r="G219" i="14"/>
  <c r="C219" i="14"/>
  <c r="L218" i="14"/>
  <c r="K218" i="14" s="1"/>
  <c r="M218" i="14" s="1"/>
  <c r="G218" i="14"/>
  <c r="C218" i="14"/>
  <c r="G217" i="14"/>
  <c r="L216" i="14"/>
  <c r="K216" i="14" s="1"/>
  <c r="G216" i="14"/>
  <c r="C216" i="14"/>
  <c r="L215" i="14"/>
  <c r="K215" i="14"/>
  <c r="O215" i="14" s="1"/>
  <c r="G215" i="14"/>
  <c r="C215" i="14"/>
  <c r="L214" i="14"/>
  <c r="K214" i="14" s="1"/>
  <c r="G214" i="14"/>
  <c r="C214" i="14"/>
  <c r="L213" i="14"/>
  <c r="K213" i="14" s="1"/>
  <c r="G213" i="14"/>
  <c r="C213" i="14"/>
  <c r="L212" i="14"/>
  <c r="K212" i="14" s="1"/>
  <c r="G212" i="14"/>
  <c r="C212" i="14"/>
  <c r="L211" i="14"/>
  <c r="K211" i="14" s="1"/>
  <c r="G211" i="14"/>
  <c r="C211" i="14"/>
  <c r="L210" i="14"/>
  <c r="K210" i="14" s="1"/>
  <c r="G210" i="14"/>
  <c r="C210" i="14"/>
  <c r="L209" i="14"/>
  <c r="K209" i="14" s="1"/>
  <c r="G209" i="14"/>
  <c r="C209" i="14"/>
  <c r="E188" i="15"/>
  <c r="E185" i="15"/>
  <c r="E182" i="15"/>
  <c r="H1019" i="16"/>
  <c r="E1018" i="16"/>
  <c r="H1017" i="16"/>
  <c r="H1016" i="16"/>
  <c r="H1015" i="16"/>
  <c r="H1014" i="16"/>
  <c r="H1013" i="16"/>
  <c r="H1012" i="16"/>
  <c r="H1011" i="16"/>
  <c r="H1010" i="16"/>
  <c r="H1009" i="16"/>
  <c r="H1008" i="16"/>
  <c r="H1007" i="16"/>
  <c r="H1006" i="16"/>
  <c r="H1005" i="16"/>
  <c r="H1004" i="16"/>
  <c r="H1003" i="16"/>
  <c r="H1002" i="16"/>
  <c r="H1001" i="16"/>
  <c r="H1000" i="16"/>
  <c r="H999" i="16"/>
  <c r="H998" i="16"/>
  <c r="H997" i="16"/>
  <c r="H996" i="16"/>
  <c r="H995" i="16"/>
  <c r="E994" i="16"/>
  <c r="H993" i="16"/>
  <c r="H992" i="16"/>
  <c r="H991" i="16"/>
  <c r="H990" i="16"/>
  <c r="H989" i="16"/>
  <c r="H988" i="16"/>
  <c r="H987" i="16"/>
  <c r="H986" i="16"/>
  <c r="H985" i="16"/>
  <c r="H984" i="16"/>
  <c r="H983" i="16"/>
  <c r="H982" i="16"/>
  <c r="H981" i="16"/>
  <c r="H980" i="16"/>
  <c r="H979" i="16"/>
  <c r="H978" i="16"/>
  <c r="H977" i="16"/>
  <c r="H976" i="16"/>
  <c r="H975" i="16"/>
  <c r="H974" i="16"/>
  <c r="H973" i="16"/>
  <c r="I971" i="16"/>
  <c r="E970" i="16"/>
  <c r="H969" i="16"/>
  <c r="H968" i="16"/>
  <c r="H967" i="16"/>
  <c r="H966" i="16"/>
  <c r="H965" i="16"/>
  <c r="E964" i="16"/>
  <c r="H963" i="16"/>
  <c r="H962" i="16"/>
  <c r="H961" i="16"/>
  <c r="H960" i="16"/>
  <c r="H959" i="16"/>
  <c r="H958" i="16"/>
  <c r="H957" i="16"/>
  <c r="H956" i="16"/>
  <c r="H955" i="16"/>
  <c r="H954" i="16"/>
  <c r="H953" i="16"/>
  <c r="E952" i="16"/>
  <c r="H951" i="16"/>
  <c r="H950" i="16"/>
  <c r="H949" i="16"/>
  <c r="H948" i="16"/>
  <c r="H947" i="16"/>
  <c r="H946" i="16"/>
  <c r="H945" i="16"/>
  <c r="H944" i="16"/>
  <c r="H943" i="16"/>
  <c r="H942" i="16"/>
  <c r="H941" i="16"/>
  <c r="H940" i="16"/>
  <c r="H939" i="16"/>
  <c r="H938" i="16"/>
  <c r="E745" i="17"/>
  <c r="E746" i="17" s="1"/>
  <c r="H744" i="17"/>
  <c r="H745" i="17" s="1"/>
  <c r="G744" i="17"/>
  <c r="G745" i="17" s="1"/>
  <c r="D744" i="17"/>
  <c r="D745" i="17" s="1"/>
  <c r="P743" i="17"/>
  <c r="I743" i="17"/>
  <c r="F743" i="17"/>
  <c r="P742" i="17"/>
  <c r="F742" i="17"/>
  <c r="I742" i="17" s="1"/>
  <c r="P741" i="17"/>
  <c r="I741" i="17"/>
  <c r="F741" i="17"/>
  <c r="P740" i="17"/>
  <c r="F740" i="17"/>
  <c r="I740" i="17" s="1"/>
  <c r="P739" i="17"/>
  <c r="F739" i="17"/>
  <c r="I739" i="17" s="1"/>
  <c r="P738" i="17"/>
  <c r="F738" i="17"/>
  <c r="I738" i="17" s="1"/>
  <c r="P737" i="17"/>
  <c r="F737" i="17"/>
  <c r="I737" i="17" s="1"/>
  <c r="P736" i="17"/>
  <c r="F736" i="17"/>
  <c r="I736" i="17" s="1"/>
  <c r="P735" i="17"/>
  <c r="F735" i="17"/>
  <c r="I735" i="17" s="1"/>
  <c r="P734" i="17"/>
  <c r="F734" i="17"/>
  <c r="I734" i="17" s="1"/>
  <c r="P733" i="17"/>
  <c r="F733" i="17"/>
  <c r="I733" i="17" s="1"/>
  <c r="P732" i="17"/>
  <c r="F732" i="17"/>
  <c r="I732" i="17" s="1"/>
  <c r="P731" i="17"/>
  <c r="I731" i="17"/>
  <c r="F731" i="17"/>
  <c r="P730" i="17"/>
  <c r="F730" i="17"/>
  <c r="I730" i="17" s="1"/>
  <c r="P729" i="17"/>
  <c r="F729" i="17"/>
  <c r="I729" i="17" s="1"/>
  <c r="P728" i="17"/>
  <c r="F728" i="17"/>
  <c r="I728" i="17" s="1"/>
  <c r="P727" i="17"/>
  <c r="I727" i="17"/>
  <c r="F727" i="17"/>
  <c r="P726" i="17"/>
  <c r="F726" i="17"/>
  <c r="I726" i="17" s="1"/>
  <c r="P725" i="17"/>
  <c r="F725" i="17"/>
  <c r="I725" i="17" s="1"/>
  <c r="P724" i="17"/>
  <c r="F724" i="17"/>
  <c r="I724" i="17" s="1"/>
  <c r="P723" i="17"/>
  <c r="I723" i="17"/>
  <c r="F723" i="17"/>
  <c r="P722" i="17"/>
  <c r="F722" i="17"/>
  <c r="I722" i="17" s="1"/>
  <c r="P721" i="17"/>
  <c r="I721" i="17"/>
  <c r="F721" i="17"/>
  <c r="P720" i="17"/>
  <c r="F720" i="17"/>
  <c r="I720" i="17" s="1"/>
  <c r="P719" i="17"/>
  <c r="F719" i="17"/>
  <c r="I719" i="17" s="1"/>
  <c r="P718" i="17"/>
  <c r="F718" i="17"/>
  <c r="P717" i="17"/>
  <c r="I717" i="17"/>
  <c r="F717" i="17"/>
  <c r="P716" i="17"/>
  <c r="F716" i="17"/>
  <c r="I716" i="17" s="1"/>
  <c r="P715" i="17"/>
  <c r="F715" i="17"/>
  <c r="I715" i="17" s="1"/>
  <c r="P714" i="17"/>
  <c r="F714" i="17"/>
  <c r="I714" i="17" s="1"/>
  <c r="P713" i="17"/>
  <c r="F713" i="17"/>
  <c r="I713" i="17" s="1"/>
  <c r="P712" i="17"/>
  <c r="F712" i="17"/>
  <c r="I712" i="17" s="1"/>
  <c r="E711" i="17"/>
  <c r="D711" i="17"/>
  <c r="H710" i="17"/>
  <c r="H711" i="17" s="1"/>
  <c r="G710" i="17"/>
  <c r="G711" i="17" s="1"/>
  <c r="P709" i="17"/>
  <c r="F709" i="17"/>
  <c r="I709" i="17" s="1"/>
  <c r="P708" i="17"/>
  <c r="F708" i="17"/>
  <c r="I708" i="17" s="1"/>
  <c r="P707" i="17"/>
  <c r="I707" i="17"/>
  <c r="F707" i="17"/>
  <c r="P706" i="17"/>
  <c r="F706" i="17"/>
  <c r="I706" i="17" s="1"/>
  <c r="P705" i="17"/>
  <c r="F705" i="17"/>
  <c r="I705" i="17" s="1"/>
  <c r="P704" i="17"/>
  <c r="F704" i="17"/>
  <c r="I704" i="17" s="1"/>
  <c r="P703" i="17"/>
  <c r="I703" i="17"/>
  <c r="F703" i="17"/>
  <c r="E702" i="17"/>
  <c r="H701" i="17"/>
  <c r="G701" i="17"/>
  <c r="D701" i="17"/>
  <c r="P700" i="17"/>
  <c r="F700" i="17"/>
  <c r="I700" i="17" s="1"/>
  <c r="P699" i="17"/>
  <c r="F699" i="17"/>
  <c r="I699" i="17" s="1"/>
  <c r="P698" i="17"/>
  <c r="F698" i="17"/>
  <c r="I698" i="17" s="1"/>
  <c r="P697" i="17"/>
  <c r="F697" i="17"/>
  <c r="I697" i="17" s="1"/>
  <c r="P696" i="17"/>
  <c r="F696" i="17"/>
  <c r="I696" i="17" s="1"/>
  <c r="P695" i="17"/>
  <c r="F695" i="17"/>
  <c r="I695" i="17" s="1"/>
  <c r="P694" i="17"/>
  <c r="I694" i="17"/>
  <c r="F694" i="17"/>
  <c r="H693" i="17"/>
  <c r="G693" i="17"/>
  <c r="D693" i="17"/>
  <c r="P692" i="17"/>
  <c r="F692" i="17"/>
  <c r="I692" i="17" s="1"/>
  <c r="P691" i="17"/>
  <c r="F691" i="17"/>
  <c r="I691" i="17" s="1"/>
  <c r="P690" i="17"/>
  <c r="F690" i="17"/>
  <c r="I690" i="17" s="1"/>
  <c r="P689" i="17"/>
  <c r="F689" i="17"/>
  <c r="I689" i="17" s="1"/>
  <c r="P688" i="17"/>
  <c r="F688" i="17"/>
  <c r="I688" i="17" s="1"/>
  <c r="J1275" i="13"/>
  <c r="I1275" i="13"/>
  <c r="F1274" i="13"/>
  <c r="F1273" i="13"/>
  <c r="F1271" i="13"/>
  <c r="I1271" i="13" s="1"/>
  <c r="F1270" i="13"/>
  <c r="F1269" i="13"/>
  <c r="I1269" i="13" s="1"/>
  <c r="F1267" i="13"/>
  <c r="I1267" i="13" s="1"/>
  <c r="F1266" i="13"/>
  <c r="I1266" i="13" s="1"/>
  <c r="F1265" i="13"/>
  <c r="I1265" i="13" s="1"/>
  <c r="F1264" i="13"/>
  <c r="F1262" i="13"/>
  <c r="I1262" i="13" s="1"/>
  <c r="F1261" i="13"/>
  <c r="F1259" i="13"/>
  <c r="I1259" i="13" s="1"/>
  <c r="F1258" i="13"/>
  <c r="I1258" i="13" s="1"/>
  <c r="F1257" i="13"/>
  <c r="I1257" i="13" s="1"/>
  <c r="F1256" i="13"/>
  <c r="F1254" i="13"/>
  <c r="I1254" i="13" s="1"/>
  <c r="F1253" i="13"/>
  <c r="I1253" i="13" s="1"/>
  <c r="F1252" i="13"/>
  <c r="F1249" i="13"/>
  <c r="I1249" i="13" s="1"/>
  <c r="F1246" i="13"/>
  <c r="I1246" i="13" s="1"/>
  <c r="F1245" i="13"/>
  <c r="I1245" i="13" s="1"/>
  <c r="F1244" i="13"/>
  <c r="F1242" i="13"/>
  <c r="I1242" i="13" s="1"/>
  <c r="F1241" i="13"/>
  <c r="F1240" i="13"/>
  <c r="I1240" i="13" s="1"/>
  <c r="I1237" i="13"/>
  <c r="I1236" i="13"/>
  <c r="I1235" i="13"/>
  <c r="I1234" i="13"/>
  <c r="I1231" i="13"/>
  <c r="I1230" i="13"/>
  <c r="I1229" i="13"/>
  <c r="I1228" i="13"/>
  <c r="I1227" i="13"/>
  <c r="I1226" i="13"/>
  <c r="I1225" i="13"/>
  <c r="F1223" i="13"/>
  <c r="I1223" i="13" s="1"/>
  <c r="F1219" i="13"/>
  <c r="I1219" i="13" s="1"/>
  <c r="F1218" i="13"/>
  <c r="I1218" i="13" s="1"/>
  <c r="F1217" i="13"/>
  <c r="I1217" i="13" s="1"/>
  <c r="F1216" i="13"/>
  <c r="I1216" i="13" s="1"/>
  <c r="F1215" i="13"/>
  <c r="I1215" i="13" s="1"/>
  <c r="F1214" i="13"/>
  <c r="I1214" i="13" s="1"/>
  <c r="F1213" i="13"/>
  <c r="I1213" i="13" s="1"/>
  <c r="F1212" i="13"/>
  <c r="F1210" i="13"/>
  <c r="I1210" i="13" s="1"/>
  <c r="F1209" i="13"/>
  <c r="I1209" i="13" s="1"/>
  <c r="F1208" i="13"/>
  <c r="I1208" i="13" s="1"/>
  <c r="F1207" i="13"/>
  <c r="F1204" i="13"/>
  <c r="I1204" i="13" s="1"/>
  <c r="F1203" i="13"/>
  <c r="I1203" i="13" s="1"/>
  <c r="F1202" i="13"/>
  <c r="F1200" i="13"/>
  <c r="I1200" i="13" s="1"/>
  <c r="F1199" i="13"/>
  <c r="I1199" i="13" s="1"/>
  <c r="F1198" i="13"/>
  <c r="F1196" i="13"/>
  <c r="I1196" i="13" s="1"/>
  <c r="F1195" i="13"/>
  <c r="I1195" i="13" s="1"/>
  <c r="F1194" i="13"/>
  <c r="I1194" i="13" s="1"/>
  <c r="F1193" i="13"/>
  <c r="I1193" i="13" s="1"/>
  <c r="F1192" i="13"/>
  <c r="I1192" i="13" s="1"/>
  <c r="F1191" i="13"/>
  <c r="I1191" i="13" s="1"/>
  <c r="F1190" i="13"/>
  <c r="F1188" i="13"/>
  <c r="I1188" i="13" s="1"/>
  <c r="F1187" i="13"/>
  <c r="I1187" i="13" s="1"/>
  <c r="F1186" i="13"/>
  <c r="I1186" i="13" s="1"/>
  <c r="F1185" i="13"/>
  <c r="I1185" i="13" s="1"/>
  <c r="F1184" i="13"/>
  <c r="I1184" i="13" s="1"/>
  <c r="F1183" i="13"/>
  <c r="I1183" i="13" s="1"/>
  <c r="F1182" i="13"/>
  <c r="F1180" i="13"/>
  <c r="I1180" i="13" s="1"/>
  <c r="F1179" i="13"/>
  <c r="I1179" i="13" s="1"/>
  <c r="F1178" i="13"/>
  <c r="I1178" i="13" s="1"/>
  <c r="F1177" i="13"/>
  <c r="F1272" i="1"/>
  <c r="F1273" i="1" s="1"/>
  <c r="I1271" i="1"/>
  <c r="H1271" i="1"/>
  <c r="F1275" i="13" s="1"/>
  <c r="G1270" i="1"/>
  <c r="J1270" i="1" s="1"/>
  <c r="G1269" i="1"/>
  <c r="J1269" i="1" s="1"/>
  <c r="I1268" i="1"/>
  <c r="H1268" i="1"/>
  <c r="E1268" i="1"/>
  <c r="G1267" i="1"/>
  <c r="J1267" i="1" s="1"/>
  <c r="G1266" i="1"/>
  <c r="J1266" i="1" s="1"/>
  <c r="G1265" i="1"/>
  <c r="J1265" i="1" s="1"/>
  <c r="I1264" i="1"/>
  <c r="H1264" i="1"/>
  <c r="E1264" i="1"/>
  <c r="G1263" i="1"/>
  <c r="J1263" i="1" s="1"/>
  <c r="G1262" i="1"/>
  <c r="J1262" i="1" s="1"/>
  <c r="G1261" i="1"/>
  <c r="J1261" i="1" s="1"/>
  <c r="G1260" i="1"/>
  <c r="J1260" i="1" s="1"/>
  <c r="G1259" i="1"/>
  <c r="J1259" i="1" s="1"/>
  <c r="I1258" i="1"/>
  <c r="H1258" i="1"/>
  <c r="E1258" i="1"/>
  <c r="G1257" i="1"/>
  <c r="J1257" i="1" s="1"/>
  <c r="G1256" i="1"/>
  <c r="I1255" i="1"/>
  <c r="H1255" i="1"/>
  <c r="E1255" i="1"/>
  <c r="G1254" i="1"/>
  <c r="J1254" i="1" s="1"/>
  <c r="G1253" i="1"/>
  <c r="J1253" i="1" s="1"/>
  <c r="G1252" i="1"/>
  <c r="J1252" i="1" s="1"/>
  <c r="G1251" i="1"/>
  <c r="I1250" i="1"/>
  <c r="H1250" i="1"/>
  <c r="E1250" i="1"/>
  <c r="G1249" i="1"/>
  <c r="J1249" i="1" s="1"/>
  <c r="G1248" i="1"/>
  <c r="J1248" i="1" s="1"/>
  <c r="G1247" i="1"/>
  <c r="J1247" i="1" s="1"/>
  <c r="F1245" i="1"/>
  <c r="F1246" i="1" s="1"/>
  <c r="G1244" i="1"/>
  <c r="J1244" i="1" s="1"/>
  <c r="I1242" i="1"/>
  <c r="H1242" i="1"/>
  <c r="E1242" i="1"/>
  <c r="E1243" i="1" s="1"/>
  <c r="G1241" i="1"/>
  <c r="J1241" i="1" s="1"/>
  <c r="G1240" i="1"/>
  <c r="J1240" i="1" s="1"/>
  <c r="G1239" i="1"/>
  <c r="J1239" i="1" s="1"/>
  <c r="I1238" i="1"/>
  <c r="I1243" i="1" s="1"/>
  <c r="H1238" i="1"/>
  <c r="G1237" i="1"/>
  <c r="J1237" i="1" s="1"/>
  <c r="G1236" i="1"/>
  <c r="J1236" i="1" s="1"/>
  <c r="G1235" i="1"/>
  <c r="I1233" i="1"/>
  <c r="H1233" i="1"/>
  <c r="E1233" i="1"/>
  <c r="G1232" i="1"/>
  <c r="J1232" i="1" s="1"/>
  <c r="G1231" i="1"/>
  <c r="J1231" i="1" s="1"/>
  <c r="G1230" i="1"/>
  <c r="J1230" i="1" s="1"/>
  <c r="G1229" i="1"/>
  <c r="J1229" i="1" s="1"/>
  <c r="G1228" i="1"/>
  <c r="J1228" i="1" s="1"/>
  <c r="I1227" i="1"/>
  <c r="I1234" i="1" s="1"/>
  <c r="H1227" i="1"/>
  <c r="E1227" i="1"/>
  <c r="G1226" i="1"/>
  <c r="J1226" i="1" s="1"/>
  <c r="G1225" i="1"/>
  <c r="J1225" i="1" s="1"/>
  <c r="G1224" i="1"/>
  <c r="J1224" i="1" s="1"/>
  <c r="G1223" i="1"/>
  <c r="J1223" i="1" s="1"/>
  <c r="G1222" i="1"/>
  <c r="J1222" i="1" s="1"/>
  <c r="G1221" i="1"/>
  <c r="J1221" i="1" s="1"/>
  <c r="G1220" i="1"/>
  <c r="J1220" i="1" s="1"/>
  <c r="G1219" i="1"/>
  <c r="J1219" i="1" s="1"/>
  <c r="G1218" i="1"/>
  <c r="J1218" i="1" s="1"/>
  <c r="F1216" i="1"/>
  <c r="I1215" i="1"/>
  <c r="H1215" i="1"/>
  <c r="G1214" i="1"/>
  <c r="J1214" i="1" s="1"/>
  <c r="G1213" i="1"/>
  <c r="J1213" i="1" s="1"/>
  <c r="G1212" i="1"/>
  <c r="J1212" i="1" s="1"/>
  <c r="G1211" i="1"/>
  <c r="J1211" i="1" s="1"/>
  <c r="G1210" i="1"/>
  <c r="J1210" i="1" s="1"/>
  <c r="G1209" i="1"/>
  <c r="J1209" i="1" s="1"/>
  <c r="G1208" i="1"/>
  <c r="J1208" i="1" s="1"/>
  <c r="G1207" i="1"/>
  <c r="E1207" i="1"/>
  <c r="E1215" i="1" s="1"/>
  <c r="I1206" i="1"/>
  <c r="I1216" i="1" s="1"/>
  <c r="H1206" i="1"/>
  <c r="E1206" i="1"/>
  <c r="G1205" i="1"/>
  <c r="J1205" i="1" s="1"/>
  <c r="G1204" i="1"/>
  <c r="J1204" i="1" s="1"/>
  <c r="G1203" i="1"/>
  <c r="J1203" i="1" s="1"/>
  <c r="G1202" i="1"/>
  <c r="J1202" i="1" s="1"/>
  <c r="I1200" i="1"/>
  <c r="H1200" i="1"/>
  <c r="E1200" i="1"/>
  <c r="G1199" i="1"/>
  <c r="J1199" i="1" s="1"/>
  <c r="G1198" i="1"/>
  <c r="J1198" i="1" s="1"/>
  <c r="G1197" i="1"/>
  <c r="I1196" i="1"/>
  <c r="H1196" i="1"/>
  <c r="F1196" i="1"/>
  <c r="F1201" i="1" s="1"/>
  <c r="F1217" i="1" s="1"/>
  <c r="F1274" i="1" s="1"/>
  <c r="E1196" i="1"/>
  <c r="G1195" i="1"/>
  <c r="G1194" i="1"/>
  <c r="J1194" i="1" s="1"/>
  <c r="G1193" i="1"/>
  <c r="G1196" i="1" s="1"/>
  <c r="J1196" i="1" s="1"/>
  <c r="I1192" i="1"/>
  <c r="H1192" i="1"/>
  <c r="E1192" i="1"/>
  <c r="G1191" i="1"/>
  <c r="J1191" i="1" s="1"/>
  <c r="G1190" i="1"/>
  <c r="J1190" i="1" s="1"/>
  <c r="G1189" i="1"/>
  <c r="J1189" i="1" s="1"/>
  <c r="G1188" i="1"/>
  <c r="J1188" i="1" s="1"/>
  <c r="G1187" i="1"/>
  <c r="J1187" i="1" s="1"/>
  <c r="G1186" i="1"/>
  <c r="J1186" i="1" s="1"/>
  <c r="G1185" i="1"/>
  <c r="J1185" i="1" s="1"/>
  <c r="E1184" i="1"/>
  <c r="G1183" i="1"/>
  <c r="J1183" i="1" s="1"/>
  <c r="G1182" i="1"/>
  <c r="J1182" i="1" s="1"/>
  <c r="I1184" i="1"/>
  <c r="G1181" i="1"/>
  <c r="J1181" i="1" s="1"/>
  <c r="G1180" i="1"/>
  <c r="J1180" i="1" s="1"/>
  <c r="G1179" i="1"/>
  <c r="J1179" i="1" s="1"/>
  <c r="G1177" i="1"/>
  <c r="I1176" i="1"/>
  <c r="H1176" i="1"/>
  <c r="E1176" i="1"/>
  <c r="G1175" i="1"/>
  <c r="J1175" i="1" s="1"/>
  <c r="G1174" i="1"/>
  <c r="J1174" i="1" s="1"/>
  <c r="G1173" i="1"/>
  <c r="J1173" i="1" s="1"/>
  <c r="G1172" i="1"/>
  <c r="H1243" i="1" l="1"/>
  <c r="E1216" i="1"/>
  <c r="C181" i="15" s="1"/>
  <c r="G702" i="17"/>
  <c r="D702" i="17"/>
  <c r="F710" i="17"/>
  <c r="P710" i="17"/>
  <c r="P711" i="17" s="1"/>
  <c r="I1356" i="13"/>
  <c r="I1357" i="13" s="1"/>
  <c r="E1201" i="1"/>
  <c r="E1234" i="1"/>
  <c r="E1245" i="1" s="1"/>
  <c r="E1246" i="1" s="1"/>
  <c r="C184" i="15" s="1"/>
  <c r="C186" i="15" s="1"/>
  <c r="S198" i="14"/>
  <c r="T198" i="14" s="1"/>
  <c r="E1380" i="1"/>
  <c r="T204" i="14"/>
  <c r="K2081" i="1"/>
  <c r="O2081" i="1" s="1"/>
  <c r="L2190" i="1"/>
  <c r="G2087" i="13"/>
  <c r="J2087" i="13" s="1"/>
  <c r="J1193" i="1"/>
  <c r="G1200" i="1"/>
  <c r="J1200" i="1" s="1"/>
  <c r="F1201" i="13"/>
  <c r="F1211" i="13"/>
  <c r="F1220" i="13"/>
  <c r="F1384" i="13"/>
  <c r="H970" i="16"/>
  <c r="H994" i="16"/>
  <c r="H1018" i="16"/>
  <c r="H952" i="16"/>
  <c r="F1197" i="13"/>
  <c r="F1205" i="13"/>
  <c r="F1247" i="13"/>
  <c r="F1260" i="13"/>
  <c r="F1263" i="13"/>
  <c r="F1268" i="13"/>
  <c r="I1328" i="13"/>
  <c r="I1384" i="13" s="1"/>
  <c r="G1271" i="1"/>
  <c r="J1271" i="1" s="1"/>
  <c r="J1197" i="1"/>
  <c r="G1250" i="1"/>
  <c r="J1250" i="1" s="1"/>
  <c r="F1232" i="13"/>
  <c r="F1243" i="13"/>
  <c r="F1255" i="13"/>
  <c r="F1272" i="13"/>
  <c r="S195" i="14"/>
  <c r="T195" i="14" s="1"/>
  <c r="S194" i="14"/>
  <c r="T194" i="14" s="1"/>
  <c r="S199" i="14"/>
  <c r="T199" i="14" s="1"/>
  <c r="S203" i="14"/>
  <c r="T203" i="14" s="1"/>
  <c r="R191" i="14"/>
  <c r="P191" i="14"/>
  <c r="Q191" i="14"/>
  <c r="S191" i="14" s="1"/>
  <c r="T191" i="14" s="1"/>
  <c r="S192" i="14"/>
  <c r="T192" i="14" s="1"/>
  <c r="S196" i="14"/>
  <c r="T196" i="14" s="1"/>
  <c r="R200" i="14"/>
  <c r="P200" i="14"/>
  <c r="Q200" i="14"/>
  <c r="S193" i="14"/>
  <c r="T193" i="14" s="1"/>
  <c r="R197" i="14"/>
  <c r="P197" i="14"/>
  <c r="Q197" i="14"/>
  <c r="S205" i="14"/>
  <c r="T205" i="14" s="1"/>
  <c r="F807" i="17"/>
  <c r="I806" i="17"/>
  <c r="G1307" i="1"/>
  <c r="J1282" i="1"/>
  <c r="J1322" i="1"/>
  <c r="J1321" i="1"/>
  <c r="G1379" i="1"/>
  <c r="J1378" i="1"/>
  <c r="J1379" i="1" s="1"/>
  <c r="G1351" i="1"/>
  <c r="J1340" i="1"/>
  <c r="F1181" i="13"/>
  <c r="G1176" i="1"/>
  <c r="J1176" i="1" s="1"/>
  <c r="H702" i="17"/>
  <c r="I1201" i="1"/>
  <c r="I1217" i="1" s="1"/>
  <c r="F1189" i="13"/>
  <c r="H1272" i="1"/>
  <c r="H1273" i="1" s="1"/>
  <c r="F1238" i="13"/>
  <c r="H1234" i="1"/>
  <c r="H1245" i="1" s="1"/>
  <c r="H1246" i="1" s="1"/>
  <c r="N223" i="14"/>
  <c r="P223" i="14" s="1"/>
  <c r="N224" i="14"/>
  <c r="P224" i="14" s="1"/>
  <c r="N215" i="14"/>
  <c r="R215" i="14" s="1"/>
  <c r="M219" i="14"/>
  <c r="O219" i="14"/>
  <c r="N219" i="14" s="1"/>
  <c r="R219" i="14" s="1"/>
  <c r="M209" i="14"/>
  <c r="O209" i="14"/>
  <c r="N209" i="14" s="1"/>
  <c r="P209" i="14" s="1"/>
  <c r="M221" i="14"/>
  <c r="O221" i="14"/>
  <c r="N221" i="14" s="1"/>
  <c r="R221" i="14" s="1"/>
  <c r="O218" i="14"/>
  <c r="N218" i="14" s="1"/>
  <c r="P218" i="14" s="1"/>
  <c r="O220" i="14"/>
  <c r="N220" i="14" s="1"/>
  <c r="R209" i="14"/>
  <c r="O210" i="14"/>
  <c r="N210" i="14" s="1"/>
  <c r="M210" i="14"/>
  <c r="O212" i="14"/>
  <c r="N212" i="14" s="1"/>
  <c r="M212" i="14"/>
  <c r="O214" i="14"/>
  <c r="N214" i="14" s="1"/>
  <c r="M214" i="14"/>
  <c r="M215" i="14"/>
  <c r="L217" i="14"/>
  <c r="K217" i="14" s="1"/>
  <c r="C217" i="14"/>
  <c r="R220" i="14"/>
  <c r="P220" i="14"/>
  <c r="R222" i="14"/>
  <c r="P222" i="14"/>
  <c r="Q222" i="14"/>
  <c r="S222" i="14" s="1"/>
  <c r="O211" i="14"/>
  <c r="N211" i="14" s="1"/>
  <c r="M211" i="14"/>
  <c r="O213" i="14"/>
  <c r="N213" i="14" s="1"/>
  <c r="M213" i="14"/>
  <c r="O216" i="14"/>
  <c r="N216" i="14" s="1"/>
  <c r="M216" i="14"/>
  <c r="Q220" i="14"/>
  <c r="M222" i="14"/>
  <c r="M223" i="14"/>
  <c r="M224" i="14"/>
  <c r="E972" i="16"/>
  <c r="E1021" i="16" s="1"/>
  <c r="H964" i="16"/>
  <c r="P744" i="17"/>
  <c r="P745" i="17" s="1"/>
  <c r="P701" i="17"/>
  <c r="F693" i="17"/>
  <c r="F711" i="17"/>
  <c r="I711" i="17" s="1"/>
  <c r="I710" i="17"/>
  <c r="G746" i="17"/>
  <c r="P693" i="17"/>
  <c r="P702" i="17" s="1"/>
  <c r="F701" i="17"/>
  <c r="I701" i="17" s="1"/>
  <c r="D746" i="17"/>
  <c r="F744" i="17"/>
  <c r="H746" i="17"/>
  <c r="I1224" i="13"/>
  <c r="I1232" i="13" s="1"/>
  <c r="I1233" i="13"/>
  <c r="I1238" i="13" s="1"/>
  <c r="I1241" i="13"/>
  <c r="I1243" i="13" s="1"/>
  <c r="I1244" i="13"/>
  <c r="I1247" i="13" s="1"/>
  <c r="I1252" i="13"/>
  <c r="I1255" i="13" s="1"/>
  <c r="I1270" i="13"/>
  <c r="I1272" i="13" s="1"/>
  <c r="I1177" i="13"/>
  <c r="I1181" i="13" s="1"/>
  <c r="I1182" i="13"/>
  <c r="I1189" i="13" s="1"/>
  <c r="I1190" i="13"/>
  <c r="I1197" i="13" s="1"/>
  <c r="I1198" i="13"/>
  <c r="I1201" i="13" s="1"/>
  <c r="I1202" i="13"/>
  <c r="I1205" i="13" s="1"/>
  <c r="I1207" i="13"/>
  <c r="I1211" i="13" s="1"/>
  <c r="I1212" i="13"/>
  <c r="I1220" i="13" s="1"/>
  <c r="I1256" i="13"/>
  <c r="I1260" i="13" s="1"/>
  <c r="I1261" i="13"/>
  <c r="I1263" i="13" s="1"/>
  <c r="I1264" i="13"/>
  <c r="I1268" i="13" s="1"/>
  <c r="I1245" i="1"/>
  <c r="I1246" i="1" s="1"/>
  <c r="H1184" i="1"/>
  <c r="H1201" i="1" s="1"/>
  <c r="G1192" i="1"/>
  <c r="J1192" i="1" s="1"/>
  <c r="G1206" i="1"/>
  <c r="J1177" i="1"/>
  <c r="G1178" i="1"/>
  <c r="J1178" i="1" s="1"/>
  <c r="H1216" i="1"/>
  <c r="G1215" i="1"/>
  <c r="J1207" i="1"/>
  <c r="G1227" i="1"/>
  <c r="G1233" i="1"/>
  <c r="J1233" i="1" s="1"/>
  <c r="G1238" i="1"/>
  <c r="J1235" i="1"/>
  <c r="G1242" i="1"/>
  <c r="J1242" i="1" s="1"/>
  <c r="E1272" i="1"/>
  <c r="E1273" i="1" s="1"/>
  <c r="I1272" i="1"/>
  <c r="I1273" i="1" s="1"/>
  <c r="G1255" i="1"/>
  <c r="J1255" i="1" s="1"/>
  <c r="J1251" i="1"/>
  <c r="G1258" i="1"/>
  <c r="J1258" i="1" s="1"/>
  <c r="J1256" i="1"/>
  <c r="G1264" i="1"/>
  <c r="J1264" i="1" s="1"/>
  <c r="G1268" i="1"/>
  <c r="J1268" i="1" s="1"/>
  <c r="D234" i="14"/>
  <c r="D235" i="14"/>
  <c r="D228" i="14"/>
  <c r="H233" i="14"/>
  <c r="I1075" i="1"/>
  <c r="I228" i="14"/>
  <c r="H228" i="14"/>
  <c r="H1075" i="1"/>
  <c r="H1072" i="1"/>
  <c r="Q221" i="14" l="1"/>
  <c r="C187" i="15"/>
  <c r="C189" i="15" s="1"/>
  <c r="S220" i="14"/>
  <c r="T220" i="14" s="1"/>
  <c r="Q223" i="14"/>
  <c r="P219" i="14"/>
  <c r="E1217" i="1"/>
  <c r="E1274" i="1" s="1"/>
  <c r="C180" i="15"/>
  <c r="C183" i="15" s="1"/>
  <c r="Q219" i="14"/>
  <c r="R223" i="14"/>
  <c r="P221" i="14"/>
  <c r="S197" i="14"/>
  <c r="T197" i="14" s="1"/>
  <c r="S200" i="14"/>
  <c r="L2300" i="1"/>
  <c r="G2196" i="13"/>
  <c r="J2196" i="13" s="1"/>
  <c r="K2190" i="1"/>
  <c r="O2190" i="1" s="1"/>
  <c r="F1239" i="13"/>
  <c r="F1276" i="13"/>
  <c r="F1277" i="13" s="1"/>
  <c r="F1248" i="13"/>
  <c r="F1250" i="13" s="1"/>
  <c r="F1251" i="13" s="1"/>
  <c r="F1221" i="13"/>
  <c r="H972" i="16"/>
  <c r="F1206" i="13"/>
  <c r="F1222" i="13" s="1"/>
  <c r="T200" i="14"/>
  <c r="F808" i="17"/>
  <c r="I808" i="17" s="1"/>
  <c r="I807" i="17"/>
  <c r="G1352" i="1"/>
  <c r="J1351" i="1"/>
  <c r="J1352" i="1" s="1"/>
  <c r="G1323" i="1"/>
  <c r="J1307" i="1"/>
  <c r="S223" i="14"/>
  <c r="Q224" i="14"/>
  <c r="T222" i="14"/>
  <c r="P215" i="14"/>
  <c r="Q215" i="14"/>
  <c r="S215" i="14" s="1"/>
  <c r="T215" i="14" s="1"/>
  <c r="P746" i="17"/>
  <c r="I1221" i="13"/>
  <c r="H1217" i="1"/>
  <c r="H1274" i="1" s="1"/>
  <c r="R224" i="14"/>
  <c r="Q218" i="14"/>
  <c r="R218" i="14"/>
  <c r="I1239" i="13"/>
  <c r="Q209" i="14"/>
  <c r="S209" i="14" s="1"/>
  <c r="T209" i="14" s="1"/>
  <c r="Q216" i="14"/>
  <c r="P216" i="14"/>
  <c r="R216" i="14"/>
  <c r="Q213" i="14"/>
  <c r="P213" i="14"/>
  <c r="R213" i="14"/>
  <c r="Q211" i="14"/>
  <c r="P211" i="14"/>
  <c r="R211" i="14"/>
  <c r="M217" i="14"/>
  <c r="O217" i="14"/>
  <c r="N217" i="14" s="1"/>
  <c r="T223" i="14"/>
  <c r="S221" i="14"/>
  <c r="T221" i="14" s="1"/>
  <c r="S219" i="14"/>
  <c r="T219" i="14" s="1"/>
  <c r="Q214" i="14"/>
  <c r="R214" i="14"/>
  <c r="P214" i="14"/>
  <c r="Q212" i="14"/>
  <c r="R212" i="14"/>
  <c r="P212" i="14"/>
  <c r="Q210" i="14"/>
  <c r="R210" i="14"/>
  <c r="P210" i="14"/>
  <c r="I693" i="17"/>
  <c r="F702" i="17"/>
  <c r="I702" i="17" s="1"/>
  <c r="F745" i="17"/>
  <c r="I744" i="17"/>
  <c r="I1248" i="13"/>
  <c r="I1206" i="13"/>
  <c r="I1222" i="13" s="1"/>
  <c r="I1276" i="13"/>
  <c r="I1277" i="13" s="1"/>
  <c r="G1272" i="1"/>
  <c r="G1243" i="1"/>
  <c r="J1243" i="1" s="1"/>
  <c r="J1238" i="1"/>
  <c r="G1234" i="1"/>
  <c r="J1227" i="1"/>
  <c r="J1206" i="1"/>
  <c r="G1216" i="1"/>
  <c r="I1274" i="1"/>
  <c r="G1184" i="1"/>
  <c r="L242" i="14"/>
  <c r="K242" i="14"/>
  <c r="O242" i="14" s="1"/>
  <c r="G242" i="14"/>
  <c r="C242" i="14"/>
  <c r="L241" i="14"/>
  <c r="K241" i="14"/>
  <c r="O241" i="14" s="1"/>
  <c r="G241" i="14"/>
  <c r="C241" i="14"/>
  <c r="L240" i="14"/>
  <c r="K240" i="14"/>
  <c r="O240" i="14" s="1"/>
  <c r="G240" i="14"/>
  <c r="C240" i="14"/>
  <c r="L239" i="14"/>
  <c r="K239" i="14"/>
  <c r="O239" i="14" s="1"/>
  <c r="G239" i="14"/>
  <c r="C239" i="14"/>
  <c r="L238" i="14"/>
  <c r="K238" i="14"/>
  <c r="O238" i="14" s="1"/>
  <c r="G238" i="14"/>
  <c r="C238" i="14"/>
  <c r="L237" i="14"/>
  <c r="K237" i="14" s="1"/>
  <c r="G237" i="14"/>
  <c r="C237" i="14"/>
  <c r="L236" i="14"/>
  <c r="K236" i="14" s="1"/>
  <c r="M236" i="14" s="1"/>
  <c r="G236" i="14"/>
  <c r="C236" i="14"/>
  <c r="L235" i="14"/>
  <c r="K235" i="14" s="1"/>
  <c r="G235" i="14"/>
  <c r="C235" i="14"/>
  <c r="L234" i="14"/>
  <c r="K234" i="14" s="1"/>
  <c r="M234" i="14" s="1"/>
  <c r="G234" i="14"/>
  <c r="C234" i="14"/>
  <c r="L233" i="14"/>
  <c r="K233" i="14" s="1"/>
  <c r="G233" i="14"/>
  <c r="C233" i="14"/>
  <c r="L232" i="14"/>
  <c r="K232" i="14" s="1"/>
  <c r="M232" i="14" s="1"/>
  <c r="G232" i="14"/>
  <c r="C232" i="14"/>
  <c r="L231" i="14"/>
  <c r="K231" i="14" s="1"/>
  <c r="G231" i="14"/>
  <c r="C231" i="14"/>
  <c r="L230" i="14"/>
  <c r="K230" i="14" s="1"/>
  <c r="M230" i="14" s="1"/>
  <c r="G230" i="14"/>
  <c r="C230" i="14"/>
  <c r="L229" i="14"/>
  <c r="K229" i="14" s="1"/>
  <c r="G229" i="14"/>
  <c r="C229" i="14"/>
  <c r="L228" i="14"/>
  <c r="K228" i="14" s="1"/>
  <c r="M228" i="14" s="1"/>
  <c r="G228" i="14"/>
  <c r="C228" i="14"/>
  <c r="L227" i="14"/>
  <c r="K227" i="14" s="1"/>
  <c r="G227" i="14"/>
  <c r="C227" i="14"/>
  <c r="E173" i="15"/>
  <c r="E170" i="15"/>
  <c r="E167" i="15"/>
  <c r="H931" i="16"/>
  <c r="H929" i="16"/>
  <c r="H928" i="16"/>
  <c r="H927" i="16"/>
  <c r="H926" i="16"/>
  <c r="H925" i="16"/>
  <c r="H924" i="16"/>
  <c r="H923" i="16"/>
  <c r="H922" i="16"/>
  <c r="H921" i="16"/>
  <c r="H920" i="16"/>
  <c r="H919" i="16"/>
  <c r="H918" i="16"/>
  <c r="H917" i="16"/>
  <c r="H916" i="16"/>
  <c r="H915" i="16"/>
  <c r="H914" i="16"/>
  <c r="H913" i="16"/>
  <c r="H912" i="16"/>
  <c r="E930" i="16"/>
  <c r="H910" i="16"/>
  <c r="H909" i="16"/>
  <c r="H908" i="16"/>
  <c r="H907" i="16"/>
  <c r="E906" i="16"/>
  <c r="H905" i="16"/>
  <c r="H904" i="16"/>
  <c r="H903" i="16"/>
  <c r="H902" i="16"/>
  <c r="H901" i="16"/>
  <c r="H900" i="16"/>
  <c r="H899" i="16"/>
  <c r="H898" i="16"/>
  <c r="H897" i="16"/>
  <c r="H896" i="16"/>
  <c r="H895" i="16"/>
  <c r="H894" i="16"/>
  <c r="H893" i="16"/>
  <c r="H892" i="16"/>
  <c r="H891" i="16"/>
  <c r="H890" i="16"/>
  <c r="H889" i="16"/>
  <c r="H888" i="16"/>
  <c r="H887" i="16"/>
  <c r="H886" i="16"/>
  <c r="H885" i="16"/>
  <c r="I883" i="16"/>
  <c r="E882" i="16"/>
  <c r="H881" i="16"/>
  <c r="H880" i="16"/>
  <c r="H879" i="16"/>
  <c r="H878" i="16"/>
  <c r="H877" i="16"/>
  <c r="E876" i="16"/>
  <c r="H875" i="16"/>
  <c r="H874" i="16"/>
  <c r="H873" i="16"/>
  <c r="H872" i="16"/>
  <c r="H871" i="16"/>
  <c r="H870" i="16"/>
  <c r="H869" i="16"/>
  <c r="H868" i="16"/>
  <c r="H867" i="16"/>
  <c r="H866" i="16"/>
  <c r="H865" i="16"/>
  <c r="E864" i="16"/>
  <c r="H863" i="16"/>
  <c r="H862" i="16"/>
  <c r="H861" i="16"/>
  <c r="H860" i="16"/>
  <c r="H859" i="16"/>
  <c r="H858" i="16"/>
  <c r="H857" i="16"/>
  <c r="H856" i="16"/>
  <c r="H855" i="16"/>
  <c r="H854" i="16"/>
  <c r="H853" i="16"/>
  <c r="H852" i="16"/>
  <c r="H851" i="16"/>
  <c r="H850" i="16"/>
  <c r="E683" i="17"/>
  <c r="H682" i="17"/>
  <c r="H683" i="17" s="1"/>
  <c r="G682" i="17"/>
  <c r="G683" i="17" s="1"/>
  <c r="D682" i="17"/>
  <c r="D683" i="17" s="1"/>
  <c r="P681" i="17"/>
  <c r="I681" i="17"/>
  <c r="F681" i="17"/>
  <c r="P680" i="17"/>
  <c r="F680" i="17"/>
  <c r="I680" i="17" s="1"/>
  <c r="P679" i="17"/>
  <c r="I679" i="17"/>
  <c r="F679" i="17"/>
  <c r="P678" i="17"/>
  <c r="F678" i="17"/>
  <c r="I678" i="17" s="1"/>
  <c r="P677" i="17"/>
  <c r="F677" i="17"/>
  <c r="I677" i="17" s="1"/>
  <c r="P676" i="17"/>
  <c r="F676" i="17"/>
  <c r="I676" i="17" s="1"/>
  <c r="P675" i="17"/>
  <c r="I675" i="17"/>
  <c r="F675" i="17"/>
  <c r="P674" i="17"/>
  <c r="F674" i="17"/>
  <c r="I674" i="17" s="1"/>
  <c r="P673" i="17"/>
  <c r="F673" i="17"/>
  <c r="I673" i="17" s="1"/>
  <c r="P672" i="17"/>
  <c r="F672" i="17"/>
  <c r="I672" i="17" s="1"/>
  <c r="P671" i="17"/>
  <c r="F671" i="17"/>
  <c r="I671" i="17" s="1"/>
  <c r="P670" i="17"/>
  <c r="F670" i="17"/>
  <c r="I670" i="17" s="1"/>
  <c r="P669" i="17"/>
  <c r="I669" i="17"/>
  <c r="F669" i="17"/>
  <c r="P668" i="17"/>
  <c r="F668" i="17"/>
  <c r="I668" i="17" s="1"/>
  <c r="P667" i="17"/>
  <c r="F667" i="17"/>
  <c r="I667" i="17" s="1"/>
  <c r="P666" i="17"/>
  <c r="F666" i="17"/>
  <c r="I666" i="17" s="1"/>
  <c r="P665" i="17"/>
  <c r="I665" i="17"/>
  <c r="F665" i="17"/>
  <c r="P664" i="17"/>
  <c r="F664" i="17"/>
  <c r="I664" i="17" s="1"/>
  <c r="P663" i="17"/>
  <c r="I663" i="17"/>
  <c r="F663" i="17"/>
  <c r="P662" i="17"/>
  <c r="F662" i="17"/>
  <c r="I662" i="17" s="1"/>
  <c r="P661" i="17"/>
  <c r="F661" i="17"/>
  <c r="I661" i="17" s="1"/>
  <c r="P660" i="17"/>
  <c r="F660" i="17"/>
  <c r="I660" i="17" s="1"/>
  <c r="P659" i="17"/>
  <c r="F659" i="17"/>
  <c r="I659" i="17" s="1"/>
  <c r="P658" i="17"/>
  <c r="F658" i="17"/>
  <c r="I658" i="17" s="1"/>
  <c r="P657" i="17"/>
  <c r="F657" i="17"/>
  <c r="I657" i="17" s="1"/>
  <c r="P656" i="17"/>
  <c r="F656" i="17"/>
  <c r="P655" i="17"/>
  <c r="F655" i="17"/>
  <c r="I655" i="17" s="1"/>
  <c r="P654" i="17"/>
  <c r="F654" i="17"/>
  <c r="I654" i="17" s="1"/>
  <c r="P653" i="17"/>
  <c r="F653" i="17"/>
  <c r="I653" i="17" s="1"/>
  <c r="P652" i="17"/>
  <c r="F652" i="17"/>
  <c r="I652" i="17" s="1"/>
  <c r="P651" i="17"/>
  <c r="F651" i="17"/>
  <c r="I651" i="17" s="1"/>
  <c r="P650" i="17"/>
  <c r="I650" i="17"/>
  <c r="F650" i="17"/>
  <c r="H649" i="17"/>
  <c r="E649" i="17"/>
  <c r="E684" i="17" s="1"/>
  <c r="D649" i="17"/>
  <c r="H648" i="17"/>
  <c r="G648" i="17"/>
  <c r="G649" i="17" s="1"/>
  <c r="P647" i="17"/>
  <c r="F647" i="17"/>
  <c r="I647" i="17" s="1"/>
  <c r="P646" i="17"/>
  <c r="I646" i="17"/>
  <c r="F646" i="17"/>
  <c r="P645" i="17"/>
  <c r="F645" i="17"/>
  <c r="I645" i="17" s="1"/>
  <c r="P644" i="17"/>
  <c r="F644" i="17"/>
  <c r="I644" i="17" s="1"/>
  <c r="P643" i="17"/>
  <c r="I643" i="17"/>
  <c r="F643" i="17"/>
  <c r="P642" i="17"/>
  <c r="F642" i="17"/>
  <c r="I642" i="17" s="1"/>
  <c r="P641" i="17"/>
  <c r="P648" i="17" s="1"/>
  <c r="P649" i="17" s="1"/>
  <c r="F641" i="17"/>
  <c r="F648" i="17" s="1"/>
  <c r="E640" i="17"/>
  <c r="H639" i="17"/>
  <c r="G639" i="17"/>
  <c r="D639" i="17"/>
  <c r="D640" i="17" s="1"/>
  <c r="P638" i="17"/>
  <c r="I638" i="17"/>
  <c r="F638" i="17"/>
  <c r="P637" i="17"/>
  <c r="F637" i="17"/>
  <c r="I637" i="17" s="1"/>
  <c r="P636" i="17"/>
  <c r="F636" i="17"/>
  <c r="I636" i="17" s="1"/>
  <c r="P635" i="17"/>
  <c r="F635" i="17"/>
  <c r="I635" i="17" s="1"/>
  <c r="P634" i="17"/>
  <c r="F634" i="17"/>
  <c r="I634" i="17" s="1"/>
  <c r="P633" i="17"/>
  <c r="F633" i="17"/>
  <c r="I633" i="17" s="1"/>
  <c r="P632" i="17"/>
  <c r="I632" i="17"/>
  <c r="F632" i="17"/>
  <c r="H631" i="17"/>
  <c r="H640" i="17" s="1"/>
  <c r="G631" i="17"/>
  <c r="D631" i="17"/>
  <c r="P630" i="17"/>
  <c r="F630" i="17"/>
  <c r="I630" i="17" s="1"/>
  <c r="P629" i="17"/>
  <c r="F629" i="17"/>
  <c r="I629" i="17" s="1"/>
  <c r="P628" i="17"/>
  <c r="F628" i="17"/>
  <c r="I628" i="17" s="1"/>
  <c r="P627" i="17"/>
  <c r="F627" i="17"/>
  <c r="I627" i="17" s="1"/>
  <c r="P626" i="17"/>
  <c r="F626" i="17"/>
  <c r="I626" i="17" s="1"/>
  <c r="J1169" i="13"/>
  <c r="I1169" i="13"/>
  <c r="F1168" i="13"/>
  <c r="F1167" i="13"/>
  <c r="F1165" i="13"/>
  <c r="I1165" i="13" s="1"/>
  <c r="F1164" i="13"/>
  <c r="F1163" i="13"/>
  <c r="I1163" i="13" s="1"/>
  <c r="F1161" i="13"/>
  <c r="I1161" i="13" s="1"/>
  <c r="F1160" i="13"/>
  <c r="I1160" i="13" s="1"/>
  <c r="F1159" i="13"/>
  <c r="I1159" i="13" s="1"/>
  <c r="F1158" i="13"/>
  <c r="F1156" i="13"/>
  <c r="I1156" i="13" s="1"/>
  <c r="F1155" i="13"/>
  <c r="F1153" i="13"/>
  <c r="I1153" i="13" s="1"/>
  <c r="F1152" i="13"/>
  <c r="I1152" i="13" s="1"/>
  <c r="F1151" i="13"/>
  <c r="I1151" i="13" s="1"/>
  <c r="F1150" i="13"/>
  <c r="F1148" i="13"/>
  <c r="I1148" i="13" s="1"/>
  <c r="F1147" i="13"/>
  <c r="I1147" i="13" s="1"/>
  <c r="F1146" i="13"/>
  <c r="F1143" i="13"/>
  <c r="I1143" i="13" s="1"/>
  <c r="F1140" i="13"/>
  <c r="I1140" i="13" s="1"/>
  <c r="F1139" i="13"/>
  <c r="I1139" i="13" s="1"/>
  <c r="F1138" i="13"/>
  <c r="F1136" i="13"/>
  <c r="I1136" i="13" s="1"/>
  <c r="F1135" i="13"/>
  <c r="F1134" i="13"/>
  <c r="I1134" i="13" s="1"/>
  <c r="F1131" i="13"/>
  <c r="I1131" i="13" s="1"/>
  <c r="F1130" i="13"/>
  <c r="I1130" i="13" s="1"/>
  <c r="F1129" i="13"/>
  <c r="I1129" i="13" s="1"/>
  <c r="F1128" i="13"/>
  <c r="I1128" i="13" s="1"/>
  <c r="F1127" i="13"/>
  <c r="F1125" i="13"/>
  <c r="I1125" i="13" s="1"/>
  <c r="F1124" i="13"/>
  <c r="I1124" i="13" s="1"/>
  <c r="F1123" i="13"/>
  <c r="I1123" i="13" s="1"/>
  <c r="F1122" i="13"/>
  <c r="I1122" i="13" s="1"/>
  <c r="F1121" i="13"/>
  <c r="I1121" i="13" s="1"/>
  <c r="F1120" i="13"/>
  <c r="I1120" i="13" s="1"/>
  <c r="F1119" i="13"/>
  <c r="I1119" i="13" s="1"/>
  <c r="F1118" i="13"/>
  <c r="F1117" i="13"/>
  <c r="I1117" i="13" s="1"/>
  <c r="F1113" i="13"/>
  <c r="I1113" i="13" s="1"/>
  <c r="F1112" i="13"/>
  <c r="I1112" i="13" s="1"/>
  <c r="F1111" i="13"/>
  <c r="I1111" i="13" s="1"/>
  <c r="F1110" i="13"/>
  <c r="I1110" i="13" s="1"/>
  <c r="F1109" i="13"/>
  <c r="I1109" i="13" s="1"/>
  <c r="F1108" i="13"/>
  <c r="I1108" i="13" s="1"/>
  <c r="F1107" i="13"/>
  <c r="I1107" i="13" s="1"/>
  <c r="F1106" i="13"/>
  <c r="F1104" i="13"/>
  <c r="I1104" i="13" s="1"/>
  <c r="F1103" i="13"/>
  <c r="I1103" i="13" s="1"/>
  <c r="F1102" i="13"/>
  <c r="I1102" i="13" s="1"/>
  <c r="F1101" i="13"/>
  <c r="F1098" i="13"/>
  <c r="I1098" i="13" s="1"/>
  <c r="F1097" i="13"/>
  <c r="I1097" i="13" s="1"/>
  <c r="F1096" i="13"/>
  <c r="F1094" i="13"/>
  <c r="I1094" i="13" s="1"/>
  <c r="F1093" i="13"/>
  <c r="I1093" i="13" s="1"/>
  <c r="F1092" i="13"/>
  <c r="F1090" i="13"/>
  <c r="I1090" i="13" s="1"/>
  <c r="F1089" i="13"/>
  <c r="I1089" i="13" s="1"/>
  <c r="F1088" i="13"/>
  <c r="I1088" i="13" s="1"/>
  <c r="F1087" i="13"/>
  <c r="I1087" i="13" s="1"/>
  <c r="F1086" i="13"/>
  <c r="I1086" i="13" s="1"/>
  <c r="F1085" i="13"/>
  <c r="I1085" i="13" s="1"/>
  <c r="F1084" i="13"/>
  <c r="F1082" i="13"/>
  <c r="I1082" i="13" s="1"/>
  <c r="F1081" i="13"/>
  <c r="I1081" i="13" s="1"/>
  <c r="F1080" i="13"/>
  <c r="I1080" i="13" s="1"/>
  <c r="F1079" i="13"/>
  <c r="I1079" i="13" s="1"/>
  <c r="F1078" i="13"/>
  <c r="I1078" i="13" s="1"/>
  <c r="F1077" i="13"/>
  <c r="I1077" i="13" s="1"/>
  <c r="F1076" i="13"/>
  <c r="F1074" i="13"/>
  <c r="I1074" i="13" s="1"/>
  <c r="F1073" i="13"/>
  <c r="I1073" i="13" s="1"/>
  <c r="F1072" i="13"/>
  <c r="I1072" i="13" s="1"/>
  <c r="F1071" i="13"/>
  <c r="F1166" i="1"/>
  <c r="F1167" i="1" s="1"/>
  <c r="I1165" i="1"/>
  <c r="H1165" i="1"/>
  <c r="F1169" i="13" s="1"/>
  <c r="G1164" i="1"/>
  <c r="J1164" i="1" s="1"/>
  <c r="G1163" i="1"/>
  <c r="J1163" i="1" s="1"/>
  <c r="I1162" i="1"/>
  <c r="H1162" i="1"/>
  <c r="E1162" i="1"/>
  <c r="G1161" i="1"/>
  <c r="J1161" i="1" s="1"/>
  <c r="G1160" i="1"/>
  <c r="J1160" i="1" s="1"/>
  <c r="G1159" i="1"/>
  <c r="J1159" i="1" s="1"/>
  <c r="I1158" i="1"/>
  <c r="H1158" i="1"/>
  <c r="E1158" i="1"/>
  <c r="G1157" i="1"/>
  <c r="J1157" i="1" s="1"/>
  <c r="G1156" i="1"/>
  <c r="J1156" i="1" s="1"/>
  <c r="G1155" i="1"/>
  <c r="J1155" i="1" s="1"/>
  <c r="G1154" i="1"/>
  <c r="J1154" i="1" s="1"/>
  <c r="G1153" i="1"/>
  <c r="J1153" i="1" s="1"/>
  <c r="I1152" i="1"/>
  <c r="H1152" i="1"/>
  <c r="E1152" i="1"/>
  <c r="G1151" i="1"/>
  <c r="J1151" i="1" s="1"/>
  <c r="G1150" i="1"/>
  <c r="I1149" i="1"/>
  <c r="H1149" i="1"/>
  <c r="E1149" i="1"/>
  <c r="G1148" i="1"/>
  <c r="J1148" i="1" s="1"/>
  <c r="G1147" i="1"/>
  <c r="J1147" i="1" s="1"/>
  <c r="G1146" i="1"/>
  <c r="J1146" i="1" s="1"/>
  <c r="G1145" i="1"/>
  <c r="I1144" i="1"/>
  <c r="H1144" i="1"/>
  <c r="E1144" i="1"/>
  <c r="G1143" i="1"/>
  <c r="J1143" i="1" s="1"/>
  <c r="G1142" i="1"/>
  <c r="J1142" i="1" s="1"/>
  <c r="G1141" i="1"/>
  <c r="F1139" i="1"/>
  <c r="F1140" i="1" s="1"/>
  <c r="G1138" i="1"/>
  <c r="J1138" i="1" s="1"/>
  <c r="I1136" i="1"/>
  <c r="H1136" i="1"/>
  <c r="E1136" i="1"/>
  <c r="E1137" i="1" s="1"/>
  <c r="G1135" i="1"/>
  <c r="J1135" i="1" s="1"/>
  <c r="G1134" i="1"/>
  <c r="J1134" i="1" s="1"/>
  <c r="G1133" i="1"/>
  <c r="J1133" i="1" s="1"/>
  <c r="I1132" i="1"/>
  <c r="H1132" i="1"/>
  <c r="G1131" i="1"/>
  <c r="J1131" i="1" s="1"/>
  <c r="G1130" i="1"/>
  <c r="J1130" i="1" s="1"/>
  <c r="G1129" i="1"/>
  <c r="I1127" i="1"/>
  <c r="H1127" i="1"/>
  <c r="E1127" i="1"/>
  <c r="G1126" i="1"/>
  <c r="J1126" i="1" s="1"/>
  <c r="G1125" i="1"/>
  <c r="J1125" i="1" s="1"/>
  <c r="G1124" i="1"/>
  <c r="J1124" i="1" s="1"/>
  <c r="G1123" i="1"/>
  <c r="J1123" i="1" s="1"/>
  <c r="G1122" i="1"/>
  <c r="I1121" i="1"/>
  <c r="H1121" i="1"/>
  <c r="E1121" i="1"/>
  <c r="G1120" i="1"/>
  <c r="J1120" i="1" s="1"/>
  <c r="G1119" i="1"/>
  <c r="J1119" i="1" s="1"/>
  <c r="G1118" i="1"/>
  <c r="J1118" i="1" s="1"/>
  <c r="G1117" i="1"/>
  <c r="J1117" i="1" s="1"/>
  <c r="G1116" i="1"/>
  <c r="J1116" i="1" s="1"/>
  <c r="G1115" i="1"/>
  <c r="J1115" i="1" s="1"/>
  <c r="G1114" i="1"/>
  <c r="J1114" i="1" s="1"/>
  <c r="G1113" i="1"/>
  <c r="J1113" i="1" s="1"/>
  <c r="G1112" i="1"/>
  <c r="J1112" i="1" s="1"/>
  <c r="F1110" i="1"/>
  <c r="I1109" i="1"/>
  <c r="H1109" i="1"/>
  <c r="G1108" i="1"/>
  <c r="J1108" i="1" s="1"/>
  <c r="G1107" i="1"/>
  <c r="J1107" i="1" s="1"/>
  <c r="G1106" i="1"/>
  <c r="J1106" i="1" s="1"/>
  <c r="G1105" i="1"/>
  <c r="J1105" i="1" s="1"/>
  <c r="G1104" i="1"/>
  <c r="J1104" i="1" s="1"/>
  <c r="G1103" i="1"/>
  <c r="J1103" i="1" s="1"/>
  <c r="G1102" i="1"/>
  <c r="J1102" i="1" s="1"/>
  <c r="G1101" i="1"/>
  <c r="E1101" i="1"/>
  <c r="E1109" i="1" s="1"/>
  <c r="E1110" i="1" s="1"/>
  <c r="C166" i="15" s="1"/>
  <c r="I1100" i="1"/>
  <c r="I1110" i="1" s="1"/>
  <c r="H1100" i="1"/>
  <c r="E1100" i="1"/>
  <c r="G1099" i="1"/>
  <c r="J1099" i="1" s="1"/>
  <c r="G1098" i="1"/>
  <c r="J1098" i="1" s="1"/>
  <c r="G1097" i="1"/>
  <c r="J1097" i="1" s="1"/>
  <c r="G1096" i="1"/>
  <c r="J1096" i="1" s="1"/>
  <c r="I1094" i="1"/>
  <c r="H1094" i="1"/>
  <c r="E1094" i="1"/>
  <c r="G1093" i="1"/>
  <c r="J1093" i="1" s="1"/>
  <c r="G1092" i="1"/>
  <c r="J1092" i="1" s="1"/>
  <c r="G1091" i="1"/>
  <c r="I1090" i="1"/>
  <c r="H1090" i="1"/>
  <c r="F1090" i="1"/>
  <c r="F1095" i="1" s="1"/>
  <c r="E1090" i="1"/>
  <c r="G1089" i="1"/>
  <c r="G1088" i="1"/>
  <c r="J1088" i="1" s="1"/>
  <c r="G1087" i="1"/>
  <c r="G1090" i="1" s="1"/>
  <c r="J1090" i="1" s="1"/>
  <c r="I1086" i="1"/>
  <c r="H1086" i="1"/>
  <c r="E1086" i="1"/>
  <c r="G1085" i="1"/>
  <c r="J1085" i="1" s="1"/>
  <c r="G1084" i="1"/>
  <c r="J1084" i="1" s="1"/>
  <c r="G1083" i="1"/>
  <c r="J1083" i="1" s="1"/>
  <c r="G1082" i="1"/>
  <c r="J1082" i="1" s="1"/>
  <c r="G1081" i="1"/>
  <c r="J1081" i="1" s="1"/>
  <c r="G1080" i="1"/>
  <c r="J1080" i="1" s="1"/>
  <c r="G1079" i="1"/>
  <c r="I1078" i="1"/>
  <c r="H1078" i="1"/>
  <c r="E1078" i="1"/>
  <c r="G1077" i="1"/>
  <c r="J1077" i="1" s="1"/>
  <c r="G1076" i="1"/>
  <c r="J1076" i="1" s="1"/>
  <c r="G1075" i="1"/>
  <c r="J1075" i="1" s="1"/>
  <c r="G1074" i="1"/>
  <c r="J1074" i="1" s="1"/>
  <c r="G1073" i="1"/>
  <c r="J1073" i="1" s="1"/>
  <c r="G1072" i="1"/>
  <c r="J1072" i="1" s="1"/>
  <c r="G1071" i="1"/>
  <c r="I1070" i="1"/>
  <c r="I1095" i="1" s="1"/>
  <c r="H1070" i="1"/>
  <c r="E1070" i="1"/>
  <c r="G1069" i="1"/>
  <c r="J1069" i="1" s="1"/>
  <c r="G1068" i="1"/>
  <c r="J1068" i="1" s="1"/>
  <c r="G1067" i="1"/>
  <c r="J1067" i="1" s="1"/>
  <c r="G1066" i="1"/>
  <c r="F1111" i="1" l="1"/>
  <c r="F1168" i="1" s="1"/>
  <c r="E1095" i="1"/>
  <c r="H1166" i="1"/>
  <c r="H1167" i="1" s="1"/>
  <c r="C190" i="15"/>
  <c r="I1137" i="1"/>
  <c r="I641" i="17"/>
  <c r="H1137" i="1"/>
  <c r="E1166" i="1"/>
  <c r="E1167" i="1" s="1"/>
  <c r="C172" i="15" s="1"/>
  <c r="C174" i="15" s="1"/>
  <c r="G2306" i="13"/>
  <c r="J2306" i="13" s="1"/>
  <c r="K2300" i="1"/>
  <c r="O2300" i="1" s="1"/>
  <c r="E1111" i="1"/>
  <c r="G640" i="17"/>
  <c r="C165" i="15"/>
  <c r="S224" i="14"/>
  <c r="T224" i="14" s="1"/>
  <c r="E1128" i="1"/>
  <c r="E1139" i="1" s="1"/>
  <c r="E1140" i="1" s="1"/>
  <c r="H906" i="16"/>
  <c r="G1094" i="1"/>
  <c r="J1094" i="1" s="1"/>
  <c r="F1278" i="13"/>
  <c r="G1070" i="1"/>
  <c r="G1078" i="1"/>
  <c r="J1078" i="1" s="1"/>
  <c r="J1087" i="1"/>
  <c r="G1127" i="1"/>
  <c r="J1127" i="1" s="1"/>
  <c r="G1132" i="1"/>
  <c r="J1132" i="1" s="1"/>
  <c r="G1144" i="1"/>
  <c r="J1144" i="1" s="1"/>
  <c r="C168" i="15"/>
  <c r="H864" i="16"/>
  <c r="H882" i="16"/>
  <c r="F1075" i="13"/>
  <c r="F1091" i="13"/>
  <c r="F1099" i="13"/>
  <c r="F1132" i="13"/>
  <c r="F1141" i="13"/>
  <c r="F1157" i="13"/>
  <c r="F1162" i="13"/>
  <c r="F1095" i="13"/>
  <c r="F1105" i="13"/>
  <c r="F1149" i="13"/>
  <c r="F1126" i="13"/>
  <c r="J1071" i="1"/>
  <c r="G1086" i="1"/>
  <c r="J1086" i="1" s="1"/>
  <c r="J1122" i="1"/>
  <c r="J1141" i="1"/>
  <c r="F1114" i="13"/>
  <c r="F1137" i="13"/>
  <c r="F1142" i="13" s="1"/>
  <c r="F1154" i="13"/>
  <c r="F1166" i="13"/>
  <c r="G1380" i="1"/>
  <c r="J1380" i="1" s="1"/>
  <c r="J1323" i="1"/>
  <c r="S218" i="14"/>
  <c r="T218" i="14" s="1"/>
  <c r="I1250" i="13"/>
  <c r="I1251" i="13" s="1"/>
  <c r="I1278" i="13" s="1"/>
  <c r="S212" i="14"/>
  <c r="T212" i="14" s="1"/>
  <c r="R217" i="14"/>
  <c r="P217" i="14"/>
  <c r="Q217" i="14"/>
  <c r="S217" i="14" s="1"/>
  <c r="S211" i="14"/>
  <c r="T211" i="14" s="1"/>
  <c r="S216" i="14"/>
  <c r="T216" i="14" s="1"/>
  <c r="S210" i="14"/>
  <c r="T210" i="14" s="1"/>
  <c r="S214" i="14"/>
  <c r="T214" i="14" s="1"/>
  <c r="S213" i="14"/>
  <c r="T213" i="14" s="1"/>
  <c r="F746" i="17"/>
  <c r="I746" i="17" s="1"/>
  <c r="I745" i="17"/>
  <c r="J1184" i="1"/>
  <c r="G1201" i="1"/>
  <c r="J1216" i="1"/>
  <c r="J1215" i="1"/>
  <c r="G1245" i="1"/>
  <c r="J1234" i="1"/>
  <c r="G1273" i="1"/>
  <c r="J1272" i="1"/>
  <c r="J1273" i="1" s="1"/>
  <c r="M227" i="14"/>
  <c r="O227" i="14"/>
  <c r="N227" i="14" s="1"/>
  <c r="R227" i="14" s="1"/>
  <c r="F1083" i="13"/>
  <c r="M231" i="14"/>
  <c r="O231" i="14"/>
  <c r="N231" i="14" s="1"/>
  <c r="R231" i="14" s="1"/>
  <c r="M235" i="14"/>
  <c r="O235" i="14"/>
  <c r="N235" i="14" s="1"/>
  <c r="R235" i="14" s="1"/>
  <c r="M229" i="14"/>
  <c r="O229" i="14"/>
  <c r="N229" i="14" s="1"/>
  <c r="R229" i="14" s="1"/>
  <c r="M233" i="14"/>
  <c r="O233" i="14"/>
  <c r="N233" i="14" s="1"/>
  <c r="R233" i="14" s="1"/>
  <c r="M237" i="14"/>
  <c r="O237" i="14"/>
  <c r="N237" i="14" s="1"/>
  <c r="R237" i="14" s="1"/>
  <c r="O228" i="14"/>
  <c r="N228" i="14" s="1"/>
  <c r="R228" i="14" s="1"/>
  <c r="O230" i="14"/>
  <c r="N230" i="14" s="1"/>
  <c r="R230" i="14" s="1"/>
  <c r="O232" i="14"/>
  <c r="N232" i="14" s="1"/>
  <c r="O234" i="14"/>
  <c r="N234" i="14" s="1"/>
  <c r="R234" i="14" s="1"/>
  <c r="O236" i="14"/>
  <c r="N236" i="14" s="1"/>
  <c r="R236" i="14" s="1"/>
  <c r="N238" i="14"/>
  <c r="R238" i="14" s="1"/>
  <c r="N239" i="14"/>
  <c r="P239" i="14" s="1"/>
  <c r="N240" i="14"/>
  <c r="R240" i="14" s="1"/>
  <c r="N241" i="14"/>
  <c r="P241" i="14" s="1"/>
  <c r="N242" i="14"/>
  <c r="R242" i="14" s="1"/>
  <c r="P230" i="14"/>
  <c r="R232" i="14"/>
  <c r="P232" i="14"/>
  <c r="R239" i="14"/>
  <c r="Q241" i="14"/>
  <c r="Q232" i="14"/>
  <c r="Q237" i="14"/>
  <c r="M238" i="14"/>
  <c r="M239" i="14"/>
  <c r="M240" i="14"/>
  <c r="M241" i="14"/>
  <c r="M242" i="14"/>
  <c r="E884" i="16"/>
  <c r="E933" i="16" s="1"/>
  <c r="H876" i="16"/>
  <c r="H911" i="16"/>
  <c r="H930" i="16" s="1"/>
  <c r="P682" i="17"/>
  <c r="P683" i="17" s="1"/>
  <c r="P639" i="17"/>
  <c r="F631" i="17"/>
  <c r="F649" i="17"/>
  <c r="I649" i="17" s="1"/>
  <c r="I648" i="17"/>
  <c r="G684" i="17"/>
  <c r="P631" i="17"/>
  <c r="F639" i="17"/>
  <c r="I639" i="17" s="1"/>
  <c r="D684" i="17"/>
  <c r="F682" i="17"/>
  <c r="H684" i="17"/>
  <c r="I1118" i="13"/>
  <c r="I1126" i="13" s="1"/>
  <c r="I1127" i="13"/>
  <c r="I1132" i="13" s="1"/>
  <c r="I1135" i="13"/>
  <c r="I1137" i="13" s="1"/>
  <c r="I1138" i="13"/>
  <c r="I1141" i="13" s="1"/>
  <c r="I1146" i="13"/>
  <c r="I1149" i="13" s="1"/>
  <c r="I1164" i="13"/>
  <c r="I1166" i="13" s="1"/>
  <c r="I1071" i="13"/>
  <c r="I1075" i="13" s="1"/>
  <c r="I1076" i="13"/>
  <c r="I1083" i="13" s="1"/>
  <c r="I1084" i="13"/>
  <c r="I1091" i="13" s="1"/>
  <c r="I1092" i="13"/>
  <c r="I1095" i="13" s="1"/>
  <c r="I1096" i="13"/>
  <c r="I1099" i="13" s="1"/>
  <c r="I1101" i="13"/>
  <c r="I1105" i="13" s="1"/>
  <c r="I1106" i="13"/>
  <c r="I1114" i="13" s="1"/>
  <c r="I1150" i="13"/>
  <c r="I1154" i="13" s="1"/>
  <c r="I1155" i="13"/>
  <c r="I1157" i="13" s="1"/>
  <c r="I1158" i="13"/>
  <c r="I1162" i="13" s="1"/>
  <c r="I1166" i="1"/>
  <c r="I1167" i="1" s="1"/>
  <c r="I1128" i="1"/>
  <c r="I1139" i="1" s="1"/>
  <c r="I1140" i="1" s="1"/>
  <c r="H1128" i="1"/>
  <c r="I1111" i="1"/>
  <c r="J1070" i="1"/>
  <c r="H1095" i="1"/>
  <c r="J1079" i="1"/>
  <c r="J1091" i="1"/>
  <c r="H1110" i="1"/>
  <c r="G1109" i="1"/>
  <c r="J1101" i="1"/>
  <c r="G1100" i="1"/>
  <c r="G1121" i="1"/>
  <c r="G1136" i="1"/>
  <c r="J1136" i="1" s="1"/>
  <c r="G1165" i="1"/>
  <c r="J1165" i="1" s="1"/>
  <c r="J1129" i="1"/>
  <c r="G1149" i="1"/>
  <c r="J1149" i="1" s="1"/>
  <c r="J1145" i="1"/>
  <c r="G1152" i="1"/>
  <c r="J1152" i="1" s="1"/>
  <c r="J1150" i="1"/>
  <c r="G1158" i="1"/>
  <c r="J1158" i="1" s="1"/>
  <c r="G1162" i="1"/>
  <c r="J1162" i="1" s="1"/>
  <c r="H1139" i="1" l="1"/>
  <c r="H1140" i="1" s="1"/>
  <c r="P237" i="14"/>
  <c r="P228" i="14"/>
  <c r="E1168" i="1"/>
  <c r="C169" i="15"/>
  <c r="C171" i="15" s="1"/>
  <c r="C175" i="15" s="1"/>
  <c r="Q231" i="14"/>
  <c r="G1137" i="1"/>
  <c r="J1137" i="1" s="1"/>
  <c r="G1095" i="1"/>
  <c r="J1095" i="1" s="1"/>
  <c r="F1115" i="13"/>
  <c r="H884" i="16"/>
  <c r="F1100" i="13"/>
  <c r="F1133" i="13"/>
  <c r="F1144" i="13" s="1"/>
  <c r="F1145" i="13" s="1"/>
  <c r="F1170" i="13"/>
  <c r="F1171" i="13" s="1"/>
  <c r="T217" i="14"/>
  <c r="G1217" i="1"/>
  <c r="J1201" i="1"/>
  <c r="G1246" i="1"/>
  <c r="J1245" i="1"/>
  <c r="J1246" i="1" s="1"/>
  <c r="Q233" i="14"/>
  <c r="S233" i="14" s="1"/>
  <c r="P233" i="14"/>
  <c r="P227" i="14"/>
  <c r="P235" i="14"/>
  <c r="Q228" i="14"/>
  <c r="S228" i="14" s="1"/>
  <c r="T228" i="14" s="1"/>
  <c r="Q227" i="14"/>
  <c r="S227" i="14" s="1"/>
  <c r="I1115" i="13"/>
  <c r="P236" i="14"/>
  <c r="Q236" i="14"/>
  <c r="S236" i="14" s="1"/>
  <c r="T236" i="14" s="1"/>
  <c r="I1133" i="13"/>
  <c r="R241" i="14"/>
  <c r="S241" i="14" s="1"/>
  <c r="T241" i="14" s="1"/>
  <c r="Q239" i="14"/>
  <c r="S239" i="14" s="1"/>
  <c r="T239" i="14" s="1"/>
  <c r="P242" i="14"/>
  <c r="P240" i="14"/>
  <c r="P238" i="14"/>
  <c r="Q235" i="14"/>
  <c r="S232" i="14"/>
  <c r="T232" i="14" s="1"/>
  <c r="Q229" i="14"/>
  <c r="P234" i="14"/>
  <c r="P231" i="14"/>
  <c r="P229" i="14"/>
  <c r="Q234" i="14"/>
  <c r="S234" i="14" s="1"/>
  <c r="T234" i="14" s="1"/>
  <c r="Q230" i="14"/>
  <c r="S230" i="14" s="1"/>
  <c r="T230" i="14" s="1"/>
  <c r="Q242" i="14"/>
  <c r="S242" i="14" s="1"/>
  <c r="Q240" i="14"/>
  <c r="S240" i="14" s="1"/>
  <c r="Q238" i="14"/>
  <c r="S238" i="14" s="1"/>
  <c r="T238" i="14" s="1"/>
  <c r="S237" i="14"/>
  <c r="T237" i="14" s="1"/>
  <c r="S235" i="14"/>
  <c r="S231" i="14"/>
  <c r="T231" i="14" s="1"/>
  <c r="S229" i="14"/>
  <c r="P640" i="17"/>
  <c r="P684" i="17" s="1"/>
  <c r="I631" i="17"/>
  <c r="F640" i="17"/>
  <c r="I640" i="17" s="1"/>
  <c r="F683" i="17"/>
  <c r="I682" i="17"/>
  <c r="I1142" i="13"/>
  <c r="I1100" i="13"/>
  <c r="I1170" i="13"/>
  <c r="I1171" i="13" s="1"/>
  <c r="I1168" i="1"/>
  <c r="G1128" i="1"/>
  <c r="J1121" i="1"/>
  <c r="G1166" i="1"/>
  <c r="J1100" i="1"/>
  <c r="G1110" i="1"/>
  <c r="G1111" i="1" s="1"/>
  <c r="H1111" i="1"/>
  <c r="H1168" i="1" s="1"/>
  <c r="H825" i="16"/>
  <c r="E837" i="16"/>
  <c r="E823" i="16"/>
  <c r="H805" i="16"/>
  <c r="L260" i="14"/>
  <c r="K260" i="14" s="1"/>
  <c r="O260" i="14" s="1"/>
  <c r="G260" i="14"/>
  <c r="C260" i="14"/>
  <c r="L259" i="14"/>
  <c r="K259" i="14" s="1"/>
  <c r="O259" i="14" s="1"/>
  <c r="G259" i="14"/>
  <c r="C259" i="14"/>
  <c r="L258" i="14"/>
  <c r="K258" i="14" s="1"/>
  <c r="O258" i="14" s="1"/>
  <c r="G258" i="14"/>
  <c r="C258" i="14"/>
  <c r="L257" i="14"/>
  <c r="K257" i="14" s="1"/>
  <c r="O257" i="14" s="1"/>
  <c r="G257" i="14"/>
  <c r="C257" i="14"/>
  <c r="L256" i="14"/>
  <c r="K256" i="14" s="1"/>
  <c r="O256" i="14" s="1"/>
  <c r="G256" i="14"/>
  <c r="C256" i="14"/>
  <c r="L255" i="14"/>
  <c r="K255" i="14" s="1"/>
  <c r="G255" i="14"/>
  <c r="C255" i="14"/>
  <c r="L254" i="14"/>
  <c r="K254" i="14" s="1"/>
  <c r="M254" i="14" s="1"/>
  <c r="G254" i="14"/>
  <c r="C254" i="14"/>
  <c r="L253" i="14"/>
  <c r="K253" i="14" s="1"/>
  <c r="M253" i="14" s="1"/>
  <c r="G253" i="14"/>
  <c r="C253" i="14"/>
  <c r="L252" i="14"/>
  <c r="K252" i="14"/>
  <c r="M252" i="14" s="1"/>
  <c r="G252" i="14"/>
  <c r="C252" i="14"/>
  <c r="L251" i="14"/>
  <c r="K251" i="14" s="1"/>
  <c r="M251" i="14" s="1"/>
  <c r="G251" i="14"/>
  <c r="C251" i="14"/>
  <c r="O250" i="14"/>
  <c r="L250" i="14"/>
  <c r="K250" i="14"/>
  <c r="M250" i="14" s="1"/>
  <c r="G250" i="14"/>
  <c r="C250" i="14"/>
  <c r="L249" i="14"/>
  <c r="K249" i="14" s="1"/>
  <c r="G249" i="14"/>
  <c r="C249" i="14"/>
  <c r="L248" i="14"/>
  <c r="K248" i="14" s="1"/>
  <c r="M248" i="14" s="1"/>
  <c r="G248" i="14"/>
  <c r="C248" i="14"/>
  <c r="L247" i="14"/>
  <c r="K247" i="14"/>
  <c r="G247" i="14"/>
  <c r="C247" i="14"/>
  <c r="L246" i="14"/>
  <c r="K246" i="14" s="1"/>
  <c r="G246" i="14"/>
  <c r="C246" i="14"/>
  <c r="L245" i="14"/>
  <c r="K245" i="14"/>
  <c r="G245" i="14"/>
  <c r="C245" i="14"/>
  <c r="E158" i="15"/>
  <c r="E155" i="15"/>
  <c r="E152" i="15"/>
  <c r="H843" i="16"/>
  <c r="H841" i="16"/>
  <c r="H840" i="16"/>
  <c r="H839" i="16"/>
  <c r="H838" i="16"/>
  <c r="H837" i="16"/>
  <c r="H836" i="16"/>
  <c r="H835" i="16"/>
  <c r="E842" i="16"/>
  <c r="H833" i="16"/>
  <c r="H832" i="16"/>
  <c r="H831" i="16"/>
  <c r="H830" i="16"/>
  <c r="H829" i="16"/>
  <c r="H828" i="16"/>
  <c r="H827" i="16"/>
  <c r="H826" i="16"/>
  <c r="H824" i="16"/>
  <c r="H823" i="16"/>
  <c r="H822" i="16"/>
  <c r="H821" i="16"/>
  <c r="H820" i="16"/>
  <c r="H819" i="16"/>
  <c r="E818" i="16"/>
  <c r="H817" i="16"/>
  <c r="H816" i="16"/>
  <c r="H815" i="16"/>
  <c r="H814" i="16"/>
  <c r="H813" i="16"/>
  <c r="H812" i="16"/>
  <c r="H811" i="16"/>
  <c r="H810" i="16"/>
  <c r="H809" i="16"/>
  <c r="H808" i="16"/>
  <c r="H807" i="16"/>
  <c r="H806" i="16"/>
  <c r="H804" i="16"/>
  <c r="H803" i="16"/>
  <c r="H802" i="16"/>
  <c r="H801" i="16"/>
  <c r="H800" i="16"/>
  <c r="H799" i="16"/>
  <c r="H798" i="16"/>
  <c r="H797" i="16"/>
  <c r="I795" i="16"/>
  <c r="E794" i="16"/>
  <c r="H793" i="16"/>
  <c r="H792" i="16"/>
  <c r="H791" i="16"/>
  <c r="H790" i="16"/>
  <c r="H789" i="16"/>
  <c r="H787" i="16"/>
  <c r="H786" i="16"/>
  <c r="H785" i="16"/>
  <c r="H784" i="16"/>
  <c r="H783" i="16"/>
  <c r="H782" i="16"/>
  <c r="H781" i="16"/>
  <c r="H780" i="16"/>
  <c r="H779" i="16"/>
  <c r="H778" i="16"/>
  <c r="H777" i="16"/>
  <c r="E776" i="16"/>
  <c r="H775" i="16"/>
  <c r="H774" i="16"/>
  <c r="H773" i="16"/>
  <c r="H772" i="16"/>
  <c r="H771" i="16"/>
  <c r="H770" i="16"/>
  <c r="H769" i="16"/>
  <c r="H768" i="16"/>
  <c r="H767" i="16"/>
  <c r="H766" i="16"/>
  <c r="H765" i="16"/>
  <c r="H764" i="16"/>
  <c r="H763" i="16"/>
  <c r="H762" i="16"/>
  <c r="H621" i="17"/>
  <c r="E621" i="17"/>
  <c r="H620" i="17"/>
  <c r="G620" i="17"/>
  <c r="G621" i="17" s="1"/>
  <c r="D620" i="17"/>
  <c r="D621" i="17" s="1"/>
  <c r="P619" i="17"/>
  <c r="F619" i="17"/>
  <c r="I619" i="17" s="1"/>
  <c r="P618" i="17"/>
  <c r="F618" i="17"/>
  <c r="I618" i="17" s="1"/>
  <c r="P617" i="17"/>
  <c r="F617" i="17"/>
  <c r="I617" i="17" s="1"/>
  <c r="P616" i="17"/>
  <c r="F616" i="17"/>
  <c r="I616" i="17" s="1"/>
  <c r="P615" i="17"/>
  <c r="I615" i="17"/>
  <c r="F615" i="17"/>
  <c r="P614" i="17"/>
  <c r="F614" i="17"/>
  <c r="I614" i="17" s="1"/>
  <c r="P613" i="17"/>
  <c r="F613" i="17"/>
  <c r="I613" i="17" s="1"/>
  <c r="P612" i="17"/>
  <c r="F612" i="17"/>
  <c r="I612" i="17" s="1"/>
  <c r="P611" i="17"/>
  <c r="F611" i="17"/>
  <c r="I611" i="17" s="1"/>
  <c r="P610" i="17"/>
  <c r="F610" i="17"/>
  <c r="I610" i="17" s="1"/>
  <c r="P609" i="17"/>
  <c r="F609" i="17"/>
  <c r="I609" i="17" s="1"/>
  <c r="P608" i="17"/>
  <c r="F608" i="17"/>
  <c r="I608" i="17" s="1"/>
  <c r="P607" i="17"/>
  <c r="F607" i="17"/>
  <c r="I607" i="17" s="1"/>
  <c r="P606" i="17"/>
  <c r="F606" i="17"/>
  <c r="I606" i="17" s="1"/>
  <c r="P605" i="17"/>
  <c r="F605" i="17"/>
  <c r="I605" i="17" s="1"/>
  <c r="P604" i="17"/>
  <c r="F604" i="17"/>
  <c r="I604" i="17" s="1"/>
  <c r="P603" i="17"/>
  <c r="F603" i="17"/>
  <c r="I603" i="17" s="1"/>
  <c r="P602" i="17"/>
  <c r="F602" i="17"/>
  <c r="I602" i="17" s="1"/>
  <c r="P601" i="17"/>
  <c r="F601" i="17"/>
  <c r="I601" i="17" s="1"/>
  <c r="P600" i="17"/>
  <c r="F600" i="17"/>
  <c r="I600" i="17" s="1"/>
  <c r="P599" i="17"/>
  <c r="F599" i="17"/>
  <c r="I599" i="17" s="1"/>
  <c r="P598" i="17"/>
  <c r="F598" i="17"/>
  <c r="I598" i="17" s="1"/>
  <c r="P597" i="17"/>
  <c r="F597" i="17"/>
  <c r="I597" i="17" s="1"/>
  <c r="P596" i="17"/>
  <c r="F596" i="17"/>
  <c r="I596" i="17" s="1"/>
  <c r="P595" i="17"/>
  <c r="F595" i="17"/>
  <c r="I595" i="17" s="1"/>
  <c r="P594" i="17"/>
  <c r="F594" i="17"/>
  <c r="P593" i="17"/>
  <c r="F593" i="17"/>
  <c r="I593" i="17" s="1"/>
  <c r="P592" i="17"/>
  <c r="F592" i="17"/>
  <c r="I592" i="17" s="1"/>
  <c r="P591" i="17"/>
  <c r="F591" i="17"/>
  <c r="I591" i="17" s="1"/>
  <c r="P590" i="17"/>
  <c r="F590" i="17"/>
  <c r="I590" i="17" s="1"/>
  <c r="P589" i="17"/>
  <c r="F589" i="17"/>
  <c r="I589" i="17" s="1"/>
  <c r="P588" i="17"/>
  <c r="F588" i="17"/>
  <c r="I588" i="17" s="1"/>
  <c r="E587" i="17"/>
  <c r="E622" i="17" s="1"/>
  <c r="D587" i="17"/>
  <c r="H586" i="17"/>
  <c r="H587" i="17" s="1"/>
  <c r="G586" i="17"/>
  <c r="G587" i="17" s="1"/>
  <c r="P585" i="17"/>
  <c r="F585" i="17"/>
  <c r="I585" i="17" s="1"/>
  <c r="P584" i="17"/>
  <c r="I584" i="17"/>
  <c r="F584" i="17"/>
  <c r="P583" i="17"/>
  <c r="F583" i="17"/>
  <c r="I583" i="17" s="1"/>
  <c r="P582" i="17"/>
  <c r="F582" i="17"/>
  <c r="I582" i="17" s="1"/>
  <c r="P581" i="17"/>
  <c r="F581" i="17"/>
  <c r="I581" i="17" s="1"/>
  <c r="P580" i="17"/>
  <c r="F580" i="17"/>
  <c r="I580" i="17" s="1"/>
  <c r="P579" i="17"/>
  <c r="I579" i="17"/>
  <c r="F579" i="17"/>
  <c r="E578" i="17"/>
  <c r="H577" i="17"/>
  <c r="G577" i="17"/>
  <c r="D577" i="17"/>
  <c r="P576" i="17"/>
  <c r="F576" i="17"/>
  <c r="I576" i="17" s="1"/>
  <c r="P575" i="17"/>
  <c r="F575" i="17"/>
  <c r="I575" i="17" s="1"/>
  <c r="P574" i="17"/>
  <c r="F574" i="17"/>
  <c r="I574" i="17" s="1"/>
  <c r="P573" i="17"/>
  <c r="F573" i="17"/>
  <c r="I573" i="17" s="1"/>
  <c r="P572" i="17"/>
  <c r="F572" i="17"/>
  <c r="I572" i="17" s="1"/>
  <c r="P571" i="17"/>
  <c r="F571" i="17"/>
  <c r="I571" i="17" s="1"/>
  <c r="P570" i="17"/>
  <c r="F570" i="17"/>
  <c r="I570" i="17" s="1"/>
  <c r="H569" i="17"/>
  <c r="H578" i="17" s="1"/>
  <c r="G569" i="17"/>
  <c r="D569" i="17"/>
  <c r="P568" i="17"/>
  <c r="F568" i="17"/>
  <c r="I568" i="17" s="1"/>
  <c r="P567" i="17"/>
  <c r="I567" i="17"/>
  <c r="F567" i="17"/>
  <c r="P566" i="17"/>
  <c r="F566" i="17"/>
  <c r="I566" i="17" s="1"/>
  <c r="P565" i="17"/>
  <c r="F565" i="17"/>
  <c r="I565" i="17" s="1"/>
  <c r="P564" i="17"/>
  <c r="F564" i="17"/>
  <c r="I564" i="17" s="1"/>
  <c r="F502" i="17"/>
  <c r="I502" i="17" s="1"/>
  <c r="P502" i="17"/>
  <c r="F503" i="17"/>
  <c r="P503" i="17"/>
  <c r="F504" i="17"/>
  <c r="I504" i="17"/>
  <c r="P504" i="17"/>
  <c r="F505" i="17"/>
  <c r="I505" i="17" s="1"/>
  <c r="P505" i="17"/>
  <c r="F506" i="17"/>
  <c r="I506" i="17" s="1"/>
  <c r="P506" i="17"/>
  <c r="D507" i="17"/>
  <c r="G507" i="17"/>
  <c r="H507" i="17"/>
  <c r="F508" i="17"/>
  <c r="I508" i="17" s="1"/>
  <c r="P508" i="17"/>
  <c r="F509" i="17"/>
  <c r="I509" i="17" s="1"/>
  <c r="P509" i="17"/>
  <c r="F510" i="17"/>
  <c r="I510" i="17" s="1"/>
  <c r="P510" i="17"/>
  <c r="F511" i="17"/>
  <c r="I511" i="17"/>
  <c r="P511" i="17"/>
  <c r="F512" i="17"/>
  <c r="I512" i="17" s="1"/>
  <c r="P512" i="17"/>
  <c r="F513" i="17"/>
  <c r="I513" i="17"/>
  <c r="P513" i="17"/>
  <c r="F514" i="17"/>
  <c r="I514" i="17" s="1"/>
  <c r="P514" i="17"/>
  <c r="D515" i="17"/>
  <c r="G515" i="17"/>
  <c r="H515" i="17"/>
  <c r="E516" i="17"/>
  <c r="F517" i="17"/>
  <c r="I517" i="17" s="1"/>
  <c r="P517" i="17"/>
  <c r="F518" i="17"/>
  <c r="I518" i="17" s="1"/>
  <c r="P518" i="17"/>
  <c r="F519" i="17"/>
  <c r="I519" i="17" s="1"/>
  <c r="P519" i="17"/>
  <c r="F520" i="17"/>
  <c r="I520" i="17"/>
  <c r="P520" i="17"/>
  <c r="F521" i="17"/>
  <c r="P521" i="17"/>
  <c r="F522" i="17"/>
  <c r="I522" i="17" s="1"/>
  <c r="P522" i="17"/>
  <c r="F523" i="17"/>
  <c r="I523" i="17"/>
  <c r="P523" i="17"/>
  <c r="G524" i="17"/>
  <c r="H524" i="17"/>
  <c r="H525" i="17" s="1"/>
  <c r="D525" i="17"/>
  <c r="E525" i="17"/>
  <c r="G525" i="17"/>
  <c r="F526" i="17"/>
  <c r="I526" i="17" s="1"/>
  <c r="P526" i="17"/>
  <c r="F527" i="17"/>
  <c r="I527" i="17" s="1"/>
  <c r="P527" i="17"/>
  <c r="F528" i="17"/>
  <c r="I528" i="17" s="1"/>
  <c r="P528" i="17"/>
  <c r="F529" i="17"/>
  <c r="I529" i="17"/>
  <c r="P529" i="17"/>
  <c r="F530" i="17"/>
  <c r="I530" i="17" s="1"/>
  <c r="P530" i="17"/>
  <c r="F531" i="17"/>
  <c r="I531" i="17" s="1"/>
  <c r="P531" i="17"/>
  <c r="F532" i="17"/>
  <c r="P532" i="17"/>
  <c r="F533" i="17"/>
  <c r="I533" i="17" s="1"/>
  <c r="P533" i="17"/>
  <c r="F534" i="17"/>
  <c r="I534" i="17" s="1"/>
  <c r="P534" i="17"/>
  <c r="F535" i="17"/>
  <c r="I535" i="17" s="1"/>
  <c r="P535" i="17"/>
  <c r="F536" i="17"/>
  <c r="I536" i="17"/>
  <c r="P536" i="17"/>
  <c r="F537" i="17"/>
  <c r="I537" i="17" s="1"/>
  <c r="P537" i="17"/>
  <c r="F538" i="17"/>
  <c r="I538" i="17" s="1"/>
  <c r="P538" i="17"/>
  <c r="F539" i="17"/>
  <c r="I539" i="17" s="1"/>
  <c r="P539" i="17"/>
  <c r="F540" i="17"/>
  <c r="I540" i="17"/>
  <c r="P540" i="17"/>
  <c r="F541" i="17"/>
  <c r="I541" i="17" s="1"/>
  <c r="P541" i="17"/>
  <c r="F542" i="17"/>
  <c r="I542" i="17" s="1"/>
  <c r="P542" i="17"/>
  <c r="F543" i="17"/>
  <c r="I543" i="17" s="1"/>
  <c r="P543" i="17"/>
  <c r="F544" i="17"/>
  <c r="I544" i="17"/>
  <c r="P544" i="17"/>
  <c r="F545" i="17"/>
  <c r="I545" i="17" s="1"/>
  <c r="P545" i="17"/>
  <c r="F546" i="17"/>
  <c r="I546" i="17" s="1"/>
  <c r="P546" i="17"/>
  <c r="F547" i="17"/>
  <c r="I547" i="17" s="1"/>
  <c r="P547" i="17"/>
  <c r="F548" i="17"/>
  <c r="I548" i="17"/>
  <c r="P548" i="17"/>
  <c r="F549" i="17"/>
  <c r="I549" i="17" s="1"/>
  <c r="P549" i="17"/>
  <c r="F550" i="17"/>
  <c r="I550" i="17" s="1"/>
  <c r="P550" i="17"/>
  <c r="F551" i="17"/>
  <c r="I551" i="17" s="1"/>
  <c r="P551" i="17"/>
  <c r="F552" i="17"/>
  <c r="I552" i="17"/>
  <c r="P552" i="17"/>
  <c r="F553" i="17"/>
  <c r="I553" i="17" s="1"/>
  <c r="P553" i="17"/>
  <c r="F554" i="17"/>
  <c r="I554" i="17" s="1"/>
  <c r="P554" i="17"/>
  <c r="F555" i="17"/>
  <c r="I555" i="17" s="1"/>
  <c r="P555" i="17"/>
  <c r="F556" i="17"/>
  <c r="I556" i="17"/>
  <c r="P556" i="17"/>
  <c r="F557" i="17"/>
  <c r="I557" i="17" s="1"/>
  <c r="P557" i="17"/>
  <c r="D558" i="17"/>
  <c r="D559" i="17" s="1"/>
  <c r="G558" i="17"/>
  <c r="H558" i="17"/>
  <c r="H559" i="17" s="1"/>
  <c r="E559" i="17"/>
  <c r="E560" i="17" s="1"/>
  <c r="G559" i="17"/>
  <c r="J1063" i="13"/>
  <c r="I1063" i="13"/>
  <c r="F1062" i="13"/>
  <c r="F1061" i="13"/>
  <c r="F1059" i="13"/>
  <c r="I1059" i="13" s="1"/>
  <c r="F1058" i="13"/>
  <c r="F1057" i="13"/>
  <c r="I1057" i="13" s="1"/>
  <c r="F1055" i="13"/>
  <c r="I1055" i="13" s="1"/>
  <c r="F1054" i="13"/>
  <c r="I1054" i="13" s="1"/>
  <c r="F1053" i="13"/>
  <c r="I1053" i="13" s="1"/>
  <c r="F1052" i="13"/>
  <c r="F1050" i="13"/>
  <c r="I1050" i="13" s="1"/>
  <c r="F1049" i="13"/>
  <c r="F1047" i="13"/>
  <c r="I1047" i="13" s="1"/>
  <c r="F1046" i="13"/>
  <c r="I1046" i="13" s="1"/>
  <c r="F1045" i="13"/>
  <c r="I1045" i="13" s="1"/>
  <c r="F1044" i="13"/>
  <c r="F1042" i="13"/>
  <c r="I1042" i="13" s="1"/>
  <c r="F1041" i="13"/>
  <c r="I1041" i="13" s="1"/>
  <c r="F1040" i="13"/>
  <c r="F1037" i="13"/>
  <c r="I1037" i="13" s="1"/>
  <c r="F1034" i="13"/>
  <c r="I1034" i="13" s="1"/>
  <c r="F1033" i="13"/>
  <c r="I1033" i="13" s="1"/>
  <c r="F1032" i="13"/>
  <c r="F1030" i="13"/>
  <c r="I1030" i="13" s="1"/>
  <c r="F1029" i="13"/>
  <c r="F1028" i="13"/>
  <c r="I1028" i="13" s="1"/>
  <c r="F1025" i="13"/>
  <c r="I1025" i="13" s="1"/>
  <c r="F1024" i="13"/>
  <c r="I1024" i="13" s="1"/>
  <c r="F1023" i="13"/>
  <c r="I1023" i="13" s="1"/>
  <c r="F1022" i="13"/>
  <c r="I1022" i="13" s="1"/>
  <c r="F1021" i="13"/>
  <c r="F1019" i="13"/>
  <c r="I1019" i="13" s="1"/>
  <c r="F1018" i="13"/>
  <c r="I1018" i="13" s="1"/>
  <c r="F1017" i="13"/>
  <c r="I1017" i="13" s="1"/>
  <c r="F1016" i="13"/>
  <c r="I1016" i="13" s="1"/>
  <c r="F1015" i="13"/>
  <c r="I1015" i="13" s="1"/>
  <c r="F1014" i="13"/>
  <c r="I1014" i="13" s="1"/>
  <c r="F1013" i="13"/>
  <c r="I1013" i="13" s="1"/>
  <c r="F1012" i="13"/>
  <c r="F1011" i="13"/>
  <c r="I1011" i="13" s="1"/>
  <c r="F1007" i="13"/>
  <c r="I1007" i="13" s="1"/>
  <c r="F1006" i="13"/>
  <c r="I1006" i="13" s="1"/>
  <c r="F1005" i="13"/>
  <c r="I1005" i="13" s="1"/>
  <c r="F1004" i="13"/>
  <c r="I1004" i="13" s="1"/>
  <c r="F1003" i="13"/>
  <c r="I1003" i="13" s="1"/>
  <c r="F1002" i="13"/>
  <c r="I1002" i="13" s="1"/>
  <c r="F1001" i="13"/>
  <c r="I1001" i="13" s="1"/>
  <c r="F1000" i="13"/>
  <c r="F998" i="13"/>
  <c r="I998" i="13" s="1"/>
  <c r="F997" i="13"/>
  <c r="I997" i="13" s="1"/>
  <c r="F996" i="13"/>
  <c r="I996" i="13" s="1"/>
  <c r="F995" i="13"/>
  <c r="F992" i="13"/>
  <c r="I992" i="13" s="1"/>
  <c r="F991" i="13"/>
  <c r="I991" i="13" s="1"/>
  <c r="F990" i="13"/>
  <c r="F988" i="13"/>
  <c r="I988" i="13" s="1"/>
  <c r="F987" i="13"/>
  <c r="I987" i="13" s="1"/>
  <c r="F986" i="13"/>
  <c r="F984" i="13"/>
  <c r="I984" i="13" s="1"/>
  <c r="F983" i="13"/>
  <c r="I983" i="13" s="1"/>
  <c r="F982" i="13"/>
  <c r="I982" i="13" s="1"/>
  <c r="F981" i="13"/>
  <c r="I981" i="13" s="1"/>
  <c r="F980" i="13"/>
  <c r="I980" i="13" s="1"/>
  <c r="F979" i="13"/>
  <c r="I979" i="13" s="1"/>
  <c r="F978" i="13"/>
  <c r="F976" i="13"/>
  <c r="I976" i="13" s="1"/>
  <c r="F975" i="13"/>
  <c r="I975" i="13" s="1"/>
  <c r="F974" i="13"/>
  <c r="I974" i="13" s="1"/>
  <c r="F973" i="13"/>
  <c r="I973" i="13" s="1"/>
  <c r="F972" i="13"/>
  <c r="I972" i="13" s="1"/>
  <c r="F971" i="13"/>
  <c r="I971" i="13" s="1"/>
  <c r="F970" i="13"/>
  <c r="F968" i="13"/>
  <c r="I968" i="13" s="1"/>
  <c r="F967" i="13"/>
  <c r="I967" i="13" s="1"/>
  <c r="F966" i="13"/>
  <c r="I966" i="13" s="1"/>
  <c r="F965" i="13"/>
  <c r="F1060" i="1"/>
  <c r="F1061" i="1" s="1"/>
  <c r="I1059" i="1"/>
  <c r="H1059" i="1"/>
  <c r="F1063" i="13" s="1"/>
  <c r="G1058" i="1"/>
  <c r="J1058" i="1" s="1"/>
  <c r="G1057" i="1"/>
  <c r="J1057" i="1" s="1"/>
  <c r="I1056" i="1"/>
  <c r="H1056" i="1"/>
  <c r="E1056" i="1"/>
  <c r="G1055" i="1"/>
  <c r="J1055" i="1" s="1"/>
  <c r="G1054" i="1"/>
  <c r="J1054" i="1" s="1"/>
  <c r="G1053" i="1"/>
  <c r="J1053" i="1" s="1"/>
  <c r="I1052" i="1"/>
  <c r="H1052" i="1"/>
  <c r="E1052" i="1"/>
  <c r="G1051" i="1"/>
  <c r="J1051" i="1" s="1"/>
  <c r="G1050" i="1"/>
  <c r="J1050" i="1" s="1"/>
  <c r="G1049" i="1"/>
  <c r="J1049" i="1" s="1"/>
  <c r="G1048" i="1"/>
  <c r="J1048" i="1" s="1"/>
  <c r="G1047" i="1"/>
  <c r="I1046" i="1"/>
  <c r="H1046" i="1"/>
  <c r="E1046" i="1"/>
  <c r="G1045" i="1"/>
  <c r="J1045" i="1" s="1"/>
  <c r="G1044" i="1"/>
  <c r="J1044" i="1" s="1"/>
  <c r="I1043" i="1"/>
  <c r="H1043" i="1"/>
  <c r="E1043" i="1"/>
  <c r="G1042" i="1"/>
  <c r="J1042" i="1" s="1"/>
  <c r="G1041" i="1"/>
  <c r="J1041" i="1" s="1"/>
  <c r="G1040" i="1"/>
  <c r="J1040" i="1" s="1"/>
  <c r="G1039" i="1"/>
  <c r="J1039" i="1" s="1"/>
  <c r="I1038" i="1"/>
  <c r="H1038" i="1"/>
  <c r="E1038" i="1"/>
  <c r="G1037" i="1"/>
  <c r="J1037" i="1" s="1"/>
  <c r="G1036" i="1"/>
  <c r="J1036" i="1" s="1"/>
  <c r="G1035" i="1"/>
  <c r="J1035" i="1" s="1"/>
  <c r="F1033" i="1"/>
  <c r="F1034" i="1" s="1"/>
  <c r="J1032" i="1"/>
  <c r="G1032" i="1"/>
  <c r="I1030" i="1"/>
  <c r="H1030" i="1"/>
  <c r="E1030" i="1"/>
  <c r="E1031" i="1" s="1"/>
  <c r="G1029" i="1"/>
  <c r="J1029" i="1" s="1"/>
  <c r="G1028" i="1"/>
  <c r="J1028" i="1" s="1"/>
  <c r="G1027" i="1"/>
  <c r="J1027" i="1" s="1"/>
  <c r="I1026" i="1"/>
  <c r="I1031" i="1" s="1"/>
  <c r="H1026" i="1"/>
  <c r="G1025" i="1"/>
  <c r="J1025" i="1" s="1"/>
  <c r="G1024" i="1"/>
  <c r="J1024" i="1" s="1"/>
  <c r="G1023" i="1"/>
  <c r="I1021" i="1"/>
  <c r="H1021" i="1"/>
  <c r="E1021" i="1"/>
  <c r="G1020" i="1"/>
  <c r="J1020" i="1" s="1"/>
  <c r="G1019" i="1"/>
  <c r="J1019" i="1" s="1"/>
  <c r="G1018" i="1"/>
  <c r="J1018" i="1" s="1"/>
  <c r="G1017" i="1"/>
  <c r="J1017" i="1" s="1"/>
  <c r="G1016" i="1"/>
  <c r="J1016" i="1" s="1"/>
  <c r="I1015" i="1"/>
  <c r="H1015" i="1"/>
  <c r="E1015" i="1"/>
  <c r="G1014" i="1"/>
  <c r="J1014" i="1" s="1"/>
  <c r="G1013" i="1"/>
  <c r="J1013" i="1" s="1"/>
  <c r="G1012" i="1"/>
  <c r="J1012" i="1" s="1"/>
  <c r="G1011" i="1"/>
  <c r="J1011" i="1" s="1"/>
  <c r="G1010" i="1"/>
  <c r="J1010" i="1" s="1"/>
  <c r="G1009" i="1"/>
  <c r="J1009" i="1" s="1"/>
  <c r="G1008" i="1"/>
  <c r="J1008" i="1" s="1"/>
  <c r="G1007" i="1"/>
  <c r="J1007" i="1" s="1"/>
  <c r="G1006" i="1"/>
  <c r="J1006" i="1" s="1"/>
  <c r="F1004" i="1"/>
  <c r="I1003" i="1"/>
  <c r="H1003" i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E995" i="1"/>
  <c r="E1003" i="1" s="1"/>
  <c r="E1004" i="1" s="1"/>
  <c r="C151" i="15" s="1"/>
  <c r="I994" i="1"/>
  <c r="I1004" i="1" s="1"/>
  <c r="H994" i="1"/>
  <c r="E994" i="1"/>
  <c r="G993" i="1"/>
  <c r="J993" i="1" s="1"/>
  <c r="G992" i="1"/>
  <c r="J992" i="1" s="1"/>
  <c r="G991" i="1"/>
  <c r="J991" i="1" s="1"/>
  <c r="G990" i="1"/>
  <c r="J990" i="1" s="1"/>
  <c r="I988" i="1"/>
  <c r="H988" i="1"/>
  <c r="E988" i="1"/>
  <c r="G987" i="1"/>
  <c r="J987" i="1" s="1"/>
  <c r="G986" i="1"/>
  <c r="J986" i="1" s="1"/>
  <c r="G985" i="1"/>
  <c r="J985" i="1" s="1"/>
  <c r="I984" i="1"/>
  <c r="H984" i="1"/>
  <c r="F984" i="1"/>
  <c r="F989" i="1" s="1"/>
  <c r="F1005" i="1" s="1"/>
  <c r="E984" i="1"/>
  <c r="G983" i="1"/>
  <c r="G982" i="1"/>
  <c r="J982" i="1" s="1"/>
  <c r="G981" i="1"/>
  <c r="J981" i="1" s="1"/>
  <c r="I980" i="1"/>
  <c r="H980" i="1"/>
  <c r="E980" i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G973" i="1"/>
  <c r="J973" i="1" s="1"/>
  <c r="I972" i="1"/>
  <c r="H972" i="1"/>
  <c r="E972" i="1"/>
  <c r="G971" i="1"/>
  <c r="J971" i="1" s="1"/>
  <c r="G970" i="1"/>
  <c r="J970" i="1" s="1"/>
  <c r="G969" i="1"/>
  <c r="J969" i="1" s="1"/>
  <c r="G968" i="1"/>
  <c r="J968" i="1" s="1"/>
  <c r="G967" i="1"/>
  <c r="J967" i="1" s="1"/>
  <c r="G966" i="1"/>
  <c r="J966" i="1" s="1"/>
  <c r="G965" i="1"/>
  <c r="J965" i="1" s="1"/>
  <c r="I964" i="1"/>
  <c r="H964" i="1"/>
  <c r="E964" i="1"/>
  <c r="G963" i="1"/>
  <c r="J963" i="1" s="1"/>
  <c r="G962" i="1"/>
  <c r="J962" i="1" s="1"/>
  <c r="G961" i="1"/>
  <c r="J961" i="1" s="1"/>
  <c r="G960" i="1"/>
  <c r="F1062" i="1" l="1"/>
  <c r="F1116" i="13"/>
  <c r="E989" i="1"/>
  <c r="H1031" i="1"/>
  <c r="D560" i="17"/>
  <c r="M245" i="14"/>
  <c r="O245" i="14"/>
  <c r="N245" i="14" s="1"/>
  <c r="M249" i="14"/>
  <c r="O249" i="14"/>
  <c r="N249" i="14" s="1"/>
  <c r="R249" i="14" s="1"/>
  <c r="E1022" i="1"/>
  <c r="E1033" i="1" s="1"/>
  <c r="E1034" i="1" s="1"/>
  <c r="C154" i="15" s="1"/>
  <c r="C156" i="15" s="1"/>
  <c r="E1060" i="1"/>
  <c r="E1061" i="1" s="1"/>
  <c r="C157" i="15" s="1"/>
  <c r="C159" i="15" s="1"/>
  <c r="P507" i="17"/>
  <c r="P516" i="17" s="1"/>
  <c r="M247" i="14"/>
  <c r="O247" i="14"/>
  <c r="N247" i="14" s="1"/>
  <c r="N250" i="14"/>
  <c r="G516" i="17"/>
  <c r="G560" i="17" s="1"/>
  <c r="D578" i="17"/>
  <c r="F586" i="17"/>
  <c r="P586" i="17"/>
  <c r="P587" i="17" s="1"/>
  <c r="F558" i="17"/>
  <c r="I558" i="17" s="1"/>
  <c r="H516" i="17"/>
  <c r="H560" i="17" s="1"/>
  <c r="D516" i="17"/>
  <c r="G988" i="1"/>
  <c r="J988" i="1" s="1"/>
  <c r="H818" i="16"/>
  <c r="I1116" i="13"/>
  <c r="F1172" i="13"/>
  <c r="F969" i="13"/>
  <c r="F985" i="13"/>
  <c r="F993" i="13"/>
  <c r="F1026" i="13"/>
  <c r="F1035" i="13"/>
  <c r="F1048" i="13"/>
  <c r="F1051" i="13"/>
  <c r="F977" i="13"/>
  <c r="F999" i="13"/>
  <c r="F1008" i="13"/>
  <c r="F1043" i="13"/>
  <c r="I1144" i="13"/>
  <c r="I1145" i="13" s="1"/>
  <c r="F1060" i="13"/>
  <c r="G964" i="1"/>
  <c r="J964" i="1" s="1"/>
  <c r="G1052" i="1"/>
  <c r="J1052" i="1" s="1"/>
  <c r="F989" i="13"/>
  <c r="F1020" i="13"/>
  <c r="F1031" i="13"/>
  <c r="F1056" i="13"/>
  <c r="O248" i="14"/>
  <c r="N248" i="14" s="1"/>
  <c r="G1274" i="1"/>
  <c r="J1274" i="1" s="1"/>
  <c r="J1217" i="1"/>
  <c r="T233" i="14"/>
  <c r="T227" i="14"/>
  <c r="T235" i="14"/>
  <c r="T242" i="14"/>
  <c r="T240" i="14"/>
  <c r="T229" i="14"/>
  <c r="F684" i="17"/>
  <c r="I684" i="17" s="1"/>
  <c r="I683" i="17"/>
  <c r="J1111" i="1"/>
  <c r="J1110" i="1"/>
  <c r="J1109" i="1"/>
  <c r="G1167" i="1"/>
  <c r="J1166" i="1"/>
  <c r="J1167" i="1" s="1"/>
  <c r="G1139" i="1"/>
  <c r="J1128" i="1"/>
  <c r="O253" i="14"/>
  <c r="N253" i="14" s="1"/>
  <c r="P253" i="14" s="1"/>
  <c r="O252" i="14"/>
  <c r="N252" i="14" s="1"/>
  <c r="R252" i="14" s="1"/>
  <c r="O251" i="14"/>
  <c r="N251" i="14" s="1"/>
  <c r="R251" i="14" s="1"/>
  <c r="M246" i="14"/>
  <c r="O246" i="14"/>
  <c r="N246" i="14" s="1"/>
  <c r="P246" i="14" s="1"/>
  <c r="G578" i="17"/>
  <c r="I1022" i="1"/>
  <c r="H1022" i="1"/>
  <c r="J1047" i="1"/>
  <c r="H794" i="16"/>
  <c r="H788" i="16"/>
  <c r="N256" i="14"/>
  <c r="Q256" i="14" s="1"/>
  <c r="N257" i="14"/>
  <c r="R257" i="14" s="1"/>
  <c r="N258" i="14"/>
  <c r="R258" i="14" s="1"/>
  <c r="N259" i="14"/>
  <c r="R259" i="14" s="1"/>
  <c r="N260" i="14"/>
  <c r="P260" i="14" s="1"/>
  <c r="M255" i="14"/>
  <c r="O255" i="14"/>
  <c r="N255" i="14" s="1"/>
  <c r="O254" i="14"/>
  <c r="N254" i="14" s="1"/>
  <c r="R254" i="14" s="1"/>
  <c r="R245" i="14"/>
  <c r="P245" i="14"/>
  <c r="R246" i="14"/>
  <c r="R247" i="14"/>
  <c r="P247" i="14"/>
  <c r="R248" i="14"/>
  <c r="P248" i="14"/>
  <c r="P249" i="14"/>
  <c r="R250" i="14"/>
  <c r="P250" i="14"/>
  <c r="P252" i="14"/>
  <c r="R255" i="14"/>
  <c r="P255" i="14"/>
  <c r="P256" i="14"/>
  <c r="P257" i="14"/>
  <c r="P258" i="14"/>
  <c r="Q258" i="14"/>
  <c r="P259" i="14"/>
  <c r="Q245" i="14"/>
  <c r="Q246" i="14"/>
  <c r="S246" i="14" s="1"/>
  <c r="Q247" i="14"/>
  <c r="Q248" i="14"/>
  <c r="Q249" i="14"/>
  <c r="Q250" i="14"/>
  <c r="S250" i="14" s="1"/>
  <c r="Q252" i="14"/>
  <c r="Q255" i="14"/>
  <c r="M256" i="14"/>
  <c r="M257" i="14"/>
  <c r="M258" i="14"/>
  <c r="M259" i="14"/>
  <c r="M260" i="14"/>
  <c r="H776" i="16"/>
  <c r="E788" i="16"/>
  <c r="E796" i="16" s="1"/>
  <c r="E845" i="16" s="1"/>
  <c r="H834" i="16"/>
  <c r="H842" i="16" s="1"/>
  <c r="P620" i="17"/>
  <c r="P621" i="17" s="1"/>
  <c r="P577" i="17"/>
  <c r="F569" i="17"/>
  <c r="F587" i="17"/>
  <c r="I587" i="17" s="1"/>
  <c r="I586" i="17"/>
  <c r="G622" i="17"/>
  <c r="P569" i="17"/>
  <c r="F577" i="17"/>
  <c r="I577" i="17" s="1"/>
  <c r="D622" i="17"/>
  <c r="F620" i="17"/>
  <c r="H622" i="17"/>
  <c r="P558" i="17"/>
  <c r="P559" i="17" s="1"/>
  <c r="I521" i="17"/>
  <c r="F525" i="17"/>
  <c r="I525" i="17" s="1"/>
  <c r="P524" i="17"/>
  <c r="P525" i="17" s="1"/>
  <c r="P515" i="17"/>
  <c r="F524" i="17"/>
  <c r="I524" i="17" s="1"/>
  <c r="F515" i="17"/>
  <c r="I515" i="17" s="1"/>
  <c r="I503" i="17"/>
  <c r="F507" i="17"/>
  <c r="I1012" i="13"/>
  <c r="I1020" i="13" s="1"/>
  <c r="I1021" i="13"/>
  <c r="I1026" i="13" s="1"/>
  <c r="I1029" i="13"/>
  <c r="I1031" i="13" s="1"/>
  <c r="I1032" i="13"/>
  <c r="I1035" i="13" s="1"/>
  <c r="I1040" i="13"/>
  <c r="I1043" i="13" s="1"/>
  <c r="I1058" i="13"/>
  <c r="I1060" i="13" s="1"/>
  <c r="I965" i="13"/>
  <c r="I969" i="13" s="1"/>
  <c r="I970" i="13"/>
  <c r="I977" i="13" s="1"/>
  <c r="I978" i="13"/>
  <c r="I985" i="13" s="1"/>
  <c r="I986" i="13"/>
  <c r="I989" i="13" s="1"/>
  <c r="I990" i="13"/>
  <c r="I993" i="13" s="1"/>
  <c r="I995" i="13"/>
  <c r="I999" i="13" s="1"/>
  <c r="I1000" i="13"/>
  <c r="I1008" i="13" s="1"/>
  <c r="I1044" i="13"/>
  <c r="I1048" i="13" s="1"/>
  <c r="I1049" i="13"/>
  <c r="I1051" i="13" s="1"/>
  <c r="I1052" i="13"/>
  <c r="I1056" i="13" s="1"/>
  <c r="I989" i="1"/>
  <c r="I1005" i="1" s="1"/>
  <c r="G972" i="1"/>
  <c r="J972" i="1" s="1"/>
  <c r="G980" i="1"/>
  <c r="J980" i="1" s="1"/>
  <c r="G984" i="1"/>
  <c r="J984" i="1" s="1"/>
  <c r="G994" i="1"/>
  <c r="G1046" i="1"/>
  <c r="J1046" i="1" s="1"/>
  <c r="H989" i="1"/>
  <c r="H1004" i="1"/>
  <c r="G1003" i="1"/>
  <c r="J995" i="1"/>
  <c r="G1015" i="1"/>
  <c r="I1033" i="1"/>
  <c r="I1034" i="1" s="1"/>
  <c r="G1021" i="1"/>
  <c r="J1021" i="1" s="1"/>
  <c r="G1026" i="1"/>
  <c r="J1023" i="1"/>
  <c r="G1030" i="1"/>
  <c r="J1030" i="1" s="1"/>
  <c r="G1038" i="1"/>
  <c r="I1060" i="1"/>
  <c r="I1061" i="1" s="1"/>
  <c r="H1060" i="1"/>
  <c r="H1061" i="1" s="1"/>
  <c r="G1043" i="1"/>
  <c r="J1043" i="1" s="1"/>
  <c r="G1056" i="1"/>
  <c r="J1056" i="1" s="1"/>
  <c r="G1059" i="1"/>
  <c r="J1059" i="1" s="1"/>
  <c r="E691" i="16"/>
  <c r="E697" i="16"/>
  <c r="H697" i="16" s="1"/>
  <c r="E682" i="16"/>
  <c r="E690" i="16" s="1"/>
  <c r="G277" i="14"/>
  <c r="G278" i="14"/>
  <c r="L314" i="14"/>
  <c r="K314" i="14" s="1"/>
  <c r="O314" i="14" s="1"/>
  <c r="G314" i="14"/>
  <c r="C314" i="14"/>
  <c r="L313" i="14"/>
  <c r="K313" i="14" s="1"/>
  <c r="O313" i="14" s="1"/>
  <c r="G313" i="14"/>
  <c r="C313" i="14"/>
  <c r="L312" i="14"/>
  <c r="K312" i="14" s="1"/>
  <c r="O312" i="14" s="1"/>
  <c r="G312" i="14"/>
  <c r="C312" i="14"/>
  <c r="L311" i="14"/>
  <c r="K311" i="14" s="1"/>
  <c r="O311" i="14" s="1"/>
  <c r="G311" i="14"/>
  <c r="C311" i="14"/>
  <c r="L310" i="14"/>
  <c r="K310" i="14" s="1"/>
  <c r="O310" i="14" s="1"/>
  <c r="G310" i="14"/>
  <c r="C310" i="14"/>
  <c r="L309" i="14"/>
  <c r="K309" i="14" s="1"/>
  <c r="O309" i="14" s="1"/>
  <c r="G309" i="14"/>
  <c r="C309" i="14"/>
  <c r="I308" i="14"/>
  <c r="H308" i="14"/>
  <c r="E308" i="14"/>
  <c r="D308" i="14"/>
  <c r="L308" i="14" s="1"/>
  <c r="K308" i="14" s="1"/>
  <c r="O308" i="14" s="1"/>
  <c r="C308" i="14"/>
  <c r="I307" i="14"/>
  <c r="H307" i="14"/>
  <c r="D307" i="14"/>
  <c r="I306" i="14"/>
  <c r="G306" i="14" s="1"/>
  <c r="H306" i="14"/>
  <c r="D306" i="14"/>
  <c r="C306" i="14" s="1"/>
  <c r="L305" i="14"/>
  <c r="K305" i="14"/>
  <c r="O305" i="14" s="1"/>
  <c r="N305" i="14" s="1"/>
  <c r="H305" i="14"/>
  <c r="G305" i="14" s="1"/>
  <c r="C305" i="14"/>
  <c r="L304" i="14"/>
  <c r="K304" i="14" s="1"/>
  <c r="G304" i="14"/>
  <c r="C304" i="14"/>
  <c r="L303" i="14"/>
  <c r="K303" i="14" s="1"/>
  <c r="G303" i="14"/>
  <c r="C303" i="14"/>
  <c r="L302" i="14"/>
  <c r="K302" i="14" s="1"/>
  <c r="G302" i="14"/>
  <c r="C302" i="14"/>
  <c r="L301" i="14"/>
  <c r="K301" i="14" s="1"/>
  <c r="G301" i="14"/>
  <c r="C301" i="14"/>
  <c r="I300" i="14"/>
  <c r="H300" i="14"/>
  <c r="G300" i="14" s="1"/>
  <c r="E300" i="14"/>
  <c r="D300" i="14"/>
  <c r="C300" i="14" s="1"/>
  <c r="L299" i="14"/>
  <c r="K299" i="14" s="1"/>
  <c r="G299" i="14"/>
  <c r="C299" i="14"/>
  <c r="L296" i="14"/>
  <c r="K296" i="14" s="1"/>
  <c r="G296" i="14"/>
  <c r="C296" i="14"/>
  <c r="L295" i="14"/>
  <c r="K295" i="14"/>
  <c r="O295" i="14" s="1"/>
  <c r="G295" i="14"/>
  <c r="C295" i="14"/>
  <c r="J294" i="14"/>
  <c r="L294" i="14" s="1"/>
  <c r="K294" i="14" s="1"/>
  <c r="G294" i="14"/>
  <c r="C294" i="14"/>
  <c r="J293" i="14"/>
  <c r="I293" i="14"/>
  <c r="H293" i="14"/>
  <c r="G293" i="14" s="1"/>
  <c r="E293" i="14"/>
  <c r="C293" i="14" s="1"/>
  <c r="D293" i="14"/>
  <c r="L292" i="14"/>
  <c r="K292" i="14" s="1"/>
  <c r="G292" i="14"/>
  <c r="C292" i="14"/>
  <c r="J291" i="14"/>
  <c r="I291" i="14"/>
  <c r="H291" i="14"/>
  <c r="G291" i="14" s="1"/>
  <c r="D291" i="14"/>
  <c r="C291" i="14"/>
  <c r="J290" i="14"/>
  <c r="L290" i="14" s="1"/>
  <c r="K290" i="14" s="1"/>
  <c r="I290" i="14"/>
  <c r="G290" i="14" s="1"/>
  <c r="H290" i="14"/>
  <c r="E290" i="14"/>
  <c r="D290" i="14"/>
  <c r="L289" i="14"/>
  <c r="K289" i="14" s="1"/>
  <c r="G289" i="14"/>
  <c r="C289" i="14"/>
  <c r="L288" i="14"/>
  <c r="K288" i="14" s="1"/>
  <c r="G288" i="14"/>
  <c r="C288" i="14"/>
  <c r="L287" i="14"/>
  <c r="K287" i="14" s="1"/>
  <c r="G287" i="14"/>
  <c r="C287" i="14"/>
  <c r="L286" i="14"/>
  <c r="K286" i="14" s="1"/>
  <c r="G286" i="14"/>
  <c r="C286" i="14"/>
  <c r="L285" i="14"/>
  <c r="K285" i="14" s="1"/>
  <c r="G285" i="14"/>
  <c r="C285" i="14"/>
  <c r="L284" i="14"/>
  <c r="K284" i="14" s="1"/>
  <c r="G284" i="14"/>
  <c r="C284" i="14"/>
  <c r="L283" i="14"/>
  <c r="K283" i="14" s="1"/>
  <c r="G283" i="14"/>
  <c r="C283" i="14"/>
  <c r="L282" i="14"/>
  <c r="K282" i="14" s="1"/>
  <c r="G282" i="14"/>
  <c r="C282" i="14"/>
  <c r="L281" i="14"/>
  <c r="K281" i="14" s="1"/>
  <c r="G281" i="14"/>
  <c r="C281" i="14"/>
  <c r="L278" i="14"/>
  <c r="K278" i="14" s="1"/>
  <c r="C278" i="14"/>
  <c r="L277" i="14"/>
  <c r="K277" i="14" s="1"/>
  <c r="C277" i="14"/>
  <c r="L276" i="14"/>
  <c r="K276" i="14" s="1"/>
  <c r="G276" i="14"/>
  <c r="C276" i="14"/>
  <c r="L275" i="14"/>
  <c r="K275" i="14" s="1"/>
  <c r="G275" i="14"/>
  <c r="C275" i="14"/>
  <c r="L274" i="14"/>
  <c r="K274" i="14" s="1"/>
  <c r="G274" i="14"/>
  <c r="C274" i="14"/>
  <c r="L273" i="14"/>
  <c r="K273" i="14" s="1"/>
  <c r="G273" i="14"/>
  <c r="C273" i="14"/>
  <c r="L272" i="14"/>
  <c r="K272" i="14" s="1"/>
  <c r="G272" i="14"/>
  <c r="C272" i="14"/>
  <c r="L271" i="14"/>
  <c r="K271" i="14" s="1"/>
  <c r="G271" i="14"/>
  <c r="C271" i="14"/>
  <c r="G270" i="14"/>
  <c r="L269" i="14"/>
  <c r="K269" i="14" s="1"/>
  <c r="G269" i="14"/>
  <c r="C269" i="14"/>
  <c r="L268" i="14"/>
  <c r="K268" i="14" s="1"/>
  <c r="G268" i="14"/>
  <c r="C268" i="14"/>
  <c r="L267" i="14"/>
  <c r="K267" i="14"/>
  <c r="G267" i="14"/>
  <c r="C267" i="14"/>
  <c r="L266" i="14"/>
  <c r="K266" i="14"/>
  <c r="O266" i="14" s="1"/>
  <c r="G266" i="14"/>
  <c r="C266" i="14"/>
  <c r="L265" i="14"/>
  <c r="K265" i="14"/>
  <c r="O265" i="14" s="1"/>
  <c r="G265" i="14"/>
  <c r="C265" i="14"/>
  <c r="G264" i="14"/>
  <c r="L264" i="14"/>
  <c r="K264" i="14" s="1"/>
  <c r="L263" i="14"/>
  <c r="K263" i="14" s="1"/>
  <c r="G263" i="14"/>
  <c r="C263" i="14"/>
  <c r="F951" i="13"/>
  <c r="I951" i="13" s="1"/>
  <c r="F952" i="13"/>
  <c r="F953" i="13"/>
  <c r="I953" i="13" s="1"/>
  <c r="F955" i="13"/>
  <c r="F956" i="13"/>
  <c r="F949" i="13"/>
  <c r="I949" i="13" s="1"/>
  <c r="F948" i="13"/>
  <c r="I948" i="13" s="1"/>
  <c r="F947" i="13"/>
  <c r="I947" i="13" s="1"/>
  <c r="F946" i="13"/>
  <c r="F944" i="13"/>
  <c r="I944" i="13" s="1"/>
  <c r="F943" i="13"/>
  <c r="F941" i="13"/>
  <c r="I941" i="13" s="1"/>
  <c r="F940" i="13"/>
  <c r="I940" i="13" s="1"/>
  <c r="F939" i="13"/>
  <c r="I939" i="13" s="1"/>
  <c r="F938" i="13"/>
  <c r="F936" i="13"/>
  <c r="I936" i="13" s="1"/>
  <c r="F935" i="13"/>
  <c r="I935" i="13" s="1"/>
  <c r="F934" i="13"/>
  <c r="F928" i="13"/>
  <c r="I928" i="13" s="1"/>
  <c r="F927" i="13"/>
  <c r="I927" i="13" s="1"/>
  <c r="F926" i="13"/>
  <c r="F924" i="13"/>
  <c r="I924" i="13" s="1"/>
  <c r="F923" i="13"/>
  <c r="F922" i="13"/>
  <c r="I922" i="13" s="1"/>
  <c r="F919" i="13"/>
  <c r="I919" i="13" s="1"/>
  <c r="F918" i="13"/>
  <c r="I918" i="13" s="1"/>
  <c r="F917" i="13"/>
  <c r="I917" i="13" s="1"/>
  <c r="F916" i="13"/>
  <c r="I916" i="13" s="1"/>
  <c r="F915" i="13"/>
  <c r="F913" i="13"/>
  <c r="I913" i="13" s="1"/>
  <c r="F912" i="13"/>
  <c r="I912" i="13" s="1"/>
  <c r="F911" i="13"/>
  <c r="I911" i="13" s="1"/>
  <c r="F910" i="13"/>
  <c r="I910" i="13" s="1"/>
  <c r="F909" i="13"/>
  <c r="I909" i="13" s="1"/>
  <c r="F908" i="13"/>
  <c r="I908" i="13" s="1"/>
  <c r="F907" i="13"/>
  <c r="I907" i="13" s="1"/>
  <c r="F906" i="13"/>
  <c r="F905" i="13"/>
  <c r="F901" i="13"/>
  <c r="I901" i="13" s="1"/>
  <c r="F900" i="13"/>
  <c r="I900" i="13" s="1"/>
  <c r="F899" i="13"/>
  <c r="I899" i="13" s="1"/>
  <c r="F898" i="13"/>
  <c r="I898" i="13" s="1"/>
  <c r="F897" i="13"/>
  <c r="I897" i="13" s="1"/>
  <c r="F896" i="13"/>
  <c r="I896" i="13" s="1"/>
  <c r="F895" i="13"/>
  <c r="I895" i="13" s="1"/>
  <c r="F894" i="13"/>
  <c r="F892" i="13"/>
  <c r="I892" i="13" s="1"/>
  <c r="F891" i="13"/>
  <c r="I891" i="13" s="1"/>
  <c r="F890" i="13"/>
  <c r="I890" i="13" s="1"/>
  <c r="F889" i="13"/>
  <c r="F886" i="13"/>
  <c r="I886" i="13" s="1"/>
  <c r="F885" i="13"/>
  <c r="I885" i="13" s="1"/>
  <c r="F884" i="13"/>
  <c r="F882" i="13"/>
  <c r="I882" i="13" s="1"/>
  <c r="F881" i="13"/>
  <c r="I881" i="13" s="1"/>
  <c r="F880" i="13"/>
  <c r="F878" i="13"/>
  <c r="I878" i="13" s="1"/>
  <c r="F877" i="13"/>
  <c r="I877" i="13" s="1"/>
  <c r="F876" i="13"/>
  <c r="I876" i="13" s="1"/>
  <c r="F875" i="13"/>
  <c r="I875" i="13" s="1"/>
  <c r="F874" i="13"/>
  <c r="I874" i="13" s="1"/>
  <c r="F873" i="13"/>
  <c r="I873" i="13" s="1"/>
  <c r="F872" i="13"/>
  <c r="F870" i="13"/>
  <c r="I870" i="13" s="1"/>
  <c r="F869" i="13"/>
  <c r="I869" i="13" s="1"/>
  <c r="F868" i="13"/>
  <c r="I868" i="13" s="1"/>
  <c r="F867" i="13"/>
  <c r="I867" i="13" s="1"/>
  <c r="F866" i="13"/>
  <c r="I866" i="13" s="1"/>
  <c r="F865" i="13"/>
  <c r="I865" i="13" s="1"/>
  <c r="F864" i="13"/>
  <c r="F862" i="13"/>
  <c r="I862" i="13" s="1"/>
  <c r="F861" i="13"/>
  <c r="I861" i="13" s="1"/>
  <c r="F860" i="13"/>
  <c r="I860" i="13" s="1"/>
  <c r="E143" i="15"/>
  <c r="E140" i="15"/>
  <c r="E137" i="15"/>
  <c r="H750" i="16"/>
  <c r="F750" i="16"/>
  <c r="F838" i="16" s="1"/>
  <c r="F926" i="16" s="1"/>
  <c r="E746" i="16"/>
  <c r="H746" i="16" s="1"/>
  <c r="H755" i="16"/>
  <c r="H753" i="16"/>
  <c r="H752" i="16"/>
  <c r="H751" i="16"/>
  <c r="H749" i="16"/>
  <c r="H748" i="16"/>
  <c r="H747" i="16"/>
  <c r="H745" i="16"/>
  <c r="H744" i="16"/>
  <c r="H743" i="16"/>
  <c r="H742" i="16"/>
  <c r="H741" i="16"/>
  <c r="H740" i="16"/>
  <c r="H739" i="16"/>
  <c r="H738" i="16"/>
  <c r="H737" i="16"/>
  <c r="H736" i="16"/>
  <c r="H735" i="16"/>
  <c r="H734" i="16"/>
  <c r="H733" i="16"/>
  <c r="H732" i="16"/>
  <c r="E731" i="16"/>
  <c r="H730" i="16"/>
  <c r="H729" i="16"/>
  <c r="H728" i="16"/>
  <c r="H727" i="16"/>
  <c r="H726" i="16"/>
  <c r="H725" i="16"/>
  <c r="H724" i="16"/>
  <c r="H723" i="16"/>
  <c r="H722" i="16"/>
  <c r="H721" i="16"/>
  <c r="H720" i="16"/>
  <c r="H719" i="16"/>
  <c r="H718" i="16"/>
  <c r="H717" i="16"/>
  <c r="H716" i="16"/>
  <c r="H715" i="16"/>
  <c r="H714" i="16"/>
  <c r="H713" i="16"/>
  <c r="H712" i="16"/>
  <c r="H711" i="16"/>
  <c r="I709" i="16"/>
  <c r="E708" i="16"/>
  <c r="H707" i="16"/>
  <c r="H706" i="16"/>
  <c r="H705" i="16"/>
  <c r="H704" i="16"/>
  <c r="H703" i="16"/>
  <c r="H701" i="16"/>
  <c r="H700" i="16"/>
  <c r="H699" i="16"/>
  <c r="H698" i="16"/>
  <c r="H696" i="16"/>
  <c r="H695" i="16"/>
  <c r="H694" i="16"/>
  <c r="H693" i="16"/>
  <c r="H692" i="16"/>
  <c r="H691" i="16"/>
  <c r="H689" i="16"/>
  <c r="H688" i="16"/>
  <c r="H687" i="16"/>
  <c r="H686" i="16"/>
  <c r="H685" i="16"/>
  <c r="H684" i="16"/>
  <c r="H683" i="16"/>
  <c r="H681" i="16"/>
  <c r="H680" i="16"/>
  <c r="H679" i="16"/>
  <c r="H678" i="16"/>
  <c r="H677" i="16"/>
  <c r="H676" i="16"/>
  <c r="J957" i="13"/>
  <c r="I957" i="13"/>
  <c r="F931" i="13"/>
  <c r="I931" i="13" s="1"/>
  <c r="I905" i="13"/>
  <c r="F859" i="13"/>
  <c r="I946" i="1"/>
  <c r="F954" i="1"/>
  <c r="F955" i="1" s="1"/>
  <c r="I953" i="1"/>
  <c r="H953" i="1"/>
  <c r="F957" i="13" s="1"/>
  <c r="G952" i="1"/>
  <c r="J952" i="1" s="1"/>
  <c r="G951" i="1"/>
  <c r="J951" i="1" s="1"/>
  <c r="I950" i="1"/>
  <c r="H950" i="1"/>
  <c r="E950" i="1"/>
  <c r="G949" i="1"/>
  <c r="J949" i="1" s="1"/>
  <c r="G948" i="1"/>
  <c r="J948" i="1" s="1"/>
  <c r="G947" i="1"/>
  <c r="J947" i="1" s="1"/>
  <c r="H946" i="1"/>
  <c r="E946" i="1"/>
  <c r="G945" i="1"/>
  <c r="J945" i="1" s="1"/>
  <c r="G944" i="1"/>
  <c r="J944" i="1" s="1"/>
  <c r="G943" i="1"/>
  <c r="J943" i="1" s="1"/>
  <c r="G942" i="1"/>
  <c r="J942" i="1" s="1"/>
  <c r="G941" i="1"/>
  <c r="J941" i="1" s="1"/>
  <c r="I940" i="1"/>
  <c r="H940" i="1"/>
  <c r="E940" i="1"/>
  <c r="G939" i="1"/>
  <c r="J939" i="1" s="1"/>
  <c r="G938" i="1"/>
  <c r="I937" i="1"/>
  <c r="H937" i="1"/>
  <c r="E937" i="1"/>
  <c r="G936" i="1"/>
  <c r="J936" i="1" s="1"/>
  <c r="G935" i="1"/>
  <c r="J935" i="1" s="1"/>
  <c r="G934" i="1"/>
  <c r="J934" i="1" s="1"/>
  <c r="G933" i="1"/>
  <c r="I932" i="1"/>
  <c r="H932" i="1"/>
  <c r="E932" i="1"/>
  <c r="G931" i="1"/>
  <c r="J931" i="1" s="1"/>
  <c r="G930" i="1"/>
  <c r="J930" i="1" s="1"/>
  <c r="G929" i="1"/>
  <c r="F927" i="1"/>
  <c r="F928" i="1" s="1"/>
  <c r="G926" i="1"/>
  <c r="J926" i="1" s="1"/>
  <c r="I924" i="1"/>
  <c r="H924" i="1"/>
  <c r="E924" i="1"/>
  <c r="E925" i="1" s="1"/>
  <c r="G923" i="1"/>
  <c r="J923" i="1" s="1"/>
  <c r="G922" i="1"/>
  <c r="J922" i="1" s="1"/>
  <c r="G921" i="1"/>
  <c r="J921" i="1" s="1"/>
  <c r="I920" i="1"/>
  <c r="I925" i="1" s="1"/>
  <c r="H920" i="1"/>
  <c r="G919" i="1"/>
  <c r="J919" i="1" s="1"/>
  <c r="G918" i="1"/>
  <c r="J918" i="1" s="1"/>
  <c r="G917" i="1"/>
  <c r="I915" i="1"/>
  <c r="H915" i="1"/>
  <c r="E915" i="1"/>
  <c r="G914" i="1"/>
  <c r="J914" i="1" s="1"/>
  <c r="G913" i="1"/>
  <c r="J913" i="1" s="1"/>
  <c r="G912" i="1"/>
  <c r="J912" i="1" s="1"/>
  <c r="G911" i="1"/>
  <c r="J911" i="1" s="1"/>
  <c r="G910" i="1"/>
  <c r="J910" i="1" s="1"/>
  <c r="I909" i="1"/>
  <c r="H909" i="1"/>
  <c r="E909" i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F898" i="1"/>
  <c r="I897" i="1"/>
  <c r="H897" i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E889" i="1"/>
  <c r="E897" i="1" s="1"/>
  <c r="E898" i="1" s="1"/>
  <c r="C136" i="15" s="1"/>
  <c r="I888" i="1"/>
  <c r="I898" i="1" s="1"/>
  <c r="H888" i="1"/>
  <c r="E888" i="1"/>
  <c r="G887" i="1"/>
  <c r="J887" i="1" s="1"/>
  <c r="G886" i="1"/>
  <c r="J886" i="1" s="1"/>
  <c r="G885" i="1"/>
  <c r="J885" i="1" s="1"/>
  <c r="G884" i="1"/>
  <c r="J884" i="1" s="1"/>
  <c r="I882" i="1"/>
  <c r="H882" i="1"/>
  <c r="E882" i="1"/>
  <c r="G881" i="1"/>
  <c r="J881" i="1" s="1"/>
  <c r="G880" i="1"/>
  <c r="J880" i="1" s="1"/>
  <c r="G879" i="1"/>
  <c r="I878" i="1"/>
  <c r="H878" i="1"/>
  <c r="F878" i="1"/>
  <c r="F883" i="1" s="1"/>
  <c r="E878" i="1"/>
  <c r="G877" i="1"/>
  <c r="G876" i="1"/>
  <c r="J876" i="1" s="1"/>
  <c r="G875" i="1"/>
  <c r="G878" i="1" s="1"/>
  <c r="J878" i="1" s="1"/>
  <c r="I874" i="1"/>
  <c r="H874" i="1"/>
  <c r="E874" i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H866" i="1"/>
  <c r="E866" i="1"/>
  <c r="G865" i="1"/>
  <c r="J865" i="1" s="1"/>
  <c r="G864" i="1"/>
  <c r="J864" i="1" s="1"/>
  <c r="G863" i="1"/>
  <c r="J863" i="1" s="1"/>
  <c r="G862" i="1"/>
  <c r="J862" i="1" s="1"/>
  <c r="G861" i="1"/>
  <c r="J861" i="1" s="1"/>
  <c r="I866" i="1"/>
  <c r="G860" i="1"/>
  <c r="J860" i="1" s="1"/>
  <c r="G859" i="1"/>
  <c r="J859" i="1" s="1"/>
  <c r="I858" i="1"/>
  <c r="H858" i="1"/>
  <c r="E858" i="1"/>
  <c r="G857" i="1"/>
  <c r="J857" i="1" s="1"/>
  <c r="G856" i="1"/>
  <c r="J856" i="1" s="1"/>
  <c r="G855" i="1"/>
  <c r="J855" i="1" s="1"/>
  <c r="G854" i="1"/>
  <c r="F899" i="1" l="1"/>
  <c r="F956" i="1" s="1"/>
  <c r="H1033" i="1"/>
  <c r="H1034" i="1" s="1"/>
  <c r="M292" i="14"/>
  <c r="O292" i="14"/>
  <c r="N292" i="14" s="1"/>
  <c r="L306" i="14"/>
  <c r="K306" i="14" s="1"/>
  <c r="O306" i="14" s="1"/>
  <c r="N306" i="14" s="1"/>
  <c r="L300" i="14"/>
  <c r="K300" i="14" s="1"/>
  <c r="N308" i="14"/>
  <c r="P560" i="17"/>
  <c r="S248" i="14"/>
  <c r="T248" i="14" s="1"/>
  <c r="R260" i="14"/>
  <c r="R256" i="14"/>
  <c r="S256" i="14" s="1"/>
  <c r="T256" i="14" s="1"/>
  <c r="P251" i="14"/>
  <c r="E916" i="1"/>
  <c r="E927" i="1" s="1"/>
  <c r="E928" i="1" s="1"/>
  <c r="C139" i="15" s="1"/>
  <c r="C141" i="15" s="1"/>
  <c r="E883" i="1"/>
  <c r="H925" i="1"/>
  <c r="E754" i="16"/>
  <c r="L291" i="14"/>
  <c r="K291" i="14" s="1"/>
  <c r="M291" i="14" s="1"/>
  <c r="L293" i="14"/>
  <c r="K293" i="14" s="1"/>
  <c r="G307" i="14"/>
  <c r="F559" i="17"/>
  <c r="Q251" i="14"/>
  <c r="T250" i="14"/>
  <c r="E1005" i="1"/>
  <c r="E1062" i="1" s="1"/>
  <c r="C150" i="15"/>
  <c r="C153" i="15" s="1"/>
  <c r="C160" i="15" s="1"/>
  <c r="C290" i="14"/>
  <c r="G308" i="14"/>
  <c r="S258" i="14"/>
  <c r="I1172" i="13"/>
  <c r="G932" i="1"/>
  <c r="J932" i="1" s="1"/>
  <c r="F1036" i="13"/>
  <c r="F994" i="13"/>
  <c r="J875" i="1"/>
  <c r="G882" i="1"/>
  <c r="J882" i="1" s="1"/>
  <c r="E702" i="16"/>
  <c r="I750" i="16"/>
  <c r="I838" i="16"/>
  <c r="H682" i="16"/>
  <c r="H690" i="16" s="1"/>
  <c r="I926" i="16"/>
  <c r="F1014" i="16"/>
  <c r="F863" i="13"/>
  <c r="F902" i="13"/>
  <c r="F893" i="13"/>
  <c r="F954" i="13"/>
  <c r="F1027" i="13"/>
  <c r="F1038" i="13" s="1"/>
  <c r="F1039" i="13" s="1"/>
  <c r="F1064" i="13"/>
  <c r="F1065" i="13" s="1"/>
  <c r="F1009" i="13"/>
  <c r="F920" i="13"/>
  <c r="I1027" i="13"/>
  <c r="G858" i="1"/>
  <c r="J858" i="1" s="1"/>
  <c r="G866" i="1"/>
  <c r="J866" i="1" s="1"/>
  <c r="J879" i="1"/>
  <c r="J929" i="1"/>
  <c r="G953" i="1"/>
  <c r="J953" i="1" s="1"/>
  <c r="G946" i="1"/>
  <c r="J946" i="1" s="1"/>
  <c r="F879" i="13"/>
  <c r="F887" i="13"/>
  <c r="F929" i="13"/>
  <c r="F925" i="13"/>
  <c r="F942" i="13"/>
  <c r="F945" i="13"/>
  <c r="F950" i="13"/>
  <c r="I1009" i="13"/>
  <c r="G1140" i="1"/>
  <c r="G1168" i="1" s="1"/>
  <c r="J1168" i="1" s="1"/>
  <c r="J1139" i="1"/>
  <c r="J1140" i="1" s="1"/>
  <c r="R253" i="14"/>
  <c r="S252" i="14"/>
  <c r="T252" i="14" s="1"/>
  <c r="T246" i="14"/>
  <c r="Q253" i="14"/>
  <c r="S253" i="14" s="1"/>
  <c r="T253" i="14" s="1"/>
  <c r="H796" i="16"/>
  <c r="P578" i="17"/>
  <c r="P622" i="17" s="1"/>
  <c r="Q260" i="14"/>
  <c r="S260" i="14" s="1"/>
  <c r="Q259" i="14"/>
  <c r="S259" i="14" s="1"/>
  <c r="T259" i="14" s="1"/>
  <c r="Q257" i="14"/>
  <c r="S257" i="14" s="1"/>
  <c r="T257" i="14" s="1"/>
  <c r="P254" i="14"/>
  <c r="T260" i="14"/>
  <c r="T258" i="14"/>
  <c r="Q254" i="14"/>
  <c r="S254" i="14" s="1"/>
  <c r="T254" i="14" s="1"/>
  <c r="S255" i="14"/>
  <c r="T255" i="14" s="1"/>
  <c r="S251" i="14"/>
  <c r="T251" i="14" s="1"/>
  <c r="S249" i="14"/>
  <c r="T249" i="14" s="1"/>
  <c r="S247" i="14"/>
  <c r="T247" i="14" s="1"/>
  <c r="S245" i="14"/>
  <c r="T245" i="14" s="1"/>
  <c r="I569" i="17"/>
  <c r="F578" i="17"/>
  <c r="I578" i="17" s="1"/>
  <c r="F621" i="17"/>
  <c r="I620" i="17"/>
  <c r="F516" i="17"/>
  <c r="I516" i="17" s="1"/>
  <c r="I507" i="17"/>
  <c r="I559" i="17"/>
  <c r="I1036" i="13"/>
  <c r="I994" i="13"/>
  <c r="I1064" i="13"/>
  <c r="I1065" i="13" s="1"/>
  <c r="I1062" i="1"/>
  <c r="J1038" i="1"/>
  <c r="G1060" i="1"/>
  <c r="J994" i="1"/>
  <c r="G1004" i="1"/>
  <c r="G1031" i="1"/>
  <c r="J1031" i="1" s="1"/>
  <c r="G1022" i="1"/>
  <c r="J1015" i="1"/>
  <c r="H1005" i="1"/>
  <c r="H1062" i="1" s="1"/>
  <c r="J1026" i="1"/>
  <c r="G989" i="1"/>
  <c r="I916" i="1"/>
  <c r="I927" i="1" s="1"/>
  <c r="I928" i="1" s="1"/>
  <c r="H916" i="1"/>
  <c r="H927" i="1" s="1"/>
  <c r="H928" i="1" s="1"/>
  <c r="F914" i="13"/>
  <c r="N265" i="14"/>
  <c r="N266" i="14"/>
  <c r="P266" i="14" s="1"/>
  <c r="O263" i="14"/>
  <c r="N263" i="14" s="1"/>
  <c r="M263" i="14"/>
  <c r="R265" i="14"/>
  <c r="P265" i="14"/>
  <c r="Q265" i="14"/>
  <c r="S265" i="14" s="1"/>
  <c r="R266" i="14"/>
  <c r="O294" i="14"/>
  <c r="N294" i="14" s="1"/>
  <c r="M294" i="14"/>
  <c r="O264" i="14"/>
  <c r="M264" i="14"/>
  <c r="O290" i="14"/>
  <c r="M290" i="14"/>
  <c r="O293" i="14"/>
  <c r="N293" i="14" s="1"/>
  <c r="M293" i="14"/>
  <c r="M265" i="14"/>
  <c r="M266" i="14"/>
  <c r="O267" i="14"/>
  <c r="N267" i="14" s="1"/>
  <c r="M267" i="14"/>
  <c r="O268" i="14"/>
  <c r="N268" i="14" s="1"/>
  <c r="M268" i="14"/>
  <c r="L270" i="14"/>
  <c r="K270" i="14" s="1"/>
  <c r="C270" i="14"/>
  <c r="O271" i="14"/>
  <c r="N271" i="14" s="1"/>
  <c r="M271" i="14"/>
  <c r="O273" i="14"/>
  <c r="N273" i="14" s="1"/>
  <c r="M273" i="14"/>
  <c r="O275" i="14"/>
  <c r="N275" i="14" s="1"/>
  <c r="M275" i="14"/>
  <c r="O277" i="14"/>
  <c r="N277" i="14" s="1"/>
  <c r="M277" i="14"/>
  <c r="O281" i="14"/>
  <c r="N281" i="14" s="1"/>
  <c r="M281" i="14"/>
  <c r="O283" i="14"/>
  <c r="N283" i="14" s="1"/>
  <c r="M283" i="14"/>
  <c r="O285" i="14"/>
  <c r="N285" i="14" s="1"/>
  <c r="M285" i="14"/>
  <c r="O287" i="14"/>
  <c r="N287" i="14" s="1"/>
  <c r="M287" i="14"/>
  <c r="O289" i="14"/>
  <c r="N289" i="14" s="1"/>
  <c r="M289" i="14"/>
  <c r="O291" i="14"/>
  <c r="N291" i="14" s="1"/>
  <c r="R292" i="14"/>
  <c r="P292" i="14"/>
  <c r="N295" i="14"/>
  <c r="M295" i="14"/>
  <c r="O299" i="14"/>
  <c r="N299" i="14" s="1"/>
  <c r="M299" i="14"/>
  <c r="O300" i="14"/>
  <c r="N300" i="14" s="1"/>
  <c r="M300" i="14"/>
  <c r="O302" i="14"/>
  <c r="N302" i="14" s="1"/>
  <c r="M302" i="14"/>
  <c r="O304" i="14"/>
  <c r="N304" i="14" s="1"/>
  <c r="M304" i="14"/>
  <c r="R305" i="14"/>
  <c r="P305" i="14"/>
  <c r="M305" i="14"/>
  <c r="L307" i="14"/>
  <c r="K307" i="14" s="1"/>
  <c r="C307" i="14"/>
  <c r="R308" i="14"/>
  <c r="P308" i="14"/>
  <c r="M308" i="14"/>
  <c r="N309" i="14"/>
  <c r="M309" i="14"/>
  <c r="N310" i="14"/>
  <c r="M310" i="14"/>
  <c r="N311" i="14"/>
  <c r="M311" i="14"/>
  <c r="N312" i="14"/>
  <c r="M312" i="14"/>
  <c r="N313" i="14"/>
  <c r="M313" i="14"/>
  <c r="N314" i="14"/>
  <c r="M314" i="14"/>
  <c r="C264" i="14"/>
  <c r="O269" i="14"/>
  <c r="N269" i="14" s="1"/>
  <c r="M269" i="14"/>
  <c r="O272" i="14"/>
  <c r="N272" i="14" s="1"/>
  <c r="M272" i="14"/>
  <c r="O274" i="14"/>
  <c r="N274" i="14" s="1"/>
  <c r="M274" i="14"/>
  <c r="O276" i="14"/>
  <c r="N276" i="14" s="1"/>
  <c r="M276" i="14"/>
  <c r="O278" i="14"/>
  <c r="N278" i="14" s="1"/>
  <c r="M278" i="14"/>
  <c r="O282" i="14"/>
  <c r="N282" i="14" s="1"/>
  <c r="M282" i="14"/>
  <c r="O284" i="14"/>
  <c r="N284" i="14" s="1"/>
  <c r="M284" i="14"/>
  <c r="O286" i="14"/>
  <c r="N286" i="14" s="1"/>
  <c r="M286" i="14"/>
  <c r="O288" i="14"/>
  <c r="N288" i="14" s="1"/>
  <c r="M288" i="14"/>
  <c r="Q292" i="14"/>
  <c r="Q305" i="14"/>
  <c r="S305" i="14" s="1"/>
  <c r="Q308" i="14"/>
  <c r="S308" i="14" s="1"/>
  <c r="O296" i="14"/>
  <c r="N296" i="14" s="1"/>
  <c r="M296" i="14"/>
  <c r="O301" i="14"/>
  <c r="N301" i="14" s="1"/>
  <c r="M301" i="14"/>
  <c r="O303" i="14"/>
  <c r="N303" i="14" s="1"/>
  <c r="M303" i="14"/>
  <c r="F937" i="13"/>
  <c r="F883" i="13"/>
  <c r="F871" i="13"/>
  <c r="H754" i="16"/>
  <c r="H708" i="16"/>
  <c r="E710" i="16"/>
  <c r="H702" i="16"/>
  <c r="E757" i="16"/>
  <c r="I883" i="13"/>
  <c r="I906" i="13"/>
  <c r="I914" i="13" s="1"/>
  <c r="I915" i="13"/>
  <c r="I920" i="13" s="1"/>
  <c r="I923" i="13"/>
  <c r="I925" i="13" s="1"/>
  <c r="I926" i="13"/>
  <c r="I929" i="13" s="1"/>
  <c r="I934" i="13"/>
  <c r="I937" i="13" s="1"/>
  <c r="I952" i="13"/>
  <c r="I954" i="13" s="1"/>
  <c r="I859" i="13"/>
  <c r="I863" i="13" s="1"/>
  <c r="I864" i="13"/>
  <c r="I871" i="13" s="1"/>
  <c r="I872" i="13"/>
  <c r="I879" i="13" s="1"/>
  <c r="I880" i="13"/>
  <c r="I884" i="13"/>
  <c r="I887" i="13" s="1"/>
  <c r="I889" i="13"/>
  <c r="I893" i="13" s="1"/>
  <c r="I894" i="13"/>
  <c r="I902" i="13" s="1"/>
  <c r="I938" i="13"/>
  <c r="I942" i="13" s="1"/>
  <c r="I943" i="13"/>
  <c r="I945" i="13" s="1"/>
  <c r="I946" i="13"/>
  <c r="I950" i="13" s="1"/>
  <c r="H954" i="1"/>
  <c r="H955" i="1" s="1"/>
  <c r="I883" i="1"/>
  <c r="I899" i="1" s="1"/>
  <c r="G874" i="1"/>
  <c r="J874" i="1" s="1"/>
  <c r="G888" i="1"/>
  <c r="H883" i="1"/>
  <c r="H898" i="1"/>
  <c r="G897" i="1"/>
  <c r="J889" i="1"/>
  <c r="G909" i="1"/>
  <c r="G915" i="1"/>
  <c r="J915" i="1" s="1"/>
  <c r="G920" i="1"/>
  <c r="J917" i="1"/>
  <c r="G924" i="1"/>
  <c r="J924" i="1" s="1"/>
  <c r="E954" i="1"/>
  <c r="E955" i="1" s="1"/>
  <c r="I954" i="1"/>
  <c r="I955" i="1" s="1"/>
  <c r="G937" i="1"/>
  <c r="J937" i="1" s="1"/>
  <c r="J933" i="1"/>
  <c r="G940" i="1"/>
  <c r="J940" i="1" s="1"/>
  <c r="J938" i="1"/>
  <c r="G950" i="1"/>
  <c r="J950" i="1" s="1"/>
  <c r="F921" i="13" l="1"/>
  <c r="F560" i="17"/>
  <c r="I560" i="17" s="1"/>
  <c r="M306" i="14"/>
  <c r="N290" i="14"/>
  <c r="C142" i="15"/>
  <c r="C144" i="15" s="1"/>
  <c r="Q266" i="14"/>
  <c r="S266" i="14" s="1"/>
  <c r="E899" i="1"/>
  <c r="E956" i="1" s="1"/>
  <c r="C135" i="15"/>
  <c r="C138" i="15" s="1"/>
  <c r="C145" i="15" s="1"/>
  <c r="F1010" i="13"/>
  <c r="F1066" i="13"/>
  <c r="I1038" i="13"/>
  <c r="I1039" i="13" s="1"/>
  <c r="F903" i="13"/>
  <c r="I1010" i="13"/>
  <c r="I1014" i="16"/>
  <c r="F1102" i="16"/>
  <c r="F930" i="13"/>
  <c r="F888" i="13"/>
  <c r="F932" i="13"/>
  <c r="F933" i="13" s="1"/>
  <c r="F958" i="13"/>
  <c r="F959" i="13" s="1"/>
  <c r="F622" i="17"/>
  <c r="I621" i="17"/>
  <c r="G1061" i="1"/>
  <c r="J1060" i="1"/>
  <c r="J1061" i="1" s="1"/>
  <c r="G1005" i="1"/>
  <c r="J989" i="1"/>
  <c r="G1033" i="1"/>
  <c r="J1022" i="1"/>
  <c r="J1004" i="1"/>
  <c r="J1003" i="1"/>
  <c r="I921" i="13"/>
  <c r="I903" i="13"/>
  <c r="T266" i="14"/>
  <c r="Q306" i="14"/>
  <c r="P306" i="14"/>
  <c r="R306" i="14"/>
  <c r="Q303" i="14"/>
  <c r="P303" i="14"/>
  <c r="R303" i="14"/>
  <c r="Q301" i="14"/>
  <c r="P301" i="14"/>
  <c r="R301" i="14"/>
  <c r="Q296" i="14"/>
  <c r="P296" i="14"/>
  <c r="R296" i="14"/>
  <c r="R314" i="14"/>
  <c r="P314" i="14"/>
  <c r="Q314" i="14"/>
  <c r="S314" i="14" s="1"/>
  <c r="T314" i="14" s="1"/>
  <c r="R313" i="14"/>
  <c r="P313" i="14"/>
  <c r="Q313" i="14"/>
  <c r="R312" i="14"/>
  <c r="P312" i="14"/>
  <c r="Q312" i="14"/>
  <c r="R311" i="14"/>
  <c r="P311" i="14"/>
  <c r="T311" i="14" s="1"/>
  <c r="Q311" i="14"/>
  <c r="S311" i="14" s="1"/>
  <c r="R310" i="14"/>
  <c r="P310" i="14"/>
  <c r="Q310" i="14"/>
  <c r="S310" i="14" s="1"/>
  <c r="T310" i="14" s="1"/>
  <c r="R309" i="14"/>
  <c r="P309" i="14"/>
  <c r="Q309" i="14"/>
  <c r="T305" i="14"/>
  <c r="Q304" i="14"/>
  <c r="R304" i="14"/>
  <c r="P304" i="14"/>
  <c r="Q302" i="14"/>
  <c r="S302" i="14" s="1"/>
  <c r="T302" i="14" s="1"/>
  <c r="R302" i="14"/>
  <c r="P302" i="14"/>
  <c r="Q300" i="14"/>
  <c r="R300" i="14"/>
  <c r="P300" i="14"/>
  <c r="Q299" i="14"/>
  <c r="R299" i="14"/>
  <c r="P299" i="14"/>
  <c r="Q295" i="14"/>
  <c r="R295" i="14"/>
  <c r="P295" i="14"/>
  <c r="R290" i="14"/>
  <c r="P290" i="14"/>
  <c r="Q290" i="14"/>
  <c r="N264" i="14"/>
  <c r="R294" i="14"/>
  <c r="P294" i="14"/>
  <c r="Q294" i="14"/>
  <c r="S292" i="14"/>
  <c r="T292" i="14" s="1"/>
  <c r="Q288" i="14"/>
  <c r="P288" i="14"/>
  <c r="R288" i="14"/>
  <c r="Q286" i="14"/>
  <c r="P286" i="14"/>
  <c r="R286" i="14"/>
  <c r="Q284" i="14"/>
  <c r="P284" i="14"/>
  <c r="R284" i="14"/>
  <c r="Q282" i="14"/>
  <c r="P282" i="14"/>
  <c r="R282" i="14"/>
  <c r="Q278" i="14"/>
  <c r="P278" i="14"/>
  <c r="R278" i="14"/>
  <c r="Q276" i="14"/>
  <c r="P276" i="14"/>
  <c r="R276" i="14"/>
  <c r="Q274" i="14"/>
  <c r="P274" i="14"/>
  <c r="R274" i="14"/>
  <c r="Q272" i="14"/>
  <c r="P272" i="14"/>
  <c r="R272" i="14"/>
  <c r="Q269" i="14"/>
  <c r="P269" i="14"/>
  <c r="R269" i="14"/>
  <c r="T308" i="14"/>
  <c r="O307" i="14"/>
  <c r="N307" i="14" s="1"/>
  <c r="M307" i="14"/>
  <c r="R291" i="14"/>
  <c r="P291" i="14"/>
  <c r="Q291" i="14"/>
  <c r="Q289" i="14"/>
  <c r="R289" i="14"/>
  <c r="P289" i="14"/>
  <c r="Q287" i="14"/>
  <c r="S287" i="14" s="1"/>
  <c r="R287" i="14"/>
  <c r="P287" i="14"/>
  <c r="T287" i="14" s="1"/>
  <c r="Q285" i="14"/>
  <c r="R285" i="14"/>
  <c r="P285" i="14"/>
  <c r="Q283" i="14"/>
  <c r="R283" i="14"/>
  <c r="P283" i="14"/>
  <c r="Q281" i="14"/>
  <c r="R281" i="14"/>
  <c r="P281" i="14"/>
  <c r="Q277" i="14"/>
  <c r="S277" i="14" s="1"/>
  <c r="R277" i="14"/>
  <c r="P277" i="14"/>
  <c r="T277" i="14" s="1"/>
  <c r="Q275" i="14"/>
  <c r="R275" i="14"/>
  <c r="P275" i="14"/>
  <c r="Q273" i="14"/>
  <c r="R273" i="14"/>
  <c r="P273" i="14"/>
  <c r="Q271" i="14"/>
  <c r="R271" i="14"/>
  <c r="P271" i="14"/>
  <c r="M270" i="14"/>
  <c r="O270" i="14"/>
  <c r="N270" i="14" s="1"/>
  <c r="Q268" i="14"/>
  <c r="R268" i="14"/>
  <c r="P268" i="14"/>
  <c r="Q267" i="14"/>
  <c r="P267" i="14"/>
  <c r="R267" i="14"/>
  <c r="T265" i="14"/>
  <c r="Q293" i="14"/>
  <c r="P293" i="14"/>
  <c r="R293" i="14"/>
  <c r="Q263" i="14"/>
  <c r="R263" i="14"/>
  <c r="P263" i="14"/>
  <c r="H710" i="16"/>
  <c r="I930" i="13"/>
  <c r="I888" i="13"/>
  <c r="I958" i="13"/>
  <c r="I959" i="13" s="1"/>
  <c r="G916" i="1"/>
  <c r="J909" i="1"/>
  <c r="H899" i="1"/>
  <c r="H956" i="1" s="1"/>
  <c r="J888" i="1"/>
  <c r="G898" i="1"/>
  <c r="I956" i="1"/>
  <c r="G883" i="1"/>
  <c r="G954" i="1"/>
  <c r="G925" i="1"/>
  <c r="J925" i="1" s="1"/>
  <c r="J920" i="1"/>
  <c r="I323" i="14"/>
  <c r="H323" i="14"/>
  <c r="D318" i="14"/>
  <c r="I318" i="14"/>
  <c r="H318" i="14"/>
  <c r="I754" i="1"/>
  <c r="H754" i="1"/>
  <c r="I904" i="13" l="1"/>
  <c r="S283" i="14"/>
  <c r="S309" i="14"/>
  <c r="S313" i="14"/>
  <c r="T313" i="14" s="1"/>
  <c r="S294" i="14"/>
  <c r="T294" i="14" s="1"/>
  <c r="S290" i="14"/>
  <c r="T290" i="14" s="1"/>
  <c r="S299" i="14"/>
  <c r="T299" i="14" s="1"/>
  <c r="T309" i="14"/>
  <c r="S312" i="14"/>
  <c r="T312" i="14" s="1"/>
  <c r="I1066" i="13"/>
  <c r="T283" i="14"/>
  <c r="S291" i="14"/>
  <c r="F904" i="13"/>
  <c r="F960" i="13" s="1"/>
  <c r="I1102" i="16"/>
  <c r="F1192" i="16"/>
  <c r="I622" i="17"/>
  <c r="G1034" i="1"/>
  <c r="G1062" i="1" s="1"/>
  <c r="J1062" i="1" s="1"/>
  <c r="J1033" i="1"/>
  <c r="J1034" i="1" s="1"/>
  <c r="J1005" i="1"/>
  <c r="I932" i="13"/>
  <c r="I933" i="13" s="1"/>
  <c r="S268" i="14"/>
  <c r="T268" i="14" s="1"/>
  <c r="S273" i="14"/>
  <c r="T273" i="14" s="1"/>
  <c r="S272" i="14"/>
  <c r="T272" i="14" s="1"/>
  <c r="S276" i="14"/>
  <c r="T276" i="14" s="1"/>
  <c r="S282" i="14"/>
  <c r="T282" i="14" s="1"/>
  <c r="S286" i="14"/>
  <c r="T286" i="14" s="1"/>
  <c r="S296" i="14"/>
  <c r="T296" i="14" s="1"/>
  <c r="S303" i="14"/>
  <c r="T303" i="14" s="1"/>
  <c r="S263" i="14"/>
  <c r="T263" i="14" s="1"/>
  <c r="S293" i="14"/>
  <c r="T293" i="14" s="1"/>
  <c r="S267" i="14"/>
  <c r="T267" i="14" s="1"/>
  <c r="R270" i="14"/>
  <c r="P270" i="14"/>
  <c r="Q270" i="14"/>
  <c r="S271" i="14"/>
  <c r="T271" i="14" s="1"/>
  <c r="S275" i="14"/>
  <c r="T275" i="14" s="1"/>
  <c r="S281" i="14"/>
  <c r="T281" i="14" s="1"/>
  <c r="S285" i="14"/>
  <c r="T285" i="14" s="1"/>
  <c r="S289" i="14"/>
  <c r="T289" i="14" s="1"/>
  <c r="T291" i="14"/>
  <c r="R307" i="14"/>
  <c r="P307" i="14"/>
  <c r="Q307" i="14"/>
  <c r="S269" i="14"/>
  <c r="T269" i="14" s="1"/>
  <c r="S274" i="14"/>
  <c r="T274" i="14" s="1"/>
  <c r="S278" i="14"/>
  <c r="T278" i="14" s="1"/>
  <c r="S284" i="14"/>
  <c r="T284" i="14" s="1"/>
  <c r="S288" i="14"/>
  <c r="T288" i="14" s="1"/>
  <c r="R264" i="14"/>
  <c r="P264" i="14"/>
  <c r="Q264" i="14"/>
  <c r="S295" i="14"/>
  <c r="T295" i="14" s="1"/>
  <c r="S300" i="14"/>
  <c r="T300" i="14" s="1"/>
  <c r="S304" i="14"/>
  <c r="T304" i="14" s="1"/>
  <c r="S301" i="14"/>
  <c r="T301" i="14" s="1"/>
  <c r="S306" i="14"/>
  <c r="T306" i="14" s="1"/>
  <c r="I960" i="13"/>
  <c r="G955" i="1"/>
  <c r="J954" i="1"/>
  <c r="J955" i="1" s="1"/>
  <c r="G899" i="1"/>
  <c r="J883" i="1"/>
  <c r="J898" i="1"/>
  <c r="J897" i="1"/>
  <c r="G927" i="1"/>
  <c r="J916" i="1"/>
  <c r="D325" i="14"/>
  <c r="D324" i="14"/>
  <c r="S264" i="14" l="1"/>
  <c r="S307" i="14"/>
  <c r="T264" i="14"/>
  <c r="S270" i="14"/>
  <c r="T307" i="14"/>
  <c r="I1192" i="16"/>
  <c r="F1282" i="16"/>
  <c r="T270" i="14"/>
  <c r="G928" i="1"/>
  <c r="J927" i="1"/>
  <c r="J928" i="1" s="1"/>
  <c r="G956" i="1"/>
  <c r="J956" i="1" s="1"/>
  <c r="J899" i="1"/>
  <c r="F620" i="16"/>
  <c r="H620" i="16"/>
  <c r="I620" i="16"/>
  <c r="F1373" i="16" l="1"/>
  <c r="I1282" i="16"/>
  <c r="F705" i="16"/>
  <c r="L332" i="14"/>
  <c r="K332" i="14" s="1"/>
  <c r="O332" i="14" s="1"/>
  <c r="G332" i="14"/>
  <c r="C332" i="14"/>
  <c r="L331" i="14"/>
  <c r="K331" i="14" s="1"/>
  <c r="O331" i="14" s="1"/>
  <c r="G331" i="14"/>
  <c r="C331" i="14"/>
  <c r="L330" i="14"/>
  <c r="K330" i="14" s="1"/>
  <c r="G330" i="14"/>
  <c r="C330" i="14"/>
  <c r="L329" i="14"/>
  <c r="K329" i="14" s="1"/>
  <c r="G329" i="14"/>
  <c r="C329" i="14"/>
  <c r="L328" i="14"/>
  <c r="K328" i="14" s="1"/>
  <c r="M328" i="14" s="1"/>
  <c r="G328" i="14"/>
  <c r="C328" i="14"/>
  <c r="L327" i="14"/>
  <c r="K327" i="14" s="1"/>
  <c r="M327" i="14" s="1"/>
  <c r="G327" i="14"/>
  <c r="C327" i="14"/>
  <c r="L326" i="14"/>
  <c r="K326" i="14" s="1"/>
  <c r="G326" i="14"/>
  <c r="C326" i="14"/>
  <c r="L325" i="14"/>
  <c r="K325" i="14" s="1"/>
  <c r="G325" i="14"/>
  <c r="C325" i="14"/>
  <c r="L324" i="14"/>
  <c r="K324" i="14" s="1"/>
  <c r="G324" i="14"/>
  <c r="C324" i="14"/>
  <c r="L323" i="14"/>
  <c r="K323" i="14" s="1"/>
  <c r="G323" i="14"/>
  <c r="C323" i="14"/>
  <c r="L322" i="14"/>
  <c r="K322" i="14" s="1"/>
  <c r="G322" i="14"/>
  <c r="C322" i="14"/>
  <c r="L321" i="14"/>
  <c r="K321" i="14" s="1"/>
  <c r="G321" i="14"/>
  <c r="C321" i="14"/>
  <c r="L320" i="14"/>
  <c r="K320" i="14" s="1"/>
  <c r="G320" i="14"/>
  <c r="C320" i="14"/>
  <c r="L319" i="14"/>
  <c r="K319" i="14" s="1"/>
  <c r="G319" i="14"/>
  <c r="C319" i="14"/>
  <c r="L318" i="14"/>
  <c r="K318" i="14" s="1"/>
  <c r="G318" i="14"/>
  <c r="C318" i="14"/>
  <c r="L317" i="14"/>
  <c r="K317" i="14" s="1"/>
  <c r="G317" i="14"/>
  <c r="C317" i="14"/>
  <c r="E128" i="15"/>
  <c r="E125" i="15"/>
  <c r="E122" i="15"/>
  <c r="F618" i="16"/>
  <c r="F703" i="16" s="1"/>
  <c r="F789" i="16" s="1"/>
  <c r="H669" i="16"/>
  <c r="E668" i="16"/>
  <c r="H667" i="16"/>
  <c r="H666" i="16"/>
  <c r="H665" i="16"/>
  <c r="H664" i="16"/>
  <c r="H663" i="16"/>
  <c r="H662" i="16"/>
  <c r="H661" i="16"/>
  <c r="H660" i="16"/>
  <c r="H659" i="16"/>
  <c r="H658" i="16"/>
  <c r="H657" i="16"/>
  <c r="H656" i="16"/>
  <c r="H655" i="16"/>
  <c r="H654" i="16"/>
  <c r="H653" i="16"/>
  <c r="H652" i="16"/>
  <c r="H651" i="16"/>
  <c r="H650" i="16"/>
  <c r="H649" i="16"/>
  <c r="H648" i="16"/>
  <c r="H647" i="16"/>
  <c r="E646" i="16"/>
  <c r="H645" i="16"/>
  <c r="H644" i="16"/>
  <c r="H643" i="16"/>
  <c r="H642" i="16"/>
  <c r="H641" i="16"/>
  <c r="H640" i="16"/>
  <c r="H639" i="16"/>
  <c r="H638" i="16"/>
  <c r="H637" i="16"/>
  <c r="H636" i="16"/>
  <c r="H635" i="16"/>
  <c r="H634" i="16"/>
  <c r="H633" i="16"/>
  <c r="H632" i="16"/>
  <c r="H631" i="16"/>
  <c r="H630" i="16"/>
  <c r="H629" i="16"/>
  <c r="H628" i="16"/>
  <c r="H627" i="16"/>
  <c r="H626" i="16"/>
  <c r="I624" i="16"/>
  <c r="E623" i="16"/>
  <c r="H622" i="16"/>
  <c r="H621" i="16"/>
  <c r="H619" i="16"/>
  <c r="H618" i="16"/>
  <c r="E617" i="16"/>
  <c r="H616" i="16"/>
  <c r="H615" i="16"/>
  <c r="H614" i="16"/>
  <c r="H613" i="16"/>
  <c r="H612" i="16"/>
  <c r="H611" i="16"/>
  <c r="H610" i="16"/>
  <c r="H609" i="16"/>
  <c r="H608" i="16"/>
  <c r="H607" i="16"/>
  <c r="H606" i="16"/>
  <c r="E605" i="16"/>
  <c r="H604" i="16"/>
  <c r="H603" i="16"/>
  <c r="H602" i="16"/>
  <c r="H601" i="16"/>
  <c r="H600" i="16"/>
  <c r="H599" i="16"/>
  <c r="H598" i="16"/>
  <c r="H597" i="16"/>
  <c r="H596" i="16"/>
  <c r="H595" i="16"/>
  <c r="H594" i="16"/>
  <c r="H593" i="16"/>
  <c r="H592" i="16"/>
  <c r="H591" i="16"/>
  <c r="E497" i="17"/>
  <c r="E498" i="17" s="1"/>
  <c r="D496" i="17"/>
  <c r="D497" i="17" s="1"/>
  <c r="P495" i="17"/>
  <c r="I495" i="17"/>
  <c r="F495" i="17"/>
  <c r="P494" i="17"/>
  <c r="F494" i="17"/>
  <c r="I494" i="17" s="1"/>
  <c r="P493" i="17"/>
  <c r="I493" i="17"/>
  <c r="F493" i="17"/>
  <c r="P492" i="17"/>
  <c r="F492" i="17"/>
  <c r="I492" i="17" s="1"/>
  <c r="P491" i="17"/>
  <c r="F491" i="17"/>
  <c r="I491" i="17" s="1"/>
  <c r="P490" i="17"/>
  <c r="F490" i="17"/>
  <c r="I490" i="17" s="1"/>
  <c r="P489" i="17"/>
  <c r="F489" i="17"/>
  <c r="I489" i="17" s="1"/>
  <c r="P488" i="17"/>
  <c r="F488" i="17"/>
  <c r="I488" i="17" s="1"/>
  <c r="P487" i="17"/>
  <c r="F487" i="17"/>
  <c r="I487" i="17" s="1"/>
  <c r="P486" i="17"/>
  <c r="F486" i="17"/>
  <c r="I486" i="17" s="1"/>
  <c r="P485" i="17"/>
  <c r="F485" i="17"/>
  <c r="I485" i="17" s="1"/>
  <c r="P484" i="17"/>
  <c r="F484" i="17"/>
  <c r="I484" i="17" s="1"/>
  <c r="P483" i="17"/>
  <c r="F483" i="17"/>
  <c r="I483" i="17" s="1"/>
  <c r="P482" i="17"/>
  <c r="F482" i="17"/>
  <c r="I482" i="17" s="1"/>
  <c r="P481" i="17"/>
  <c r="F481" i="17"/>
  <c r="I481" i="17" s="1"/>
  <c r="P480" i="17"/>
  <c r="F480" i="17"/>
  <c r="I480" i="17" s="1"/>
  <c r="P479" i="17"/>
  <c r="F479" i="17"/>
  <c r="I479" i="17" s="1"/>
  <c r="P478" i="17"/>
  <c r="F478" i="17"/>
  <c r="I478" i="17" s="1"/>
  <c r="P477" i="17"/>
  <c r="I477" i="17"/>
  <c r="F477" i="17"/>
  <c r="P476" i="17"/>
  <c r="F476" i="17"/>
  <c r="I476" i="17" s="1"/>
  <c r="P475" i="17"/>
  <c r="I475" i="17"/>
  <c r="F475" i="17"/>
  <c r="P474" i="17"/>
  <c r="F474" i="17"/>
  <c r="I474" i="17" s="1"/>
  <c r="P473" i="17"/>
  <c r="I473" i="17"/>
  <c r="F473" i="17"/>
  <c r="P472" i="17"/>
  <c r="F472" i="17"/>
  <c r="I472" i="17" s="1"/>
  <c r="P471" i="17"/>
  <c r="F471" i="17"/>
  <c r="I471" i="17" s="1"/>
  <c r="P470" i="17"/>
  <c r="F470" i="17"/>
  <c r="P469" i="17"/>
  <c r="F469" i="17"/>
  <c r="I469" i="17" s="1"/>
  <c r="P468" i="17"/>
  <c r="F468" i="17"/>
  <c r="I468" i="17" s="1"/>
  <c r="P467" i="17"/>
  <c r="F467" i="17"/>
  <c r="I467" i="17" s="1"/>
  <c r="P466" i="17"/>
  <c r="F466" i="17"/>
  <c r="I466" i="17" s="1"/>
  <c r="P465" i="17"/>
  <c r="F465" i="17"/>
  <c r="I465" i="17" s="1"/>
  <c r="G496" i="17"/>
  <c r="G497" i="17" s="1"/>
  <c r="E463" i="17"/>
  <c r="D463" i="17"/>
  <c r="G462" i="17"/>
  <c r="G463" i="17" s="1"/>
  <c r="P461" i="17"/>
  <c r="F461" i="17"/>
  <c r="I461" i="17" s="1"/>
  <c r="P460" i="17"/>
  <c r="I460" i="17"/>
  <c r="F460" i="17"/>
  <c r="P459" i="17"/>
  <c r="F459" i="17"/>
  <c r="I459" i="17" s="1"/>
  <c r="H462" i="17"/>
  <c r="H463" i="17" s="1"/>
  <c r="P458" i="17"/>
  <c r="F458" i="17"/>
  <c r="I458" i="17" s="1"/>
  <c r="P457" i="17"/>
  <c r="F457" i="17"/>
  <c r="I457" i="17" s="1"/>
  <c r="P456" i="17"/>
  <c r="F456" i="17"/>
  <c r="I456" i="17" s="1"/>
  <c r="P455" i="17"/>
  <c r="F455" i="17"/>
  <c r="F462" i="17" s="1"/>
  <c r="F463" i="17" s="1"/>
  <c r="I463" i="17" s="1"/>
  <c r="E454" i="17"/>
  <c r="H453" i="17"/>
  <c r="G453" i="17"/>
  <c r="D453" i="17"/>
  <c r="P452" i="17"/>
  <c r="I452" i="17"/>
  <c r="F452" i="17"/>
  <c r="P451" i="17"/>
  <c r="F451" i="17"/>
  <c r="I451" i="17" s="1"/>
  <c r="P450" i="17"/>
  <c r="F450" i="17"/>
  <c r="I450" i="17" s="1"/>
  <c r="P449" i="17"/>
  <c r="F449" i="17"/>
  <c r="I449" i="17" s="1"/>
  <c r="P448" i="17"/>
  <c r="F448" i="17"/>
  <c r="I448" i="17" s="1"/>
  <c r="P447" i="17"/>
  <c r="F447" i="17"/>
  <c r="I447" i="17" s="1"/>
  <c r="P446" i="17"/>
  <c r="I446" i="17"/>
  <c r="F446" i="17"/>
  <c r="H445" i="17"/>
  <c r="G445" i="17"/>
  <c r="D445" i="17"/>
  <c r="D454" i="17" s="1"/>
  <c r="P444" i="17"/>
  <c r="F444" i="17"/>
  <c r="I444" i="17" s="1"/>
  <c r="P443" i="17"/>
  <c r="F443" i="17"/>
  <c r="I443" i="17" s="1"/>
  <c r="P442" i="17"/>
  <c r="F442" i="17"/>
  <c r="I442" i="17" s="1"/>
  <c r="P441" i="17"/>
  <c r="F441" i="17"/>
  <c r="I441" i="17" s="1"/>
  <c r="P440" i="17"/>
  <c r="F440" i="17"/>
  <c r="I440" i="17" s="1"/>
  <c r="J851" i="13"/>
  <c r="I851" i="13"/>
  <c r="F850" i="13"/>
  <c r="F849" i="13"/>
  <c r="F847" i="13"/>
  <c r="I847" i="13" s="1"/>
  <c r="F846" i="13"/>
  <c r="F845" i="13"/>
  <c r="I845" i="13" s="1"/>
  <c r="F843" i="13"/>
  <c r="I843" i="13" s="1"/>
  <c r="F842" i="13"/>
  <c r="I842" i="13" s="1"/>
  <c r="F841" i="13"/>
  <c r="I841" i="13" s="1"/>
  <c r="F840" i="13"/>
  <c r="F838" i="13"/>
  <c r="I838" i="13" s="1"/>
  <c r="F837" i="13"/>
  <c r="F835" i="13"/>
  <c r="I835" i="13" s="1"/>
  <c r="F834" i="13"/>
  <c r="I834" i="13" s="1"/>
  <c r="F833" i="13"/>
  <c r="I833" i="13" s="1"/>
  <c r="F832" i="13"/>
  <c r="F830" i="13"/>
  <c r="I830" i="13" s="1"/>
  <c r="F829" i="13"/>
  <c r="I829" i="13" s="1"/>
  <c r="F828" i="13"/>
  <c r="F825" i="13"/>
  <c r="I825" i="13" s="1"/>
  <c r="F822" i="13"/>
  <c r="I822" i="13" s="1"/>
  <c r="F821" i="13"/>
  <c r="I821" i="13" s="1"/>
  <c r="F820" i="13"/>
  <c r="F818" i="13"/>
  <c r="I818" i="13" s="1"/>
  <c r="F817" i="13"/>
  <c r="F816" i="13"/>
  <c r="I816" i="13" s="1"/>
  <c r="F813" i="13"/>
  <c r="I813" i="13" s="1"/>
  <c r="F812" i="13"/>
  <c r="I812" i="13" s="1"/>
  <c r="F811" i="13"/>
  <c r="I811" i="13" s="1"/>
  <c r="F810" i="13"/>
  <c r="I810" i="13" s="1"/>
  <c r="F809" i="13"/>
  <c r="F807" i="13"/>
  <c r="I807" i="13" s="1"/>
  <c r="F806" i="13"/>
  <c r="I806" i="13" s="1"/>
  <c r="F805" i="13"/>
  <c r="I805" i="13" s="1"/>
  <c r="F804" i="13"/>
  <c r="I804" i="13" s="1"/>
  <c r="F803" i="13"/>
  <c r="I803" i="13" s="1"/>
  <c r="F802" i="13"/>
  <c r="I802" i="13" s="1"/>
  <c r="F801" i="13"/>
  <c r="I801" i="13" s="1"/>
  <c r="F800" i="13"/>
  <c r="F799" i="13"/>
  <c r="I799" i="13" s="1"/>
  <c r="F795" i="13"/>
  <c r="I795" i="13" s="1"/>
  <c r="F794" i="13"/>
  <c r="I794" i="13" s="1"/>
  <c r="F793" i="13"/>
  <c r="I793" i="13" s="1"/>
  <c r="F792" i="13"/>
  <c r="I792" i="13" s="1"/>
  <c r="F791" i="13"/>
  <c r="I791" i="13" s="1"/>
  <c r="F790" i="13"/>
  <c r="I790" i="13" s="1"/>
  <c r="F789" i="13"/>
  <c r="I789" i="13" s="1"/>
  <c r="F788" i="13"/>
  <c r="F786" i="13"/>
  <c r="I786" i="13" s="1"/>
  <c r="F785" i="13"/>
  <c r="I785" i="13" s="1"/>
  <c r="F784" i="13"/>
  <c r="I784" i="13" s="1"/>
  <c r="F783" i="13"/>
  <c r="F780" i="13"/>
  <c r="I780" i="13" s="1"/>
  <c r="F779" i="13"/>
  <c r="I779" i="13" s="1"/>
  <c r="F778" i="13"/>
  <c r="F776" i="13"/>
  <c r="I776" i="13" s="1"/>
  <c r="F775" i="13"/>
  <c r="I775" i="13" s="1"/>
  <c r="F774" i="13"/>
  <c r="F772" i="13"/>
  <c r="I772" i="13" s="1"/>
  <c r="F771" i="13"/>
  <c r="I771" i="13" s="1"/>
  <c r="F770" i="13"/>
  <c r="I770" i="13" s="1"/>
  <c r="F769" i="13"/>
  <c r="I769" i="13" s="1"/>
  <c r="F768" i="13"/>
  <c r="I768" i="13" s="1"/>
  <c r="F767" i="13"/>
  <c r="I767" i="13" s="1"/>
  <c r="F766" i="13"/>
  <c r="F764" i="13"/>
  <c r="I764" i="13" s="1"/>
  <c r="F763" i="13"/>
  <c r="I763" i="13" s="1"/>
  <c r="F762" i="13"/>
  <c r="I762" i="13" s="1"/>
  <c r="F761" i="13"/>
  <c r="I761" i="13" s="1"/>
  <c r="F760" i="13"/>
  <c r="I760" i="13" s="1"/>
  <c r="F759" i="13"/>
  <c r="I759" i="13" s="1"/>
  <c r="F758" i="13"/>
  <c r="F756" i="13"/>
  <c r="I756" i="13" s="1"/>
  <c r="F755" i="13"/>
  <c r="I755" i="13" s="1"/>
  <c r="F754" i="13"/>
  <c r="I754" i="13" s="1"/>
  <c r="F753" i="13"/>
  <c r="F848" i="1"/>
  <c r="F849" i="1" s="1"/>
  <c r="I847" i="1"/>
  <c r="H847" i="1"/>
  <c r="F851" i="13" s="1"/>
  <c r="G846" i="1"/>
  <c r="J846" i="1" s="1"/>
  <c r="G845" i="1"/>
  <c r="J845" i="1" s="1"/>
  <c r="I844" i="1"/>
  <c r="H844" i="1"/>
  <c r="E844" i="1"/>
  <c r="G843" i="1"/>
  <c r="J843" i="1" s="1"/>
  <c r="G842" i="1"/>
  <c r="J842" i="1" s="1"/>
  <c r="G841" i="1"/>
  <c r="J841" i="1" s="1"/>
  <c r="I840" i="1"/>
  <c r="H840" i="1"/>
  <c r="E840" i="1"/>
  <c r="G839" i="1"/>
  <c r="J839" i="1" s="1"/>
  <c r="G838" i="1"/>
  <c r="J838" i="1" s="1"/>
  <c r="G837" i="1"/>
  <c r="J837" i="1" s="1"/>
  <c r="G836" i="1"/>
  <c r="J836" i="1" s="1"/>
  <c r="G835" i="1"/>
  <c r="J835" i="1" s="1"/>
  <c r="I834" i="1"/>
  <c r="H834" i="1"/>
  <c r="E834" i="1"/>
  <c r="G833" i="1"/>
  <c r="J833" i="1" s="1"/>
  <c r="G832" i="1"/>
  <c r="E831" i="1"/>
  <c r="G830" i="1"/>
  <c r="J830" i="1" s="1"/>
  <c r="G829" i="1"/>
  <c r="J829" i="1" s="1"/>
  <c r="I831" i="1"/>
  <c r="G828" i="1"/>
  <c r="J828" i="1" s="1"/>
  <c r="G827" i="1"/>
  <c r="I826" i="1"/>
  <c r="H826" i="1"/>
  <c r="E826" i="1"/>
  <c r="G825" i="1"/>
  <c r="J825" i="1" s="1"/>
  <c r="G824" i="1"/>
  <c r="J824" i="1" s="1"/>
  <c r="G823" i="1"/>
  <c r="J823" i="1" s="1"/>
  <c r="F821" i="1"/>
  <c r="F822" i="1" s="1"/>
  <c r="G820" i="1"/>
  <c r="J820" i="1" s="1"/>
  <c r="I818" i="1"/>
  <c r="H818" i="1"/>
  <c r="E818" i="1"/>
  <c r="E819" i="1" s="1"/>
  <c r="G817" i="1"/>
  <c r="J817" i="1" s="1"/>
  <c r="G816" i="1"/>
  <c r="J816" i="1" s="1"/>
  <c r="G815" i="1"/>
  <c r="J815" i="1" s="1"/>
  <c r="H814" i="1"/>
  <c r="H819" i="1" s="1"/>
  <c r="I814" i="1"/>
  <c r="I819" i="1" s="1"/>
  <c r="G813" i="1"/>
  <c r="J813" i="1" s="1"/>
  <c r="G812" i="1"/>
  <c r="J812" i="1" s="1"/>
  <c r="G811" i="1"/>
  <c r="E809" i="1"/>
  <c r="I809" i="1"/>
  <c r="G808" i="1"/>
  <c r="J808" i="1" s="1"/>
  <c r="G807" i="1"/>
  <c r="J807" i="1" s="1"/>
  <c r="G806" i="1"/>
  <c r="J806" i="1" s="1"/>
  <c r="G805" i="1"/>
  <c r="J805" i="1" s="1"/>
  <c r="G804" i="1"/>
  <c r="J804" i="1" s="1"/>
  <c r="I803" i="1"/>
  <c r="E803" i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F792" i="1"/>
  <c r="I791" i="1"/>
  <c r="H791" i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E783" i="1"/>
  <c r="E791" i="1" s="1"/>
  <c r="I782" i="1"/>
  <c r="H782" i="1"/>
  <c r="E782" i="1"/>
  <c r="G781" i="1"/>
  <c r="J781" i="1" s="1"/>
  <c r="G780" i="1"/>
  <c r="J780" i="1" s="1"/>
  <c r="G779" i="1"/>
  <c r="J779" i="1" s="1"/>
  <c r="G778" i="1"/>
  <c r="I776" i="1"/>
  <c r="H776" i="1"/>
  <c r="E776" i="1"/>
  <c r="G775" i="1"/>
  <c r="J775" i="1" s="1"/>
  <c r="G774" i="1"/>
  <c r="J774" i="1" s="1"/>
  <c r="G773" i="1"/>
  <c r="J773" i="1" s="1"/>
  <c r="I772" i="1"/>
  <c r="H772" i="1"/>
  <c r="F772" i="1"/>
  <c r="F777" i="1" s="1"/>
  <c r="F793" i="1" s="1"/>
  <c r="E772" i="1"/>
  <c r="G771" i="1"/>
  <c r="G770" i="1"/>
  <c r="J770" i="1" s="1"/>
  <c r="G769" i="1"/>
  <c r="I768" i="1"/>
  <c r="H768" i="1"/>
  <c r="E768" i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I760" i="1"/>
  <c r="E760" i="1"/>
  <c r="G759" i="1"/>
  <c r="J759" i="1" s="1"/>
  <c r="G758" i="1"/>
  <c r="J758" i="1" s="1"/>
  <c r="G757" i="1"/>
  <c r="J757" i="1" s="1"/>
  <c r="G756" i="1"/>
  <c r="J756" i="1" s="1"/>
  <c r="G755" i="1"/>
  <c r="J755" i="1" s="1"/>
  <c r="G753" i="1"/>
  <c r="I752" i="1"/>
  <c r="H752" i="1"/>
  <c r="E752" i="1"/>
  <c r="G751" i="1"/>
  <c r="J751" i="1" s="1"/>
  <c r="G750" i="1"/>
  <c r="J750" i="1" s="1"/>
  <c r="G749" i="1"/>
  <c r="J749" i="1" s="1"/>
  <c r="G748" i="1"/>
  <c r="I455" i="17" l="1"/>
  <c r="H454" i="17"/>
  <c r="F850" i="1"/>
  <c r="I618" i="16"/>
  <c r="I1373" i="16"/>
  <c r="F1464" i="16"/>
  <c r="F791" i="16"/>
  <c r="I705" i="16"/>
  <c r="F877" i="16"/>
  <c r="I789" i="16"/>
  <c r="F777" i="13"/>
  <c r="F787" i="13"/>
  <c r="P445" i="17"/>
  <c r="F796" i="13"/>
  <c r="F765" i="13"/>
  <c r="H617" i="16"/>
  <c r="H623" i="16"/>
  <c r="H668" i="16"/>
  <c r="E792" i="1"/>
  <c r="C121" i="15" s="1"/>
  <c r="F831" i="13"/>
  <c r="F848" i="13"/>
  <c r="E777" i="1"/>
  <c r="H792" i="1"/>
  <c r="E810" i="1"/>
  <c r="E821" i="1" s="1"/>
  <c r="E822" i="1" s="1"/>
  <c r="G847" i="1"/>
  <c r="J847" i="1" s="1"/>
  <c r="G772" i="1"/>
  <c r="J772" i="1" s="1"/>
  <c r="J769" i="1"/>
  <c r="C124" i="15"/>
  <c r="C126" i="15" s="1"/>
  <c r="G752" i="1"/>
  <c r="J752" i="1" s="1"/>
  <c r="F757" i="13"/>
  <c r="F773" i="13"/>
  <c r="F781" i="13"/>
  <c r="F808" i="13"/>
  <c r="F814" i="13"/>
  <c r="F819" i="13"/>
  <c r="F823" i="13"/>
  <c r="F836" i="13"/>
  <c r="F839" i="13"/>
  <c r="F844" i="13"/>
  <c r="N331" i="14"/>
  <c r="N332" i="14"/>
  <c r="R332" i="14" s="1"/>
  <c r="O328" i="14"/>
  <c r="N328" i="14" s="1"/>
  <c r="P328" i="14" s="1"/>
  <c r="O326" i="14"/>
  <c r="N326" i="14" s="1"/>
  <c r="M326" i="14"/>
  <c r="O329" i="14"/>
  <c r="N329" i="14" s="1"/>
  <c r="M329" i="14"/>
  <c r="R331" i="14"/>
  <c r="P331" i="14"/>
  <c r="Q331" i="14"/>
  <c r="O330" i="14"/>
  <c r="N330" i="14" s="1"/>
  <c r="M330" i="14"/>
  <c r="O317" i="14"/>
  <c r="N317" i="14" s="1"/>
  <c r="M317" i="14"/>
  <c r="O319" i="14"/>
  <c r="N319" i="14" s="1"/>
  <c r="M319" i="14"/>
  <c r="O321" i="14"/>
  <c r="N321" i="14" s="1"/>
  <c r="M321" i="14"/>
  <c r="O323" i="14"/>
  <c r="N323" i="14" s="1"/>
  <c r="M323" i="14"/>
  <c r="O325" i="14"/>
  <c r="N325" i="14" s="1"/>
  <c r="M325" i="14"/>
  <c r="O327" i="14"/>
  <c r="N327" i="14" s="1"/>
  <c r="R328" i="14"/>
  <c r="M331" i="14"/>
  <c r="O318" i="14"/>
  <c r="N318" i="14" s="1"/>
  <c r="M318" i="14"/>
  <c r="O320" i="14"/>
  <c r="N320" i="14" s="1"/>
  <c r="M320" i="14"/>
  <c r="O322" i="14"/>
  <c r="N322" i="14" s="1"/>
  <c r="M322" i="14"/>
  <c r="O324" i="14"/>
  <c r="N324" i="14" s="1"/>
  <c r="M324" i="14"/>
  <c r="Q328" i="14"/>
  <c r="M332" i="14"/>
  <c r="E625" i="16"/>
  <c r="E671" i="16" s="1"/>
  <c r="H605" i="16"/>
  <c r="G454" i="17"/>
  <c r="G498" i="17" s="1"/>
  <c r="F453" i="17"/>
  <c r="I453" i="17" s="1"/>
  <c r="P453" i="17"/>
  <c r="P454" i="17"/>
  <c r="F445" i="17"/>
  <c r="P462" i="17"/>
  <c r="P463" i="17" s="1"/>
  <c r="I462" i="17"/>
  <c r="D498" i="17"/>
  <c r="P464" i="17"/>
  <c r="P496" i="17" s="1"/>
  <c r="P497" i="17" s="1"/>
  <c r="F464" i="17"/>
  <c r="H496" i="17"/>
  <c r="H497" i="17" s="1"/>
  <c r="H498" i="17" s="1"/>
  <c r="I777" i="13"/>
  <c r="I800" i="13"/>
  <c r="I808" i="13" s="1"/>
  <c r="I809" i="13"/>
  <c r="I814" i="13" s="1"/>
  <c r="I817" i="13"/>
  <c r="I819" i="13" s="1"/>
  <c r="I820" i="13"/>
  <c r="I823" i="13" s="1"/>
  <c r="I828" i="13"/>
  <c r="I831" i="13" s="1"/>
  <c r="I846" i="13"/>
  <c r="I848" i="13" s="1"/>
  <c r="I753" i="13"/>
  <c r="I757" i="13" s="1"/>
  <c r="I758" i="13"/>
  <c r="I765" i="13" s="1"/>
  <c r="I766" i="13"/>
  <c r="I773" i="13" s="1"/>
  <c r="I774" i="13"/>
  <c r="I778" i="13"/>
  <c r="I781" i="13" s="1"/>
  <c r="I783" i="13"/>
  <c r="I787" i="13" s="1"/>
  <c r="I788" i="13"/>
  <c r="I796" i="13" s="1"/>
  <c r="I832" i="13"/>
  <c r="I836" i="13" s="1"/>
  <c r="I837" i="13"/>
  <c r="I839" i="13" s="1"/>
  <c r="I840" i="13"/>
  <c r="I844" i="13" s="1"/>
  <c r="G791" i="1"/>
  <c r="H760" i="1"/>
  <c r="H777" i="1" s="1"/>
  <c r="G768" i="1"/>
  <c r="J768" i="1" s="1"/>
  <c r="G776" i="1"/>
  <c r="J776" i="1" s="1"/>
  <c r="G814" i="1"/>
  <c r="J811" i="1"/>
  <c r="G818" i="1"/>
  <c r="J818" i="1" s="1"/>
  <c r="I777" i="1"/>
  <c r="J753" i="1"/>
  <c r="G754" i="1"/>
  <c r="J754" i="1" s="1"/>
  <c r="G782" i="1"/>
  <c r="J778" i="1"/>
  <c r="I792" i="1"/>
  <c r="H803" i="1"/>
  <c r="G802" i="1"/>
  <c r="J802" i="1" s="1"/>
  <c r="I810" i="1"/>
  <c r="I821" i="1" s="1"/>
  <c r="I822" i="1" s="1"/>
  <c r="G809" i="1"/>
  <c r="J809" i="1" s="1"/>
  <c r="H809" i="1"/>
  <c r="E848" i="1"/>
  <c r="I848" i="1"/>
  <c r="I849" i="1" s="1"/>
  <c r="G831" i="1"/>
  <c r="J831" i="1" s="1"/>
  <c r="J827" i="1"/>
  <c r="G826" i="1"/>
  <c r="H831" i="1"/>
  <c r="H848" i="1" s="1"/>
  <c r="H849" i="1" s="1"/>
  <c r="G834" i="1"/>
  <c r="J834" i="1" s="1"/>
  <c r="J832" i="1"/>
  <c r="G840" i="1"/>
  <c r="J840" i="1" s="1"/>
  <c r="G844" i="1"/>
  <c r="J844" i="1" s="1"/>
  <c r="H648" i="1"/>
  <c r="E344" i="14"/>
  <c r="D344" i="14"/>
  <c r="I344" i="14"/>
  <c r="H344" i="14"/>
  <c r="J344" i="14"/>
  <c r="H396" i="17"/>
  <c r="G396" i="17"/>
  <c r="I702" i="1"/>
  <c r="H702" i="1"/>
  <c r="H696" i="1"/>
  <c r="I345" i="14"/>
  <c r="H345" i="14"/>
  <c r="D345" i="14"/>
  <c r="J345" i="14"/>
  <c r="I707" i="1"/>
  <c r="H707" i="1"/>
  <c r="H428" i="17"/>
  <c r="G428" i="17"/>
  <c r="H426" i="17"/>
  <c r="G426" i="17"/>
  <c r="H419" i="17"/>
  <c r="G419" i="17"/>
  <c r="H402" i="17"/>
  <c r="G402" i="17"/>
  <c r="E347" i="14"/>
  <c r="D347" i="14"/>
  <c r="I347" i="14"/>
  <c r="H347" i="14"/>
  <c r="J348" i="14"/>
  <c r="J347" i="14"/>
  <c r="I722" i="1"/>
  <c r="H722" i="1"/>
  <c r="H564" i="16"/>
  <c r="G434" i="17"/>
  <c r="F535" i="16"/>
  <c r="F619" i="16" s="1"/>
  <c r="F704" i="16" s="1"/>
  <c r="H535" i="16"/>
  <c r="I535" i="16"/>
  <c r="H793" i="1" l="1"/>
  <c r="S328" i="14"/>
  <c r="S331" i="14"/>
  <c r="I1464" i="16"/>
  <c r="F1556" i="16"/>
  <c r="F790" i="16"/>
  <c r="I704" i="16"/>
  <c r="F965" i="16"/>
  <c r="I877" i="16"/>
  <c r="F879" i="16"/>
  <c r="I791" i="16"/>
  <c r="F797" i="13"/>
  <c r="I619" i="16"/>
  <c r="I703" i="16"/>
  <c r="P332" i="14"/>
  <c r="H625" i="16"/>
  <c r="E849" i="1"/>
  <c r="C127" i="15"/>
  <c r="C129" i="15" s="1"/>
  <c r="G819" i="1"/>
  <c r="J819" i="1" s="1"/>
  <c r="I815" i="13"/>
  <c r="F852" i="13"/>
  <c r="F853" i="13" s="1"/>
  <c r="F824" i="13"/>
  <c r="F815" i="13"/>
  <c r="E793" i="1"/>
  <c r="C120" i="15"/>
  <c r="C123" i="15" s="1"/>
  <c r="I797" i="13"/>
  <c r="F782" i="13"/>
  <c r="Q332" i="14"/>
  <c r="S332" i="14" s="1"/>
  <c r="T328" i="14"/>
  <c r="R327" i="14"/>
  <c r="P327" i="14"/>
  <c r="Q327" i="14"/>
  <c r="Q325" i="14"/>
  <c r="R325" i="14"/>
  <c r="P325" i="14"/>
  <c r="Q323" i="14"/>
  <c r="R323" i="14"/>
  <c r="P323" i="14"/>
  <c r="Q321" i="14"/>
  <c r="R321" i="14"/>
  <c r="P321" i="14"/>
  <c r="Q319" i="14"/>
  <c r="R319" i="14"/>
  <c r="P319" i="14"/>
  <c r="Q317" i="14"/>
  <c r="R317" i="14"/>
  <c r="P317" i="14"/>
  <c r="R330" i="14"/>
  <c r="P330" i="14"/>
  <c r="Q330" i="14"/>
  <c r="S330" i="14" s="1"/>
  <c r="T330" i="14" s="1"/>
  <c r="Q329" i="14"/>
  <c r="P329" i="14"/>
  <c r="R329" i="14"/>
  <c r="Q324" i="14"/>
  <c r="P324" i="14"/>
  <c r="R324" i="14"/>
  <c r="Q322" i="14"/>
  <c r="P322" i="14"/>
  <c r="R322" i="14"/>
  <c r="Q320" i="14"/>
  <c r="P320" i="14"/>
  <c r="R320" i="14"/>
  <c r="Q318" i="14"/>
  <c r="P318" i="14"/>
  <c r="R318" i="14"/>
  <c r="T331" i="14"/>
  <c r="R326" i="14"/>
  <c r="P326" i="14"/>
  <c r="Q326" i="14"/>
  <c r="S326" i="14" s="1"/>
  <c r="P498" i="17"/>
  <c r="F496" i="17"/>
  <c r="I464" i="17"/>
  <c r="I445" i="17"/>
  <c r="F454" i="17"/>
  <c r="I454" i="17" s="1"/>
  <c r="I824" i="13"/>
  <c r="I782" i="13"/>
  <c r="I798" i="13" s="1"/>
  <c r="I852" i="13"/>
  <c r="I853" i="13" s="1"/>
  <c r="J814" i="1"/>
  <c r="H810" i="1"/>
  <c r="H821" i="1" s="1"/>
  <c r="H822" i="1" s="1"/>
  <c r="H850" i="1" s="1"/>
  <c r="G848" i="1"/>
  <c r="J826" i="1"/>
  <c r="G792" i="1"/>
  <c r="J782" i="1"/>
  <c r="I793" i="1"/>
  <c r="I850" i="1" s="1"/>
  <c r="G803" i="1"/>
  <c r="G760" i="1"/>
  <c r="L350" i="14"/>
  <c r="K350" i="14"/>
  <c r="O350" i="14" s="1"/>
  <c r="G350" i="14"/>
  <c r="C350" i="14"/>
  <c r="L349" i="14"/>
  <c r="K349" i="14"/>
  <c r="G349" i="14"/>
  <c r="C349" i="14"/>
  <c r="L348" i="14"/>
  <c r="K348" i="14"/>
  <c r="O348" i="14" s="1"/>
  <c r="G348" i="14"/>
  <c r="C348" i="14"/>
  <c r="L347" i="14"/>
  <c r="K347" i="14" s="1"/>
  <c r="O347" i="14" s="1"/>
  <c r="G347" i="14"/>
  <c r="C347" i="14"/>
  <c r="L346" i="14"/>
  <c r="K346" i="14"/>
  <c r="O346" i="14" s="1"/>
  <c r="G346" i="14"/>
  <c r="C346" i="14"/>
  <c r="L345" i="14"/>
  <c r="K345" i="14" s="1"/>
  <c r="O345" i="14" s="1"/>
  <c r="G345" i="14"/>
  <c r="C345" i="14"/>
  <c r="G344" i="14"/>
  <c r="L344" i="14"/>
  <c r="K344" i="14" s="1"/>
  <c r="C344" i="14"/>
  <c r="G343" i="14"/>
  <c r="L342" i="14"/>
  <c r="K342" i="14" s="1"/>
  <c r="G342" i="14"/>
  <c r="C342" i="14"/>
  <c r="L341" i="14"/>
  <c r="K341" i="14" s="1"/>
  <c r="O341" i="14" s="1"/>
  <c r="N341" i="14" s="1"/>
  <c r="G341" i="14"/>
  <c r="C341" i="14"/>
  <c r="L340" i="14"/>
  <c r="K340" i="14" s="1"/>
  <c r="G340" i="14"/>
  <c r="C340" i="14"/>
  <c r="L339" i="14"/>
  <c r="K339" i="14" s="1"/>
  <c r="G339" i="14"/>
  <c r="C339" i="14"/>
  <c r="L338" i="14"/>
  <c r="K338" i="14" s="1"/>
  <c r="G338" i="14"/>
  <c r="C338" i="14"/>
  <c r="L337" i="14"/>
  <c r="K337" i="14" s="1"/>
  <c r="G337" i="14"/>
  <c r="C337" i="14"/>
  <c r="L336" i="14"/>
  <c r="K336" i="14" s="1"/>
  <c r="G336" i="14"/>
  <c r="C336" i="14"/>
  <c r="L335" i="14"/>
  <c r="K335" i="14" s="1"/>
  <c r="G335" i="14"/>
  <c r="C335" i="14"/>
  <c r="E113" i="15"/>
  <c r="E110" i="15"/>
  <c r="E107" i="15"/>
  <c r="H584" i="16"/>
  <c r="E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3" i="16"/>
  <c r="H562" i="16"/>
  <c r="E561" i="16"/>
  <c r="H560" i="16"/>
  <c r="H559" i="16"/>
  <c r="H558" i="16"/>
  <c r="H557" i="16"/>
  <c r="H556" i="16"/>
  <c r="H555" i="16"/>
  <c r="H554" i="16"/>
  <c r="H553" i="16"/>
  <c r="H552" i="16"/>
  <c r="H551" i="16"/>
  <c r="H550" i="16"/>
  <c r="H549" i="16"/>
  <c r="H548" i="16"/>
  <c r="H547" i="16"/>
  <c r="H546" i="16"/>
  <c r="H545" i="16"/>
  <c r="H544" i="16"/>
  <c r="H543" i="16"/>
  <c r="H542" i="16"/>
  <c r="H541" i="16"/>
  <c r="I539" i="16"/>
  <c r="E538" i="16"/>
  <c r="H537" i="16"/>
  <c r="H536" i="16"/>
  <c r="I534" i="16"/>
  <c r="H534" i="16"/>
  <c r="E533" i="16"/>
  <c r="H532" i="16"/>
  <c r="H531" i="16"/>
  <c r="H530" i="16"/>
  <c r="H529" i="16"/>
  <c r="H528" i="16"/>
  <c r="H527" i="16"/>
  <c r="H526" i="16"/>
  <c r="H525" i="16"/>
  <c r="H524" i="16"/>
  <c r="H523" i="16"/>
  <c r="H522" i="16"/>
  <c r="E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E435" i="17"/>
  <c r="E436" i="17" s="1"/>
  <c r="D435" i="17"/>
  <c r="H434" i="17"/>
  <c r="H435" i="17" s="1"/>
  <c r="G435" i="17"/>
  <c r="D434" i="17"/>
  <c r="P433" i="17"/>
  <c r="F433" i="17"/>
  <c r="I433" i="17" s="1"/>
  <c r="P432" i="17"/>
  <c r="F432" i="17"/>
  <c r="I432" i="17" s="1"/>
  <c r="P431" i="17"/>
  <c r="I431" i="17"/>
  <c r="F431" i="17"/>
  <c r="P430" i="17"/>
  <c r="F430" i="17"/>
  <c r="I430" i="17" s="1"/>
  <c r="P429" i="17"/>
  <c r="F429" i="17"/>
  <c r="I429" i="17" s="1"/>
  <c r="P428" i="17"/>
  <c r="F428" i="17"/>
  <c r="I428" i="17" s="1"/>
  <c r="P427" i="17"/>
  <c r="I427" i="17"/>
  <c r="F427" i="17"/>
  <c r="P426" i="17"/>
  <c r="F426" i="17"/>
  <c r="I426" i="17" s="1"/>
  <c r="P425" i="17"/>
  <c r="F425" i="17"/>
  <c r="I425" i="17" s="1"/>
  <c r="P424" i="17"/>
  <c r="F424" i="17"/>
  <c r="I424" i="17" s="1"/>
  <c r="P423" i="17"/>
  <c r="F423" i="17"/>
  <c r="I423" i="17" s="1"/>
  <c r="P422" i="17"/>
  <c r="F422" i="17"/>
  <c r="I422" i="17" s="1"/>
  <c r="P421" i="17"/>
  <c r="F421" i="17"/>
  <c r="I421" i="17" s="1"/>
  <c r="P420" i="17"/>
  <c r="F420" i="17"/>
  <c r="I420" i="17" s="1"/>
  <c r="P419" i="17"/>
  <c r="F419" i="17"/>
  <c r="I419" i="17" s="1"/>
  <c r="P418" i="17"/>
  <c r="F418" i="17"/>
  <c r="I418" i="17" s="1"/>
  <c r="P417" i="17"/>
  <c r="F417" i="17"/>
  <c r="I417" i="17" s="1"/>
  <c r="P416" i="17"/>
  <c r="F416" i="17"/>
  <c r="I416" i="17" s="1"/>
  <c r="P415" i="17"/>
  <c r="F415" i="17"/>
  <c r="I415" i="17" s="1"/>
  <c r="P414" i="17"/>
  <c r="F414" i="17"/>
  <c r="I414" i="17" s="1"/>
  <c r="P413" i="17"/>
  <c r="I413" i="17"/>
  <c r="F413" i="17"/>
  <c r="P412" i="17"/>
  <c r="F412" i="17"/>
  <c r="I412" i="17" s="1"/>
  <c r="P411" i="17"/>
  <c r="I411" i="17"/>
  <c r="F411" i="17"/>
  <c r="P410" i="17"/>
  <c r="F410" i="17"/>
  <c r="I410" i="17" s="1"/>
  <c r="P409" i="17"/>
  <c r="F409" i="17"/>
  <c r="I409" i="17" s="1"/>
  <c r="P408" i="17"/>
  <c r="F408" i="17"/>
  <c r="P407" i="17"/>
  <c r="I407" i="17"/>
  <c r="F407" i="17"/>
  <c r="P406" i="17"/>
  <c r="F406" i="17"/>
  <c r="I406" i="17" s="1"/>
  <c r="P405" i="17"/>
  <c r="F405" i="17"/>
  <c r="I405" i="17" s="1"/>
  <c r="P404" i="17"/>
  <c r="F404" i="17"/>
  <c r="I404" i="17" s="1"/>
  <c r="P403" i="17"/>
  <c r="F403" i="17"/>
  <c r="I403" i="17" s="1"/>
  <c r="P402" i="17"/>
  <c r="F402" i="17"/>
  <c r="I402" i="17" s="1"/>
  <c r="E401" i="17"/>
  <c r="D401" i="17"/>
  <c r="H400" i="17"/>
  <c r="H401" i="17" s="1"/>
  <c r="G400" i="17"/>
  <c r="G401" i="17" s="1"/>
  <c r="P399" i="17"/>
  <c r="F399" i="17"/>
  <c r="I399" i="17" s="1"/>
  <c r="P398" i="17"/>
  <c r="F398" i="17"/>
  <c r="I398" i="17" s="1"/>
  <c r="P397" i="17"/>
  <c r="F397" i="17"/>
  <c r="I397" i="17" s="1"/>
  <c r="P396" i="17"/>
  <c r="F396" i="17"/>
  <c r="I396" i="17" s="1"/>
  <c r="P395" i="17"/>
  <c r="F395" i="17"/>
  <c r="I395" i="17" s="1"/>
  <c r="P394" i="17"/>
  <c r="F394" i="17"/>
  <c r="I394" i="17" s="1"/>
  <c r="P393" i="17"/>
  <c r="F393" i="17"/>
  <c r="E392" i="17"/>
  <c r="H391" i="17"/>
  <c r="G391" i="17"/>
  <c r="D391" i="17"/>
  <c r="P390" i="17"/>
  <c r="F390" i="17"/>
  <c r="I390" i="17" s="1"/>
  <c r="P389" i="17"/>
  <c r="F389" i="17"/>
  <c r="I389" i="17" s="1"/>
  <c r="P388" i="17"/>
  <c r="F388" i="17"/>
  <c r="I388" i="17" s="1"/>
  <c r="P387" i="17"/>
  <c r="F387" i="17"/>
  <c r="I387" i="17" s="1"/>
  <c r="P386" i="17"/>
  <c r="F386" i="17"/>
  <c r="I386" i="17" s="1"/>
  <c r="P385" i="17"/>
  <c r="F385" i="17"/>
  <c r="I385" i="17" s="1"/>
  <c r="P384" i="17"/>
  <c r="F384" i="17"/>
  <c r="I384" i="17" s="1"/>
  <c r="H383" i="17"/>
  <c r="H392" i="17" s="1"/>
  <c r="G383" i="17"/>
  <c r="G392" i="17" s="1"/>
  <c r="D383" i="17"/>
  <c r="P382" i="17"/>
  <c r="F382" i="17"/>
  <c r="I382" i="17" s="1"/>
  <c r="P381" i="17"/>
  <c r="F381" i="17"/>
  <c r="I381" i="17" s="1"/>
  <c r="P380" i="17"/>
  <c r="F380" i="17"/>
  <c r="I380" i="17" s="1"/>
  <c r="P379" i="17"/>
  <c r="F379" i="17"/>
  <c r="I379" i="17" s="1"/>
  <c r="P378" i="17"/>
  <c r="F378" i="17"/>
  <c r="I378" i="17" s="1"/>
  <c r="J745" i="13"/>
  <c r="I745" i="13"/>
  <c r="F744" i="13"/>
  <c r="F743" i="13"/>
  <c r="F741" i="13"/>
  <c r="I741" i="13" s="1"/>
  <c r="F740" i="13"/>
  <c r="I740" i="13" s="1"/>
  <c r="F739" i="13"/>
  <c r="F737" i="13"/>
  <c r="I737" i="13" s="1"/>
  <c r="F736" i="13"/>
  <c r="I736" i="13" s="1"/>
  <c r="F735" i="13"/>
  <c r="I735" i="13" s="1"/>
  <c r="F734" i="13"/>
  <c r="F732" i="13"/>
  <c r="I732" i="13" s="1"/>
  <c r="F731" i="13"/>
  <c r="F729" i="13"/>
  <c r="I729" i="13" s="1"/>
  <c r="F728" i="13"/>
  <c r="I728" i="13" s="1"/>
  <c r="F727" i="13"/>
  <c r="I727" i="13" s="1"/>
  <c r="F726" i="13"/>
  <c r="F724" i="13"/>
  <c r="I724" i="13" s="1"/>
  <c r="F723" i="13"/>
  <c r="I723" i="13" s="1"/>
  <c r="F722" i="13"/>
  <c r="I722" i="13" s="1"/>
  <c r="F719" i="13"/>
  <c r="I719" i="13" s="1"/>
  <c r="F716" i="13"/>
  <c r="I716" i="13" s="1"/>
  <c r="F715" i="13"/>
  <c r="I715" i="13" s="1"/>
  <c r="F714" i="13"/>
  <c r="I714" i="13" s="1"/>
  <c r="F712" i="13"/>
  <c r="I712" i="13" s="1"/>
  <c r="F711" i="13"/>
  <c r="I711" i="13" s="1"/>
  <c r="F710" i="13"/>
  <c r="F707" i="13"/>
  <c r="I707" i="13" s="1"/>
  <c r="F706" i="13"/>
  <c r="I706" i="13" s="1"/>
  <c r="F705" i="13"/>
  <c r="I705" i="13" s="1"/>
  <c r="F704" i="13"/>
  <c r="F703" i="13"/>
  <c r="I703" i="13" s="1"/>
  <c r="F701" i="13"/>
  <c r="I701" i="13" s="1"/>
  <c r="F700" i="13"/>
  <c r="I700" i="13" s="1"/>
  <c r="F699" i="13"/>
  <c r="I699" i="13" s="1"/>
  <c r="F698" i="13"/>
  <c r="I698" i="13" s="1"/>
  <c r="F697" i="13"/>
  <c r="I697" i="13" s="1"/>
  <c r="F696" i="13"/>
  <c r="I696" i="13" s="1"/>
  <c r="F695" i="13"/>
  <c r="I695" i="13" s="1"/>
  <c r="F694" i="13"/>
  <c r="I694" i="13" s="1"/>
  <c r="F693" i="13"/>
  <c r="F689" i="13"/>
  <c r="I689" i="13" s="1"/>
  <c r="F688" i="13"/>
  <c r="I688" i="13" s="1"/>
  <c r="F687" i="13"/>
  <c r="I687" i="13" s="1"/>
  <c r="F686" i="13"/>
  <c r="I686" i="13" s="1"/>
  <c r="F685" i="13"/>
  <c r="I685" i="13" s="1"/>
  <c r="F684" i="13"/>
  <c r="I684" i="13" s="1"/>
  <c r="F683" i="13"/>
  <c r="I683" i="13" s="1"/>
  <c r="F682" i="13"/>
  <c r="F680" i="13"/>
  <c r="I680" i="13" s="1"/>
  <c r="F679" i="13"/>
  <c r="I679" i="13" s="1"/>
  <c r="F678" i="13"/>
  <c r="I678" i="13" s="1"/>
  <c r="F677" i="13"/>
  <c r="F674" i="13"/>
  <c r="I674" i="13" s="1"/>
  <c r="F673" i="13"/>
  <c r="F672" i="13"/>
  <c r="I672" i="13" s="1"/>
  <c r="F670" i="13"/>
  <c r="I670" i="13" s="1"/>
  <c r="F669" i="13"/>
  <c r="I669" i="13" s="1"/>
  <c r="F668" i="13"/>
  <c r="F666" i="13"/>
  <c r="I666" i="13" s="1"/>
  <c r="F665" i="13"/>
  <c r="I665" i="13" s="1"/>
  <c r="F664" i="13"/>
  <c r="I664" i="13" s="1"/>
  <c r="F663" i="13"/>
  <c r="I663" i="13" s="1"/>
  <c r="F662" i="13"/>
  <c r="I662" i="13" s="1"/>
  <c r="F661" i="13"/>
  <c r="F660" i="13"/>
  <c r="I660" i="13" s="1"/>
  <c r="F658" i="13"/>
  <c r="I658" i="13" s="1"/>
  <c r="F657" i="13"/>
  <c r="I657" i="13" s="1"/>
  <c r="F656" i="13"/>
  <c r="I656" i="13" s="1"/>
  <c r="F655" i="13"/>
  <c r="I655" i="13" s="1"/>
  <c r="F654" i="13"/>
  <c r="I654" i="13" s="1"/>
  <c r="F653" i="13"/>
  <c r="I653" i="13" s="1"/>
  <c r="F652" i="13"/>
  <c r="F650" i="13"/>
  <c r="I650" i="13" s="1"/>
  <c r="F649" i="13"/>
  <c r="I649" i="13" s="1"/>
  <c r="F648" i="13"/>
  <c r="I648" i="13" s="1"/>
  <c r="F647" i="13"/>
  <c r="H708" i="1"/>
  <c r="I708" i="1"/>
  <c r="F742" i="1"/>
  <c r="F743" i="1" s="1"/>
  <c r="I741" i="1"/>
  <c r="H741" i="1"/>
  <c r="F745" i="13" s="1"/>
  <c r="G740" i="1"/>
  <c r="J740" i="1" s="1"/>
  <c r="G739" i="1"/>
  <c r="J739" i="1" s="1"/>
  <c r="I738" i="1"/>
  <c r="H738" i="1"/>
  <c r="E738" i="1"/>
  <c r="G737" i="1"/>
  <c r="J737" i="1" s="1"/>
  <c r="G736" i="1"/>
  <c r="J736" i="1" s="1"/>
  <c r="G735" i="1"/>
  <c r="J735" i="1" s="1"/>
  <c r="I734" i="1"/>
  <c r="H734" i="1"/>
  <c r="E734" i="1"/>
  <c r="G733" i="1"/>
  <c r="J733" i="1" s="1"/>
  <c r="G732" i="1"/>
  <c r="J732" i="1" s="1"/>
  <c r="G731" i="1"/>
  <c r="J731" i="1" s="1"/>
  <c r="G730" i="1"/>
  <c r="J730" i="1" s="1"/>
  <c r="G729" i="1"/>
  <c r="J729" i="1" s="1"/>
  <c r="I728" i="1"/>
  <c r="H728" i="1"/>
  <c r="E728" i="1"/>
  <c r="G727" i="1"/>
  <c r="J727" i="1" s="1"/>
  <c r="G726" i="1"/>
  <c r="I725" i="1"/>
  <c r="H725" i="1"/>
  <c r="E725" i="1"/>
  <c r="G724" i="1"/>
  <c r="J724" i="1" s="1"/>
  <c r="G723" i="1"/>
  <c r="J723" i="1" s="1"/>
  <c r="G722" i="1"/>
  <c r="J722" i="1" s="1"/>
  <c r="G721" i="1"/>
  <c r="I720" i="1"/>
  <c r="H720" i="1"/>
  <c r="E720" i="1"/>
  <c r="G719" i="1"/>
  <c r="J719" i="1" s="1"/>
  <c r="G718" i="1"/>
  <c r="J718" i="1" s="1"/>
  <c r="G717" i="1"/>
  <c r="J717" i="1" s="1"/>
  <c r="F715" i="1"/>
  <c r="F716" i="1" s="1"/>
  <c r="G714" i="1"/>
  <c r="J714" i="1" s="1"/>
  <c r="I712" i="1"/>
  <c r="H712" i="1"/>
  <c r="E712" i="1"/>
  <c r="E713" i="1" s="1"/>
  <c r="G711" i="1"/>
  <c r="J711" i="1" s="1"/>
  <c r="G710" i="1"/>
  <c r="J710" i="1" s="1"/>
  <c r="G709" i="1"/>
  <c r="G707" i="1"/>
  <c r="J707" i="1" s="1"/>
  <c r="G706" i="1"/>
  <c r="J706" i="1" s="1"/>
  <c r="G705" i="1"/>
  <c r="J705" i="1" s="1"/>
  <c r="I703" i="1"/>
  <c r="E703" i="1"/>
  <c r="G702" i="1"/>
  <c r="J702" i="1" s="1"/>
  <c r="G700" i="1"/>
  <c r="J700" i="1" s="1"/>
  <c r="G699" i="1"/>
  <c r="J699" i="1" s="1"/>
  <c r="G698" i="1"/>
  <c r="J698" i="1" s="1"/>
  <c r="I697" i="1"/>
  <c r="H697" i="1"/>
  <c r="E697" i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F686" i="1"/>
  <c r="I685" i="1"/>
  <c r="H685" i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E677" i="1"/>
  <c r="E685" i="1" s="1"/>
  <c r="I676" i="1"/>
  <c r="H676" i="1"/>
  <c r="E676" i="1"/>
  <c r="G675" i="1"/>
  <c r="J675" i="1" s="1"/>
  <c r="G674" i="1"/>
  <c r="J674" i="1" s="1"/>
  <c r="G673" i="1"/>
  <c r="J673" i="1" s="1"/>
  <c r="G672" i="1"/>
  <c r="J672" i="1" s="1"/>
  <c r="I670" i="1"/>
  <c r="H670" i="1"/>
  <c r="E670" i="1"/>
  <c r="G669" i="1"/>
  <c r="J669" i="1" s="1"/>
  <c r="G668" i="1"/>
  <c r="J668" i="1" s="1"/>
  <c r="G667" i="1"/>
  <c r="I666" i="1"/>
  <c r="H666" i="1"/>
  <c r="F666" i="1"/>
  <c r="F671" i="1" s="1"/>
  <c r="F687" i="1" s="1"/>
  <c r="F744" i="1" s="1"/>
  <c r="E666" i="1"/>
  <c r="G665" i="1"/>
  <c r="G664" i="1"/>
  <c r="J664" i="1" s="1"/>
  <c r="G663" i="1"/>
  <c r="J663" i="1" s="1"/>
  <c r="I662" i="1"/>
  <c r="H662" i="1"/>
  <c r="E662" i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I654" i="1"/>
  <c r="H654" i="1"/>
  <c r="E654" i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I646" i="1"/>
  <c r="H646" i="1"/>
  <c r="E646" i="1"/>
  <c r="G645" i="1"/>
  <c r="J645" i="1" s="1"/>
  <c r="G644" i="1"/>
  <c r="J644" i="1" s="1"/>
  <c r="G643" i="1"/>
  <c r="J643" i="1" s="1"/>
  <c r="G642" i="1"/>
  <c r="I686" i="1" l="1"/>
  <c r="S317" i="14"/>
  <c r="S325" i="14"/>
  <c r="S327" i="14"/>
  <c r="T327" i="14" s="1"/>
  <c r="T332" i="14"/>
  <c r="D392" i="17"/>
  <c r="F400" i="17"/>
  <c r="H671" i="1"/>
  <c r="T317" i="14"/>
  <c r="S321" i="14"/>
  <c r="T321" i="14" s="1"/>
  <c r="T325" i="14"/>
  <c r="F798" i="13"/>
  <c r="I1556" i="16"/>
  <c r="F1648" i="16"/>
  <c r="F967" i="16"/>
  <c r="I879" i="16"/>
  <c r="F1053" i="16"/>
  <c r="I965" i="16"/>
  <c r="F878" i="16"/>
  <c r="I790" i="16"/>
  <c r="F671" i="13"/>
  <c r="F681" i="13"/>
  <c r="F690" i="13"/>
  <c r="F702" i="13"/>
  <c r="F713" i="13"/>
  <c r="I826" i="13"/>
  <c r="I827" i="13" s="1"/>
  <c r="I854" i="13" s="1"/>
  <c r="F826" i="13"/>
  <c r="F827" i="13" s="1"/>
  <c r="E686" i="1"/>
  <c r="C106" i="15" s="1"/>
  <c r="E671" i="1"/>
  <c r="E704" i="1"/>
  <c r="E715" i="1" s="1"/>
  <c r="F733" i="13"/>
  <c r="F738" i="13"/>
  <c r="C130" i="15"/>
  <c r="E850" i="1"/>
  <c r="F667" i="13"/>
  <c r="F675" i="13"/>
  <c r="G670" i="1"/>
  <c r="J670" i="1" s="1"/>
  <c r="G712" i="1"/>
  <c r="J712" i="1" s="1"/>
  <c r="G738" i="1"/>
  <c r="J738" i="1" s="1"/>
  <c r="F651" i="13"/>
  <c r="F659" i="13"/>
  <c r="F717" i="13"/>
  <c r="F718" i="13" s="1"/>
  <c r="F730" i="13"/>
  <c r="T326" i="14"/>
  <c r="S320" i="14"/>
  <c r="T320" i="14" s="1"/>
  <c r="S324" i="14"/>
  <c r="T324" i="14" s="1"/>
  <c r="S329" i="14"/>
  <c r="T329" i="14" s="1"/>
  <c r="S318" i="14"/>
  <c r="T318" i="14" s="1"/>
  <c r="S322" i="14"/>
  <c r="T322" i="14" s="1"/>
  <c r="S319" i="14"/>
  <c r="T319" i="14" s="1"/>
  <c r="S323" i="14"/>
  <c r="T323" i="14" s="1"/>
  <c r="F497" i="17"/>
  <c r="I496" i="17"/>
  <c r="J760" i="1"/>
  <c r="G777" i="1"/>
  <c r="G810" i="1"/>
  <c r="J803" i="1"/>
  <c r="J791" i="1"/>
  <c r="J792" i="1"/>
  <c r="G849" i="1"/>
  <c r="J848" i="1"/>
  <c r="J849" i="1" s="1"/>
  <c r="G646" i="1"/>
  <c r="J646" i="1" s="1"/>
  <c r="F708" i="13"/>
  <c r="H713" i="1"/>
  <c r="I704" i="1"/>
  <c r="H583" i="16"/>
  <c r="F725" i="13"/>
  <c r="H533" i="16"/>
  <c r="N345" i="14"/>
  <c r="P345" i="14" s="1"/>
  <c r="N346" i="14"/>
  <c r="P346" i="14" s="1"/>
  <c r="N347" i="14"/>
  <c r="P347" i="14" s="1"/>
  <c r="N348" i="14"/>
  <c r="P348" i="14" s="1"/>
  <c r="N350" i="14"/>
  <c r="R350" i="14" s="1"/>
  <c r="R341" i="14"/>
  <c r="P341" i="14"/>
  <c r="Q341" i="14"/>
  <c r="S341" i="14" s="1"/>
  <c r="O344" i="14"/>
  <c r="N344" i="14" s="1"/>
  <c r="M344" i="14"/>
  <c r="R345" i="14"/>
  <c r="R346" i="14"/>
  <c r="O335" i="14"/>
  <c r="N335" i="14" s="1"/>
  <c r="M335" i="14"/>
  <c r="O336" i="14"/>
  <c r="N336" i="14" s="1"/>
  <c r="M336" i="14"/>
  <c r="O338" i="14"/>
  <c r="N338" i="14" s="1"/>
  <c r="M338" i="14"/>
  <c r="O340" i="14"/>
  <c r="N340" i="14" s="1"/>
  <c r="M340" i="14"/>
  <c r="M341" i="14"/>
  <c r="L343" i="14"/>
  <c r="K343" i="14" s="1"/>
  <c r="C343" i="14"/>
  <c r="M345" i="14"/>
  <c r="M346" i="14"/>
  <c r="M347" i="14"/>
  <c r="M348" i="14"/>
  <c r="O349" i="14"/>
  <c r="N349" i="14" s="1"/>
  <c r="M349" i="14"/>
  <c r="P350" i="14"/>
  <c r="O337" i="14"/>
  <c r="N337" i="14" s="1"/>
  <c r="M337" i="14"/>
  <c r="O339" i="14"/>
  <c r="N339" i="14" s="1"/>
  <c r="M339" i="14"/>
  <c r="O342" i="14"/>
  <c r="N342" i="14" s="1"/>
  <c r="M342" i="14"/>
  <c r="M350" i="14"/>
  <c r="H538" i="16"/>
  <c r="E540" i="16"/>
  <c r="E586" i="16" s="1"/>
  <c r="H521" i="16"/>
  <c r="P434" i="17"/>
  <c r="P435" i="17" s="1"/>
  <c r="P400" i="17"/>
  <c r="P401" i="17" s="1"/>
  <c r="I393" i="17"/>
  <c r="P391" i="17"/>
  <c r="F383" i="17"/>
  <c r="F401" i="17"/>
  <c r="I401" i="17" s="1"/>
  <c r="I400" i="17"/>
  <c r="G436" i="17"/>
  <c r="P383" i="17"/>
  <c r="P392" i="17" s="1"/>
  <c r="F391" i="17"/>
  <c r="I391" i="17" s="1"/>
  <c r="D436" i="17"/>
  <c r="F434" i="17"/>
  <c r="H436" i="17"/>
  <c r="I671" i="13"/>
  <c r="I647" i="13"/>
  <c r="I651" i="13" s="1"/>
  <c r="I652" i="13"/>
  <c r="I659" i="13" s="1"/>
  <c r="I661" i="13"/>
  <c r="I667" i="13" s="1"/>
  <c r="I668" i="13"/>
  <c r="I673" i="13"/>
  <c r="I675" i="13" s="1"/>
  <c r="I677" i="13"/>
  <c r="I681" i="13" s="1"/>
  <c r="I693" i="13"/>
  <c r="I702" i="13" s="1"/>
  <c r="I704" i="13"/>
  <c r="I708" i="13" s="1"/>
  <c r="I710" i="13"/>
  <c r="I713" i="13" s="1"/>
  <c r="I731" i="13"/>
  <c r="I733" i="13" s="1"/>
  <c r="I734" i="13"/>
  <c r="I738" i="13" s="1"/>
  <c r="I682" i="13"/>
  <c r="I690" i="13" s="1"/>
  <c r="I717" i="13"/>
  <c r="I725" i="13"/>
  <c r="I726" i="13"/>
  <c r="I730" i="13" s="1"/>
  <c r="F742" i="13"/>
  <c r="I739" i="13"/>
  <c r="I742" i="13" s="1"/>
  <c r="H742" i="1"/>
  <c r="H743" i="1" s="1"/>
  <c r="I713" i="1"/>
  <c r="J709" i="1"/>
  <c r="J667" i="1"/>
  <c r="I671" i="1"/>
  <c r="I687" i="1" s="1"/>
  <c r="G666" i="1"/>
  <c r="J666" i="1" s="1"/>
  <c r="G676" i="1"/>
  <c r="H703" i="1"/>
  <c r="H704" i="1" s="1"/>
  <c r="G701" i="1"/>
  <c r="J701" i="1" s="1"/>
  <c r="G654" i="1"/>
  <c r="G662" i="1"/>
  <c r="J662" i="1" s="1"/>
  <c r="H686" i="1"/>
  <c r="G685" i="1"/>
  <c r="J677" i="1"/>
  <c r="G697" i="1"/>
  <c r="G708" i="1"/>
  <c r="G734" i="1"/>
  <c r="J734" i="1" s="1"/>
  <c r="E742" i="1"/>
  <c r="I742" i="1"/>
  <c r="I743" i="1" s="1"/>
  <c r="G725" i="1"/>
  <c r="J725" i="1" s="1"/>
  <c r="J721" i="1"/>
  <c r="G728" i="1"/>
  <c r="J728" i="1" s="1"/>
  <c r="J726" i="1"/>
  <c r="G720" i="1"/>
  <c r="G741" i="1"/>
  <c r="J741" i="1" s="1"/>
  <c r="D361" i="14"/>
  <c r="D360" i="14"/>
  <c r="I360" i="14"/>
  <c r="H360" i="14"/>
  <c r="I361" i="14"/>
  <c r="H361" i="14"/>
  <c r="H359" i="14"/>
  <c r="E354" i="14"/>
  <c r="D354" i="14"/>
  <c r="H354" i="14"/>
  <c r="I354" i="14"/>
  <c r="D362" i="14"/>
  <c r="E362" i="14"/>
  <c r="I362" i="14"/>
  <c r="H362" i="14"/>
  <c r="I595" i="1"/>
  <c r="H595" i="1"/>
  <c r="H715" i="1" l="1"/>
  <c r="H716" i="1" s="1"/>
  <c r="Q348" i="14"/>
  <c r="I715" i="1"/>
  <c r="I716" i="1" s="1"/>
  <c r="F854" i="13"/>
  <c r="H687" i="1"/>
  <c r="H744" i="1" s="1"/>
  <c r="R347" i="14"/>
  <c r="G713" i="1"/>
  <c r="J713" i="1" s="1"/>
  <c r="F691" i="13"/>
  <c r="F1742" i="16"/>
  <c r="I1648" i="16"/>
  <c r="I878" i="16"/>
  <c r="F966" i="16"/>
  <c r="F1143" i="16"/>
  <c r="I1053" i="16"/>
  <c r="I967" i="16"/>
  <c r="F1055" i="16"/>
  <c r="F709" i="13"/>
  <c r="E687" i="1"/>
  <c r="C105" i="15"/>
  <c r="C108" i="15" s="1"/>
  <c r="E743" i="1"/>
  <c r="C112" i="15"/>
  <c r="C114" i="15" s="1"/>
  <c r="F746" i="13"/>
  <c r="F747" i="13" s="1"/>
  <c r="F676" i="13"/>
  <c r="E716" i="1"/>
  <c r="C109" i="15"/>
  <c r="C111" i="15" s="1"/>
  <c r="F720" i="13"/>
  <c r="F721" i="13" s="1"/>
  <c r="F498" i="17"/>
  <c r="I498" i="17" s="1"/>
  <c r="I497" i="17"/>
  <c r="J810" i="1"/>
  <c r="G821" i="1"/>
  <c r="G793" i="1"/>
  <c r="J777" i="1"/>
  <c r="I691" i="13"/>
  <c r="Q345" i="14"/>
  <c r="S345" i="14" s="1"/>
  <c r="P436" i="17"/>
  <c r="Q347" i="14"/>
  <c r="S347" i="14" s="1"/>
  <c r="Q350" i="14"/>
  <c r="S350" i="14" s="1"/>
  <c r="T350" i="14" s="1"/>
  <c r="R348" i="14"/>
  <c r="S348" i="14" s="1"/>
  <c r="T348" i="14" s="1"/>
  <c r="Q346" i="14"/>
  <c r="S346" i="14" s="1"/>
  <c r="T346" i="14"/>
  <c r="T341" i="14"/>
  <c r="Q342" i="14"/>
  <c r="P342" i="14"/>
  <c r="R342" i="14"/>
  <c r="Q339" i="14"/>
  <c r="P339" i="14"/>
  <c r="R339" i="14"/>
  <c r="Q337" i="14"/>
  <c r="P337" i="14"/>
  <c r="R337" i="14"/>
  <c r="Q340" i="14"/>
  <c r="R340" i="14"/>
  <c r="P340" i="14"/>
  <c r="Q338" i="14"/>
  <c r="R338" i="14"/>
  <c r="P338" i="14"/>
  <c r="Q336" i="14"/>
  <c r="R336" i="14"/>
  <c r="P336" i="14"/>
  <c r="Q335" i="14"/>
  <c r="R335" i="14"/>
  <c r="P335" i="14"/>
  <c r="R344" i="14"/>
  <c r="P344" i="14"/>
  <c r="Q344" i="14"/>
  <c r="S344" i="14" s="1"/>
  <c r="R349" i="14"/>
  <c r="P349" i="14"/>
  <c r="Q349" i="14"/>
  <c r="S349" i="14" s="1"/>
  <c r="T347" i="14"/>
  <c r="T345" i="14"/>
  <c r="O343" i="14"/>
  <c r="N343" i="14" s="1"/>
  <c r="M343" i="14"/>
  <c r="H540" i="16"/>
  <c r="I383" i="17"/>
  <c r="F392" i="17"/>
  <c r="I392" i="17" s="1"/>
  <c r="F435" i="17"/>
  <c r="I434" i="17"/>
  <c r="I718" i="13"/>
  <c r="I746" i="13"/>
  <c r="I747" i="13" s="1"/>
  <c r="I709" i="13"/>
  <c r="I676" i="13"/>
  <c r="I692" i="13" s="1"/>
  <c r="G703" i="1"/>
  <c r="J703" i="1" s="1"/>
  <c r="I744" i="1"/>
  <c r="G742" i="1"/>
  <c r="J720" i="1"/>
  <c r="J708" i="1"/>
  <c r="J697" i="1"/>
  <c r="J654" i="1"/>
  <c r="G671" i="1"/>
  <c r="J676" i="1"/>
  <c r="G686" i="1"/>
  <c r="K289" i="17"/>
  <c r="K351" i="17"/>
  <c r="K413" i="17" s="1"/>
  <c r="H372" i="17"/>
  <c r="F638" i="13"/>
  <c r="F637" i="13"/>
  <c r="F635" i="13"/>
  <c r="F634" i="13"/>
  <c r="F633" i="13"/>
  <c r="K475" i="17" l="1"/>
  <c r="Q413" i="17"/>
  <c r="F692" i="13"/>
  <c r="F748" i="13" s="1"/>
  <c r="I1742" i="16"/>
  <c r="F1836" i="16"/>
  <c r="I1143" i="16"/>
  <c r="F1233" i="16"/>
  <c r="I1055" i="16"/>
  <c r="F1145" i="16"/>
  <c r="I966" i="16"/>
  <c r="F1054" i="16"/>
  <c r="C115" i="15"/>
  <c r="E744" i="1"/>
  <c r="J793" i="1"/>
  <c r="J821" i="1"/>
  <c r="J822" i="1" s="1"/>
  <c r="G822" i="1"/>
  <c r="G850" i="1" s="1"/>
  <c r="J850" i="1" s="1"/>
  <c r="T344" i="14"/>
  <c r="I720" i="13"/>
  <c r="I721" i="13" s="1"/>
  <c r="I748" i="13" s="1"/>
  <c r="G704" i="1"/>
  <c r="J704" i="1" s="1"/>
  <c r="T349" i="14"/>
  <c r="S335" i="14"/>
  <c r="T335" i="14" s="1"/>
  <c r="S338" i="14"/>
  <c r="T338" i="14" s="1"/>
  <c r="R343" i="14"/>
  <c r="P343" i="14"/>
  <c r="Q343" i="14"/>
  <c r="S343" i="14" s="1"/>
  <c r="S339" i="14"/>
  <c r="T339" i="14" s="1"/>
  <c r="S336" i="14"/>
  <c r="T336" i="14" s="1"/>
  <c r="S340" i="14"/>
  <c r="T340" i="14" s="1"/>
  <c r="S337" i="14"/>
  <c r="T337" i="14" s="1"/>
  <c r="S342" i="14"/>
  <c r="T342" i="14" s="1"/>
  <c r="F436" i="17"/>
  <c r="I436" i="17" s="1"/>
  <c r="I435" i="17"/>
  <c r="J686" i="1"/>
  <c r="J685" i="1"/>
  <c r="G743" i="1"/>
  <c r="J742" i="1"/>
  <c r="J743" i="1" s="1"/>
  <c r="G687" i="1"/>
  <c r="J671" i="1"/>
  <c r="L368" i="14"/>
  <c r="K368" i="14"/>
  <c r="O368" i="14" s="1"/>
  <c r="G368" i="14"/>
  <c r="C368" i="14"/>
  <c r="L367" i="14"/>
  <c r="K367" i="14" s="1"/>
  <c r="O367" i="14" s="1"/>
  <c r="G367" i="14"/>
  <c r="C367" i="14"/>
  <c r="L366" i="14"/>
  <c r="K366" i="14" s="1"/>
  <c r="O366" i="14" s="1"/>
  <c r="G366" i="14"/>
  <c r="C366" i="14"/>
  <c r="L365" i="14"/>
  <c r="K365" i="14" s="1"/>
  <c r="G365" i="14"/>
  <c r="C365" i="14"/>
  <c r="L364" i="14"/>
  <c r="K364" i="14" s="1"/>
  <c r="M364" i="14" s="1"/>
  <c r="G364" i="14"/>
  <c r="C364" i="14"/>
  <c r="L363" i="14"/>
  <c r="K363" i="14" s="1"/>
  <c r="G363" i="14"/>
  <c r="C363" i="14"/>
  <c r="G362" i="14"/>
  <c r="L361" i="14"/>
  <c r="K361" i="14" s="1"/>
  <c r="G361" i="14"/>
  <c r="C361" i="14"/>
  <c r="G360" i="14"/>
  <c r="L360" i="14"/>
  <c r="K360" i="14" s="1"/>
  <c r="M360" i="14" s="1"/>
  <c r="C360" i="14"/>
  <c r="L359" i="14"/>
  <c r="K359" i="14" s="1"/>
  <c r="O359" i="14" s="1"/>
  <c r="G359" i="14"/>
  <c r="C359" i="14"/>
  <c r="L358" i="14"/>
  <c r="K358" i="14" s="1"/>
  <c r="O358" i="14" s="1"/>
  <c r="G358" i="14"/>
  <c r="C358" i="14"/>
  <c r="L357" i="14"/>
  <c r="K357" i="14" s="1"/>
  <c r="O357" i="14" s="1"/>
  <c r="N357" i="14" s="1"/>
  <c r="G357" i="14"/>
  <c r="C357" i="14"/>
  <c r="L356" i="14"/>
  <c r="K356" i="14" s="1"/>
  <c r="O356" i="14" s="1"/>
  <c r="N356" i="14" s="1"/>
  <c r="G356" i="14"/>
  <c r="C356" i="14"/>
  <c r="L355" i="14"/>
  <c r="K355" i="14" s="1"/>
  <c r="O355" i="14" s="1"/>
  <c r="G355" i="14"/>
  <c r="C355" i="14"/>
  <c r="G354" i="14"/>
  <c r="L354" i="14"/>
  <c r="K354" i="14" s="1"/>
  <c r="C354" i="14"/>
  <c r="L353" i="14"/>
  <c r="G353" i="14"/>
  <c r="C353" i="14"/>
  <c r="E98" i="15"/>
  <c r="E95" i="15"/>
  <c r="E92" i="15"/>
  <c r="H500" i="16"/>
  <c r="E499" i="16"/>
  <c r="H498" i="16"/>
  <c r="H497" i="16"/>
  <c r="H496" i="16"/>
  <c r="H495" i="16"/>
  <c r="H494" i="16"/>
  <c r="H493" i="16"/>
  <c r="H492" i="16"/>
  <c r="H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E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H461" i="16"/>
  <c r="H460" i="16"/>
  <c r="H459" i="16"/>
  <c r="H458" i="16"/>
  <c r="I456" i="16"/>
  <c r="E455" i="16"/>
  <c r="H454" i="16"/>
  <c r="H453" i="16"/>
  <c r="I452" i="16"/>
  <c r="H452" i="16"/>
  <c r="E451" i="16"/>
  <c r="H450" i="16"/>
  <c r="H449" i="16"/>
  <c r="H448" i="16"/>
  <c r="H447" i="16"/>
  <c r="H446" i="16"/>
  <c r="H445" i="16"/>
  <c r="H444" i="16"/>
  <c r="H443" i="16"/>
  <c r="H442" i="16"/>
  <c r="H441" i="16"/>
  <c r="H440" i="16"/>
  <c r="E439" i="16"/>
  <c r="H438" i="16"/>
  <c r="H437" i="16"/>
  <c r="H436" i="16"/>
  <c r="H435" i="16"/>
  <c r="H434" i="16"/>
  <c r="H433" i="16"/>
  <c r="H432" i="16"/>
  <c r="H431" i="16"/>
  <c r="H430" i="16"/>
  <c r="H429" i="16"/>
  <c r="H428" i="16"/>
  <c r="H427" i="16"/>
  <c r="H426" i="16"/>
  <c r="H425" i="16"/>
  <c r="L343" i="17"/>
  <c r="L405" i="17" s="1"/>
  <c r="K343" i="17"/>
  <c r="E373" i="17"/>
  <c r="H373" i="17"/>
  <c r="G372" i="17"/>
  <c r="G373" i="17" s="1"/>
  <c r="D372" i="17"/>
  <c r="D373" i="17" s="1"/>
  <c r="P371" i="17"/>
  <c r="F371" i="17"/>
  <c r="I371" i="17" s="1"/>
  <c r="P370" i="17"/>
  <c r="F370" i="17"/>
  <c r="I370" i="17" s="1"/>
  <c r="P369" i="17"/>
  <c r="F369" i="17"/>
  <c r="I369" i="17" s="1"/>
  <c r="P368" i="17"/>
  <c r="F368" i="17"/>
  <c r="I368" i="17" s="1"/>
  <c r="P367" i="17"/>
  <c r="I367" i="17"/>
  <c r="F367" i="17"/>
  <c r="P366" i="17"/>
  <c r="F366" i="17"/>
  <c r="I366" i="17" s="1"/>
  <c r="P365" i="17"/>
  <c r="F365" i="17"/>
  <c r="I365" i="17" s="1"/>
  <c r="P364" i="17"/>
  <c r="F364" i="17"/>
  <c r="I364" i="17" s="1"/>
  <c r="P363" i="17"/>
  <c r="F363" i="17"/>
  <c r="I363" i="17" s="1"/>
  <c r="P362" i="17"/>
  <c r="F362" i="17"/>
  <c r="I362" i="17" s="1"/>
  <c r="P361" i="17"/>
  <c r="F361" i="17"/>
  <c r="I361" i="17" s="1"/>
  <c r="P360" i="17"/>
  <c r="F360" i="17"/>
  <c r="I360" i="17" s="1"/>
  <c r="P359" i="17"/>
  <c r="F359" i="17"/>
  <c r="I359" i="17" s="1"/>
  <c r="P358" i="17"/>
  <c r="F358" i="17"/>
  <c r="I358" i="17" s="1"/>
  <c r="P357" i="17"/>
  <c r="F357" i="17"/>
  <c r="I357" i="17" s="1"/>
  <c r="P356" i="17"/>
  <c r="F356" i="17"/>
  <c r="I356" i="17" s="1"/>
  <c r="P355" i="17"/>
  <c r="F355" i="17"/>
  <c r="I355" i="17" s="1"/>
  <c r="P354" i="17"/>
  <c r="F354" i="17"/>
  <c r="I354" i="17" s="1"/>
  <c r="P353" i="17"/>
  <c r="F353" i="17"/>
  <c r="I353" i="17" s="1"/>
  <c r="P352" i="17"/>
  <c r="F352" i="17"/>
  <c r="I352" i="17" s="1"/>
  <c r="P351" i="17"/>
  <c r="F351" i="17"/>
  <c r="I351" i="17" s="1"/>
  <c r="P350" i="17"/>
  <c r="F350" i="17"/>
  <c r="I350" i="17" s="1"/>
  <c r="P349" i="17"/>
  <c r="F349" i="17"/>
  <c r="I349" i="17" s="1"/>
  <c r="P348" i="17"/>
  <c r="F348" i="17"/>
  <c r="I348" i="17" s="1"/>
  <c r="P347" i="17"/>
  <c r="F347" i="17"/>
  <c r="I347" i="17" s="1"/>
  <c r="P346" i="17"/>
  <c r="F346" i="17"/>
  <c r="P345" i="17"/>
  <c r="I345" i="17"/>
  <c r="F345" i="17"/>
  <c r="P344" i="17"/>
  <c r="F344" i="17"/>
  <c r="I344" i="17" s="1"/>
  <c r="P343" i="17"/>
  <c r="F343" i="17"/>
  <c r="I343" i="17" s="1"/>
  <c r="P342" i="17"/>
  <c r="F342" i="17"/>
  <c r="I342" i="17" s="1"/>
  <c r="P341" i="17"/>
  <c r="F341" i="17"/>
  <c r="I341" i="17" s="1"/>
  <c r="P340" i="17"/>
  <c r="I340" i="17"/>
  <c r="F340" i="17"/>
  <c r="H339" i="17"/>
  <c r="E339" i="17"/>
  <c r="E374" i="17" s="1"/>
  <c r="D339" i="17"/>
  <c r="H338" i="17"/>
  <c r="G338" i="17"/>
  <c r="G339" i="17" s="1"/>
  <c r="P337" i="17"/>
  <c r="F337" i="17"/>
  <c r="I337" i="17" s="1"/>
  <c r="P336" i="17"/>
  <c r="I336" i="17"/>
  <c r="F336" i="17"/>
  <c r="P335" i="17"/>
  <c r="F335" i="17"/>
  <c r="I335" i="17" s="1"/>
  <c r="P334" i="17"/>
  <c r="F334" i="17"/>
  <c r="I334" i="17" s="1"/>
  <c r="P333" i="17"/>
  <c r="F333" i="17"/>
  <c r="I333" i="17" s="1"/>
  <c r="P332" i="17"/>
  <c r="F332" i="17"/>
  <c r="I332" i="17" s="1"/>
  <c r="P331" i="17"/>
  <c r="F331" i="17"/>
  <c r="E330" i="17"/>
  <c r="H329" i="17"/>
  <c r="G329" i="17"/>
  <c r="D329" i="17"/>
  <c r="D330" i="17" s="1"/>
  <c r="P328" i="17"/>
  <c r="F328" i="17"/>
  <c r="I328" i="17" s="1"/>
  <c r="P327" i="17"/>
  <c r="F327" i="17"/>
  <c r="I327" i="17" s="1"/>
  <c r="P326" i="17"/>
  <c r="F326" i="17"/>
  <c r="I326" i="17" s="1"/>
  <c r="P325" i="17"/>
  <c r="F325" i="17"/>
  <c r="I325" i="17" s="1"/>
  <c r="P324" i="17"/>
  <c r="F324" i="17"/>
  <c r="I324" i="17" s="1"/>
  <c r="P323" i="17"/>
  <c r="F323" i="17"/>
  <c r="I323" i="17" s="1"/>
  <c r="P322" i="17"/>
  <c r="F322" i="17"/>
  <c r="I322" i="17" s="1"/>
  <c r="H321" i="17"/>
  <c r="G321" i="17"/>
  <c r="G330" i="17" s="1"/>
  <c r="D321" i="17"/>
  <c r="P320" i="17"/>
  <c r="F320" i="17"/>
  <c r="I320" i="17" s="1"/>
  <c r="P319" i="17"/>
  <c r="F319" i="17"/>
  <c r="I319" i="17" s="1"/>
  <c r="P318" i="17"/>
  <c r="F318" i="17"/>
  <c r="I318" i="17" s="1"/>
  <c r="P317" i="17"/>
  <c r="F317" i="17"/>
  <c r="I317" i="17" s="1"/>
  <c r="P316" i="17"/>
  <c r="F316" i="17"/>
  <c r="I316" i="17" s="1"/>
  <c r="F631" i="13"/>
  <c r="I631" i="13" s="1"/>
  <c r="F630" i="13"/>
  <c r="I630" i="13" s="1"/>
  <c r="F629" i="13"/>
  <c r="I629" i="13" s="1"/>
  <c r="F628" i="13"/>
  <c r="F626" i="13"/>
  <c r="I626" i="13" s="1"/>
  <c r="F625" i="13"/>
  <c r="F623" i="13"/>
  <c r="I623" i="13" s="1"/>
  <c r="F622" i="13"/>
  <c r="I622" i="13" s="1"/>
  <c r="F621" i="13"/>
  <c r="I621" i="13" s="1"/>
  <c r="F620" i="13"/>
  <c r="F618" i="13"/>
  <c r="I618" i="13" s="1"/>
  <c r="F617" i="13"/>
  <c r="I617" i="13" s="1"/>
  <c r="F616" i="13"/>
  <c r="F613" i="13"/>
  <c r="I613" i="13" s="1"/>
  <c r="F610" i="13"/>
  <c r="I610" i="13" s="1"/>
  <c r="F609" i="13"/>
  <c r="I609" i="13" s="1"/>
  <c r="F608" i="13"/>
  <c r="F606" i="13"/>
  <c r="I606" i="13" s="1"/>
  <c r="F605" i="13"/>
  <c r="F604" i="13"/>
  <c r="F601" i="13"/>
  <c r="I601" i="13" s="1"/>
  <c r="F600" i="13"/>
  <c r="I600" i="13" s="1"/>
  <c r="F599" i="13"/>
  <c r="I599" i="13" s="1"/>
  <c r="F598" i="13"/>
  <c r="I598" i="13" s="1"/>
  <c r="F597" i="13"/>
  <c r="F595" i="13"/>
  <c r="I595" i="13" s="1"/>
  <c r="F594" i="13"/>
  <c r="I594" i="13" s="1"/>
  <c r="F593" i="13"/>
  <c r="I593" i="13" s="1"/>
  <c r="F592" i="13"/>
  <c r="I592" i="13" s="1"/>
  <c r="F591" i="13"/>
  <c r="I591" i="13" s="1"/>
  <c r="F590" i="13"/>
  <c r="I590" i="13" s="1"/>
  <c r="F589" i="13"/>
  <c r="I589" i="13" s="1"/>
  <c r="F588" i="13"/>
  <c r="F587" i="13"/>
  <c r="I587" i="13" s="1"/>
  <c r="F583" i="13"/>
  <c r="I583" i="13" s="1"/>
  <c r="F582" i="13"/>
  <c r="I582" i="13" s="1"/>
  <c r="F581" i="13"/>
  <c r="I581" i="13" s="1"/>
  <c r="F580" i="13"/>
  <c r="I580" i="13" s="1"/>
  <c r="F579" i="13"/>
  <c r="I579" i="13" s="1"/>
  <c r="F578" i="13"/>
  <c r="I578" i="13" s="1"/>
  <c r="F577" i="13"/>
  <c r="F576" i="13"/>
  <c r="F574" i="13"/>
  <c r="I574" i="13" s="1"/>
  <c r="F573" i="13"/>
  <c r="I573" i="13" s="1"/>
  <c r="F572" i="13"/>
  <c r="I572" i="13" s="1"/>
  <c r="F571" i="13"/>
  <c r="F568" i="13"/>
  <c r="I568" i="13" s="1"/>
  <c r="F567" i="13"/>
  <c r="I567" i="13" s="1"/>
  <c r="F566" i="13"/>
  <c r="F564" i="13"/>
  <c r="I564" i="13" s="1"/>
  <c r="F563" i="13"/>
  <c r="I563" i="13" s="1"/>
  <c r="F562" i="13"/>
  <c r="F560" i="13"/>
  <c r="I560" i="13" s="1"/>
  <c r="F559" i="13"/>
  <c r="I559" i="13" s="1"/>
  <c r="F558" i="13"/>
  <c r="I558" i="13" s="1"/>
  <c r="F557" i="13"/>
  <c r="I557" i="13" s="1"/>
  <c r="F556" i="13"/>
  <c r="I556" i="13" s="1"/>
  <c r="F555" i="13"/>
  <c r="I555" i="13" s="1"/>
  <c r="F554" i="13"/>
  <c r="F552" i="13"/>
  <c r="I552" i="13" s="1"/>
  <c r="F551" i="13"/>
  <c r="I551" i="13" s="1"/>
  <c r="F550" i="13"/>
  <c r="I550" i="13" s="1"/>
  <c r="F549" i="13"/>
  <c r="I549" i="13" s="1"/>
  <c r="F548" i="13"/>
  <c r="I548" i="13" s="1"/>
  <c r="F547" i="13"/>
  <c r="I547" i="13" s="1"/>
  <c r="F546" i="13"/>
  <c r="F544" i="13"/>
  <c r="I544" i="13" s="1"/>
  <c r="F543" i="13"/>
  <c r="I543" i="13" s="1"/>
  <c r="F542" i="13"/>
  <c r="I542" i="13" s="1"/>
  <c r="F541" i="13"/>
  <c r="J639" i="13"/>
  <c r="I639" i="13"/>
  <c r="I635" i="13"/>
  <c r="I577" i="13"/>
  <c r="F636" i="1"/>
  <c r="F637" i="1" s="1"/>
  <c r="I635" i="1"/>
  <c r="H635" i="1"/>
  <c r="F639" i="13" s="1"/>
  <c r="G634" i="1"/>
  <c r="J634" i="1" s="1"/>
  <c r="G633" i="1"/>
  <c r="J633" i="1" s="1"/>
  <c r="I632" i="1"/>
  <c r="H632" i="1"/>
  <c r="E632" i="1"/>
  <c r="G631" i="1"/>
  <c r="J631" i="1" s="1"/>
  <c r="G630" i="1"/>
  <c r="J630" i="1" s="1"/>
  <c r="G629" i="1"/>
  <c r="J629" i="1" s="1"/>
  <c r="I628" i="1"/>
  <c r="H628" i="1"/>
  <c r="E628" i="1"/>
  <c r="G627" i="1"/>
  <c r="J627" i="1" s="1"/>
  <c r="G626" i="1"/>
  <c r="J626" i="1" s="1"/>
  <c r="G625" i="1"/>
  <c r="J625" i="1" s="1"/>
  <c r="G624" i="1"/>
  <c r="J624" i="1" s="1"/>
  <c r="G623" i="1"/>
  <c r="J623" i="1" s="1"/>
  <c r="I622" i="1"/>
  <c r="H622" i="1"/>
  <c r="E622" i="1"/>
  <c r="G621" i="1"/>
  <c r="J621" i="1" s="1"/>
  <c r="G620" i="1"/>
  <c r="I619" i="1"/>
  <c r="H619" i="1"/>
  <c r="E619" i="1"/>
  <c r="G618" i="1"/>
  <c r="J618" i="1" s="1"/>
  <c r="G617" i="1"/>
  <c r="J617" i="1" s="1"/>
  <c r="G616" i="1"/>
  <c r="J616" i="1" s="1"/>
  <c r="G615" i="1"/>
  <c r="I614" i="1"/>
  <c r="H614" i="1"/>
  <c r="E614" i="1"/>
  <c r="G613" i="1"/>
  <c r="J613" i="1" s="1"/>
  <c r="G612" i="1"/>
  <c r="J612" i="1" s="1"/>
  <c r="G611" i="1"/>
  <c r="J611" i="1" s="1"/>
  <c r="F609" i="1"/>
  <c r="F610" i="1" s="1"/>
  <c r="G608" i="1"/>
  <c r="J608" i="1" s="1"/>
  <c r="I606" i="1"/>
  <c r="H606" i="1"/>
  <c r="E606" i="1"/>
  <c r="E607" i="1" s="1"/>
  <c r="G605" i="1"/>
  <c r="J605" i="1" s="1"/>
  <c r="G604" i="1"/>
  <c r="J604" i="1" s="1"/>
  <c r="G603" i="1"/>
  <c r="J603" i="1" s="1"/>
  <c r="I602" i="1"/>
  <c r="H602" i="1"/>
  <c r="G601" i="1"/>
  <c r="J601" i="1" s="1"/>
  <c r="G600" i="1"/>
  <c r="J600" i="1" s="1"/>
  <c r="G599" i="1"/>
  <c r="I597" i="1"/>
  <c r="H597" i="1"/>
  <c r="E597" i="1"/>
  <c r="G596" i="1"/>
  <c r="J596" i="1" s="1"/>
  <c r="G595" i="1"/>
  <c r="J595" i="1" s="1"/>
  <c r="G594" i="1"/>
  <c r="J594" i="1" s="1"/>
  <c r="G593" i="1"/>
  <c r="J593" i="1" s="1"/>
  <c r="G592" i="1"/>
  <c r="I591" i="1"/>
  <c r="I598" i="1" s="1"/>
  <c r="H591" i="1"/>
  <c r="E591" i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F580" i="1"/>
  <c r="I579" i="1"/>
  <c r="H579" i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E571" i="1"/>
  <c r="E579" i="1" s="1"/>
  <c r="I570" i="1"/>
  <c r="H570" i="1"/>
  <c r="E570" i="1"/>
  <c r="G569" i="1"/>
  <c r="J569" i="1" s="1"/>
  <c r="G568" i="1"/>
  <c r="J568" i="1" s="1"/>
  <c r="G567" i="1"/>
  <c r="J567" i="1" s="1"/>
  <c r="G566" i="1"/>
  <c r="J566" i="1" s="1"/>
  <c r="I564" i="1"/>
  <c r="H564" i="1"/>
  <c r="E564" i="1"/>
  <c r="G563" i="1"/>
  <c r="J563" i="1" s="1"/>
  <c r="G562" i="1"/>
  <c r="J562" i="1" s="1"/>
  <c r="G561" i="1"/>
  <c r="J561" i="1" s="1"/>
  <c r="I560" i="1"/>
  <c r="H560" i="1"/>
  <c r="F560" i="1"/>
  <c r="F565" i="1" s="1"/>
  <c r="E560" i="1"/>
  <c r="G559" i="1"/>
  <c r="G558" i="1"/>
  <c r="J558" i="1" s="1"/>
  <c r="G557" i="1"/>
  <c r="G560" i="1" s="1"/>
  <c r="J560" i="1" s="1"/>
  <c r="I556" i="1"/>
  <c r="H556" i="1"/>
  <c r="E556" i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E548" i="1"/>
  <c r="G547" i="1"/>
  <c r="J547" i="1" s="1"/>
  <c r="G546" i="1"/>
  <c r="J546" i="1" s="1"/>
  <c r="G545" i="1"/>
  <c r="J545" i="1" s="1"/>
  <c r="G544" i="1"/>
  <c r="J544" i="1" s="1"/>
  <c r="G543" i="1"/>
  <c r="J543" i="1" s="1"/>
  <c r="H548" i="1"/>
  <c r="G541" i="1"/>
  <c r="I540" i="1"/>
  <c r="H540" i="1"/>
  <c r="E540" i="1"/>
  <c r="G539" i="1"/>
  <c r="J539" i="1" s="1"/>
  <c r="G538" i="1"/>
  <c r="J538" i="1" s="1"/>
  <c r="G537" i="1"/>
  <c r="J537" i="1" s="1"/>
  <c r="G536" i="1"/>
  <c r="H182" i="17"/>
  <c r="G182" i="17"/>
  <c r="H176" i="17"/>
  <c r="G176" i="17"/>
  <c r="H173" i="17"/>
  <c r="G173" i="17"/>
  <c r="F338" i="17" l="1"/>
  <c r="Q343" i="17"/>
  <c r="K405" i="17"/>
  <c r="E565" i="1"/>
  <c r="C90" i="15" s="1"/>
  <c r="I580" i="1"/>
  <c r="H607" i="1"/>
  <c r="I331" i="17"/>
  <c r="L467" i="17"/>
  <c r="N355" i="14"/>
  <c r="P338" i="17"/>
  <c r="P339" i="17" s="1"/>
  <c r="N358" i="14"/>
  <c r="P358" i="14" s="1"/>
  <c r="K537" i="17"/>
  <c r="Q475" i="17"/>
  <c r="F1943" i="16"/>
  <c r="I1943" i="16" s="1"/>
  <c r="I1836" i="16"/>
  <c r="I1145" i="16"/>
  <c r="F1235" i="16"/>
  <c r="F1324" i="16"/>
  <c r="F1415" i="16" s="1"/>
  <c r="I1233" i="16"/>
  <c r="I1054" i="16"/>
  <c r="F1144" i="16"/>
  <c r="F561" i="13"/>
  <c r="H451" i="16"/>
  <c r="H455" i="16"/>
  <c r="F581" i="1"/>
  <c r="H580" i="1"/>
  <c r="H598" i="1"/>
  <c r="H609" i="1" s="1"/>
  <c r="H610" i="1" s="1"/>
  <c r="G540" i="1"/>
  <c r="J540" i="1" s="1"/>
  <c r="G602" i="1"/>
  <c r="J602" i="1" s="1"/>
  <c r="E580" i="1"/>
  <c r="C91" i="15" s="1"/>
  <c r="G597" i="1"/>
  <c r="J597" i="1" s="1"/>
  <c r="E598" i="1"/>
  <c r="E609" i="1" s="1"/>
  <c r="E610" i="1" s="1"/>
  <c r="C94" i="15" s="1"/>
  <c r="C96" i="15" s="1"/>
  <c r="I607" i="1"/>
  <c r="I609" i="1" s="1"/>
  <c r="I610" i="1" s="1"/>
  <c r="F575" i="13"/>
  <c r="F607" i="13"/>
  <c r="F624" i="13"/>
  <c r="F627" i="13"/>
  <c r="F632" i="13"/>
  <c r="J592" i="1"/>
  <c r="I604" i="13"/>
  <c r="G715" i="1"/>
  <c r="G716" i="1" s="1"/>
  <c r="G744" i="1" s="1"/>
  <c r="J744" i="1" s="1"/>
  <c r="H499" i="16"/>
  <c r="T343" i="14"/>
  <c r="J687" i="1"/>
  <c r="F638" i="1"/>
  <c r="N359" i="14"/>
  <c r="R359" i="14" s="1"/>
  <c r="E457" i="16"/>
  <c r="E502" i="16" s="1"/>
  <c r="H330" i="17"/>
  <c r="H374" i="17" s="1"/>
  <c r="F584" i="13"/>
  <c r="F585" i="13" s="1"/>
  <c r="H565" i="1"/>
  <c r="F596" i="13"/>
  <c r="N368" i="14"/>
  <c r="P368" i="14" s="1"/>
  <c r="F636" i="13"/>
  <c r="I633" i="13"/>
  <c r="G614" i="1"/>
  <c r="J614" i="1" s="1"/>
  <c r="M363" i="14"/>
  <c r="O363" i="14"/>
  <c r="N363" i="14" s="1"/>
  <c r="P363" i="14" s="1"/>
  <c r="M365" i="14"/>
  <c r="O365" i="14"/>
  <c r="N365" i="14" s="1"/>
  <c r="P365" i="14" s="1"/>
  <c r="O364" i="14"/>
  <c r="N364" i="14" s="1"/>
  <c r="Q364" i="14" s="1"/>
  <c r="N366" i="14"/>
  <c r="P366" i="14" s="1"/>
  <c r="N367" i="14"/>
  <c r="P367" i="14" s="1"/>
  <c r="O354" i="14"/>
  <c r="N354" i="14" s="1"/>
  <c r="M354" i="14"/>
  <c r="R355" i="14"/>
  <c r="P355" i="14"/>
  <c r="Q355" i="14"/>
  <c r="S355" i="14" s="1"/>
  <c r="R356" i="14"/>
  <c r="P356" i="14"/>
  <c r="Q356" i="14"/>
  <c r="R357" i="14"/>
  <c r="P357" i="14"/>
  <c r="Q357" i="14"/>
  <c r="Q358" i="14"/>
  <c r="K353" i="14"/>
  <c r="M355" i="14"/>
  <c r="M356" i="14"/>
  <c r="M357" i="14"/>
  <c r="M358" i="14"/>
  <c r="M359" i="14"/>
  <c r="O360" i="14"/>
  <c r="N360" i="14" s="1"/>
  <c r="O361" i="14"/>
  <c r="N361" i="14" s="1"/>
  <c r="M361" i="14"/>
  <c r="R363" i="14"/>
  <c r="R365" i="14"/>
  <c r="R366" i="14"/>
  <c r="R367" i="14"/>
  <c r="Q367" i="14"/>
  <c r="S367" i="14" s="1"/>
  <c r="R368" i="14"/>
  <c r="L362" i="14"/>
  <c r="K362" i="14" s="1"/>
  <c r="C362" i="14"/>
  <c r="M366" i="14"/>
  <c r="M367" i="14"/>
  <c r="M368" i="14"/>
  <c r="H439" i="16"/>
  <c r="J343" i="17"/>
  <c r="M343" i="17" s="1"/>
  <c r="P372" i="17"/>
  <c r="P373" i="17" s="1"/>
  <c r="P329" i="17"/>
  <c r="F321" i="17"/>
  <c r="F339" i="17"/>
  <c r="I339" i="17" s="1"/>
  <c r="I338" i="17"/>
  <c r="G374" i="17"/>
  <c r="P321" i="17"/>
  <c r="F329" i="17"/>
  <c r="I329" i="17" s="1"/>
  <c r="N343" i="17"/>
  <c r="D374" i="17"/>
  <c r="F372" i="17"/>
  <c r="Q351" i="17"/>
  <c r="F619" i="13"/>
  <c r="F611" i="13"/>
  <c r="F602" i="13"/>
  <c r="F603" i="13" s="1"/>
  <c r="F569" i="13"/>
  <c r="F565" i="13"/>
  <c r="F553" i="13"/>
  <c r="F545" i="13"/>
  <c r="I565" i="13"/>
  <c r="I588" i="13"/>
  <c r="I596" i="13" s="1"/>
  <c r="I597" i="13"/>
  <c r="I602" i="13" s="1"/>
  <c r="I605" i="13"/>
  <c r="I608" i="13"/>
  <c r="I611" i="13" s="1"/>
  <c r="I616" i="13"/>
  <c r="I619" i="13" s="1"/>
  <c r="I634" i="13"/>
  <c r="I541" i="13"/>
  <c r="I545" i="13" s="1"/>
  <c r="I546" i="13"/>
  <c r="I553" i="13" s="1"/>
  <c r="I554" i="13"/>
  <c r="I561" i="13" s="1"/>
  <c r="I562" i="13"/>
  <c r="I566" i="13"/>
  <c r="I569" i="13" s="1"/>
  <c r="I571" i="13"/>
  <c r="I575" i="13" s="1"/>
  <c r="I576" i="13"/>
  <c r="I584" i="13" s="1"/>
  <c r="I620" i="13"/>
  <c r="I624" i="13" s="1"/>
  <c r="I625" i="13"/>
  <c r="I627" i="13" s="1"/>
  <c r="I628" i="13"/>
  <c r="I632" i="13" s="1"/>
  <c r="H636" i="1"/>
  <c r="H637" i="1" s="1"/>
  <c r="J541" i="1"/>
  <c r="G542" i="1"/>
  <c r="J542" i="1" s="1"/>
  <c r="I548" i="1"/>
  <c r="I565" i="1" s="1"/>
  <c r="I581" i="1" s="1"/>
  <c r="G556" i="1"/>
  <c r="J556" i="1" s="1"/>
  <c r="J557" i="1"/>
  <c r="G564" i="1"/>
  <c r="J564" i="1" s="1"/>
  <c r="G570" i="1"/>
  <c r="J570" i="1" s="1"/>
  <c r="G579" i="1"/>
  <c r="J571" i="1"/>
  <c r="G591" i="1"/>
  <c r="J591" i="1" s="1"/>
  <c r="G606" i="1"/>
  <c r="J606" i="1" s="1"/>
  <c r="G635" i="1"/>
  <c r="J635" i="1" s="1"/>
  <c r="J599" i="1"/>
  <c r="E636" i="1"/>
  <c r="E637" i="1" s="1"/>
  <c r="I636" i="1"/>
  <c r="I637" i="1" s="1"/>
  <c r="G619" i="1"/>
  <c r="J619" i="1" s="1"/>
  <c r="J615" i="1"/>
  <c r="G622" i="1"/>
  <c r="J622" i="1" s="1"/>
  <c r="J620" i="1"/>
  <c r="G628" i="1"/>
  <c r="J628" i="1" s="1"/>
  <c r="G632" i="1"/>
  <c r="J632" i="1" s="1"/>
  <c r="D378" i="14"/>
  <c r="P330" i="17" l="1"/>
  <c r="Q368" i="14"/>
  <c r="S368" i="14" s="1"/>
  <c r="R364" i="14"/>
  <c r="S364" i="14" s="1"/>
  <c r="P359" i="14"/>
  <c r="R358" i="14"/>
  <c r="S358" i="14" s="1"/>
  <c r="T358" i="14" s="1"/>
  <c r="S356" i="14"/>
  <c r="J715" i="1"/>
  <c r="J716" i="1" s="1"/>
  <c r="L529" i="17"/>
  <c r="P364" i="14"/>
  <c r="Q359" i="14"/>
  <c r="S359" i="14" s="1"/>
  <c r="K467" i="17"/>
  <c r="Q405" i="17"/>
  <c r="J405" i="17"/>
  <c r="S357" i="14"/>
  <c r="K599" i="17"/>
  <c r="Q537" i="17"/>
  <c r="F1507" i="16"/>
  <c r="F1599" i="16" s="1"/>
  <c r="I1415" i="16"/>
  <c r="F1326" i="16"/>
  <c r="I1235" i="16"/>
  <c r="I1144" i="16"/>
  <c r="F1234" i="16"/>
  <c r="I1324" i="16"/>
  <c r="H457" i="16"/>
  <c r="I636" i="13"/>
  <c r="I640" i="13" s="1"/>
  <c r="I641" i="13" s="1"/>
  <c r="H581" i="1"/>
  <c r="H638" i="1" s="1"/>
  <c r="C93" i="15"/>
  <c r="I607" i="13"/>
  <c r="I612" i="13" s="1"/>
  <c r="C97" i="15"/>
  <c r="C99" i="15" s="1"/>
  <c r="C100" i="15" s="1"/>
  <c r="F612" i="13"/>
  <c r="F614" i="13" s="1"/>
  <c r="F615" i="13" s="1"/>
  <c r="E581" i="1"/>
  <c r="E638" i="1" s="1"/>
  <c r="F570" i="13"/>
  <c r="F586" i="13" s="1"/>
  <c r="I603" i="13"/>
  <c r="Q366" i="14"/>
  <c r="S366" i="14" s="1"/>
  <c r="T366" i="14" s="1"/>
  <c r="F640" i="13"/>
  <c r="F641" i="13" s="1"/>
  <c r="T367" i="14"/>
  <c r="Q365" i="14"/>
  <c r="S365" i="14" s="1"/>
  <c r="T365" i="14" s="1"/>
  <c r="Q363" i="14"/>
  <c r="S363" i="14" s="1"/>
  <c r="T363" i="14" s="1"/>
  <c r="T356" i="14"/>
  <c r="M362" i="14"/>
  <c r="O362" i="14"/>
  <c r="N362" i="14" s="1"/>
  <c r="R360" i="14"/>
  <c r="P360" i="14"/>
  <c r="Q360" i="14"/>
  <c r="O353" i="14"/>
  <c r="N353" i="14" s="1"/>
  <c r="M353" i="14"/>
  <c r="R354" i="14"/>
  <c r="P354" i="14"/>
  <c r="Q354" i="14"/>
  <c r="S354" i="14" s="1"/>
  <c r="T368" i="14"/>
  <c r="Q361" i="14"/>
  <c r="R361" i="14"/>
  <c r="P361" i="14"/>
  <c r="T359" i="14"/>
  <c r="T357" i="14"/>
  <c r="T355" i="14"/>
  <c r="P374" i="17"/>
  <c r="F373" i="17"/>
  <c r="I372" i="17"/>
  <c r="I321" i="17"/>
  <c r="F330" i="17"/>
  <c r="I330" i="17" s="1"/>
  <c r="I585" i="13"/>
  <c r="I570" i="13"/>
  <c r="I638" i="1"/>
  <c r="G636" i="1"/>
  <c r="G598" i="1"/>
  <c r="J598" i="1" s="1"/>
  <c r="G607" i="1"/>
  <c r="J607" i="1" s="1"/>
  <c r="G580" i="1"/>
  <c r="G548" i="1"/>
  <c r="J548" i="1" s="1"/>
  <c r="D379" i="14"/>
  <c r="H378" i="14"/>
  <c r="E346" i="16"/>
  <c r="I379" i="14"/>
  <c r="H379" i="14"/>
  <c r="E372" i="14"/>
  <c r="E371" i="14"/>
  <c r="D372" i="14"/>
  <c r="H372" i="14"/>
  <c r="I372" i="14"/>
  <c r="I436" i="1"/>
  <c r="H436" i="1"/>
  <c r="F477" i="13"/>
  <c r="F476" i="13"/>
  <c r="F475" i="13"/>
  <c r="F474" i="13"/>
  <c r="F473" i="13"/>
  <c r="F472" i="13"/>
  <c r="F471" i="13"/>
  <c r="F467" i="13"/>
  <c r="F466" i="13"/>
  <c r="F465" i="13"/>
  <c r="F462" i="13"/>
  <c r="F461" i="13"/>
  <c r="F460" i="13"/>
  <c r="F458" i="13"/>
  <c r="F457" i="13"/>
  <c r="F456" i="13"/>
  <c r="F452" i="13"/>
  <c r="F451" i="13"/>
  <c r="F450" i="13"/>
  <c r="F448" i="13"/>
  <c r="F446" i="13"/>
  <c r="F444" i="13"/>
  <c r="F443" i="13"/>
  <c r="F442" i="13"/>
  <c r="F441" i="13"/>
  <c r="F440" i="13"/>
  <c r="F438" i="13"/>
  <c r="F436" i="13"/>
  <c r="F435" i="13"/>
  <c r="D380" i="14"/>
  <c r="I380" i="14"/>
  <c r="H380" i="14"/>
  <c r="F494" i="13"/>
  <c r="I494" i="13" s="1"/>
  <c r="L489" i="1"/>
  <c r="L595" i="1" s="1"/>
  <c r="G489" i="1"/>
  <c r="J489" i="1" s="1"/>
  <c r="M487" i="1"/>
  <c r="M593" i="1" s="1"/>
  <c r="M699" i="1" s="1"/>
  <c r="L487" i="1"/>
  <c r="L593" i="1" s="1"/>
  <c r="F495" i="13"/>
  <c r="F493" i="13"/>
  <c r="I493" i="13" s="1"/>
  <c r="F492" i="13"/>
  <c r="G487" i="1"/>
  <c r="J487" i="1" s="1"/>
  <c r="G310" i="17"/>
  <c r="P289" i="17"/>
  <c r="Q289" i="17"/>
  <c r="I289" i="17"/>
  <c r="F289" i="17"/>
  <c r="P290" i="17"/>
  <c r="F290" i="17"/>
  <c r="I290" i="17" s="1"/>
  <c r="F287" i="17"/>
  <c r="I287" i="17" s="1"/>
  <c r="P287" i="17"/>
  <c r="F532" i="13"/>
  <c r="F531" i="13"/>
  <c r="F529" i="13"/>
  <c r="F528" i="13"/>
  <c r="F527" i="13"/>
  <c r="F522" i="13"/>
  <c r="F519" i="13"/>
  <c r="F517" i="13"/>
  <c r="F516" i="13"/>
  <c r="F515" i="13"/>
  <c r="F514" i="13"/>
  <c r="F512" i="13"/>
  <c r="F511" i="13"/>
  <c r="F510" i="13"/>
  <c r="T364" i="14" l="1"/>
  <c r="M405" i="17"/>
  <c r="N405" i="17"/>
  <c r="S360" i="14"/>
  <c r="T360" i="14" s="1"/>
  <c r="K661" i="17"/>
  <c r="Q599" i="17"/>
  <c r="Q467" i="17"/>
  <c r="K529" i="17"/>
  <c r="J467" i="17"/>
  <c r="L591" i="17"/>
  <c r="F1691" i="16"/>
  <c r="F1785" i="16" s="1"/>
  <c r="I1599" i="16"/>
  <c r="I614" i="13"/>
  <c r="I615" i="13" s="1"/>
  <c r="I586" i="13"/>
  <c r="F642" i="13"/>
  <c r="I1326" i="16"/>
  <c r="F1417" i="16"/>
  <c r="I1507" i="16"/>
  <c r="I1234" i="16"/>
  <c r="F1325" i="16"/>
  <c r="F1416" i="16" s="1"/>
  <c r="G598" i="13"/>
  <c r="J598" i="13" s="1"/>
  <c r="L699" i="1"/>
  <c r="K593" i="1"/>
  <c r="N593" i="1" s="1"/>
  <c r="G492" i="13"/>
  <c r="M805" i="1"/>
  <c r="M911" i="1" s="1"/>
  <c r="L701" i="1"/>
  <c r="G600" i="13"/>
  <c r="J600" i="13" s="1"/>
  <c r="G494" i="13"/>
  <c r="J494" i="13" s="1"/>
  <c r="O593" i="1"/>
  <c r="J580" i="1"/>
  <c r="J579" i="1"/>
  <c r="T354" i="14"/>
  <c r="S361" i="14"/>
  <c r="T361" i="14" s="1"/>
  <c r="R362" i="14"/>
  <c r="P362" i="14"/>
  <c r="Q362" i="14"/>
  <c r="S362" i="14" s="1"/>
  <c r="R353" i="14"/>
  <c r="P353" i="14"/>
  <c r="Q353" i="14"/>
  <c r="F374" i="17"/>
  <c r="I374" i="17" s="1"/>
  <c r="I373" i="17"/>
  <c r="G565" i="1"/>
  <c r="J565" i="1" s="1"/>
  <c r="G609" i="1"/>
  <c r="J609" i="1" s="1"/>
  <c r="G637" i="1"/>
  <c r="J636" i="1"/>
  <c r="J637" i="1" s="1"/>
  <c r="K487" i="1"/>
  <c r="N487" i="1" s="1"/>
  <c r="I642" i="13" l="1"/>
  <c r="S353" i="14"/>
  <c r="M467" i="17"/>
  <c r="N467" i="17"/>
  <c r="L653" i="17"/>
  <c r="K591" i="17"/>
  <c r="J529" i="17"/>
  <c r="Q529" i="17"/>
  <c r="K723" i="17"/>
  <c r="Q661" i="17"/>
  <c r="F1880" i="16"/>
  <c r="I1785" i="16"/>
  <c r="I1691" i="16"/>
  <c r="F1509" i="16"/>
  <c r="I1417" i="16"/>
  <c r="F1508" i="16"/>
  <c r="F1600" i="16" s="1"/>
  <c r="F1692" i="16" s="1"/>
  <c r="F1786" i="16" s="1"/>
  <c r="I1416" i="16"/>
  <c r="I1325" i="16"/>
  <c r="M1017" i="1"/>
  <c r="L805" i="1"/>
  <c r="L911" i="1" s="1"/>
  <c r="G704" i="13"/>
  <c r="J704" i="13" s="1"/>
  <c r="K699" i="1"/>
  <c r="L807" i="1"/>
  <c r="G706" i="13"/>
  <c r="J706" i="13" s="1"/>
  <c r="T353" i="14"/>
  <c r="T362" i="14"/>
  <c r="G610" i="1"/>
  <c r="J610" i="1"/>
  <c r="G581" i="1"/>
  <c r="J581" i="1" s="1"/>
  <c r="O487" i="1"/>
  <c r="Q591" i="17" l="1"/>
  <c r="K653" i="17"/>
  <c r="J591" i="17"/>
  <c r="L715" i="17"/>
  <c r="M529" i="17"/>
  <c r="N529" i="17"/>
  <c r="K785" i="17"/>
  <c r="Q723" i="17"/>
  <c r="I1786" i="16"/>
  <c r="F1881" i="16"/>
  <c r="I1881" i="16" s="1"/>
  <c r="I1880" i="16"/>
  <c r="I1600" i="16"/>
  <c r="I1509" i="16"/>
  <c r="F1601" i="16"/>
  <c r="I1508" i="16"/>
  <c r="G812" i="13"/>
  <c r="J812" i="13" s="1"/>
  <c r="L913" i="1"/>
  <c r="G916" i="13"/>
  <c r="J916" i="13" s="1"/>
  <c r="L1017" i="1"/>
  <c r="K911" i="1"/>
  <c r="M1123" i="1"/>
  <c r="N699" i="1"/>
  <c r="O699" i="1"/>
  <c r="G810" i="13"/>
  <c r="J810" i="13" s="1"/>
  <c r="K805" i="1"/>
  <c r="G638" i="1"/>
  <c r="J638" i="1" s="1"/>
  <c r="L404" i="14"/>
  <c r="K404" i="14"/>
  <c r="O404" i="14" s="1"/>
  <c r="N404" i="14" s="1"/>
  <c r="G404" i="14"/>
  <c r="C404" i="14"/>
  <c r="L403" i="14"/>
  <c r="K403" i="14"/>
  <c r="O403" i="14" s="1"/>
  <c r="N403" i="14" s="1"/>
  <c r="G403" i="14"/>
  <c r="C403" i="14"/>
  <c r="L402" i="14"/>
  <c r="K402" i="14"/>
  <c r="O402" i="14" s="1"/>
  <c r="N402" i="14" s="1"/>
  <c r="G402" i="14"/>
  <c r="C402" i="14"/>
  <c r="L401" i="14"/>
  <c r="K401" i="14"/>
  <c r="O401" i="14" s="1"/>
  <c r="N401" i="14" s="1"/>
  <c r="G401" i="14"/>
  <c r="C401" i="14"/>
  <c r="L400" i="14"/>
  <c r="K400" i="14"/>
  <c r="O400" i="14" s="1"/>
  <c r="N400" i="14" s="1"/>
  <c r="G400" i="14"/>
  <c r="C400" i="14"/>
  <c r="I399" i="14"/>
  <c r="H399" i="14"/>
  <c r="G399" i="14" s="1"/>
  <c r="E399" i="14"/>
  <c r="C399" i="14" s="1"/>
  <c r="D399" i="14"/>
  <c r="L399" i="14" s="1"/>
  <c r="I398" i="14"/>
  <c r="H398" i="14"/>
  <c r="G398" i="14" s="1"/>
  <c r="D398" i="14"/>
  <c r="I397" i="14"/>
  <c r="H397" i="14"/>
  <c r="G397" i="14" s="1"/>
  <c r="D397" i="14"/>
  <c r="L397" i="14" s="1"/>
  <c r="K397" i="14" s="1"/>
  <c r="C397" i="14"/>
  <c r="I396" i="14"/>
  <c r="H396" i="14"/>
  <c r="D396" i="14"/>
  <c r="L395" i="14"/>
  <c r="K395" i="14" s="1"/>
  <c r="G395" i="14"/>
  <c r="C395" i="14"/>
  <c r="L394" i="14"/>
  <c r="K394" i="14" s="1"/>
  <c r="G394" i="14"/>
  <c r="C394" i="14"/>
  <c r="L393" i="14"/>
  <c r="K393" i="14" s="1"/>
  <c r="G393" i="14"/>
  <c r="C393" i="14"/>
  <c r="L392" i="14"/>
  <c r="K392" i="14" s="1"/>
  <c r="G392" i="14"/>
  <c r="C392" i="14"/>
  <c r="L391" i="14"/>
  <c r="K391" i="14" s="1"/>
  <c r="G391" i="14"/>
  <c r="C391" i="14"/>
  <c r="L390" i="14"/>
  <c r="G390" i="14"/>
  <c r="E390" i="14"/>
  <c r="C390" i="14" s="1"/>
  <c r="L389" i="14"/>
  <c r="K389" i="14"/>
  <c r="M389" i="14" s="1"/>
  <c r="G389" i="14"/>
  <c r="C389" i="14"/>
  <c r="L386" i="14"/>
  <c r="K386" i="14"/>
  <c r="M386" i="14" s="1"/>
  <c r="G386" i="14"/>
  <c r="C386" i="14"/>
  <c r="L385" i="14"/>
  <c r="K385" i="14" s="1"/>
  <c r="G385" i="14"/>
  <c r="C385" i="14"/>
  <c r="L384" i="14"/>
  <c r="K384" i="14" s="1"/>
  <c r="G384" i="14"/>
  <c r="C384" i="14"/>
  <c r="L383" i="14"/>
  <c r="K383" i="14" s="1"/>
  <c r="G383" i="14"/>
  <c r="C383" i="14"/>
  <c r="L382" i="14"/>
  <c r="K382" i="14" s="1"/>
  <c r="G382" i="14"/>
  <c r="C382" i="14"/>
  <c r="L381" i="14"/>
  <c r="K381" i="14" s="1"/>
  <c r="G381" i="14"/>
  <c r="C381" i="14"/>
  <c r="L380" i="14"/>
  <c r="K380" i="14" s="1"/>
  <c r="G380" i="14"/>
  <c r="C380" i="14"/>
  <c r="G379" i="14"/>
  <c r="L378" i="14"/>
  <c r="K378" i="14" s="1"/>
  <c r="G378" i="14"/>
  <c r="C378" i="14"/>
  <c r="L377" i="14"/>
  <c r="G377" i="14"/>
  <c r="C377" i="14"/>
  <c r="L376" i="14"/>
  <c r="K376" i="14" s="1"/>
  <c r="G376" i="14"/>
  <c r="C376" i="14"/>
  <c r="L375" i="14"/>
  <c r="K375" i="14"/>
  <c r="M375" i="14" s="1"/>
  <c r="G375" i="14"/>
  <c r="C375" i="14"/>
  <c r="L374" i="14"/>
  <c r="K374" i="14" s="1"/>
  <c r="G374" i="14"/>
  <c r="C374" i="14"/>
  <c r="L373" i="14"/>
  <c r="K373" i="14" s="1"/>
  <c r="M373" i="14" s="1"/>
  <c r="G373" i="14"/>
  <c r="C373" i="14"/>
  <c r="G372" i="14"/>
  <c r="L372" i="14"/>
  <c r="K372" i="14" s="1"/>
  <c r="C372" i="14"/>
  <c r="L371" i="14"/>
  <c r="K371" i="14" s="1"/>
  <c r="G371" i="14"/>
  <c r="C371" i="14"/>
  <c r="E83" i="15"/>
  <c r="E80" i="15"/>
  <c r="E77" i="15"/>
  <c r="H418" i="16"/>
  <c r="E417" i="16"/>
  <c r="H416" i="16"/>
  <c r="H415" i="16"/>
  <c r="H414" i="16"/>
  <c r="H413" i="16"/>
  <c r="H412" i="16"/>
  <c r="H411" i="16"/>
  <c r="H410" i="16"/>
  <c r="H409" i="16"/>
  <c r="H408" i="16"/>
  <c r="H407" i="16"/>
  <c r="H406" i="16"/>
  <c r="H405" i="16"/>
  <c r="H404" i="16"/>
  <c r="H403" i="16"/>
  <c r="H402" i="16"/>
  <c r="H401" i="16"/>
  <c r="H400" i="16"/>
  <c r="H399" i="16"/>
  <c r="H398" i="16"/>
  <c r="H397" i="16"/>
  <c r="E396" i="16"/>
  <c r="H395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I374" i="16"/>
  <c r="E373" i="16"/>
  <c r="H372" i="16"/>
  <c r="H371" i="16"/>
  <c r="I370" i="16"/>
  <c r="H370" i="16"/>
  <c r="E369" i="16"/>
  <c r="H368" i="16"/>
  <c r="H367" i="16"/>
  <c r="H366" i="16"/>
  <c r="H365" i="16"/>
  <c r="H364" i="16"/>
  <c r="H363" i="16"/>
  <c r="H362" i="16"/>
  <c r="H361" i="16"/>
  <c r="H360" i="16"/>
  <c r="H359" i="16"/>
  <c r="H358" i="16"/>
  <c r="E357" i="16"/>
  <c r="H356" i="16"/>
  <c r="H355" i="16"/>
  <c r="H354" i="16"/>
  <c r="H353" i="16"/>
  <c r="H352" i="16"/>
  <c r="H351" i="16"/>
  <c r="H350" i="16"/>
  <c r="H349" i="16"/>
  <c r="H348" i="16"/>
  <c r="H347" i="16"/>
  <c r="H346" i="16"/>
  <c r="H345" i="16"/>
  <c r="H344" i="16"/>
  <c r="H343" i="16"/>
  <c r="E311" i="17"/>
  <c r="H310" i="17"/>
  <c r="H311" i="17" s="1"/>
  <c r="G311" i="17"/>
  <c r="D310" i="17"/>
  <c r="D311" i="17" s="1"/>
  <c r="P309" i="17"/>
  <c r="F309" i="17"/>
  <c r="I309" i="17" s="1"/>
  <c r="P308" i="17"/>
  <c r="F308" i="17"/>
  <c r="I308" i="17" s="1"/>
  <c r="P307" i="17"/>
  <c r="F307" i="17"/>
  <c r="I307" i="17" s="1"/>
  <c r="P306" i="17"/>
  <c r="F306" i="17"/>
  <c r="I306" i="17" s="1"/>
  <c r="P305" i="17"/>
  <c r="F305" i="17"/>
  <c r="I305" i="17" s="1"/>
  <c r="P304" i="17"/>
  <c r="F304" i="17"/>
  <c r="I304" i="17" s="1"/>
  <c r="P303" i="17"/>
  <c r="F303" i="17"/>
  <c r="I303" i="17" s="1"/>
  <c r="P302" i="17"/>
  <c r="F302" i="17"/>
  <c r="I302" i="17" s="1"/>
  <c r="P301" i="17"/>
  <c r="F301" i="17"/>
  <c r="I301" i="17" s="1"/>
  <c r="P300" i="17"/>
  <c r="F300" i="17"/>
  <c r="I300" i="17" s="1"/>
  <c r="P299" i="17"/>
  <c r="F299" i="17"/>
  <c r="I299" i="17" s="1"/>
  <c r="P298" i="17"/>
  <c r="F298" i="17"/>
  <c r="I298" i="17" s="1"/>
  <c r="P297" i="17"/>
  <c r="F297" i="17"/>
  <c r="I297" i="17" s="1"/>
  <c r="P296" i="17"/>
  <c r="F296" i="17"/>
  <c r="I296" i="17" s="1"/>
  <c r="P295" i="17"/>
  <c r="F295" i="17"/>
  <c r="I295" i="17" s="1"/>
  <c r="P294" i="17"/>
  <c r="F294" i="17"/>
  <c r="I294" i="17" s="1"/>
  <c r="P293" i="17"/>
  <c r="F293" i="17"/>
  <c r="I293" i="17" s="1"/>
  <c r="P292" i="17"/>
  <c r="F292" i="17"/>
  <c r="I292" i="17" s="1"/>
  <c r="P291" i="17"/>
  <c r="F291" i="17"/>
  <c r="I291" i="17" s="1"/>
  <c r="P288" i="17"/>
  <c r="F288" i="17"/>
  <c r="I288" i="17" s="1"/>
  <c r="P286" i="17"/>
  <c r="F286" i="17"/>
  <c r="I286" i="17" s="1"/>
  <c r="P285" i="17"/>
  <c r="F285" i="17"/>
  <c r="I285" i="17" s="1"/>
  <c r="P284" i="17"/>
  <c r="F284" i="17"/>
  <c r="P283" i="17"/>
  <c r="F283" i="17"/>
  <c r="I283" i="17" s="1"/>
  <c r="P282" i="17"/>
  <c r="F282" i="17"/>
  <c r="I282" i="17" s="1"/>
  <c r="Q281" i="17"/>
  <c r="P281" i="17"/>
  <c r="J281" i="17"/>
  <c r="F281" i="17"/>
  <c r="I281" i="17" s="1"/>
  <c r="P280" i="17"/>
  <c r="F280" i="17"/>
  <c r="I280" i="17" s="1"/>
  <c r="P279" i="17"/>
  <c r="F279" i="17"/>
  <c r="I279" i="17" s="1"/>
  <c r="P278" i="17"/>
  <c r="F278" i="17"/>
  <c r="E277" i="17"/>
  <c r="D277" i="17"/>
  <c r="H276" i="17"/>
  <c r="H277" i="17" s="1"/>
  <c r="G276" i="17"/>
  <c r="G277" i="17" s="1"/>
  <c r="P275" i="17"/>
  <c r="F275" i="17"/>
  <c r="I275" i="17" s="1"/>
  <c r="P274" i="17"/>
  <c r="F274" i="17"/>
  <c r="I274" i="17" s="1"/>
  <c r="P273" i="17"/>
  <c r="F273" i="17"/>
  <c r="I273" i="17" s="1"/>
  <c r="P272" i="17"/>
  <c r="F272" i="17"/>
  <c r="I272" i="17" s="1"/>
  <c r="P271" i="17"/>
  <c r="F271" i="17"/>
  <c r="I271" i="17" s="1"/>
  <c r="P270" i="17"/>
  <c r="F270" i="17"/>
  <c r="I270" i="17" s="1"/>
  <c r="P269" i="17"/>
  <c r="F269" i="17"/>
  <c r="I269" i="17" s="1"/>
  <c r="E268" i="17"/>
  <c r="H267" i="17"/>
  <c r="G267" i="17"/>
  <c r="D267" i="17"/>
  <c r="P266" i="17"/>
  <c r="F266" i="17"/>
  <c r="I266" i="17" s="1"/>
  <c r="P265" i="17"/>
  <c r="F265" i="17"/>
  <c r="I265" i="17" s="1"/>
  <c r="P264" i="17"/>
  <c r="F264" i="17"/>
  <c r="I264" i="17" s="1"/>
  <c r="P263" i="17"/>
  <c r="F263" i="17"/>
  <c r="I263" i="17" s="1"/>
  <c r="P262" i="17"/>
  <c r="F262" i="17"/>
  <c r="I262" i="17" s="1"/>
  <c r="P261" i="17"/>
  <c r="F261" i="17"/>
  <c r="I261" i="17" s="1"/>
  <c r="P260" i="17"/>
  <c r="F260" i="17"/>
  <c r="H259" i="17"/>
  <c r="G259" i="17"/>
  <c r="D259" i="17"/>
  <c r="P258" i="17"/>
  <c r="F258" i="17"/>
  <c r="I258" i="17" s="1"/>
  <c r="P257" i="17"/>
  <c r="F257" i="17"/>
  <c r="I257" i="17" s="1"/>
  <c r="P256" i="17"/>
  <c r="F256" i="17"/>
  <c r="I256" i="17" s="1"/>
  <c r="P255" i="17"/>
  <c r="F255" i="17"/>
  <c r="I255" i="17" s="1"/>
  <c r="P254" i="17"/>
  <c r="F254" i="17"/>
  <c r="I254" i="17" s="1"/>
  <c r="F507" i="13"/>
  <c r="I507" i="13" s="1"/>
  <c r="F504" i="13"/>
  <c r="I504" i="13" s="1"/>
  <c r="F503" i="13"/>
  <c r="F502" i="13"/>
  <c r="I502" i="13" s="1"/>
  <c r="F500" i="13"/>
  <c r="I500" i="13" s="1"/>
  <c r="F499" i="13"/>
  <c r="I499" i="13" s="1"/>
  <c r="F498" i="13"/>
  <c r="F491" i="13"/>
  <c r="I491" i="13" s="1"/>
  <c r="F489" i="13"/>
  <c r="I489" i="13" s="1"/>
  <c r="F488" i="13"/>
  <c r="I488" i="13" s="1"/>
  <c r="F487" i="13"/>
  <c r="I487" i="13" s="1"/>
  <c r="F486" i="13"/>
  <c r="I486" i="13" s="1"/>
  <c r="F485" i="13"/>
  <c r="I485" i="13" s="1"/>
  <c r="F484" i="13"/>
  <c r="I484" i="13" s="1"/>
  <c r="F483" i="13"/>
  <c r="I483" i="13" s="1"/>
  <c r="F482" i="13"/>
  <c r="I482" i="13" s="1"/>
  <c r="F481" i="13"/>
  <c r="J533" i="13"/>
  <c r="I533" i="13"/>
  <c r="I527" i="13"/>
  <c r="F525" i="13"/>
  <c r="I525" i="13" s="1"/>
  <c r="F524" i="13"/>
  <c r="I524" i="13" s="1"/>
  <c r="F523" i="13"/>
  <c r="I523" i="13" s="1"/>
  <c r="I517" i="13"/>
  <c r="I516" i="13"/>
  <c r="I515" i="13"/>
  <c r="F518" i="13"/>
  <c r="I510" i="13"/>
  <c r="I495" i="13"/>
  <c r="I477" i="13"/>
  <c r="I476" i="13"/>
  <c r="I475" i="13"/>
  <c r="I474" i="13"/>
  <c r="I473" i="13"/>
  <c r="I472" i="13"/>
  <c r="I471" i="13"/>
  <c r="I467" i="13"/>
  <c r="I466" i="13"/>
  <c r="I465" i="13"/>
  <c r="I462" i="13"/>
  <c r="I461" i="13"/>
  <c r="I457" i="13"/>
  <c r="I452" i="13"/>
  <c r="I451" i="13"/>
  <c r="I450" i="13"/>
  <c r="I444" i="13"/>
  <c r="I443" i="13"/>
  <c r="I442" i="13"/>
  <c r="I441" i="13"/>
  <c r="I436" i="13"/>
  <c r="F530" i="1"/>
  <c r="F531" i="1" s="1"/>
  <c r="I529" i="1"/>
  <c r="H529" i="1"/>
  <c r="F533" i="13" s="1"/>
  <c r="G528" i="1"/>
  <c r="J528" i="1" s="1"/>
  <c r="G527" i="1"/>
  <c r="J527" i="1" s="1"/>
  <c r="I526" i="1"/>
  <c r="H526" i="1"/>
  <c r="I529" i="13" s="1"/>
  <c r="E526" i="1"/>
  <c r="G525" i="1"/>
  <c r="J525" i="1" s="1"/>
  <c r="G524" i="1"/>
  <c r="J524" i="1" s="1"/>
  <c r="G523" i="1"/>
  <c r="J523" i="1" s="1"/>
  <c r="I522" i="1"/>
  <c r="H522" i="1"/>
  <c r="E522" i="1"/>
  <c r="G521" i="1"/>
  <c r="J521" i="1" s="1"/>
  <c r="G520" i="1"/>
  <c r="J520" i="1" s="1"/>
  <c r="G519" i="1"/>
  <c r="G518" i="1"/>
  <c r="J518" i="1" s="1"/>
  <c r="G517" i="1"/>
  <c r="J517" i="1" s="1"/>
  <c r="I516" i="1"/>
  <c r="H516" i="1"/>
  <c r="F520" i="13" s="1"/>
  <c r="E516" i="1"/>
  <c r="G515" i="1"/>
  <c r="J515" i="1" s="1"/>
  <c r="G514" i="1"/>
  <c r="I513" i="1"/>
  <c r="H513" i="1"/>
  <c r="E513" i="1"/>
  <c r="G512" i="1"/>
  <c r="J512" i="1" s="1"/>
  <c r="G511" i="1"/>
  <c r="J511" i="1" s="1"/>
  <c r="G510" i="1"/>
  <c r="J510" i="1" s="1"/>
  <c r="G509" i="1"/>
  <c r="I508" i="1"/>
  <c r="H508" i="1"/>
  <c r="I512" i="13" s="1"/>
  <c r="E508" i="1"/>
  <c r="G507" i="1"/>
  <c r="J507" i="1" s="1"/>
  <c r="G506" i="1"/>
  <c r="J506" i="1" s="1"/>
  <c r="G505" i="1"/>
  <c r="J505" i="1" s="1"/>
  <c r="F503" i="1"/>
  <c r="F504" i="1" s="1"/>
  <c r="G502" i="1"/>
  <c r="J502" i="1" s="1"/>
  <c r="I500" i="1"/>
  <c r="H500" i="1"/>
  <c r="E500" i="1"/>
  <c r="E501" i="1" s="1"/>
  <c r="G499" i="1"/>
  <c r="J499" i="1" s="1"/>
  <c r="G498" i="1"/>
  <c r="J498" i="1" s="1"/>
  <c r="G497" i="1"/>
  <c r="J497" i="1" s="1"/>
  <c r="I496" i="1"/>
  <c r="H496" i="1"/>
  <c r="G495" i="1"/>
  <c r="J495" i="1" s="1"/>
  <c r="G494" i="1"/>
  <c r="J494" i="1" s="1"/>
  <c r="G493" i="1"/>
  <c r="J493" i="1" s="1"/>
  <c r="E491" i="1"/>
  <c r="I491" i="1"/>
  <c r="H491" i="1"/>
  <c r="G490" i="1"/>
  <c r="J490" i="1" s="1"/>
  <c r="G488" i="1"/>
  <c r="J488" i="1" s="1"/>
  <c r="G486" i="1"/>
  <c r="I485" i="1"/>
  <c r="H485" i="1"/>
  <c r="E485" i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F474" i="1"/>
  <c r="I473" i="1"/>
  <c r="H473" i="1"/>
  <c r="F468" i="13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E465" i="1"/>
  <c r="E473" i="1" s="1"/>
  <c r="I464" i="1"/>
  <c r="H464" i="1"/>
  <c r="E464" i="1"/>
  <c r="G463" i="1"/>
  <c r="J463" i="1" s="1"/>
  <c r="G462" i="1"/>
  <c r="J462" i="1" s="1"/>
  <c r="G461" i="1"/>
  <c r="J461" i="1" s="1"/>
  <c r="G460" i="1"/>
  <c r="I458" i="1"/>
  <c r="H458" i="1"/>
  <c r="F453" i="13" s="1"/>
  <c r="I453" i="13" s="1"/>
  <c r="E458" i="1"/>
  <c r="G457" i="1"/>
  <c r="J457" i="1" s="1"/>
  <c r="G456" i="1"/>
  <c r="J456" i="1" s="1"/>
  <c r="G455" i="1"/>
  <c r="J455" i="1" s="1"/>
  <c r="I454" i="1"/>
  <c r="H454" i="1"/>
  <c r="F454" i="1"/>
  <c r="F459" i="1" s="1"/>
  <c r="E454" i="1"/>
  <c r="G453" i="1"/>
  <c r="G452" i="1"/>
  <c r="J452" i="1" s="1"/>
  <c r="G451" i="1"/>
  <c r="I450" i="1"/>
  <c r="H450" i="1"/>
  <c r="F445" i="13" s="1"/>
  <c r="I445" i="13" s="1"/>
  <c r="E450" i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H442" i="1"/>
  <c r="E442" i="1"/>
  <c r="G441" i="1"/>
  <c r="J441" i="1" s="1"/>
  <c r="G440" i="1"/>
  <c r="J440" i="1" s="1"/>
  <c r="G439" i="1"/>
  <c r="J439" i="1" s="1"/>
  <c r="G438" i="1"/>
  <c r="J438" i="1" s="1"/>
  <c r="G437" i="1"/>
  <c r="J437" i="1" s="1"/>
  <c r="I442" i="1"/>
  <c r="G436" i="1"/>
  <c r="J436" i="1" s="1"/>
  <c r="G435" i="1"/>
  <c r="J435" i="1" s="1"/>
  <c r="I434" i="1"/>
  <c r="H434" i="1"/>
  <c r="I438" i="13" s="1"/>
  <c r="E434" i="1"/>
  <c r="G433" i="1"/>
  <c r="J433" i="1" s="1"/>
  <c r="G432" i="1"/>
  <c r="J432" i="1" s="1"/>
  <c r="G431" i="1"/>
  <c r="J431" i="1" s="1"/>
  <c r="G430" i="1"/>
  <c r="J430" i="1" s="1"/>
  <c r="I501" i="1" l="1"/>
  <c r="L777" i="17"/>
  <c r="F267" i="17"/>
  <c r="I267" i="17" s="1"/>
  <c r="I278" i="17"/>
  <c r="F310" i="17"/>
  <c r="O389" i="14"/>
  <c r="N389" i="14" s="1"/>
  <c r="K390" i="14"/>
  <c r="K715" i="17"/>
  <c r="Q653" i="17"/>
  <c r="J653" i="17"/>
  <c r="K847" i="17"/>
  <c r="Q785" i="17"/>
  <c r="M591" i="17"/>
  <c r="N591" i="17"/>
  <c r="P310" i="17"/>
  <c r="G396" i="14"/>
  <c r="K399" i="14"/>
  <c r="F1693" i="16"/>
  <c r="F1787" i="16" s="1"/>
  <c r="I1601" i="16"/>
  <c r="I1692" i="16"/>
  <c r="H417" i="16"/>
  <c r="M1229" i="1"/>
  <c r="G1022" i="13"/>
  <c r="J1022" i="13" s="1"/>
  <c r="L1123" i="1"/>
  <c r="K1017" i="1"/>
  <c r="L1019" i="1"/>
  <c r="G918" i="13"/>
  <c r="J918" i="13" s="1"/>
  <c r="N911" i="1"/>
  <c r="O911" i="1"/>
  <c r="F475" i="1"/>
  <c r="I458" i="13"/>
  <c r="I459" i="13" s="1"/>
  <c r="F449" i="13"/>
  <c r="I449" i="13" s="1"/>
  <c r="N805" i="1"/>
  <c r="O805" i="1"/>
  <c r="F490" i="13"/>
  <c r="F501" i="13"/>
  <c r="H369" i="16"/>
  <c r="H373" i="16"/>
  <c r="E375" i="16"/>
  <c r="E420" i="16" s="1"/>
  <c r="H474" i="1"/>
  <c r="I446" i="13"/>
  <c r="F437" i="13"/>
  <c r="I437" i="13" s="1"/>
  <c r="F463" i="13"/>
  <c r="I468" i="13"/>
  <c r="I469" i="13" s="1"/>
  <c r="F532" i="1"/>
  <c r="E474" i="1"/>
  <c r="C76" i="15" s="1"/>
  <c r="I474" i="1"/>
  <c r="E492" i="1"/>
  <c r="E503" i="1" s="1"/>
  <c r="E504" i="1" s="1"/>
  <c r="G500" i="1"/>
  <c r="J500" i="1" s="1"/>
  <c r="F459" i="13"/>
  <c r="H492" i="1"/>
  <c r="G454" i="1"/>
  <c r="J454" i="1" s="1"/>
  <c r="J451" i="1"/>
  <c r="I520" i="13"/>
  <c r="F521" i="13"/>
  <c r="F447" i="13"/>
  <c r="F496" i="13"/>
  <c r="F505" i="13"/>
  <c r="I492" i="1"/>
  <c r="I503" i="1" s="1"/>
  <c r="I504" i="1" s="1"/>
  <c r="D268" i="17"/>
  <c r="H268" i="17"/>
  <c r="G268" i="17"/>
  <c r="P259" i="17"/>
  <c r="P267" i="17"/>
  <c r="F276" i="17"/>
  <c r="F277" i="17" s="1"/>
  <c r="I277" i="17" s="1"/>
  <c r="P276" i="17"/>
  <c r="P277" i="17" s="1"/>
  <c r="F259" i="17"/>
  <c r="I259" i="17" s="1"/>
  <c r="I530" i="1"/>
  <c r="I531" i="1" s="1"/>
  <c r="F530" i="13"/>
  <c r="F526" i="13"/>
  <c r="F513" i="13"/>
  <c r="M371" i="14"/>
  <c r="O371" i="14"/>
  <c r="N371" i="14" s="1"/>
  <c r="P371" i="14" s="1"/>
  <c r="M374" i="14"/>
  <c r="O374" i="14"/>
  <c r="N374" i="14" s="1"/>
  <c r="P374" i="14" s="1"/>
  <c r="O373" i="14"/>
  <c r="N373" i="14" s="1"/>
  <c r="O375" i="14"/>
  <c r="N375" i="14" s="1"/>
  <c r="P375" i="14" s="1"/>
  <c r="O386" i="14"/>
  <c r="N386" i="14" s="1"/>
  <c r="M372" i="14"/>
  <c r="O372" i="14"/>
  <c r="N372" i="14" s="1"/>
  <c r="R371" i="14"/>
  <c r="R373" i="14"/>
  <c r="P373" i="14"/>
  <c r="R375" i="14"/>
  <c r="O376" i="14"/>
  <c r="N376" i="14" s="1"/>
  <c r="M376" i="14"/>
  <c r="O378" i="14"/>
  <c r="N378" i="14" s="1"/>
  <c r="M378" i="14"/>
  <c r="O380" i="14"/>
  <c r="N380" i="14" s="1"/>
  <c r="M380" i="14"/>
  <c r="O382" i="14"/>
  <c r="N382" i="14" s="1"/>
  <c r="M382" i="14"/>
  <c r="O384" i="14"/>
  <c r="N384" i="14" s="1"/>
  <c r="M384" i="14"/>
  <c r="O399" i="14"/>
  <c r="N399" i="14" s="1"/>
  <c r="M399" i="14"/>
  <c r="R400" i="14"/>
  <c r="P400" i="14"/>
  <c r="Q400" i="14"/>
  <c r="S400" i="14" s="1"/>
  <c r="R401" i="14"/>
  <c r="P401" i="14"/>
  <c r="Q401" i="14"/>
  <c r="S401" i="14" s="1"/>
  <c r="R402" i="14"/>
  <c r="P402" i="14"/>
  <c r="Q402" i="14"/>
  <c r="R403" i="14"/>
  <c r="P403" i="14"/>
  <c r="Q403" i="14"/>
  <c r="R404" i="14"/>
  <c r="P404" i="14"/>
  <c r="Q404" i="14"/>
  <c r="S404" i="14" s="1"/>
  <c r="Q373" i="14"/>
  <c r="S373" i="14" s="1"/>
  <c r="K377" i="14"/>
  <c r="L379" i="14"/>
  <c r="K379" i="14" s="1"/>
  <c r="C379" i="14"/>
  <c r="O381" i="14"/>
  <c r="N381" i="14" s="1"/>
  <c r="M381" i="14"/>
  <c r="O383" i="14"/>
  <c r="N383" i="14" s="1"/>
  <c r="M383" i="14"/>
  <c r="O385" i="14"/>
  <c r="N385" i="14" s="1"/>
  <c r="M385" i="14"/>
  <c r="R386" i="14"/>
  <c r="P386" i="14"/>
  <c r="R389" i="14"/>
  <c r="P389" i="14"/>
  <c r="O390" i="14"/>
  <c r="N390" i="14" s="1"/>
  <c r="M390" i="14"/>
  <c r="O392" i="14"/>
  <c r="N392" i="14" s="1"/>
  <c r="M392" i="14"/>
  <c r="O394" i="14"/>
  <c r="N394" i="14" s="1"/>
  <c r="M394" i="14"/>
  <c r="L396" i="14"/>
  <c r="K396" i="14" s="1"/>
  <c r="C396" i="14"/>
  <c r="L398" i="14"/>
  <c r="K398" i="14" s="1"/>
  <c r="C398" i="14"/>
  <c r="M400" i="14"/>
  <c r="M401" i="14"/>
  <c r="M402" i="14"/>
  <c r="M403" i="14"/>
  <c r="M404" i="14"/>
  <c r="Q386" i="14"/>
  <c r="Q389" i="14"/>
  <c r="S389" i="14" s="1"/>
  <c r="O391" i="14"/>
  <c r="N391" i="14" s="1"/>
  <c r="M391" i="14"/>
  <c r="O393" i="14"/>
  <c r="N393" i="14" s="1"/>
  <c r="M393" i="14"/>
  <c r="O395" i="14"/>
  <c r="N395" i="14" s="1"/>
  <c r="M395" i="14"/>
  <c r="O397" i="14"/>
  <c r="N397" i="14" s="1"/>
  <c r="M397" i="14"/>
  <c r="H357" i="16"/>
  <c r="H312" i="17"/>
  <c r="G312" i="17"/>
  <c r="I260" i="17"/>
  <c r="P311" i="17"/>
  <c r="M281" i="17"/>
  <c r="N281" i="17"/>
  <c r="D312" i="17"/>
  <c r="E312" i="17"/>
  <c r="I481" i="13"/>
  <c r="I490" i="13" s="1"/>
  <c r="I492" i="13"/>
  <c r="I496" i="13" s="1"/>
  <c r="I498" i="13"/>
  <c r="I501" i="13" s="1"/>
  <c r="I503" i="13"/>
  <c r="I505" i="13" s="1"/>
  <c r="I511" i="13"/>
  <c r="I513" i="13" s="1"/>
  <c r="I514" i="13"/>
  <c r="I518" i="13" s="1"/>
  <c r="I519" i="13"/>
  <c r="I522" i="13"/>
  <c r="I526" i="13" s="1"/>
  <c r="I528" i="13"/>
  <c r="I530" i="13" s="1"/>
  <c r="I435" i="13"/>
  <c r="I440" i="13"/>
  <c r="I448" i="13"/>
  <c r="I456" i="13"/>
  <c r="I460" i="13"/>
  <c r="I463" i="13" s="1"/>
  <c r="H530" i="1"/>
  <c r="H501" i="1"/>
  <c r="I459" i="1"/>
  <c r="G442" i="1"/>
  <c r="J442" i="1" s="1"/>
  <c r="H459" i="1"/>
  <c r="G434" i="1"/>
  <c r="G464" i="1"/>
  <c r="J460" i="1"/>
  <c r="E459" i="1"/>
  <c r="G450" i="1"/>
  <c r="J450" i="1" s="1"/>
  <c r="G458" i="1"/>
  <c r="J458" i="1" s="1"/>
  <c r="G473" i="1"/>
  <c r="J473" i="1" s="1"/>
  <c r="J486" i="1"/>
  <c r="G491" i="1"/>
  <c r="J491" i="1" s="1"/>
  <c r="G496" i="1"/>
  <c r="G485" i="1"/>
  <c r="E530" i="1"/>
  <c r="G513" i="1"/>
  <c r="J513" i="1" s="1"/>
  <c r="J509" i="1"/>
  <c r="G516" i="1"/>
  <c r="J516" i="1" s="1"/>
  <c r="J514" i="1"/>
  <c r="J519" i="1"/>
  <c r="G522" i="1"/>
  <c r="J522" i="1" s="1"/>
  <c r="G508" i="1"/>
  <c r="G529" i="1"/>
  <c r="J529" i="1" s="1"/>
  <c r="G526" i="1"/>
  <c r="J526" i="1" s="1"/>
  <c r="E361" i="1"/>
  <c r="E394" i="1"/>
  <c r="E395" i="1" s="1"/>
  <c r="H188" i="17"/>
  <c r="H189" i="17" s="1"/>
  <c r="G188" i="17"/>
  <c r="D416" i="14"/>
  <c r="I384" i="1"/>
  <c r="H384" i="1"/>
  <c r="F336" i="16"/>
  <c r="F418" i="16" s="1"/>
  <c r="H336" i="16"/>
  <c r="K777" i="17" l="1"/>
  <c r="Q715" i="17"/>
  <c r="J715" i="17"/>
  <c r="K909" i="17"/>
  <c r="Q847" i="17"/>
  <c r="T401" i="14"/>
  <c r="T389" i="14"/>
  <c r="S402" i="14"/>
  <c r="M653" i="17"/>
  <c r="N653" i="17"/>
  <c r="T403" i="14"/>
  <c r="S403" i="14"/>
  <c r="L839" i="17"/>
  <c r="F1882" i="16"/>
  <c r="I1787" i="16"/>
  <c r="I1693" i="16"/>
  <c r="F497" i="13"/>
  <c r="K1123" i="1"/>
  <c r="L1229" i="1"/>
  <c r="G1128" i="13"/>
  <c r="J1128" i="13" s="1"/>
  <c r="L1125" i="1"/>
  <c r="G1024" i="13"/>
  <c r="J1024" i="13" s="1"/>
  <c r="N1017" i="1"/>
  <c r="O1017" i="1"/>
  <c r="M1335" i="1"/>
  <c r="I475" i="1"/>
  <c r="F506" i="13"/>
  <c r="F508" i="13" s="1"/>
  <c r="F509" i="13" s="1"/>
  <c r="I439" i="13"/>
  <c r="C79" i="15"/>
  <c r="C81" i="15" s="1"/>
  <c r="I447" i="13"/>
  <c r="I336" i="16"/>
  <c r="I337" i="16" s="1"/>
  <c r="H375" i="16"/>
  <c r="I418" i="16"/>
  <c r="I419" i="16" s="1"/>
  <c r="F500" i="16"/>
  <c r="P268" i="17"/>
  <c r="H475" i="1"/>
  <c r="F470" i="13" s="1"/>
  <c r="F454" i="13"/>
  <c r="F439" i="13"/>
  <c r="F469" i="13"/>
  <c r="E531" i="1"/>
  <c r="C82" i="15"/>
  <c r="C84" i="15" s="1"/>
  <c r="E475" i="1"/>
  <c r="C75" i="15"/>
  <c r="C78" i="15" s="1"/>
  <c r="C85" i="15" s="1"/>
  <c r="I521" i="13"/>
  <c r="I534" i="13" s="1"/>
  <c r="I535" i="13" s="1"/>
  <c r="H503" i="1"/>
  <c r="H504" i="1" s="1"/>
  <c r="I532" i="1"/>
  <c r="I276" i="17"/>
  <c r="F268" i="17"/>
  <c r="I268" i="17" s="1"/>
  <c r="P312" i="17"/>
  <c r="H531" i="1"/>
  <c r="F534" i="13"/>
  <c r="F535" i="13" s="1"/>
  <c r="Q375" i="14"/>
  <c r="S375" i="14" s="1"/>
  <c r="T375" i="14" s="1"/>
  <c r="R374" i="14"/>
  <c r="S386" i="14"/>
  <c r="T386" i="14" s="1"/>
  <c r="Q374" i="14"/>
  <c r="S374" i="14" s="1"/>
  <c r="T374" i="14" s="1"/>
  <c r="Q371" i="14"/>
  <c r="S371" i="14" s="1"/>
  <c r="T371" i="14" s="1"/>
  <c r="T373" i="14"/>
  <c r="Q397" i="14"/>
  <c r="P397" i="14"/>
  <c r="R397" i="14"/>
  <c r="Q395" i="14"/>
  <c r="P395" i="14"/>
  <c r="R395" i="14"/>
  <c r="Q393" i="14"/>
  <c r="P393" i="14"/>
  <c r="R393" i="14"/>
  <c r="Q391" i="14"/>
  <c r="P391" i="14"/>
  <c r="R391" i="14"/>
  <c r="R385" i="14"/>
  <c r="Q385" i="14"/>
  <c r="P385" i="14"/>
  <c r="Q383" i="14"/>
  <c r="R383" i="14"/>
  <c r="P383" i="14"/>
  <c r="Q381" i="14"/>
  <c r="R381" i="14"/>
  <c r="P381" i="14"/>
  <c r="M379" i="14"/>
  <c r="O379" i="14"/>
  <c r="N379" i="14" s="1"/>
  <c r="R399" i="14"/>
  <c r="P399" i="14"/>
  <c r="Q399" i="14"/>
  <c r="T404" i="14"/>
  <c r="T402" i="14"/>
  <c r="T400" i="14"/>
  <c r="O398" i="14"/>
  <c r="N398" i="14" s="1"/>
  <c r="M398" i="14"/>
  <c r="O396" i="14"/>
  <c r="N396" i="14" s="1"/>
  <c r="M396" i="14"/>
  <c r="Q394" i="14"/>
  <c r="R394" i="14"/>
  <c r="P394" i="14"/>
  <c r="Q392" i="14"/>
  <c r="R392" i="14"/>
  <c r="P392" i="14"/>
  <c r="Q390" i="14"/>
  <c r="R390" i="14"/>
  <c r="P390" i="14"/>
  <c r="M377" i="14"/>
  <c r="O377" i="14"/>
  <c r="N377" i="14" s="1"/>
  <c r="Q384" i="14"/>
  <c r="R384" i="14"/>
  <c r="P384" i="14"/>
  <c r="Q382" i="14"/>
  <c r="R382" i="14"/>
  <c r="P382" i="14"/>
  <c r="Q380" i="14"/>
  <c r="R380" i="14"/>
  <c r="P380" i="14"/>
  <c r="Q378" i="14"/>
  <c r="R378" i="14"/>
  <c r="P378" i="14"/>
  <c r="Q376" i="14"/>
  <c r="R376" i="14"/>
  <c r="P376" i="14"/>
  <c r="R372" i="14"/>
  <c r="P372" i="14"/>
  <c r="Q372" i="14"/>
  <c r="F311" i="17"/>
  <c r="I310" i="17"/>
  <c r="I497" i="13"/>
  <c r="I506" i="13"/>
  <c r="G530" i="1"/>
  <c r="J508" i="1"/>
  <c r="G501" i="1"/>
  <c r="J501" i="1" s="1"/>
  <c r="J496" i="1"/>
  <c r="G474" i="1"/>
  <c r="J474" i="1" s="1"/>
  <c r="J464" i="1"/>
  <c r="G459" i="1"/>
  <c r="J434" i="1"/>
  <c r="J485" i="1"/>
  <c r="G492" i="1"/>
  <c r="I415" i="14"/>
  <c r="H415" i="14"/>
  <c r="I414" i="14"/>
  <c r="H414" i="14"/>
  <c r="D415" i="14"/>
  <c r="D414" i="14"/>
  <c r="E413" i="14"/>
  <c r="E412" i="14"/>
  <c r="E408" i="14"/>
  <c r="D408" i="14"/>
  <c r="I408" i="14"/>
  <c r="H408" i="14"/>
  <c r="E407" i="14"/>
  <c r="H407" i="14"/>
  <c r="I332" i="1"/>
  <c r="H332" i="1"/>
  <c r="E264" i="16"/>
  <c r="E532" i="1" l="1"/>
  <c r="K971" i="17"/>
  <c r="Q909" i="17"/>
  <c r="M715" i="17"/>
  <c r="N715" i="17"/>
  <c r="S372" i="14"/>
  <c r="S399" i="14"/>
  <c r="T399" i="14" s="1"/>
  <c r="L901" i="17"/>
  <c r="G414" i="14"/>
  <c r="S392" i="14"/>
  <c r="T392" i="14" s="1"/>
  <c r="K839" i="17"/>
  <c r="Q777" i="17"/>
  <c r="J777" i="17"/>
  <c r="I1882" i="16"/>
  <c r="M1442" i="1"/>
  <c r="M1549" i="1" s="1"/>
  <c r="N1123" i="1"/>
  <c r="O1123" i="1"/>
  <c r="L1231" i="1"/>
  <c r="G1130" i="13"/>
  <c r="J1130" i="13" s="1"/>
  <c r="L1335" i="1"/>
  <c r="K1229" i="1"/>
  <c r="G1234" i="13"/>
  <c r="J1234" i="13" s="1"/>
  <c r="H532" i="1"/>
  <c r="I500" i="16"/>
  <c r="I501" i="16" s="1"/>
  <c r="F584" i="16"/>
  <c r="F478" i="13"/>
  <c r="F479" i="13" s="1"/>
  <c r="I470" i="13"/>
  <c r="I478" i="13" s="1"/>
  <c r="I479" i="13" s="1"/>
  <c r="I454" i="13"/>
  <c r="I455" i="13" s="1"/>
  <c r="I464" i="13" s="1"/>
  <c r="F455" i="13"/>
  <c r="F464" i="13" s="1"/>
  <c r="I508" i="13"/>
  <c r="I509" i="13" s="1"/>
  <c r="S381" i="14"/>
  <c r="T381" i="14" s="1"/>
  <c r="T372" i="14"/>
  <c r="S376" i="14"/>
  <c r="T376" i="14" s="1"/>
  <c r="S380" i="14"/>
  <c r="T380" i="14" s="1"/>
  <c r="S384" i="14"/>
  <c r="T384" i="14" s="1"/>
  <c r="T394" i="14"/>
  <c r="R377" i="14"/>
  <c r="P377" i="14"/>
  <c r="Q377" i="14"/>
  <c r="S377" i="14" s="1"/>
  <c r="R379" i="14"/>
  <c r="P379" i="14"/>
  <c r="Q379" i="14"/>
  <c r="S391" i="14"/>
  <c r="T391" i="14" s="1"/>
  <c r="S395" i="14"/>
  <c r="T395" i="14" s="1"/>
  <c r="S378" i="14"/>
  <c r="T378" i="14" s="1"/>
  <c r="S382" i="14"/>
  <c r="T382" i="14" s="1"/>
  <c r="S390" i="14"/>
  <c r="T390" i="14" s="1"/>
  <c r="S394" i="14"/>
  <c r="R396" i="14"/>
  <c r="P396" i="14"/>
  <c r="Q396" i="14"/>
  <c r="S396" i="14" s="1"/>
  <c r="T396" i="14" s="1"/>
  <c r="R398" i="14"/>
  <c r="P398" i="14"/>
  <c r="Q398" i="14"/>
  <c r="S383" i="14"/>
  <c r="T383" i="14" s="1"/>
  <c r="S385" i="14"/>
  <c r="T385" i="14" s="1"/>
  <c r="S393" i="14"/>
  <c r="T393" i="14" s="1"/>
  <c r="S397" i="14"/>
  <c r="T397" i="14" s="1"/>
  <c r="I311" i="17"/>
  <c r="F312" i="17"/>
  <c r="I312" i="17" s="1"/>
  <c r="G503" i="1"/>
  <c r="J492" i="1"/>
  <c r="G531" i="1"/>
  <c r="J530" i="1"/>
  <c r="J531" i="1" s="1"/>
  <c r="G475" i="1"/>
  <c r="J459" i="1"/>
  <c r="L422" i="14"/>
  <c r="K422" i="14"/>
  <c r="O422" i="14" s="1"/>
  <c r="N422" i="14" s="1"/>
  <c r="G422" i="14"/>
  <c r="C422" i="14"/>
  <c r="L421" i="14"/>
  <c r="K421" i="14"/>
  <c r="O421" i="14" s="1"/>
  <c r="N421" i="14" s="1"/>
  <c r="G421" i="14"/>
  <c r="C421" i="14"/>
  <c r="L420" i="14"/>
  <c r="K420" i="14"/>
  <c r="O420" i="14" s="1"/>
  <c r="N420" i="14" s="1"/>
  <c r="G420" i="14"/>
  <c r="C420" i="14"/>
  <c r="L419" i="14"/>
  <c r="K419" i="14"/>
  <c r="O419" i="14" s="1"/>
  <c r="N419" i="14" s="1"/>
  <c r="G419" i="14"/>
  <c r="C419" i="14"/>
  <c r="L418" i="14"/>
  <c r="K418" i="14"/>
  <c r="O418" i="14" s="1"/>
  <c r="G418" i="14"/>
  <c r="C418" i="14"/>
  <c r="G417" i="14"/>
  <c r="L417" i="14"/>
  <c r="K417" i="14" s="1"/>
  <c r="C417" i="14"/>
  <c r="G416" i="14"/>
  <c r="L415" i="14"/>
  <c r="K415" i="14" s="1"/>
  <c r="G415" i="14"/>
  <c r="C415" i="14"/>
  <c r="L413" i="14"/>
  <c r="K413" i="14" s="1"/>
  <c r="G413" i="14"/>
  <c r="C413" i="14"/>
  <c r="L412" i="14"/>
  <c r="K412" i="14" s="1"/>
  <c r="G412" i="14"/>
  <c r="C412" i="14"/>
  <c r="L411" i="14"/>
  <c r="K411" i="14" s="1"/>
  <c r="G411" i="14"/>
  <c r="C411" i="14"/>
  <c r="L410" i="14"/>
  <c r="K410" i="14" s="1"/>
  <c r="G410" i="14"/>
  <c r="C410" i="14"/>
  <c r="L409" i="14"/>
  <c r="K409" i="14" s="1"/>
  <c r="G409" i="14"/>
  <c r="C409" i="14"/>
  <c r="L408" i="14"/>
  <c r="K408" i="14" s="1"/>
  <c r="G408" i="14"/>
  <c r="C408" i="14"/>
  <c r="L407" i="14"/>
  <c r="K407" i="14" s="1"/>
  <c r="M407" i="14" s="1"/>
  <c r="G407" i="14"/>
  <c r="C407" i="14"/>
  <c r="E68" i="15"/>
  <c r="E65" i="15"/>
  <c r="E62" i="15"/>
  <c r="E314" i="16"/>
  <c r="E335" i="16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3" i="16"/>
  <c r="H312" i="16"/>
  <c r="H311" i="16"/>
  <c r="H310" i="16"/>
  <c r="H309" i="16"/>
  <c r="H308" i="16"/>
  <c r="H307" i="16"/>
  <c r="H306" i="16"/>
  <c r="H305" i="16"/>
  <c r="H304" i="16"/>
  <c r="H303" i="16"/>
  <c r="H302" i="16"/>
  <c r="H301" i="16"/>
  <c r="H300" i="16"/>
  <c r="H299" i="16"/>
  <c r="H298" i="16"/>
  <c r="H297" i="16"/>
  <c r="H296" i="16"/>
  <c r="H295" i="16"/>
  <c r="H294" i="16"/>
  <c r="I292" i="16"/>
  <c r="E291" i="16"/>
  <c r="H290" i="16"/>
  <c r="H289" i="16"/>
  <c r="I288" i="16"/>
  <c r="H288" i="16"/>
  <c r="E287" i="16"/>
  <c r="H286" i="16"/>
  <c r="H285" i="16"/>
  <c r="H284" i="16"/>
  <c r="H283" i="16"/>
  <c r="H282" i="16"/>
  <c r="H281" i="16"/>
  <c r="H280" i="16"/>
  <c r="H279" i="16"/>
  <c r="H278" i="16"/>
  <c r="H277" i="16"/>
  <c r="H276" i="16"/>
  <c r="E275" i="16"/>
  <c r="H274" i="16"/>
  <c r="H273" i="16"/>
  <c r="H272" i="16"/>
  <c r="H271" i="16"/>
  <c r="H270" i="16"/>
  <c r="H269" i="16"/>
  <c r="H268" i="16"/>
  <c r="H267" i="16"/>
  <c r="H266" i="16"/>
  <c r="H265" i="16"/>
  <c r="H264" i="16"/>
  <c r="H263" i="16"/>
  <c r="H262" i="16"/>
  <c r="H261" i="16"/>
  <c r="E249" i="17"/>
  <c r="H248" i="17"/>
  <c r="G248" i="17"/>
  <c r="G249" i="17" s="1"/>
  <c r="D248" i="17"/>
  <c r="D249" i="17" s="1"/>
  <c r="P247" i="17"/>
  <c r="F247" i="17"/>
  <c r="I247" i="17" s="1"/>
  <c r="P246" i="17"/>
  <c r="F246" i="17"/>
  <c r="I246" i="17" s="1"/>
  <c r="P245" i="17"/>
  <c r="F245" i="17"/>
  <c r="I245" i="17" s="1"/>
  <c r="P244" i="17"/>
  <c r="F244" i="17"/>
  <c r="I244" i="17" s="1"/>
  <c r="P243" i="17"/>
  <c r="F243" i="17"/>
  <c r="I243" i="17" s="1"/>
  <c r="P242" i="17"/>
  <c r="F242" i="17"/>
  <c r="I242" i="17" s="1"/>
  <c r="P241" i="17"/>
  <c r="F241" i="17"/>
  <c r="I241" i="17" s="1"/>
  <c r="P240" i="17"/>
  <c r="F240" i="17"/>
  <c r="I240" i="17" s="1"/>
  <c r="P239" i="17"/>
  <c r="F239" i="17"/>
  <c r="I239" i="17" s="1"/>
  <c r="P238" i="17"/>
  <c r="F238" i="17"/>
  <c r="I238" i="17" s="1"/>
  <c r="P237" i="17"/>
  <c r="F237" i="17"/>
  <c r="I237" i="17" s="1"/>
  <c r="P236" i="17"/>
  <c r="F236" i="17"/>
  <c r="I236" i="17" s="1"/>
  <c r="P235" i="17"/>
  <c r="F235" i="17"/>
  <c r="I235" i="17" s="1"/>
  <c r="P234" i="17"/>
  <c r="F234" i="17"/>
  <c r="I234" i="17" s="1"/>
  <c r="P233" i="17"/>
  <c r="F233" i="17"/>
  <c r="I233" i="17" s="1"/>
  <c r="P232" i="17"/>
  <c r="F232" i="17"/>
  <c r="I232" i="17" s="1"/>
  <c r="P231" i="17"/>
  <c r="F231" i="17"/>
  <c r="I231" i="17" s="1"/>
  <c r="P230" i="17"/>
  <c r="F230" i="17"/>
  <c r="I230" i="17" s="1"/>
  <c r="P229" i="17"/>
  <c r="F229" i="17"/>
  <c r="I229" i="17" s="1"/>
  <c r="P228" i="17"/>
  <c r="F228" i="17"/>
  <c r="I228" i="17" s="1"/>
  <c r="P227" i="17"/>
  <c r="F227" i="17"/>
  <c r="I227" i="17" s="1"/>
  <c r="P226" i="17"/>
  <c r="F226" i="17"/>
  <c r="I226" i="17" s="1"/>
  <c r="P225" i="17"/>
  <c r="F225" i="17"/>
  <c r="I225" i="17" s="1"/>
  <c r="P224" i="17"/>
  <c r="F224" i="17"/>
  <c r="P223" i="17"/>
  <c r="F223" i="17"/>
  <c r="I223" i="17" s="1"/>
  <c r="P222" i="17"/>
  <c r="F222" i="17"/>
  <c r="I222" i="17" s="1"/>
  <c r="P221" i="17"/>
  <c r="F221" i="17"/>
  <c r="I221" i="17" s="1"/>
  <c r="P220" i="17"/>
  <c r="F220" i="17"/>
  <c r="I220" i="17" s="1"/>
  <c r="P219" i="17"/>
  <c r="F219" i="17"/>
  <c r="I219" i="17" s="1"/>
  <c r="P218" i="17"/>
  <c r="F218" i="17"/>
  <c r="I218" i="17" s="1"/>
  <c r="E217" i="17"/>
  <c r="D217" i="17"/>
  <c r="H216" i="17"/>
  <c r="H217" i="17" s="1"/>
  <c r="G216" i="17"/>
  <c r="G217" i="17" s="1"/>
  <c r="P215" i="17"/>
  <c r="F215" i="17"/>
  <c r="I215" i="17" s="1"/>
  <c r="P214" i="17"/>
  <c r="F214" i="17"/>
  <c r="I214" i="17" s="1"/>
  <c r="P213" i="17"/>
  <c r="F213" i="17"/>
  <c r="I213" i="17" s="1"/>
  <c r="P212" i="17"/>
  <c r="F212" i="17"/>
  <c r="I212" i="17" s="1"/>
  <c r="P211" i="17"/>
  <c r="F211" i="17"/>
  <c r="I211" i="17" s="1"/>
  <c r="P210" i="17"/>
  <c r="F210" i="17"/>
  <c r="I210" i="17" s="1"/>
  <c r="P209" i="17"/>
  <c r="F209" i="17"/>
  <c r="I209" i="17" s="1"/>
  <c r="E208" i="17"/>
  <c r="H207" i="17"/>
  <c r="G207" i="17"/>
  <c r="D207" i="17"/>
  <c r="P206" i="17"/>
  <c r="F206" i="17"/>
  <c r="I206" i="17" s="1"/>
  <c r="P205" i="17"/>
  <c r="F205" i="17"/>
  <c r="I205" i="17" s="1"/>
  <c r="P204" i="17"/>
  <c r="F204" i="17"/>
  <c r="I204" i="17" s="1"/>
  <c r="P203" i="17"/>
  <c r="F203" i="17"/>
  <c r="I203" i="17" s="1"/>
  <c r="P202" i="17"/>
  <c r="F202" i="17"/>
  <c r="I202" i="17" s="1"/>
  <c r="P201" i="17"/>
  <c r="F201" i="17"/>
  <c r="I201" i="17" s="1"/>
  <c r="P200" i="17"/>
  <c r="F200" i="17"/>
  <c r="H199" i="17"/>
  <c r="D199" i="17"/>
  <c r="P197" i="17"/>
  <c r="F197" i="17"/>
  <c r="I197" i="17" s="1"/>
  <c r="P196" i="17"/>
  <c r="F196" i="17"/>
  <c r="I196" i="17" s="1"/>
  <c r="P195" i="17"/>
  <c r="F195" i="17"/>
  <c r="I195" i="17" s="1"/>
  <c r="P194" i="17"/>
  <c r="F194" i="17"/>
  <c r="I194" i="17" s="1"/>
  <c r="F426" i="13"/>
  <c r="F425" i="13"/>
  <c r="F423" i="13"/>
  <c r="I423" i="13" s="1"/>
  <c r="F422" i="13"/>
  <c r="F421" i="13"/>
  <c r="I421" i="13" s="1"/>
  <c r="F419" i="13"/>
  <c r="I419" i="13" s="1"/>
  <c r="F418" i="13"/>
  <c r="I418" i="13" s="1"/>
  <c r="F417" i="13"/>
  <c r="I417" i="13" s="1"/>
  <c r="F416" i="13"/>
  <c r="I416" i="13" s="1"/>
  <c r="F415" i="13"/>
  <c r="F413" i="13"/>
  <c r="F412" i="13"/>
  <c r="F410" i="13"/>
  <c r="I410" i="13" s="1"/>
  <c r="F409" i="13"/>
  <c r="I409" i="13" s="1"/>
  <c r="F408" i="13"/>
  <c r="I408" i="13" s="1"/>
  <c r="F407" i="13"/>
  <c r="F405" i="13"/>
  <c r="I405" i="13" s="1"/>
  <c r="F404" i="13"/>
  <c r="F403" i="13"/>
  <c r="I403" i="13" s="1"/>
  <c r="F400" i="13"/>
  <c r="I400" i="13" s="1"/>
  <c r="F397" i="13"/>
  <c r="I397" i="13" s="1"/>
  <c r="F396" i="13"/>
  <c r="F395" i="13"/>
  <c r="F393" i="13"/>
  <c r="I393" i="13" s="1"/>
  <c r="F392" i="13"/>
  <c r="I392" i="13" s="1"/>
  <c r="F391" i="13"/>
  <c r="F388" i="13"/>
  <c r="I388" i="13" s="1"/>
  <c r="F387" i="13"/>
  <c r="F386" i="13"/>
  <c r="I386" i="13" s="1"/>
  <c r="F384" i="13"/>
  <c r="I384" i="13" s="1"/>
  <c r="F383" i="13"/>
  <c r="I383" i="13" s="1"/>
  <c r="F382" i="13"/>
  <c r="I382" i="13" s="1"/>
  <c r="F381" i="13"/>
  <c r="I381" i="13" s="1"/>
  <c r="F380" i="13"/>
  <c r="I380" i="13" s="1"/>
  <c r="F379" i="13"/>
  <c r="I379" i="13" s="1"/>
  <c r="F378" i="13"/>
  <c r="I378" i="13" s="1"/>
  <c r="F377" i="13"/>
  <c r="I377" i="13" s="1"/>
  <c r="F376" i="13"/>
  <c r="F372" i="13"/>
  <c r="I372" i="13" s="1"/>
  <c r="F371" i="13"/>
  <c r="I371" i="13" s="1"/>
  <c r="F370" i="13"/>
  <c r="I370" i="13" s="1"/>
  <c r="F369" i="13"/>
  <c r="F368" i="13"/>
  <c r="I368" i="13" s="1"/>
  <c r="F367" i="13"/>
  <c r="I367" i="13" s="1"/>
  <c r="F366" i="13"/>
  <c r="I366" i="13" s="1"/>
  <c r="F365" i="13"/>
  <c r="F363" i="13"/>
  <c r="I363" i="13" s="1"/>
  <c r="F362" i="13"/>
  <c r="I362" i="13" s="1"/>
  <c r="F361" i="13"/>
  <c r="I361" i="13" s="1"/>
  <c r="F360" i="13"/>
  <c r="F357" i="13"/>
  <c r="I357" i="13" s="1"/>
  <c r="F356" i="13"/>
  <c r="I356" i="13" s="1"/>
  <c r="F355" i="13"/>
  <c r="F353" i="13"/>
  <c r="I353" i="13" s="1"/>
  <c r="F352" i="13"/>
  <c r="I352" i="13" s="1"/>
  <c r="F351" i="13"/>
  <c r="F349" i="13"/>
  <c r="I349" i="13" s="1"/>
  <c r="F348" i="13"/>
  <c r="I348" i="13" s="1"/>
  <c r="F347" i="13"/>
  <c r="I347" i="13" s="1"/>
  <c r="F346" i="13"/>
  <c r="I346" i="13" s="1"/>
  <c r="F345" i="13"/>
  <c r="I345" i="13" s="1"/>
  <c r="F344" i="13"/>
  <c r="I344" i="13" s="1"/>
  <c r="F343" i="13"/>
  <c r="F341" i="13"/>
  <c r="I341" i="13" s="1"/>
  <c r="F340" i="13"/>
  <c r="I340" i="13" s="1"/>
  <c r="F339" i="13"/>
  <c r="I339" i="13" s="1"/>
  <c r="F338" i="13"/>
  <c r="I338" i="13" s="1"/>
  <c r="F337" i="13"/>
  <c r="I337" i="13" s="1"/>
  <c r="F336" i="13"/>
  <c r="I336" i="13" s="1"/>
  <c r="F335" i="13"/>
  <c r="F333" i="13"/>
  <c r="I333" i="13" s="1"/>
  <c r="F332" i="13"/>
  <c r="I332" i="13" s="1"/>
  <c r="F331" i="13"/>
  <c r="I331" i="13" s="1"/>
  <c r="F330" i="13"/>
  <c r="J427" i="13"/>
  <c r="I427" i="13"/>
  <c r="I369" i="13"/>
  <c r="F424" i="1"/>
  <c r="F425" i="1" s="1"/>
  <c r="I423" i="1"/>
  <c r="H423" i="1"/>
  <c r="F427" i="13" s="1"/>
  <c r="G422" i="1"/>
  <c r="J422" i="1" s="1"/>
  <c r="G421" i="1"/>
  <c r="J421" i="1" s="1"/>
  <c r="I420" i="1"/>
  <c r="H420" i="1"/>
  <c r="E420" i="1"/>
  <c r="G419" i="1"/>
  <c r="J419" i="1" s="1"/>
  <c r="G418" i="1"/>
  <c r="J418" i="1" s="1"/>
  <c r="G417" i="1"/>
  <c r="J417" i="1" s="1"/>
  <c r="I416" i="1"/>
  <c r="H416" i="1"/>
  <c r="E416" i="1"/>
  <c r="G415" i="1"/>
  <c r="J415" i="1" s="1"/>
  <c r="G414" i="1"/>
  <c r="J414" i="1" s="1"/>
  <c r="G413" i="1"/>
  <c r="J413" i="1" s="1"/>
  <c r="G412" i="1"/>
  <c r="J412" i="1" s="1"/>
  <c r="G411" i="1"/>
  <c r="J411" i="1" s="1"/>
  <c r="I410" i="1"/>
  <c r="H410" i="1"/>
  <c r="E410" i="1"/>
  <c r="G409" i="1"/>
  <c r="J409" i="1" s="1"/>
  <c r="G408" i="1"/>
  <c r="I407" i="1"/>
  <c r="H407" i="1"/>
  <c r="E407" i="1"/>
  <c r="G406" i="1"/>
  <c r="J406" i="1" s="1"/>
  <c r="G405" i="1"/>
  <c r="J405" i="1" s="1"/>
  <c r="G404" i="1"/>
  <c r="J404" i="1" s="1"/>
  <c r="G403" i="1"/>
  <c r="I402" i="1"/>
  <c r="H402" i="1"/>
  <c r="E402" i="1"/>
  <c r="G401" i="1"/>
  <c r="J401" i="1" s="1"/>
  <c r="G400" i="1"/>
  <c r="J400" i="1" s="1"/>
  <c r="G399" i="1"/>
  <c r="F397" i="1"/>
  <c r="F398" i="1" s="1"/>
  <c r="G396" i="1"/>
  <c r="J396" i="1" s="1"/>
  <c r="I394" i="1"/>
  <c r="H394" i="1"/>
  <c r="G393" i="1"/>
  <c r="J393" i="1" s="1"/>
  <c r="G392" i="1"/>
  <c r="J392" i="1" s="1"/>
  <c r="G391" i="1"/>
  <c r="I390" i="1"/>
  <c r="H390" i="1"/>
  <c r="G389" i="1"/>
  <c r="J389" i="1" s="1"/>
  <c r="G388" i="1"/>
  <c r="J388" i="1" s="1"/>
  <c r="G387" i="1"/>
  <c r="I385" i="1"/>
  <c r="H385" i="1"/>
  <c r="E385" i="1"/>
  <c r="G384" i="1"/>
  <c r="J384" i="1" s="1"/>
  <c r="G383" i="1"/>
  <c r="J383" i="1" s="1"/>
  <c r="G382" i="1"/>
  <c r="J382" i="1" s="1"/>
  <c r="I381" i="1"/>
  <c r="I386" i="1" s="1"/>
  <c r="H381" i="1"/>
  <c r="E381" i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F370" i="1"/>
  <c r="I369" i="1"/>
  <c r="H369" i="1"/>
  <c r="E369" i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I360" i="1"/>
  <c r="H360" i="1"/>
  <c r="E360" i="1"/>
  <c r="G359" i="1"/>
  <c r="J359" i="1" s="1"/>
  <c r="G358" i="1"/>
  <c r="J358" i="1" s="1"/>
  <c r="G357" i="1"/>
  <c r="J357" i="1" s="1"/>
  <c r="G356" i="1"/>
  <c r="J356" i="1" s="1"/>
  <c r="I354" i="1"/>
  <c r="H354" i="1"/>
  <c r="E354" i="1"/>
  <c r="G353" i="1"/>
  <c r="J353" i="1" s="1"/>
  <c r="G352" i="1"/>
  <c r="J352" i="1" s="1"/>
  <c r="G351" i="1"/>
  <c r="I350" i="1"/>
  <c r="H350" i="1"/>
  <c r="F350" i="1"/>
  <c r="F355" i="1" s="1"/>
  <c r="E350" i="1"/>
  <c r="G349" i="1"/>
  <c r="G348" i="1"/>
  <c r="J348" i="1" s="1"/>
  <c r="G347" i="1"/>
  <c r="G350" i="1" s="1"/>
  <c r="J350" i="1" s="1"/>
  <c r="I346" i="1"/>
  <c r="H346" i="1"/>
  <c r="E346" i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339" i="1"/>
  <c r="J339" i="1" s="1"/>
  <c r="I338" i="1"/>
  <c r="H338" i="1"/>
  <c r="E338" i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I330" i="1"/>
  <c r="H330" i="1"/>
  <c r="E330" i="1"/>
  <c r="G329" i="1"/>
  <c r="J329" i="1" s="1"/>
  <c r="G328" i="1"/>
  <c r="J328" i="1" s="1"/>
  <c r="G327" i="1"/>
  <c r="J327" i="1" s="1"/>
  <c r="G326" i="1"/>
  <c r="J326" i="1" s="1"/>
  <c r="E316" i="1"/>
  <c r="E312" i="1"/>
  <c r="E306" i="1"/>
  <c r="E303" i="1"/>
  <c r="E298" i="1"/>
  <c r="E277" i="1"/>
  <c r="E281" i="1"/>
  <c r="E257" i="1"/>
  <c r="M777" i="17" l="1"/>
  <c r="N777" i="17"/>
  <c r="S398" i="14"/>
  <c r="S379" i="14"/>
  <c r="T379" i="14" s="1"/>
  <c r="K901" i="17"/>
  <c r="Q839" i="17"/>
  <c r="J839" i="17"/>
  <c r="T398" i="14"/>
  <c r="L963" i="17"/>
  <c r="K1033" i="17"/>
  <c r="Q971" i="17"/>
  <c r="M1656" i="1"/>
  <c r="G1340" i="13"/>
  <c r="J1340" i="13" s="1"/>
  <c r="L1442" i="1"/>
  <c r="L1549" i="1" s="1"/>
  <c r="K1335" i="1"/>
  <c r="N1229" i="1"/>
  <c r="O1229" i="1"/>
  <c r="L1337" i="1"/>
  <c r="G1236" i="13"/>
  <c r="J1236" i="13" s="1"/>
  <c r="I584" i="16"/>
  <c r="I585" i="16" s="1"/>
  <c r="F669" i="16"/>
  <c r="E282" i="1"/>
  <c r="F371" i="1"/>
  <c r="F426" i="1" s="1"/>
  <c r="I395" i="1"/>
  <c r="E355" i="1"/>
  <c r="C60" i="15" s="1"/>
  <c r="F350" i="13"/>
  <c r="F358" i="13"/>
  <c r="F411" i="13"/>
  <c r="F414" i="13"/>
  <c r="I480" i="13"/>
  <c r="H287" i="16"/>
  <c r="H335" i="16"/>
  <c r="F480" i="13"/>
  <c r="F536" i="13" s="1"/>
  <c r="I536" i="13"/>
  <c r="F420" i="13"/>
  <c r="E386" i="1"/>
  <c r="E397" i="1" s="1"/>
  <c r="E398" i="1" s="1"/>
  <c r="I370" i="1"/>
  <c r="H386" i="1"/>
  <c r="H424" i="1"/>
  <c r="H425" i="1" s="1"/>
  <c r="G354" i="1"/>
  <c r="J354" i="1" s="1"/>
  <c r="G338" i="1"/>
  <c r="J338" i="1" s="1"/>
  <c r="J351" i="1"/>
  <c r="G402" i="1"/>
  <c r="J402" i="1" s="1"/>
  <c r="F406" i="13"/>
  <c r="F342" i="13"/>
  <c r="F354" i="13"/>
  <c r="F364" i="13"/>
  <c r="F385" i="13"/>
  <c r="F398" i="13"/>
  <c r="F424" i="13"/>
  <c r="J331" i="1"/>
  <c r="J347" i="1"/>
  <c r="J399" i="1"/>
  <c r="G423" i="1"/>
  <c r="J423" i="1" s="1"/>
  <c r="F389" i="13"/>
  <c r="I413" i="13"/>
  <c r="E250" i="17"/>
  <c r="D208" i="17"/>
  <c r="D250" i="17" s="1"/>
  <c r="H208" i="17"/>
  <c r="F216" i="17"/>
  <c r="F217" i="17" s="1"/>
  <c r="I217" i="17" s="1"/>
  <c r="P216" i="17"/>
  <c r="P217" i="17" s="1"/>
  <c r="F373" i="13"/>
  <c r="I395" i="13"/>
  <c r="T377" i="14"/>
  <c r="J475" i="1"/>
  <c r="G504" i="1"/>
  <c r="G532" i="1" s="1"/>
  <c r="J532" i="1" s="1"/>
  <c r="J503" i="1"/>
  <c r="J504" i="1" s="1"/>
  <c r="E370" i="1"/>
  <c r="C61" i="15" s="1"/>
  <c r="H249" i="17"/>
  <c r="H250" i="17" s="1"/>
  <c r="F394" i="13"/>
  <c r="H291" i="16"/>
  <c r="E293" i="16"/>
  <c r="E338" i="16" s="1"/>
  <c r="N418" i="14"/>
  <c r="Q418" i="14" s="1"/>
  <c r="S418" i="14" s="1"/>
  <c r="O407" i="14"/>
  <c r="N407" i="14" s="1"/>
  <c r="R407" i="14" s="1"/>
  <c r="O417" i="14"/>
  <c r="N417" i="14" s="1"/>
  <c r="M417" i="14"/>
  <c r="R418" i="14"/>
  <c r="P418" i="14"/>
  <c r="R419" i="14"/>
  <c r="P419" i="14"/>
  <c r="Q419" i="14"/>
  <c r="R420" i="14"/>
  <c r="P420" i="14"/>
  <c r="Q420" i="14"/>
  <c r="S420" i="14" s="1"/>
  <c r="R421" i="14"/>
  <c r="P421" i="14"/>
  <c r="Q421" i="14"/>
  <c r="S421" i="14" s="1"/>
  <c r="O408" i="14"/>
  <c r="N408" i="14" s="1"/>
  <c r="M408" i="14"/>
  <c r="O410" i="14"/>
  <c r="N410" i="14" s="1"/>
  <c r="M410" i="14"/>
  <c r="O412" i="14"/>
  <c r="N412" i="14" s="1"/>
  <c r="M412" i="14"/>
  <c r="L414" i="14"/>
  <c r="K414" i="14" s="1"/>
  <c r="C414" i="14"/>
  <c r="L416" i="14"/>
  <c r="K416" i="14" s="1"/>
  <c r="C416" i="14"/>
  <c r="M418" i="14"/>
  <c r="M419" i="14"/>
  <c r="M420" i="14"/>
  <c r="M421" i="14"/>
  <c r="R422" i="14"/>
  <c r="P422" i="14"/>
  <c r="Q422" i="14"/>
  <c r="S422" i="14" s="1"/>
  <c r="O409" i="14"/>
  <c r="N409" i="14" s="1"/>
  <c r="M409" i="14"/>
  <c r="O411" i="14"/>
  <c r="N411" i="14" s="1"/>
  <c r="M411" i="14"/>
  <c r="O413" i="14"/>
  <c r="N413" i="14" s="1"/>
  <c r="M413" i="14"/>
  <c r="O415" i="14"/>
  <c r="N415" i="14" s="1"/>
  <c r="M415" i="14"/>
  <c r="M422" i="14"/>
  <c r="H275" i="16"/>
  <c r="P248" i="17"/>
  <c r="P249" i="17" s="1"/>
  <c r="F248" i="17"/>
  <c r="F249" i="17" s="1"/>
  <c r="I249" i="17" s="1"/>
  <c r="F207" i="17"/>
  <c r="I207" i="17" s="1"/>
  <c r="I200" i="17"/>
  <c r="G199" i="17"/>
  <c r="G208" i="17" s="1"/>
  <c r="G250" i="17" s="1"/>
  <c r="P198" i="17"/>
  <c r="P199" i="17" s="1"/>
  <c r="F198" i="17"/>
  <c r="I198" i="17" s="1"/>
  <c r="P207" i="17"/>
  <c r="I216" i="17"/>
  <c r="I360" i="13"/>
  <c r="I364" i="13" s="1"/>
  <c r="F334" i="13"/>
  <c r="I354" i="13"/>
  <c r="I365" i="13"/>
  <c r="I373" i="13" s="1"/>
  <c r="I376" i="13"/>
  <c r="I385" i="13" s="1"/>
  <c r="I387" i="13"/>
  <c r="I389" i="13" s="1"/>
  <c r="I391" i="13"/>
  <c r="I394" i="13" s="1"/>
  <c r="I396" i="13"/>
  <c r="I404" i="13"/>
  <c r="I406" i="13" s="1"/>
  <c r="I407" i="13"/>
  <c r="I411" i="13" s="1"/>
  <c r="I412" i="13"/>
  <c r="I415" i="13"/>
  <c r="I420" i="13" s="1"/>
  <c r="I422" i="13"/>
  <c r="I424" i="13" s="1"/>
  <c r="I330" i="13"/>
  <c r="I334" i="13" s="1"/>
  <c r="I335" i="13"/>
  <c r="I342" i="13" s="1"/>
  <c r="I343" i="13"/>
  <c r="I350" i="13" s="1"/>
  <c r="I351" i="13"/>
  <c r="I355" i="13"/>
  <c r="I358" i="13" s="1"/>
  <c r="H395" i="1"/>
  <c r="I397" i="1"/>
  <c r="I398" i="1" s="1"/>
  <c r="I355" i="1"/>
  <c r="G330" i="1"/>
  <c r="G346" i="1"/>
  <c r="J346" i="1" s="1"/>
  <c r="G360" i="1"/>
  <c r="H355" i="1"/>
  <c r="H370" i="1"/>
  <c r="G369" i="1"/>
  <c r="J369" i="1" s="1"/>
  <c r="J361" i="1"/>
  <c r="G381" i="1"/>
  <c r="G385" i="1"/>
  <c r="J385" i="1" s="1"/>
  <c r="G390" i="1"/>
  <c r="J387" i="1"/>
  <c r="G394" i="1"/>
  <c r="J394" i="1" s="1"/>
  <c r="J391" i="1"/>
  <c r="E424" i="1"/>
  <c r="E425" i="1" s="1"/>
  <c r="C67" i="15" s="1"/>
  <c r="C69" i="15" s="1"/>
  <c r="I424" i="1"/>
  <c r="I425" i="1" s="1"/>
  <c r="G407" i="1"/>
  <c r="J407" i="1" s="1"/>
  <c r="J403" i="1"/>
  <c r="G410" i="1"/>
  <c r="J410" i="1" s="1"/>
  <c r="J408" i="1"/>
  <c r="G416" i="1"/>
  <c r="J416" i="1" s="1"/>
  <c r="G420" i="1"/>
  <c r="J420" i="1" s="1"/>
  <c r="E265" i="1"/>
  <c r="C46" i="15" s="1"/>
  <c r="E234" i="1"/>
  <c r="E226" i="1"/>
  <c r="E18" i="1"/>
  <c r="E26" i="1"/>
  <c r="E108" i="1"/>
  <c r="E104" i="1"/>
  <c r="E98" i="1"/>
  <c r="E95" i="1"/>
  <c r="E90" i="1"/>
  <c r="H46" i="1"/>
  <c r="E371" i="1" l="1"/>
  <c r="K1095" i="17"/>
  <c r="Q1033" i="17"/>
  <c r="M839" i="17"/>
  <c r="N839" i="17"/>
  <c r="T422" i="14"/>
  <c r="S419" i="14"/>
  <c r="T419" i="14" s="1"/>
  <c r="T420" i="14"/>
  <c r="L1025" i="17"/>
  <c r="K963" i="17"/>
  <c r="Q901" i="17"/>
  <c r="J901" i="17"/>
  <c r="L1656" i="1"/>
  <c r="G1554" i="13"/>
  <c r="J1554" i="13" s="1"/>
  <c r="K1549" i="1"/>
  <c r="M1763" i="1"/>
  <c r="G1447" i="13"/>
  <c r="J1447" i="13" s="1"/>
  <c r="K1442" i="1"/>
  <c r="L1444" i="1"/>
  <c r="L1551" i="1" s="1"/>
  <c r="G1342" i="13"/>
  <c r="J1342" i="13" s="1"/>
  <c r="O1335" i="1"/>
  <c r="N1335" i="1"/>
  <c r="I669" i="16"/>
  <c r="I670" i="16" s="1"/>
  <c r="F755" i="16"/>
  <c r="C63" i="15"/>
  <c r="H397" i="1"/>
  <c r="H398" i="1" s="1"/>
  <c r="C64" i="15"/>
  <c r="C66" i="15" s="1"/>
  <c r="H293" i="16"/>
  <c r="F390" i="13"/>
  <c r="F428" i="13"/>
  <c r="F429" i="13" s="1"/>
  <c r="I371" i="1"/>
  <c r="I426" i="1" s="1"/>
  <c r="I398" i="13"/>
  <c r="I399" i="13" s="1"/>
  <c r="I414" i="13"/>
  <c r="I428" i="13" s="1"/>
  <c r="I429" i="13" s="1"/>
  <c r="F359" i="13"/>
  <c r="F399" i="13"/>
  <c r="F401" i="13" s="1"/>
  <c r="F402" i="13" s="1"/>
  <c r="F374" i="13"/>
  <c r="I374" i="13"/>
  <c r="E426" i="1"/>
  <c r="Q407" i="14"/>
  <c r="P407" i="14"/>
  <c r="T418" i="14"/>
  <c r="Q415" i="14"/>
  <c r="P415" i="14"/>
  <c r="R415" i="14"/>
  <c r="Q413" i="14"/>
  <c r="P413" i="14"/>
  <c r="R413" i="14"/>
  <c r="Q411" i="14"/>
  <c r="P411" i="14"/>
  <c r="R411" i="14"/>
  <c r="Q409" i="14"/>
  <c r="P409" i="14"/>
  <c r="R409" i="14"/>
  <c r="O416" i="14"/>
  <c r="N416" i="14" s="1"/>
  <c r="M416" i="14"/>
  <c r="O414" i="14"/>
  <c r="N414" i="14" s="1"/>
  <c r="M414" i="14"/>
  <c r="Q412" i="14"/>
  <c r="R412" i="14"/>
  <c r="P412" i="14"/>
  <c r="Q410" i="14"/>
  <c r="R410" i="14"/>
  <c r="P410" i="14"/>
  <c r="Q408" i="14"/>
  <c r="R408" i="14"/>
  <c r="P408" i="14"/>
  <c r="S407" i="14"/>
  <c r="T407" i="14" s="1"/>
  <c r="T421" i="14"/>
  <c r="R417" i="14"/>
  <c r="P417" i="14"/>
  <c r="Q417" i="14"/>
  <c r="I248" i="17"/>
  <c r="F199" i="17"/>
  <c r="I199" i="17" s="1"/>
  <c r="P208" i="17"/>
  <c r="P250" i="17" s="1"/>
  <c r="I390" i="13"/>
  <c r="I359" i="13"/>
  <c r="G395" i="1"/>
  <c r="J395" i="1" s="1"/>
  <c r="J390" i="1"/>
  <c r="J360" i="1"/>
  <c r="G370" i="1"/>
  <c r="J370" i="1" s="1"/>
  <c r="G424" i="1"/>
  <c r="G386" i="1"/>
  <c r="J381" i="1"/>
  <c r="H371" i="1"/>
  <c r="J330" i="1"/>
  <c r="G355" i="1"/>
  <c r="E435" i="14"/>
  <c r="D435" i="14"/>
  <c r="I435" i="14"/>
  <c r="H435" i="14"/>
  <c r="D434" i="14"/>
  <c r="I434" i="14"/>
  <c r="H434" i="14"/>
  <c r="C70" i="15" l="1"/>
  <c r="S417" i="14"/>
  <c r="M901" i="17"/>
  <c r="N901" i="17"/>
  <c r="L1087" i="17"/>
  <c r="K1157" i="17"/>
  <c r="Q1095" i="17"/>
  <c r="Q963" i="17"/>
  <c r="K1025" i="17"/>
  <c r="J963" i="17"/>
  <c r="L1658" i="1"/>
  <c r="G1556" i="13"/>
  <c r="J1556" i="13" s="1"/>
  <c r="M1870" i="1"/>
  <c r="N1549" i="1"/>
  <c r="O1549" i="1"/>
  <c r="K1656" i="1"/>
  <c r="L1763" i="1"/>
  <c r="G1661" i="13"/>
  <c r="J1661" i="13" s="1"/>
  <c r="N1442" i="1"/>
  <c r="O1442" i="1"/>
  <c r="G1449" i="13"/>
  <c r="J1449" i="13" s="1"/>
  <c r="I755" i="16"/>
  <c r="I756" i="16" s="1"/>
  <c r="F843" i="16"/>
  <c r="H426" i="1"/>
  <c r="I401" i="13"/>
  <c r="I402" i="13" s="1"/>
  <c r="I375" i="13"/>
  <c r="F375" i="13"/>
  <c r="F430" i="13" s="1"/>
  <c r="T417" i="14"/>
  <c r="S408" i="14"/>
  <c r="T408" i="14" s="1"/>
  <c r="S412" i="14"/>
  <c r="T412" i="14" s="1"/>
  <c r="R414" i="14"/>
  <c r="P414" i="14"/>
  <c r="Q414" i="14"/>
  <c r="R416" i="14"/>
  <c r="P416" i="14"/>
  <c r="Q416" i="14"/>
  <c r="S411" i="14"/>
  <c r="T411" i="14" s="1"/>
  <c r="S415" i="14"/>
  <c r="T415" i="14" s="1"/>
  <c r="S410" i="14"/>
  <c r="T410" i="14" s="1"/>
  <c r="S409" i="14"/>
  <c r="T409" i="14" s="1"/>
  <c r="S413" i="14"/>
  <c r="T413" i="14" s="1"/>
  <c r="F208" i="17"/>
  <c r="G371" i="1"/>
  <c r="J355" i="1"/>
  <c r="G425" i="1"/>
  <c r="J424" i="1"/>
  <c r="J425" i="1" s="1"/>
  <c r="G397" i="1"/>
  <c r="J386" i="1"/>
  <c r="D433" i="14"/>
  <c r="D432" i="14"/>
  <c r="I432" i="14"/>
  <c r="H432" i="14"/>
  <c r="I433" i="14"/>
  <c r="H433" i="14"/>
  <c r="E426" i="14"/>
  <c r="G138" i="17"/>
  <c r="F321" i="13"/>
  <c r="F320" i="13"/>
  <c r="F317" i="13"/>
  <c r="I317" i="13" s="1"/>
  <c r="F318" i="13"/>
  <c r="I318" i="13" s="1"/>
  <c r="F316" i="13"/>
  <c r="I316" i="13" s="1"/>
  <c r="F311" i="13"/>
  <c r="F312" i="13"/>
  <c r="F313" i="13"/>
  <c r="F314" i="13"/>
  <c r="F310" i="13"/>
  <c r="F308" i="13"/>
  <c r="F307" i="13"/>
  <c r="F303" i="13"/>
  <c r="F304" i="13"/>
  <c r="F305" i="13"/>
  <c r="F302" i="13"/>
  <c r="F299" i="13"/>
  <c r="F300" i="13"/>
  <c r="F298" i="13"/>
  <c r="F295" i="13"/>
  <c r="F291" i="13"/>
  <c r="F292" i="13"/>
  <c r="F290" i="13"/>
  <c r="F287" i="13"/>
  <c r="F288" i="13"/>
  <c r="F286" i="13"/>
  <c r="F282" i="13"/>
  <c r="F283" i="13"/>
  <c r="F281" i="13"/>
  <c r="F272" i="13"/>
  <c r="F273" i="13"/>
  <c r="F274" i="13"/>
  <c r="F275" i="13"/>
  <c r="F276" i="13"/>
  <c r="F277" i="13"/>
  <c r="F278" i="13"/>
  <c r="F279" i="13"/>
  <c r="F271" i="13"/>
  <c r="F261" i="13"/>
  <c r="F262" i="13"/>
  <c r="F263" i="13"/>
  <c r="F264" i="13"/>
  <c r="F265" i="13"/>
  <c r="F266" i="13"/>
  <c r="F267" i="13"/>
  <c r="F260" i="13"/>
  <c r="F256" i="13"/>
  <c r="F257" i="13"/>
  <c r="F258" i="13"/>
  <c r="F255" i="13"/>
  <c r="F251" i="13"/>
  <c r="F252" i="13"/>
  <c r="F250" i="13"/>
  <c r="F247" i="13"/>
  <c r="F248" i="13"/>
  <c r="F246" i="13"/>
  <c r="F239" i="13"/>
  <c r="F240" i="13"/>
  <c r="F241" i="13"/>
  <c r="F242" i="13"/>
  <c r="F243" i="13"/>
  <c r="F244" i="13"/>
  <c r="F238" i="13"/>
  <c r="F231" i="13"/>
  <c r="F232" i="13"/>
  <c r="F233" i="13"/>
  <c r="F234" i="13"/>
  <c r="F235" i="13"/>
  <c r="F236" i="13"/>
  <c r="F230" i="13"/>
  <c r="F226" i="13"/>
  <c r="F227" i="13"/>
  <c r="F228" i="13"/>
  <c r="F225" i="13"/>
  <c r="M963" i="17" l="1"/>
  <c r="N963" i="17"/>
  <c r="S414" i="14"/>
  <c r="Q1025" i="17"/>
  <c r="K1087" i="17"/>
  <c r="J1025" i="17"/>
  <c r="K1219" i="17"/>
  <c r="Q1157" i="17"/>
  <c r="L1149" i="17"/>
  <c r="S416" i="14"/>
  <c r="T416" i="14" s="1"/>
  <c r="N1656" i="1"/>
  <c r="O1656" i="1"/>
  <c r="M1977" i="1"/>
  <c r="M2086" i="1" s="1"/>
  <c r="L1870" i="1"/>
  <c r="G1768" i="13"/>
  <c r="J1768" i="13" s="1"/>
  <c r="K1763" i="1"/>
  <c r="L1765" i="1"/>
  <c r="G1663" i="13"/>
  <c r="J1663" i="13" s="1"/>
  <c r="I843" i="16"/>
  <c r="I844" i="16" s="1"/>
  <c r="F931" i="16"/>
  <c r="I430" i="13"/>
  <c r="T414" i="14"/>
  <c r="I208" i="17"/>
  <c r="F250" i="17"/>
  <c r="I250" i="17" s="1"/>
  <c r="G398" i="1"/>
  <c r="G426" i="1" s="1"/>
  <c r="J426" i="1" s="1"/>
  <c r="J397" i="1"/>
  <c r="J398" i="1" s="1"/>
  <c r="J371" i="1"/>
  <c r="H444" i="14"/>
  <c r="G444" i="14" s="1"/>
  <c r="I444" i="14"/>
  <c r="H448" i="14"/>
  <c r="I448" i="14"/>
  <c r="H450" i="14"/>
  <c r="I450" i="14"/>
  <c r="H451" i="14"/>
  <c r="H452" i="14"/>
  <c r="I452" i="14"/>
  <c r="G452" i="14" s="1"/>
  <c r="H453" i="14"/>
  <c r="L476" i="14"/>
  <c r="K476" i="14"/>
  <c r="O476" i="14" s="1"/>
  <c r="G476" i="14"/>
  <c r="C476" i="14"/>
  <c r="L475" i="14"/>
  <c r="K475" i="14"/>
  <c r="O475" i="14" s="1"/>
  <c r="G475" i="14"/>
  <c r="C475" i="14"/>
  <c r="L474" i="14"/>
  <c r="K474" i="14"/>
  <c r="O474" i="14" s="1"/>
  <c r="G474" i="14"/>
  <c r="C474" i="14"/>
  <c r="L473" i="14"/>
  <c r="K473" i="14"/>
  <c r="O473" i="14" s="1"/>
  <c r="G473" i="14"/>
  <c r="C473" i="14"/>
  <c r="L472" i="14"/>
  <c r="K472" i="14"/>
  <c r="O472" i="14" s="1"/>
  <c r="G472" i="14"/>
  <c r="C472" i="14"/>
  <c r="L471" i="14"/>
  <c r="K471" i="14"/>
  <c r="O471" i="14" s="1"/>
  <c r="G471" i="14"/>
  <c r="C471" i="14"/>
  <c r="L470" i="14"/>
  <c r="K470" i="14"/>
  <c r="O470" i="14" s="1"/>
  <c r="G470" i="14"/>
  <c r="C470" i="14"/>
  <c r="L469" i="14"/>
  <c r="G469" i="14"/>
  <c r="E469" i="14"/>
  <c r="C469" i="14" s="1"/>
  <c r="J468" i="14"/>
  <c r="L468" i="14" s="1"/>
  <c r="I468" i="14"/>
  <c r="H468" i="14"/>
  <c r="G468" i="14" s="1"/>
  <c r="E468" i="14"/>
  <c r="C468" i="14" s="1"/>
  <c r="L467" i="14"/>
  <c r="K467" i="14" s="1"/>
  <c r="G467" i="14"/>
  <c r="C467" i="14"/>
  <c r="L466" i="14"/>
  <c r="K466" i="14" s="1"/>
  <c r="H466" i="14"/>
  <c r="G466" i="14" s="1"/>
  <c r="C466" i="14"/>
  <c r="L465" i="14"/>
  <c r="K465" i="14"/>
  <c r="M465" i="14" s="1"/>
  <c r="G465" i="14"/>
  <c r="C465" i="14"/>
  <c r="L464" i="14"/>
  <c r="K464" i="14" s="1"/>
  <c r="G464" i="14"/>
  <c r="C464" i="14"/>
  <c r="L463" i="14"/>
  <c r="K463" i="14"/>
  <c r="M463" i="14" s="1"/>
  <c r="G463" i="14"/>
  <c r="C463" i="14"/>
  <c r="L462" i="14"/>
  <c r="K462" i="14" s="1"/>
  <c r="I462" i="14"/>
  <c r="H462" i="14"/>
  <c r="C462" i="14"/>
  <c r="L461" i="14"/>
  <c r="K461" i="14"/>
  <c r="O461" i="14" s="1"/>
  <c r="G461" i="14"/>
  <c r="C461" i="14"/>
  <c r="L458" i="14"/>
  <c r="K458" i="14"/>
  <c r="O458" i="14" s="1"/>
  <c r="G458" i="14"/>
  <c r="C458" i="14"/>
  <c r="L457" i="14"/>
  <c r="K457" i="14"/>
  <c r="O457" i="14" s="1"/>
  <c r="G457" i="14"/>
  <c r="C457" i="14"/>
  <c r="L456" i="14"/>
  <c r="K456" i="14"/>
  <c r="O456" i="14" s="1"/>
  <c r="G456" i="14"/>
  <c r="C456" i="14"/>
  <c r="L455" i="14"/>
  <c r="K455" i="14" s="1"/>
  <c r="G455" i="14"/>
  <c r="C455" i="14"/>
  <c r="L454" i="14"/>
  <c r="K454" i="14" s="1"/>
  <c r="G454" i="14"/>
  <c r="C454" i="14"/>
  <c r="G453" i="14"/>
  <c r="E453" i="14"/>
  <c r="D453" i="14"/>
  <c r="L453" i="14" s="1"/>
  <c r="K453" i="14" s="1"/>
  <c r="E452" i="14"/>
  <c r="D452" i="14"/>
  <c r="L452" i="14" s="1"/>
  <c r="J451" i="14"/>
  <c r="G451" i="14"/>
  <c r="E451" i="14"/>
  <c r="C451" i="14" s="1"/>
  <c r="D451" i="14"/>
  <c r="J450" i="14"/>
  <c r="E450" i="14"/>
  <c r="D450" i="14"/>
  <c r="L449" i="14"/>
  <c r="K449" i="14" s="1"/>
  <c r="G449" i="14"/>
  <c r="C449" i="14"/>
  <c r="J448" i="14"/>
  <c r="G448" i="14"/>
  <c r="E448" i="14"/>
  <c r="D448" i="14"/>
  <c r="C448" i="14" s="1"/>
  <c r="L447" i="14"/>
  <c r="K447" i="14" s="1"/>
  <c r="M447" i="14" s="1"/>
  <c r="G447" i="14"/>
  <c r="C447" i="14"/>
  <c r="L446" i="14"/>
  <c r="K446" i="14" s="1"/>
  <c r="G446" i="14"/>
  <c r="C446" i="14"/>
  <c r="L445" i="14"/>
  <c r="K445" i="14" s="1"/>
  <c r="M445" i="14" s="1"/>
  <c r="G445" i="14"/>
  <c r="C445" i="14"/>
  <c r="L444" i="14"/>
  <c r="E444" i="14"/>
  <c r="C444" i="14" s="1"/>
  <c r="L443" i="14"/>
  <c r="G443" i="14"/>
  <c r="E443" i="14"/>
  <c r="C443" i="14" s="1"/>
  <c r="E53" i="15"/>
  <c r="E50" i="15"/>
  <c r="E47" i="15"/>
  <c r="E253" i="16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E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I210" i="16"/>
  <c r="E209" i="16"/>
  <c r="H208" i="16"/>
  <c r="H207" i="16"/>
  <c r="H206" i="16"/>
  <c r="E205" i="16"/>
  <c r="H204" i="16"/>
  <c r="H203" i="16"/>
  <c r="H202" i="16"/>
  <c r="H201" i="16"/>
  <c r="H200" i="16"/>
  <c r="H199" i="16"/>
  <c r="H198" i="16"/>
  <c r="H197" i="16"/>
  <c r="H196" i="16"/>
  <c r="H195" i="16"/>
  <c r="H194" i="16"/>
  <c r="H192" i="16"/>
  <c r="H191" i="16"/>
  <c r="H190" i="16"/>
  <c r="H189" i="16"/>
  <c r="H188" i="16"/>
  <c r="H187" i="16"/>
  <c r="H186" i="16"/>
  <c r="H185" i="16"/>
  <c r="H184" i="16"/>
  <c r="H183" i="16"/>
  <c r="E193" i="16"/>
  <c r="H181" i="16"/>
  <c r="H180" i="16"/>
  <c r="H179" i="16"/>
  <c r="E189" i="17"/>
  <c r="D188" i="17"/>
  <c r="D189" i="17" s="1"/>
  <c r="P187" i="17"/>
  <c r="F187" i="17"/>
  <c r="I187" i="17" s="1"/>
  <c r="P186" i="17"/>
  <c r="F186" i="17"/>
  <c r="I186" i="17" s="1"/>
  <c r="P185" i="17"/>
  <c r="F185" i="17"/>
  <c r="I185" i="17" s="1"/>
  <c r="P184" i="17"/>
  <c r="F184" i="17"/>
  <c r="I184" i="17" s="1"/>
  <c r="P183" i="17"/>
  <c r="F183" i="17"/>
  <c r="I183" i="17" s="1"/>
  <c r="P182" i="17"/>
  <c r="F182" i="17"/>
  <c r="I182" i="17" s="1"/>
  <c r="P181" i="17"/>
  <c r="F181" i="17"/>
  <c r="I181" i="17" s="1"/>
  <c r="P180" i="17"/>
  <c r="F180" i="17"/>
  <c r="I180" i="17" s="1"/>
  <c r="P179" i="17"/>
  <c r="I179" i="17"/>
  <c r="F179" i="17"/>
  <c r="P178" i="17"/>
  <c r="F178" i="17"/>
  <c r="I178" i="17" s="1"/>
  <c r="P177" i="17"/>
  <c r="F177" i="17"/>
  <c r="I177" i="17" s="1"/>
  <c r="P176" i="17"/>
  <c r="F176" i="17"/>
  <c r="I176" i="17" s="1"/>
  <c r="P175" i="17"/>
  <c r="F175" i="17"/>
  <c r="I175" i="17" s="1"/>
  <c r="P174" i="17"/>
  <c r="F174" i="17"/>
  <c r="I174" i="17" s="1"/>
  <c r="P173" i="17"/>
  <c r="F173" i="17"/>
  <c r="I173" i="17" s="1"/>
  <c r="P172" i="17"/>
  <c r="F172" i="17"/>
  <c r="I172" i="17" s="1"/>
  <c r="P171" i="17"/>
  <c r="F171" i="17"/>
  <c r="I171" i="17" s="1"/>
  <c r="P170" i="17"/>
  <c r="F170" i="17"/>
  <c r="I170" i="17" s="1"/>
  <c r="P169" i="17"/>
  <c r="F169" i="17"/>
  <c r="I169" i="17" s="1"/>
  <c r="P168" i="17"/>
  <c r="F168" i="17"/>
  <c r="I168" i="17" s="1"/>
  <c r="P167" i="17"/>
  <c r="F167" i="17"/>
  <c r="I167" i="17" s="1"/>
  <c r="P166" i="17"/>
  <c r="F166" i="17"/>
  <c r="I166" i="17" s="1"/>
  <c r="P165" i="17"/>
  <c r="F165" i="17"/>
  <c r="I165" i="17" s="1"/>
  <c r="P164" i="17"/>
  <c r="F164" i="17"/>
  <c r="P163" i="17"/>
  <c r="F163" i="17"/>
  <c r="I163" i="17" s="1"/>
  <c r="P162" i="17"/>
  <c r="F162" i="17"/>
  <c r="I162" i="17" s="1"/>
  <c r="P161" i="17"/>
  <c r="F161" i="17"/>
  <c r="I161" i="17" s="1"/>
  <c r="P160" i="17"/>
  <c r="F160" i="17"/>
  <c r="I160" i="17" s="1"/>
  <c r="P159" i="17"/>
  <c r="F159" i="17"/>
  <c r="I159" i="17" s="1"/>
  <c r="P158" i="17"/>
  <c r="F158" i="17"/>
  <c r="I158" i="17" s="1"/>
  <c r="E157" i="17"/>
  <c r="D157" i="17"/>
  <c r="H156" i="17"/>
  <c r="H157" i="17" s="1"/>
  <c r="G156" i="17"/>
  <c r="G157" i="17" s="1"/>
  <c r="P155" i="17"/>
  <c r="F155" i="17"/>
  <c r="I155" i="17" s="1"/>
  <c r="P154" i="17"/>
  <c r="F154" i="17"/>
  <c r="I154" i="17" s="1"/>
  <c r="P153" i="17"/>
  <c r="F153" i="17"/>
  <c r="I153" i="17" s="1"/>
  <c r="P152" i="17"/>
  <c r="F152" i="17"/>
  <c r="I152" i="17" s="1"/>
  <c r="P151" i="17"/>
  <c r="F151" i="17"/>
  <c r="I151" i="17" s="1"/>
  <c r="P150" i="17"/>
  <c r="F150" i="17"/>
  <c r="I150" i="17" s="1"/>
  <c r="P149" i="17"/>
  <c r="F149" i="17"/>
  <c r="I149" i="17" s="1"/>
  <c r="E148" i="17"/>
  <c r="H147" i="17"/>
  <c r="G147" i="17"/>
  <c r="D147" i="17"/>
  <c r="P146" i="17"/>
  <c r="F146" i="17"/>
  <c r="I146" i="17" s="1"/>
  <c r="P145" i="17"/>
  <c r="F145" i="17"/>
  <c r="I145" i="17" s="1"/>
  <c r="P144" i="17"/>
  <c r="F144" i="17"/>
  <c r="I144" i="17" s="1"/>
  <c r="P143" i="17"/>
  <c r="F143" i="17"/>
  <c r="I143" i="17" s="1"/>
  <c r="P142" i="17"/>
  <c r="F142" i="17"/>
  <c r="I142" i="17" s="1"/>
  <c r="P141" i="17"/>
  <c r="F141" i="17"/>
  <c r="I141" i="17" s="1"/>
  <c r="P140" i="17"/>
  <c r="F140" i="17"/>
  <c r="I140" i="17" s="1"/>
  <c r="H139" i="17"/>
  <c r="D139" i="17"/>
  <c r="D148" i="17" s="1"/>
  <c r="P138" i="17"/>
  <c r="F138" i="17"/>
  <c r="I138" i="17" s="1"/>
  <c r="P136" i="17"/>
  <c r="F136" i="17"/>
  <c r="I136" i="17" s="1"/>
  <c r="P135" i="17"/>
  <c r="F135" i="17"/>
  <c r="I135" i="17" s="1"/>
  <c r="P134" i="17"/>
  <c r="F134" i="17"/>
  <c r="I134" i="17" s="1"/>
  <c r="J322" i="13"/>
  <c r="I322" i="13"/>
  <c r="F319" i="13"/>
  <c r="I314" i="13"/>
  <c r="I313" i="13"/>
  <c r="I312" i="13"/>
  <c r="F315" i="13"/>
  <c r="I310" i="13"/>
  <c r="I308" i="13"/>
  <c r="F309" i="13"/>
  <c r="I305" i="13"/>
  <c r="I304" i="13"/>
  <c r="I303" i="13"/>
  <c r="F306" i="13"/>
  <c r="I300" i="13"/>
  <c r="I299" i="13"/>
  <c r="F301" i="13"/>
  <c r="I295" i="13"/>
  <c r="I292" i="13"/>
  <c r="I291" i="13"/>
  <c r="F293" i="13"/>
  <c r="I288" i="13"/>
  <c r="F289" i="13"/>
  <c r="I286" i="13"/>
  <c r="I283" i="13"/>
  <c r="I282" i="13"/>
  <c r="F284" i="13"/>
  <c r="I279" i="13"/>
  <c r="I278" i="13"/>
  <c r="I277" i="13"/>
  <c r="I276" i="13"/>
  <c r="I275" i="13"/>
  <c r="I274" i="13"/>
  <c r="I273" i="13"/>
  <c r="F280" i="13"/>
  <c r="F285" i="13" s="1"/>
  <c r="I271" i="13"/>
  <c r="I267" i="13"/>
  <c r="I266" i="13"/>
  <c r="I265" i="13"/>
  <c r="I264" i="13"/>
  <c r="I263" i="13"/>
  <c r="I262" i="13"/>
  <c r="I261" i="13"/>
  <c r="F268" i="13"/>
  <c r="I258" i="13"/>
  <c r="I257" i="13"/>
  <c r="I256" i="13"/>
  <c r="F259" i="13"/>
  <c r="F269" i="13" s="1"/>
  <c r="I252" i="13"/>
  <c r="I251" i="13"/>
  <c r="F253" i="13"/>
  <c r="I248" i="13"/>
  <c r="I247" i="13"/>
  <c r="F249" i="13"/>
  <c r="I244" i="13"/>
  <c r="I243" i="13"/>
  <c r="I242" i="13"/>
  <c r="I241" i="13"/>
  <c r="I240" i="13"/>
  <c r="I239" i="13"/>
  <c r="F245" i="13"/>
  <c r="I235" i="13"/>
  <c r="I234" i="13"/>
  <c r="I233" i="13"/>
  <c r="I232" i="13"/>
  <c r="I231" i="13"/>
  <c r="I227" i="13"/>
  <c r="I226" i="13"/>
  <c r="F320" i="1"/>
  <c r="F321" i="1" s="1"/>
  <c r="E320" i="1"/>
  <c r="E321" i="1" s="1"/>
  <c r="C52" i="15" s="1"/>
  <c r="C54" i="15" s="1"/>
  <c r="I319" i="1"/>
  <c r="H319" i="1"/>
  <c r="F322" i="13" s="1"/>
  <c r="G318" i="1"/>
  <c r="J318" i="1" s="1"/>
  <c r="G317" i="1"/>
  <c r="J317" i="1" s="1"/>
  <c r="I316" i="1"/>
  <c r="H316" i="1"/>
  <c r="G315" i="1"/>
  <c r="J315" i="1" s="1"/>
  <c r="G314" i="1"/>
  <c r="J314" i="1" s="1"/>
  <c r="G313" i="1"/>
  <c r="I312" i="1"/>
  <c r="H312" i="1"/>
  <c r="G311" i="1"/>
  <c r="J311" i="1" s="1"/>
  <c r="G310" i="1"/>
  <c r="J310" i="1" s="1"/>
  <c r="G309" i="1"/>
  <c r="J309" i="1" s="1"/>
  <c r="G308" i="1"/>
  <c r="J308" i="1" s="1"/>
  <c r="G307" i="1"/>
  <c r="J307" i="1" s="1"/>
  <c r="I306" i="1"/>
  <c r="H306" i="1"/>
  <c r="G305" i="1"/>
  <c r="J305" i="1" s="1"/>
  <c r="G304" i="1"/>
  <c r="I303" i="1"/>
  <c r="H303" i="1"/>
  <c r="G302" i="1"/>
  <c r="J302" i="1" s="1"/>
  <c r="G301" i="1"/>
  <c r="J301" i="1" s="1"/>
  <c r="G300" i="1"/>
  <c r="J300" i="1" s="1"/>
  <c r="G299" i="1"/>
  <c r="J299" i="1" s="1"/>
  <c r="I298" i="1"/>
  <c r="H298" i="1"/>
  <c r="G297" i="1"/>
  <c r="J297" i="1" s="1"/>
  <c r="G296" i="1"/>
  <c r="J296" i="1" s="1"/>
  <c r="G295" i="1"/>
  <c r="F293" i="1"/>
  <c r="F294" i="1" s="1"/>
  <c r="E293" i="1"/>
  <c r="G292" i="1"/>
  <c r="J292" i="1" s="1"/>
  <c r="I290" i="1"/>
  <c r="H290" i="1"/>
  <c r="G289" i="1"/>
  <c r="J289" i="1" s="1"/>
  <c r="G288" i="1"/>
  <c r="J288" i="1" s="1"/>
  <c r="G287" i="1"/>
  <c r="J287" i="1" s="1"/>
  <c r="I286" i="1"/>
  <c r="H286" i="1"/>
  <c r="G285" i="1"/>
  <c r="J285" i="1" s="1"/>
  <c r="G284" i="1"/>
  <c r="J284" i="1" s="1"/>
  <c r="G283" i="1"/>
  <c r="J283" i="1" s="1"/>
  <c r="I281" i="1"/>
  <c r="G279" i="1"/>
  <c r="J279" i="1" s="1"/>
  <c r="G278" i="1"/>
  <c r="J278" i="1" s="1"/>
  <c r="I277" i="1"/>
  <c r="H277" i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F266" i="1"/>
  <c r="I265" i="1"/>
  <c r="H265" i="1"/>
  <c r="G264" i="1"/>
  <c r="J264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H256" i="1"/>
  <c r="E256" i="1"/>
  <c r="E266" i="1" s="1"/>
  <c r="G255" i="1"/>
  <c r="J255" i="1" s="1"/>
  <c r="I256" i="1"/>
  <c r="G254" i="1"/>
  <c r="J254" i="1" s="1"/>
  <c r="G253" i="1"/>
  <c r="J253" i="1" s="1"/>
  <c r="G252" i="1"/>
  <c r="I250" i="1"/>
  <c r="H250" i="1"/>
  <c r="E250" i="1"/>
  <c r="G249" i="1"/>
  <c r="J249" i="1" s="1"/>
  <c r="G248" i="1"/>
  <c r="J248" i="1" s="1"/>
  <c r="G247" i="1"/>
  <c r="J247" i="1" s="1"/>
  <c r="I246" i="1"/>
  <c r="H246" i="1"/>
  <c r="F246" i="1"/>
  <c r="F251" i="1" s="1"/>
  <c r="E246" i="1"/>
  <c r="G245" i="1"/>
  <c r="G244" i="1"/>
  <c r="J244" i="1" s="1"/>
  <c r="G243" i="1"/>
  <c r="G246" i="1" s="1"/>
  <c r="J246" i="1" s="1"/>
  <c r="I242" i="1"/>
  <c r="H242" i="1"/>
  <c r="E242" i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I234" i="1"/>
  <c r="G233" i="1"/>
  <c r="J233" i="1" s="1"/>
  <c r="G232" i="1"/>
  <c r="J232" i="1" s="1"/>
  <c r="G231" i="1"/>
  <c r="J231" i="1" s="1"/>
  <c r="G230" i="1"/>
  <c r="J230" i="1" s="1"/>
  <c r="H234" i="1"/>
  <c r="I236" i="13" s="1"/>
  <c r="G228" i="1"/>
  <c r="J228" i="1" s="1"/>
  <c r="G227" i="1"/>
  <c r="J227" i="1" s="1"/>
  <c r="I226" i="1"/>
  <c r="H226" i="1"/>
  <c r="I228" i="13" s="1"/>
  <c r="G225" i="1"/>
  <c r="J225" i="1" s="1"/>
  <c r="G224" i="1"/>
  <c r="J224" i="1" s="1"/>
  <c r="G223" i="1"/>
  <c r="J223" i="1" s="1"/>
  <c r="G222" i="1"/>
  <c r="J222" i="1" s="1"/>
  <c r="H122" i="17"/>
  <c r="G122" i="17"/>
  <c r="H113" i="17"/>
  <c r="G113" i="17"/>
  <c r="K1281" i="17" l="1"/>
  <c r="Q1219" i="17"/>
  <c r="L451" i="14"/>
  <c r="K451" i="14" s="1"/>
  <c r="L1211" i="17"/>
  <c r="M1025" i="17"/>
  <c r="N1025" i="17"/>
  <c r="F294" i="13"/>
  <c r="K452" i="14"/>
  <c r="K468" i="14"/>
  <c r="Q1087" i="17"/>
  <c r="K1149" i="17"/>
  <c r="J1087" i="17"/>
  <c r="M2195" i="1"/>
  <c r="L1872" i="1"/>
  <c r="G1770" i="13"/>
  <c r="J1770" i="13" s="1"/>
  <c r="N1763" i="1"/>
  <c r="O1763" i="1"/>
  <c r="L1977" i="1"/>
  <c r="L2086" i="1" s="1"/>
  <c r="K1870" i="1"/>
  <c r="G1875" i="13"/>
  <c r="J1875" i="13" s="1"/>
  <c r="I931" i="16"/>
  <c r="I932" i="16" s="1"/>
  <c r="F1019" i="16"/>
  <c r="H205" i="16"/>
  <c r="H209" i="16"/>
  <c r="H253" i="16"/>
  <c r="I266" i="1"/>
  <c r="E294" i="1"/>
  <c r="C49" i="15"/>
  <c r="C51" i="15" s="1"/>
  <c r="J243" i="1"/>
  <c r="E190" i="17"/>
  <c r="F156" i="17"/>
  <c r="I156" i="17" s="1"/>
  <c r="P156" i="17"/>
  <c r="P157" i="17" s="1"/>
  <c r="Q221" i="17"/>
  <c r="J221" i="17"/>
  <c r="H320" i="1"/>
  <c r="H321" i="1" s="1"/>
  <c r="E251" i="1"/>
  <c r="G306" i="1"/>
  <c r="J306" i="1" s="1"/>
  <c r="J304" i="1"/>
  <c r="F267" i="1"/>
  <c r="F322" i="1" s="1"/>
  <c r="H266" i="1"/>
  <c r="I282" i="1"/>
  <c r="G312" i="1"/>
  <c r="J312" i="1" s="1"/>
  <c r="G242" i="1"/>
  <c r="J242" i="1" s="1"/>
  <c r="J235" i="1"/>
  <c r="F296" i="13"/>
  <c r="F297" i="13" s="1"/>
  <c r="H148" i="17"/>
  <c r="H190" i="17" s="1"/>
  <c r="F323" i="13"/>
  <c r="F324" i="13" s="1"/>
  <c r="F237" i="13"/>
  <c r="F229" i="13"/>
  <c r="M446" i="14"/>
  <c r="O446" i="14"/>
  <c r="N446" i="14" s="1"/>
  <c r="R446" i="14" s="1"/>
  <c r="M464" i="14"/>
  <c r="O464" i="14"/>
  <c r="N464" i="14" s="1"/>
  <c r="R464" i="14" s="1"/>
  <c r="M462" i="14"/>
  <c r="O462" i="14"/>
  <c r="K443" i="14"/>
  <c r="O445" i="14"/>
  <c r="N445" i="14" s="1"/>
  <c r="R445" i="14" s="1"/>
  <c r="O447" i="14"/>
  <c r="N447" i="14" s="1"/>
  <c r="R447" i="14" s="1"/>
  <c r="N456" i="14"/>
  <c r="N457" i="14"/>
  <c r="P457" i="14" s="1"/>
  <c r="N458" i="14"/>
  <c r="R458" i="14" s="1"/>
  <c r="N461" i="14"/>
  <c r="P461" i="14" s="1"/>
  <c r="O463" i="14"/>
  <c r="N463" i="14" s="1"/>
  <c r="O465" i="14"/>
  <c r="N465" i="14" s="1"/>
  <c r="R465" i="14" s="1"/>
  <c r="N470" i="14"/>
  <c r="P470" i="14" s="1"/>
  <c r="N471" i="14"/>
  <c r="P471" i="14" s="1"/>
  <c r="N472" i="14"/>
  <c r="N473" i="14"/>
  <c r="P473" i="14" s="1"/>
  <c r="N474" i="14"/>
  <c r="R474" i="14" s="1"/>
  <c r="N475" i="14"/>
  <c r="P475" i="14" s="1"/>
  <c r="N476" i="14"/>
  <c r="L448" i="14"/>
  <c r="K448" i="14" s="1"/>
  <c r="O448" i="14" s="1"/>
  <c r="N448" i="14" s="1"/>
  <c r="C450" i="14"/>
  <c r="L450" i="14"/>
  <c r="K450" i="14" s="1"/>
  <c r="O450" i="14" s="1"/>
  <c r="C452" i="14"/>
  <c r="C453" i="14"/>
  <c r="G462" i="14"/>
  <c r="G450" i="14"/>
  <c r="M448" i="14"/>
  <c r="P445" i="14"/>
  <c r="P446" i="14"/>
  <c r="O449" i="14"/>
  <c r="N449" i="14" s="1"/>
  <c r="M449" i="14"/>
  <c r="M450" i="14"/>
  <c r="O454" i="14"/>
  <c r="N454" i="14" s="1"/>
  <c r="M454" i="14"/>
  <c r="R456" i="14"/>
  <c r="P456" i="14"/>
  <c r="Q456" i="14"/>
  <c r="R457" i="14"/>
  <c r="Q457" i="14"/>
  <c r="S457" i="14" s="1"/>
  <c r="R461" i="14"/>
  <c r="Q461" i="14"/>
  <c r="O468" i="14"/>
  <c r="N468" i="14" s="1"/>
  <c r="M468" i="14"/>
  <c r="R470" i="14"/>
  <c r="R471" i="14"/>
  <c r="Q471" i="14"/>
  <c r="S471" i="14" s="1"/>
  <c r="R472" i="14"/>
  <c r="P472" i="14"/>
  <c r="Q472" i="14"/>
  <c r="S472" i="14" s="1"/>
  <c r="R473" i="14"/>
  <c r="Q473" i="14"/>
  <c r="Q474" i="14"/>
  <c r="R475" i="14"/>
  <c r="Q475" i="14"/>
  <c r="S475" i="14" s="1"/>
  <c r="R476" i="14"/>
  <c r="P476" i="14"/>
  <c r="Q476" i="14"/>
  <c r="O443" i="14"/>
  <c r="N443" i="14" s="1"/>
  <c r="M443" i="14"/>
  <c r="K444" i="14"/>
  <c r="Q446" i="14"/>
  <c r="O452" i="14"/>
  <c r="N452" i="14" s="1"/>
  <c r="M452" i="14"/>
  <c r="O453" i="14"/>
  <c r="N453" i="14" s="1"/>
  <c r="M453" i="14"/>
  <c r="O455" i="14"/>
  <c r="N455" i="14" s="1"/>
  <c r="M455" i="14"/>
  <c r="M456" i="14"/>
  <c r="M457" i="14"/>
  <c r="M458" i="14"/>
  <c r="M461" i="14"/>
  <c r="N462" i="14"/>
  <c r="R463" i="14"/>
  <c r="P463" i="14"/>
  <c r="P464" i="14"/>
  <c r="P465" i="14"/>
  <c r="O467" i="14"/>
  <c r="N467" i="14" s="1"/>
  <c r="M467" i="14"/>
  <c r="K469" i="14"/>
  <c r="M470" i="14"/>
  <c r="M471" i="14"/>
  <c r="M472" i="14"/>
  <c r="M473" i="14"/>
  <c r="M474" i="14"/>
  <c r="M475" i="14"/>
  <c r="M476" i="14"/>
  <c r="Q463" i="14"/>
  <c r="S463" i="14" s="1"/>
  <c r="Q464" i="14"/>
  <c r="O466" i="14"/>
  <c r="N466" i="14" s="1"/>
  <c r="M466" i="14"/>
  <c r="E211" i="16"/>
  <c r="E256" i="16" s="1"/>
  <c r="I206" i="16"/>
  <c r="H182" i="16"/>
  <c r="H193" i="16" s="1"/>
  <c r="P188" i="17"/>
  <c r="P189" i="17" s="1"/>
  <c r="F147" i="17"/>
  <c r="I147" i="17" s="1"/>
  <c r="P147" i="17"/>
  <c r="G139" i="17"/>
  <c r="G148" i="17" s="1"/>
  <c r="F137" i="17"/>
  <c r="I137" i="17" s="1"/>
  <c r="F157" i="17"/>
  <c r="I157" i="17" s="1"/>
  <c r="P137" i="17"/>
  <c r="P139" i="17" s="1"/>
  <c r="D190" i="17"/>
  <c r="F188" i="17"/>
  <c r="G189" i="17"/>
  <c r="I249" i="13"/>
  <c r="I272" i="13"/>
  <c r="I280" i="13" s="1"/>
  <c r="I281" i="13"/>
  <c r="I284" i="13" s="1"/>
  <c r="I287" i="13"/>
  <c r="I289" i="13" s="1"/>
  <c r="I290" i="13"/>
  <c r="I293" i="13" s="1"/>
  <c r="I298" i="13"/>
  <c r="I301" i="13" s="1"/>
  <c r="I311" i="13"/>
  <c r="I315" i="13" s="1"/>
  <c r="I319" i="13"/>
  <c r="I225" i="13"/>
  <c r="I229" i="13" s="1"/>
  <c r="I230" i="13"/>
  <c r="I237" i="13" s="1"/>
  <c r="I238" i="13"/>
  <c r="I245" i="13" s="1"/>
  <c r="I246" i="13"/>
  <c r="I250" i="13"/>
  <c r="I253" i="13" s="1"/>
  <c r="I255" i="13"/>
  <c r="I259" i="13" s="1"/>
  <c r="I260" i="13"/>
  <c r="I268" i="13" s="1"/>
  <c r="I302" i="13"/>
  <c r="I306" i="13" s="1"/>
  <c r="I307" i="13"/>
  <c r="I309" i="13" s="1"/>
  <c r="I320" i="1"/>
  <c r="I321" i="1" s="1"/>
  <c r="H291" i="1"/>
  <c r="I251" i="1"/>
  <c r="H251" i="1"/>
  <c r="H267" i="1" s="1"/>
  <c r="G226" i="1"/>
  <c r="G256" i="1"/>
  <c r="J252" i="1"/>
  <c r="G265" i="1"/>
  <c r="J265" i="1" s="1"/>
  <c r="G277" i="1"/>
  <c r="G280" i="1"/>
  <c r="J280" i="1" s="1"/>
  <c r="H281" i="1"/>
  <c r="H282" i="1" s="1"/>
  <c r="G290" i="1"/>
  <c r="J290" i="1" s="1"/>
  <c r="G298" i="1"/>
  <c r="J295" i="1"/>
  <c r="G229" i="1"/>
  <c r="J229" i="1" s="1"/>
  <c r="G250" i="1"/>
  <c r="J250" i="1" s="1"/>
  <c r="G286" i="1"/>
  <c r="I291" i="1"/>
  <c r="G303" i="1"/>
  <c r="J303" i="1" s="1"/>
  <c r="G316" i="1"/>
  <c r="J316" i="1" s="1"/>
  <c r="J313" i="1"/>
  <c r="G319" i="1"/>
  <c r="J319" i="1" s="1"/>
  <c r="M451" i="14" l="1"/>
  <c r="O451" i="14"/>
  <c r="N451" i="14" s="1"/>
  <c r="P474" i="14"/>
  <c r="Q458" i="14"/>
  <c r="S458" i="14" s="1"/>
  <c r="T458" i="14" s="1"/>
  <c r="S474" i="14"/>
  <c r="I267" i="1"/>
  <c r="Q447" i="14"/>
  <c r="S447" i="14" s="1"/>
  <c r="Q470" i="14"/>
  <c r="S470" i="14" s="1"/>
  <c r="T470" i="14" s="1"/>
  <c r="P458" i="14"/>
  <c r="S456" i="14"/>
  <c r="P447" i="14"/>
  <c r="M1087" i="17"/>
  <c r="N1087" i="17"/>
  <c r="S476" i="14"/>
  <c r="S473" i="14"/>
  <c r="S461" i="14"/>
  <c r="T461" i="14" s="1"/>
  <c r="N450" i="14"/>
  <c r="K1211" i="17"/>
  <c r="Q1149" i="17"/>
  <c r="J1149" i="17"/>
  <c r="L1273" i="17"/>
  <c r="K1343" i="17"/>
  <c r="Q1281" i="17"/>
  <c r="G2091" i="13"/>
  <c r="J2091" i="13" s="1"/>
  <c r="L2195" i="1"/>
  <c r="K2086" i="1"/>
  <c r="M2305" i="1"/>
  <c r="G1982" i="13"/>
  <c r="J1982" i="13" s="1"/>
  <c r="K1977" i="1"/>
  <c r="N1870" i="1"/>
  <c r="O1870" i="1"/>
  <c r="L1979" i="1"/>
  <c r="L2088" i="1" s="1"/>
  <c r="G1877" i="13"/>
  <c r="J1877" i="13" s="1"/>
  <c r="I1019" i="16"/>
  <c r="I1020" i="16" s="1"/>
  <c r="F1107" i="16"/>
  <c r="H211" i="16"/>
  <c r="I293" i="1"/>
  <c r="I294" i="1" s="1"/>
  <c r="I322" i="1" s="1"/>
  <c r="E267" i="1"/>
  <c r="E322" i="1" s="1"/>
  <c r="C45" i="15"/>
  <c r="C48" i="15" s="1"/>
  <c r="C55" i="15" s="1"/>
  <c r="M221" i="17"/>
  <c r="N221" i="17"/>
  <c r="H293" i="1"/>
  <c r="H294" i="1" s="1"/>
  <c r="H322" i="1" s="1"/>
  <c r="P148" i="17"/>
  <c r="P190" i="17" s="1"/>
  <c r="I285" i="13"/>
  <c r="F254" i="13"/>
  <c r="F270" i="13" s="1"/>
  <c r="F325" i="13" s="1"/>
  <c r="Q465" i="14"/>
  <c r="S465" i="14" s="1"/>
  <c r="T465" i="14" s="1"/>
  <c r="T463" i="14"/>
  <c r="T475" i="14"/>
  <c r="T473" i="14"/>
  <c r="T471" i="14"/>
  <c r="Q445" i="14"/>
  <c r="S445" i="14" s="1"/>
  <c r="T445" i="14" s="1"/>
  <c r="T447" i="14"/>
  <c r="T457" i="14"/>
  <c r="O469" i="14"/>
  <c r="N469" i="14" s="1"/>
  <c r="M469" i="14"/>
  <c r="Q467" i="14"/>
  <c r="R467" i="14"/>
  <c r="P467" i="14"/>
  <c r="Q468" i="14"/>
  <c r="P468" i="14"/>
  <c r="R468" i="14"/>
  <c r="Q454" i="14"/>
  <c r="R454" i="14"/>
  <c r="P454" i="14"/>
  <c r="R450" i="14"/>
  <c r="P450" i="14"/>
  <c r="Q450" i="14"/>
  <c r="S450" i="14" s="1"/>
  <c r="T450" i="14" s="1"/>
  <c r="Q449" i="14"/>
  <c r="R449" i="14"/>
  <c r="P449" i="14"/>
  <c r="Q448" i="14"/>
  <c r="P448" i="14"/>
  <c r="R448" i="14"/>
  <c r="Q466" i="14"/>
  <c r="P466" i="14"/>
  <c r="R466" i="14"/>
  <c r="S464" i="14"/>
  <c r="T464" i="14" s="1"/>
  <c r="T476" i="14"/>
  <c r="T474" i="14"/>
  <c r="T472" i="14"/>
  <c r="R462" i="14"/>
  <c r="P462" i="14"/>
  <c r="Q462" i="14"/>
  <c r="S462" i="14" s="1"/>
  <c r="T456" i="14"/>
  <c r="Q455" i="14"/>
  <c r="R455" i="14"/>
  <c r="P455" i="14"/>
  <c r="Q453" i="14"/>
  <c r="R453" i="14"/>
  <c r="P453" i="14"/>
  <c r="R452" i="14"/>
  <c r="P452" i="14"/>
  <c r="Q452" i="14"/>
  <c r="S452" i="14" s="1"/>
  <c r="T452" i="14" s="1"/>
  <c r="R451" i="14"/>
  <c r="P451" i="14"/>
  <c r="Q451" i="14"/>
  <c r="S446" i="14"/>
  <c r="T446" i="14" s="1"/>
  <c r="M444" i="14"/>
  <c r="O444" i="14"/>
  <c r="N444" i="14" s="1"/>
  <c r="Q443" i="14"/>
  <c r="P443" i="14"/>
  <c r="R443" i="14"/>
  <c r="G190" i="17"/>
  <c r="F139" i="17"/>
  <c r="I139" i="17" s="1"/>
  <c r="F189" i="17"/>
  <c r="I188" i="17"/>
  <c r="I254" i="13"/>
  <c r="I294" i="13"/>
  <c r="I269" i="13"/>
  <c r="I323" i="13"/>
  <c r="I324" i="13" s="1"/>
  <c r="G291" i="1"/>
  <c r="J291" i="1" s="1"/>
  <c r="J286" i="1"/>
  <c r="G281" i="1"/>
  <c r="J281" i="1" s="1"/>
  <c r="G320" i="1"/>
  <c r="J298" i="1"/>
  <c r="J277" i="1"/>
  <c r="G282" i="1"/>
  <c r="G266" i="1"/>
  <c r="J266" i="1" s="1"/>
  <c r="J256" i="1"/>
  <c r="G234" i="1"/>
  <c r="J234" i="1" s="1"/>
  <c r="J226" i="1"/>
  <c r="M1149" i="17" l="1"/>
  <c r="N1149" i="17"/>
  <c r="S455" i="14"/>
  <c r="T462" i="14"/>
  <c r="Q1343" i="17"/>
  <c r="S451" i="14"/>
  <c r="K1273" i="17"/>
  <c r="J1211" i="17"/>
  <c r="Q1211" i="17"/>
  <c r="T455" i="14"/>
  <c r="L1335" i="17"/>
  <c r="L2197" i="1"/>
  <c r="G2093" i="13"/>
  <c r="J2093" i="13" s="1"/>
  <c r="L2305" i="1"/>
  <c r="G2200" i="13"/>
  <c r="J2200" i="13" s="1"/>
  <c r="K2195" i="1"/>
  <c r="N2086" i="1"/>
  <c r="O2086" i="1"/>
  <c r="N1977" i="1"/>
  <c r="O1977" i="1"/>
  <c r="G1984" i="13"/>
  <c r="J1984" i="13" s="1"/>
  <c r="I1107" i="16"/>
  <c r="I1108" i="16" s="1"/>
  <c r="F1197" i="16"/>
  <c r="I296" i="13"/>
  <c r="I297" i="13" s="1"/>
  <c r="S449" i="14"/>
  <c r="T449" i="14" s="1"/>
  <c r="S454" i="14"/>
  <c r="T454" i="14" s="1"/>
  <c r="T451" i="14"/>
  <c r="R444" i="14"/>
  <c r="P444" i="14"/>
  <c r="Q444" i="14"/>
  <c r="S444" i="14" s="1"/>
  <c r="S466" i="14"/>
  <c r="T466" i="14" s="1"/>
  <c r="S443" i="14"/>
  <c r="T443" i="14" s="1"/>
  <c r="S453" i="14"/>
  <c r="T453" i="14" s="1"/>
  <c r="S448" i="14"/>
  <c r="T448" i="14" s="1"/>
  <c r="S468" i="14"/>
  <c r="T468" i="14" s="1"/>
  <c r="S467" i="14"/>
  <c r="T467" i="14" s="1"/>
  <c r="R469" i="14"/>
  <c r="P469" i="14"/>
  <c r="Q469" i="14"/>
  <c r="F148" i="17"/>
  <c r="I148" i="17" s="1"/>
  <c r="F190" i="17"/>
  <c r="I190" i="17" s="1"/>
  <c r="I189" i="17"/>
  <c r="I270" i="13"/>
  <c r="G251" i="1"/>
  <c r="J251" i="1" s="1"/>
  <c r="G293" i="1"/>
  <c r="J282" i="1"/>
  <c r="G321" i="1"/>
  <c r="J320" i="1"/>
  <c r="J321" i="1" s="1"/>
  <c r="F152" i="16"/>
  <c r="F234" i="16" s="1"/>
  <c r="F153" i="16"/>
  <c r="F235" i="16" s="1"/>
  <c r="F154" i="16"/>
  <c r="F236" i="16" s="1"/>
  <c r="F155" i="16"/>
  <c r="F237" i="16" s="1"/>
  <c r="F156" i="16"/>
  <c r="F238" i="16" s="1"/>
  <c r="F157" i="16"/>
  <c r="F239" i="16" s="1"/>
  <c r="F158" i="16"/>
  <c r="F240" i="16" s="1"/>
  <c r="F159" i="16"/>
  <c r="F241" i="16" s="1"/>
  <c r="F160" i="16"/>
  <c r="F242" i="16" s="1"/>
  <c r="F161" i="16"/>
  <c r="F243" i="16" s="1"/>
  <c r="F162" i="16"/>
  <c r="F244" i="16" s="1"/>
  <c r="F163" i="16"/>
  <c r="F245" i="16" s="1"/>
  <c r="F164" i="16"/>
  <c r="F246" i="16" s="1"/>
  <c r="F165" i="16"/>
  <c r="F247" i="16" s="1"/>
  <c r="F166" i="16"/>
  <c r="F248" i="16" s="1"/>
  <c r="F167" i="16"/>
  <c r="F249" i="16" s="1"/>
  <c r="F168" i="16"/>
  <c r="F250" i="16" s="1"/>
  <c r="F169" i="16"/>
  <c r="F251" i="16" s="1"/>
  <c r="F170" i="16"/>
  <c r="F252" i="16" s="1"/>
  <c r="F151" i="16"/>
  <c r="F233" i="16" s="1"/>
  <c r="F131" i="16"/>
  <c r="F213" i="16" s="1"/>
  <c r="F132" i="16"/>
  <c r="F214" i="16" s="1"/>
  <c r="F133" i="16"/>
  <c r="F215" i="16" s="1"/>
  <c r="F134" i="16"/>
  <c r="F216" i="16" s="1"/>
  <c r="F135" i="16"/>
  <c r="F217" i="16" s="1"/>
  <c r="F136" i="16"/>
  <c r="F218" i="16" s="1"/>
  <c r="F137" i="16"/>
  <c r="F219" i="16" s="1"/>
  <c r="F138" i="16"/>
  <c r="F220" i="16" s="1"/>
  <c r="F139" i="16"/>
  <c r="F221" i="16" s="1"/>
  <c r="F140" i="16"/>
  <c r="F222" i="16" s="1"/>
  <c r="F141" i="16"/>
  <c r="F223" i="16" s="1"/>
  <c r="F142" i="16"/>
  <c r="F224" i="16" s="1"/>
  <c r="F143" i="16"/>
  <c r="F225" i="16" s="1"/>
  <c r="F144" i="16"/>
  <c r="F226" i="16" s="1"/>
  <c r="F145" i="16"/>
  <c r="F227" i="16" s="1"/>
  <c r="F146" i="16"/>
  <c r="F228" i="16" s="1"/>
  <c r="F147" i="16"/>
  <c r="F229" i="16" s="1"/>
  <c r="F148" i="16"/>
  <c r="F230" i="16" s="1"/>
  <c r="F149" i="16"/>
  <c r="F231" i="16" s="1"/>
  <c r="F130" i="16"/>
  <c r="F212" i="16" s="1"/>
  <c r="F125" i="16"/>
  <c r="F207" i="16" s="1"/>
  <c r="F126" i="16"/>
  <c r="F208" i="16" s="1"/>
  <c r="F124" i="16"/>
  <c r="F113" i="16"/>
  <c r="F195" i="16" s="1"/>
  <c r="F114" i="16"/>
  <c r="F196" i="16" s="1"/>
  <c r="F115" i="16"/>
  <c r="F197" i="16" s="1"/>
  <c r="F116" i="16"/>
  <c r="F198" i="16" s="1"/>
  <c r="F117" i="16"/>
  <c r="F199" i="16" s="1"/>
  <c r="F118" i="16"/>
  <c r="F200" i="16" s="1"/>
  <c r="F119" i="16"/>
  <c r="F201" i="16" s="1"/>
  <c r="F120" i="16"/>
  <c r="F202" i="16" s="1"/>
  <c r="F121" i="16"/>
  <c r="F203" i="16" s="1"/>
  <c r="F122" i="16"/>
  <c r="F204" i="16" s="1"/>
  <c r="F112" i="16"/>
  <c r="F194" i="16" s="1"/>
  <c r="F98" i="16"/>
  <c r="F180" i="16" s="1"/>
  <c r="F99" i="16"/>
  <c r="F181" i="16" s="1"/>
  <c r="F101" i="16"/>
  <c r="F183" i="16" s="1"/>
  <c r="F102" i="16"/>
  <c r="F184" i="16" s="1"/>
  <c r="F103" i="16"/>
  <c r="F185" i="16" s="1"/>
  <c r="F104" i="16"/>
  <c r="F186" i="16" s="1"/>
  <c r="F105" i="16"/>
  <c r="F187" i="16" s="1"/>
  <c r="F106" i="16"/>
  <c r="F188" i="16" s="1"/>
  <c r="F107" i="16"/>
  <c r="F189" i="16" s="1"/>
  <c r="F108" i="16"/>
  <c r="F190" i="16" s="1"/>
  <c r="F109" i="16"/>
  <c r="F191" i="16" s="1"/>
  <c r="F110" i="16"/>
  <c r="F192" i="16" s="1"/>
  <c r="K1335" i="17" l="1"/>
  <c r="Q1273" i="17"/>
  <c r="J1273" i="17"/>
  <c r="T469" i="14"/>
  <c r="S469" i="14"/>
  <c r="M1211" i="17"/>
  <c r="N1211" i="17"/>
  <c r="L2308" i="1"/>
  <c r="G2202" i="13"/>
  <c r="J2202" i="13" s="1"/>
  <c r="N2195" i="1"/>
  <c r="O2195" i="1"/>
  <c r="G2310" i="13"/>
  <c r="J2310" i="13" s="1"/>
  <c r="K2305" i="1"/>
  <c r="I325" i="13"/>
  <c r="I1197" i="16"/>
  <c r="I1198" i="16" s="1"/>
  <c r="F1287" i="16"/>
  <c r="F276" i="16"/>
  <c r="I194" i="16"/>
  <c r="F294" i="16"/>
  <c r="I212" i="16"/>
  <c r="F315" i="16"/>
  <c r="I233" i="16"/>
  <c r="I191" i="16"/>
  <c r="F273" i="16"/>
  <c r="I189" i="16"/>
  <c r="F271" i="16"/>
  <c r="I187" i="16"/>
  <c r="F269" i="16"/>
  <c r="I185" i="16"/>
  <c r="F267" i="16"/>
  <c r="I183" i="16"/>
  <c r="F265" i="16"/>
  <c r="I181" i="16"/>
  <c r="F263" i="16"/>
  <c r="F285" i="16"/>
  <c r="I203" i="16"/>
  <c r="F283" i="16"/>
  <c r="I201" i="16"/>
  <c r="F281" i="16"/>
  <c r="I199" i="16"/>
  <c r="F279" i="16"/>
  <c r="I197" i="16"/>
  <c r="F277" i="16"/>
  <c r="I195" i="16"/>
  <c r="F205" i="16"/>
  <c r="F290" i="16"/>
  <c r="I208" i="16"/>
  <c r="F312" i="16"/>
  <c r="I230" i="16"/>
  <c r="I228" i="16"/>
  <c r="F310" i="16"/>
  <c r="F308" i="16"/>
  <c r="I226" i="16"/>
  <c r="F306" i="16"/>
  <c r="I224" i="16"/>
  <c r="F304" i="16"/>
  <c r="I222" i="16"/>
  <c r="F302" i="16"/>
  <c r="I220" i="16"/>
  <c r="F300" i="16"/>
  <c r="I218" i="16"/>
  <c r="F298" i="16"/>
  <c r="I216" i="16"/>
  <c r="F296" i="16"/>
  <c r="I214" i="16"/>
  <c r="I251" i="16"/>
  <c r="F333" i="16"/>
  <c r="I249" i="16"/>
  <c r="F331" i="16"/>
  <c r="I247" i="16"/>
  <c r="F329" i="16"/>
  <c r="I245" i="16"/>
  <c r="F327" i="16"/>
  <c r="I243" i="16"/>
  <c r="F325" i="16"/>
  <c r="I241" i="16"/>
  <c r="F323" i="16"/>
  <c r="I239" i="16"/>
  <c r="F321" i="16"/>
  <c r="I237" i="16"/>
  <c r="F319" i="16"/>
  <c r="I235" i="16"/>
  <c r="F317" i="16"/>
  <c r="F274" i="16"/>
  <c r="I192" i="16"/>
  <c r="F272" i="16"/>
  <c r="I190" i="16"/>
  <c r="F270" i="16"/>
  <c r="I188" i="16"/>
  <c r="F268" i="16"/>
  <c r="I186" i="16"/>
  <c r="F266" i="16"/>
  <c r="I184" i="16"/>
  <c r="F262" i="16"/>
  <c r="I180" i="16"/>
  <c r="F286" i="16"/>
  <c r="I204" i="16"/>
  <c r="F284" i="16"/>
  <c r="I202" i="16"/>
  <c r="F282" i="16"/>
  <c r="I200" i="16"/>
  <c r="F280" i="16"/>
  <c r="I198" i="16"/>
  <c r="F278" i="16"/>
  <c r="I196" i="16"/>
  <c r="F289" i="16"/>
  <c r="I207" i="16"/>
  <c r="I209" i="16" s="1"/>
  <c r="J47" i="15" s="1"/>
  <c r="F209" i="16"/>
  <c r="F313" i="16"/>
  <c r="I231" i="16"/>
  <c r="F311" i="16"/>
  <c r="I229" i="16"/>
  <c r="F309" i="16"/>
  <c r="I227" i="16"/>
  <c r="F307" i="16"/>
  <c r="I225" i="16"/>
  <c r="F305" i="16"/>
  <c r="I223" i="16"/>
  <c r="F303" i="16"/>
  <c r="I221" i="16"/>
  <c r="F301" i="16"/>
  <c r="I219" i="16"/>
  <c r="F299" i="16"/>
  <c r="I217" i="16"/>
  <c r="F297" i="16"/>
  <c r="I215" i="16"/>
  <c r="F295" i="16"/>
  <c r="I213" i="16"/>
  <c r="F232" i="16"/>
  <c r="F334" i="16"/>
  <c r="I252" i="16"/>
  <c r="F332" i="16"/>
  <c r="I250" i="16"/>
  <c r="F330" i="16"/>
  <c r="I248" i="16"/>
  <c r="F328" i="16"/>
  <c r="I246" i="16"/>
  <c r="F326" i="16"/>
  <c r="I244" i="16"/>
  <c r="F324" i="16"/>
  <c r="I242" i="16"/>
  <c r="F322" i="16"/>
  <c r="I240" i="16"/>
  <c r="F320" i="16"/>
  <c r="I238" i="16"/>
  <c r="I236" i="16"/>
  <c r="F318" i="16"/>
  <c r="F316" i="16"/>
  <c r="I234" i="16"/>
  <c r="F253" i="16"/>
  <c r="G267" i="1"/>
  <c r="J267" i="1" s="1"/>
  <c r="T444" i="14"/>
  <c r="G294" i="1"/>
  <c r="J293" i="1"/>
  <c r="J294" i="1" s="1"/>
  <c r="G322" i="1"/>
  <c r="J322" i="1" s="1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F97" i="16"/>
  <c r="F179" i="16" s="1"/>
  <c r="E100" i="16"/>
  <c r="I150" i="1"/>
  <c r="H150" i="1"/>
  <c r="H77" i="17"/>
  <c r="G77" i="17"/>
  <c r="I125" i="1"/>
  <c r="H125" i="1"/>
  <c r="M1273" i="17" l="1"/>
  <c r="N1273" i="17"/>
  <c r="Q1335" i="17"/>
  <c r="J1335" i="17"/>
  <c r="N2305" i="1"/>
  <c r="O2305" i="1"/>
  <c r="G2313" i="13"/>
  <c r="J2313" i="13" s="1"/>
  <c r="I232" i="16"/>
  <c r="J49" i="15" s="1"/>
  <c r="J51" i="15" s="1"/>
  <c r="I205" i="16"/>
  <c r="J46" i="15" s="1"/>
  <c r="I1287" i="16"/>
  <c r="I1288" i="16" s="1"/>
  <c r="F1378" i="16"/>
  <c r="F261" i="16"/>
  <c r="I179" i="16"/>
  <c r="F397" i="16"/>
  <c r="I315" i="16"/>
  <c r="I294" i="16"/>
  <c r="F376" i="16"/>
  <c r="F358" i="16"/>
  <c r="I276" i="16"/>
  <c r="F398" i="16"/>
  <c r="I316" i="16"/>
  <c r="F335" i="16"/>
  <c r="I320" i="16"/>
  <c r="F402" i="16"/>
  <c r="I322" i="16"/>
  <c r="F404" i="16"/>
  <c r="I324" i="16"/>
  <c r="F406" i="16"/>
  <c r="I326" i="16"/>
  <c r="F408" i="16"/>
  <c r="I328" i="16"/>
  <c r="F410" i="16"/>
  <c r="I330" i="16"/>
  <c r="F412" i="16"/>
  <c r="I332" i="16"/>
  <c r="F414" i="16"/>
  <c r="I334" i="16"/>
  <c r="F416" i="16"/>
  <c r="I289" i="16"/>
  <c r="F371" i="16"/>
  <c r="F291" i="16"/>
  <c r="I278" i="16"/>
  <c r="F360" i="16"/>
  <c r="I280" i="16"/>
  <c r="F362" i="16"/>
  <c r="I282" i="16"/>
  <c r="F364" i="16"/>
  <c r="I284" i="16"/>
  <c r="F366" i="16"/>
  <c r="I286" i="16"/>
  <c r="F368" i="16"/>
  <c r="I296" i="16"/>
  <c r="F378" i="16"/>
  <c r="I298" i="16"/>
  <c r="F380" i="16"/>
  <c r="I300" i="16"/>
  <c r="F382" i="16"/>
  <c r="I302" i="16"/>
  <c r="F384" i="16"/>
  <c r="I304" i="16"/>
  <c r="F386" i="16"/>
  <c r="I306" i="16"/>
  <c r="F388" i="16"/>
  <c r="I308" i="16"/>
  <c r="F390" i="16"/>
  <c r="I312" i="16"/>
  <c r="F394" i="16"/>
  <c r="F372" i="16"/>
  <c r="I290" i="16"/>
  <c r="I263" i="16"/>
  <c r="F345" i="16"/>
  <c r="I265" i="16"/>
  <c r="F347" i="16"/>
  <c r="I267" i="16"/>
  <c r="F349" i="16"/>
  <c r="I269" i="16"/>
  <c r="F351" i="16"/>
  <c r="I271" i="16"/>
  <c r="F353" i="16"/>
  <c r="I273" i="16"/>
  <c r="F355" i="16"/>
  <c r="I253" i="16"/>
  <c r="I318" i="16"/>
  <c r="F400" i="16"/>
  <c r="I295" i="16"/>
  <c r="F377" i="16"/>
  <c r="F314" i="16"/>
  <c r="I297" i="16"/>
  <c r="F379" i="16"/>
  <c r="I299" i="16"/>
  <c r="F381" i="16"/>
  <c r="I301" i="16"/>
  <c r="F383" i="16"/>
  <c r="I303" i="16"/>
  <c r="F385" i="16"/>
  <c r="I305" i="16"/>
  <c r="F387" i="16"/>
  <c r="I307" i="16"/>
  <c r="F389" i="16"/>
  <c r="I309" i="16"/>
  <c r="F391" i="16"/>
  <c r="I311" i="16"/>
  <c r="F393" i="16"/>
  <c r="I313" i="16"/>
  <c r="F395" i="16"/>
  <c r="I262" i="16"/>
  <c r="F344" i="16"/>
  <c r="I266" i="16"/>
  <c r="F348" i="16"/>
  <c r="I268" i="16"/>
  <c r="F350" i="16"/>
  <c r="I270" i="16"/>
  <c r="F352" i="16"/>
  <c r="I272" i="16"/>
  <c r="F354" i="16"/>
  <c r="I274" i="16"/>
  <c r="F356" i="16"/>
  <c r="I317" i="16"/>
  <c r="F399" i="16"/>
  <c r="I319" i="16"/>
  <c r="F401" i="16"/>
  <c r="I321" i="16"/>
  <c r="F403" i="16"/>
  <c r="I323" i="16"/>
  <c r="F405" i="16"/>
  <c r="I325" i="16"/>
  <c r="F407" i="16"/>
  <c r="I327" i="16"/>
  <c r="F409" i="16"/>
  <c r="I329" i="16"/>
  <c r="F411" i="16"/>
  <c r="I331" i="16"/>
  <c r="F413" i="16"/>
  <c r="I333" i="16"/>
  <c r="F415" i="16"/>
  <c r="I310" i="16"/>
  <c r="F392" i="16"/>
  <c r="I277" i="16"/>
  <c r="F359" i="16"/>
  <c r="F287" i="16"/>
  <c r="I279" i="16"/>
  <c r="F361" i="16"/>
  <c r="I281" i="16"/>
  <c r="F363" i="16"/>
  <c r="I283" i="16"/>
  <c r="F365" i="16"/>
  <c r="I285" i="16"/>
  <c r="F367" i="16"/>
  <c r="L434" i="14"/>
  <c r="K434" i="14" s="1"/>
  <c r="M434" i="14" s="1"/>
  <c r="E38" i="15"/>
  <c r="C37" i="15"/>
  <c r="C39" i="15" s="1"/>
  <c r="E35" i="15"/>
  <c r="C34" i="15"/>
  <c r="C36" i="15" s="1"/>
  <c r="E32" i="15"/>
  <c r="C31" i="15"/>
  <c r="H176" i="1"/>
  <c r="F178" i="13" s="1"/>
  <c r="I178" i="13" s="1"/>
  <c r="L440" i="14"/>
  <c r="K440" i="14" s="1"/>
  <c r="O440" i="14" s="1"/>
  <c r="G440" i="14"/>
  <c r="C440" i="14"/>
  <c r="L439" i="14"/>
  <c r="K439" i="14" s="1"/>
  <c r="O439" i="14" s="1"/>
  <c r="G439" i="14"/>
  <c r="C439" i="14"/>
  <c r="L438" i="14"/>
  <c r="K438" i="14" s="1"/>
  <c r="O438" i="14" s="1"/>
  <c r="G438" i="14"/>
  <c r="C438" i="14"/>
  <c r="L437" i="14"/>
  <c r="K437" i="14"/>
  <c r="M437" i="14" s="1"/>
  <c r="G437" i="14"/>
  <c r="C437" i="14"/>
  <c r="L436" i="14"/>
  <c r="K436" i="14" s="1"/>
  <c r="G436" i="14"/>
  <c r="C436" i="14"/>
  <c r="L435" i="14"/>
  <c r="K435" i="14" s="1"/>
  <c r="M435" i="14" s="1"/>
  <c r="G435" i="14"/>
  <c r="C435" i="14"/>
  <c r="G434" i="14"/>
  <c r="L433" i="14"/>
  <c r="G433" i="14"/>
  <c r="C433" i="14"/>
  <c r="L432" i="14"/>
  <c r="G432" i="14"/>
  <c r="C432" i="14"/>
  <c r="L431" i="14"/>
  <c r="K431" i="14" s="1"/>
  <c r="G431" i="14"/>
  <c r="C431" i="14"/>
  <c r="L430" i="14"/>
  <c r="K430" i="14" s="1"/>
  <c r="G430" i="14"/>
  <c r="C430" i="14"/>
  <c r="L429" i="14"/>
  <c r="K429" i="14" s="1"/>
  <c r="O429" i="14" s="1"/>
  <c r="G429" i="14"/>
  <c r="C429" i="14"/>
  <c r="L428" i="14"/>
  <c r="K428" i="14" s="1"/>
  <c r="O428" i="14" s="1"/>
  <c r="G428" i="14"/>
  <c r="C428" i="14"/>
  <c r="L427" i="14"/>
  <c r="K427" i="14" s="1"/>
  <c r="O427" i="14" s="1"/>
  <c r="G427" i="14"/>
  <c r="C427" i="14"/>
  <c r="L426" i="14"/>
  <c r="K426" i="14" s="1"/>
  <c r="O426" i="14" s="1"/>
  <c r="G426" i="14"/>
  <c r="C426" i="14"/>
  <c r="L425" i="14"/>
  <c r="K425" i="14" s="1"/>
  <c r="M425" i="14" s="1"/>
  <c r="G425" i="14"/>
  <c r="C425" i="14"/>
  <c r="H97" i="16"/>
  <c r="I97" i="16"/>
  <c r="H98" i="16"/>
  <c r="I98" i="16"/>
  <c r="H99" i="16"/>
  <c r="I99" i="16"/>
  <c r="H100" i="16"/>
  <c r="H101" i="16"/>
  <c r="I101" i="16"/>
  <c r="H102" i="16"/>
  <c r="I102" i="16"/>
  <c r="H103" i="16"/>
  <c r="I103" i="16"/>
  <c r="H104" i="16"/>
  <c r="I104" i="16"/>
  <c r="H105" i="16"/>
  <c r="I105" i="16"/>
  <c r="H106" i="16"/>
  <c r="I106" i="16"/>
  <c r="H107" i="16"/>
  <c r="I107" i="16"/>
  <c r="H108" i="16"/>
  <c r="I108" i="16"/>
  <c r="H109" i="16"/>
  <c r="I109" i="16"/>
  <c r="H110" i="16"/>
  <c r="I110" i="16"/>
  <c r="E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I151" i="16"/>
  <c r="E150" i="16"/>
  <c r="H149" i="16"/>
  <c r="I149" i="16"/>
  <c r="H148" i="16"/>
  <c r="I148" i="16"/>
  <c r="H147" i="16"/>
  <c r="I147" i="16"/>
  <c r="H146" i="16"/>
  <c r="I146" i="16"/>
  <c r="H145" i="16"/>
  <c r="I145" i="16"/>
  <c r="H144" i="16"/>
  <c r="I144" i="16"/>
  <c r="H143" i="16"/>
  <c r="I143" i="16"/>
  <c r="H142" i="16"/>
  <c r="I142" i="16"/>
  <c r="H141" i="16"/>
  <c r="I141" i="16"/>
  <c r="H140" i="16"/>
  <c r="I140" i="16"/>
  <c r="H139" i="16"/>
  <c r="I139" i="16"/>
  <c r="H138" i="16"/>
  <c r="I138" i="16"/>
  <c r="H137" i="16"/>
  <c r="I137" i="16"/>
  <c r="H136" i="16"/>
  <c r="I136" i="16"/>
  <c r="H135" i="16"/>
  <c r="I135" i="16"/>
  <c r="H134" i="16"/>
  <c r="I134" i="16"/>
  <c r="H133" i="16"/>
  <c r="I133" i="16"/>
  <c r="H132" i="16"/>
  <c r="I132" i="16"/>
  <c r="H131" i="16"/>
  <c r="I131" i="16"/>
  <c r="H130" i="16"/>
  <c r="F150" i="16"/>
  <c r="I128" i="16"/>
  <c r="E127" i="16"/>
  <c r="H126" i="16"/>
  <c r="I126" i="16"/>
  <c r="H125" i="16"/>
  <c r="I125" i="16"/>
  <c r="H124" i="16"/>
  <c r="H127" i="16" s="1"/>
  <c r="F127" i="16"/>
  <c r="E123" i="16"/>
  <c r="H122" i="16"/>
  <c r="I122" i="16"/>
  <c r="H121" i="16"/>
  <c r="I121" i="16"/>
  <c r="H120" i="16"/>
  <c r="I120" i="16"/>
  <c r="H119" i="16"/>
  <c r="I119" i="16"/>
  <c r="H118" i="16"/>
  <c r="I118" i="16"/>
  <c r="H117" i="16"/>
  <c r="I117" i="16"/>
  <c r="H116" i="16"/>
  <c r="I116" i="16"/>
  <c r="H115" i="16"/>
  <c r="I115" i="16"/>
  <c r="H114" i="16"/>
  <c r="I114" i="16"/>
  <c r="H113" i="16"/>
  <c r="I113" i="16"/>
  <c r="H112" i="16"/>
  <c r="F123" i="16"/>
  <c r="E111" i="16"/>
  <c r="P75" i="17"/>
  <c r="P74" i="17"/>
  <c r="P127" i="17"/>
  <c r="P126" i="17"/>
  <c r="P125" i="17"/>
  <c r="P124" i="17"/>
  <c r="P123" i="17"/>
  <c r="P122" i="17"/>
  <c r="P121" i="17"/>
  <c r="P120" i="17"/>
  <c r="P119" i="17"/>
  <c r="P118" i="17"/>
  <c r="P117" i="17"/>
  <c r="P116" i="17"/>
  <c r="P115" i="17"/>
  <c r="P114" i="17"/>
  <c r="P113" i="17"/>
  <c r="P112" i="17"/>
  <c r="P111" i="17"/>
  <c r="P110" i="17"/>
  <c r="P109" i="17"/>
  <c r="P108" i="17"/>
  <c r="P107" i="17"/>
  <c r="P106" i="17"/>
  <c r="P105" i="17"/>
  <c r="P104" i="17"/>
  <c r="P103" i="17"/>
  <c r="P102" i="17"/>
  <c r="P101" i="17"/>
  <c r="P100" i="17"/>
  <c r="P99" i="17"/>
  <c r="P98" i="17"/>
  <c r="P95" i="17"/>
  <c r="P94" i="17"/>
  <c r="P93" i="17"/>
  <c r="P92" i="17"/>
  <c r="P91" i="17"/>
  <c r="P90" i="17"/>
  <c r="P89" i="17"/>
  <c r="P86" i="17"/>
  <c r="P85" i="17"/>
  <c r="P84" i="17"/>
  <c r="P83" i="17"/>
  <c r="P82" i="17"/>
  <c r="P81" i="17"/>
  <c r="P80" i="17"/>
  <c r="P78" i="17"/>
  <c r="P77" i="17"/>
  <c r="P76" i="17"/>
  <c r="E129" i="17"/>
  <c r="H128" i="17"/>
  <c r="G128" i="17"/>
  <c r="G129" i="17" s="1"/>
  <c r="D128" i="17"/>
  <c r="D129" i="17" s="1"/>
  <c r="F127" i="17"/>
  <c r="I127" i="17" s="1"/>
  <c r="F126" i="17"/>
  <c r="I126" i="17" s="1"/>
  <c r="I125" i="17"/>
  <c r="F125" i="17"/>
  <c r="F124" i="17"/>
  <c r="I124" i="17" s="1"/>
  <c r="F123" i="17"/>
  <c r="I123" i="17" s="1"/>
  <c r="F122" i="17"/>
  <c r="I122" i="17" s="1"/>
  <c r="F121" i="17"/>
  <c r="I121" i="17" s="1"/>
  <c r="F120" i="17"/>
  <c r="I120" i="17" s="1"/>
  <c r="F119" i="17"/>
  <c r="I119" i="17" s="1"/>
  <c r="F118" i="17"/>
  <c r="I118" i="17" s="1"/>
  <c r="F117" i="17"/>
  <c r="I117" i="17" s="1"/>
  <c r="F116" i="17"/>
  <c r="I116" i="17" s="1"/>
  <c r="F115" i="17"/>
  <c r="I115" i="17" s="1"/>
  <c r="F114" i="17"/>
  <c r="I114" i="17" s="1"/>
  <c r="F113" i="17"/>
  <c r="I113" i="17" s="1"/>
  <c r="F112" i="17"/>
  <c r="I112" i="17" s="1"/>
  <c r="F111" i="17"/>
  <c r="I111" i="17" s="1"/>
  <c r="F110" i="17"/>
  <c r="I110" i="17" s="1"/>
  <c r="F109" i="17"/>
  <c r="I109" i="17" s="1"/>
  <c r="F108" i="17"/>
  <c r="I108" i="17" s="1"/>
  <c r="F107" i="17"/>
  <c r="I107" i="17" s="1"/>
  <c r="F106" i="17"/>
  <c r="I106" i="17" s="1"/>
  <c r="F105" i="17"/>
  <c r="I105" i="17" s="1"/>
  <c r="F104" i="17"/>
  <c r="F103" i="17"/>
  <c r="I103" i="17" s="1"/>
  <c r="F102" i="17"/>
  <c r="I102" i="17" s="1"/>
  <c r="F101" i="17"/>
  <c r="I101" i="17" s="1"/>
  <c r="F100" i="17"/>
  <c r="I100" i="17" s="1"/>
  <c r="F99" i="17"/>
  <c r="I99" i="17" s="1"/>
  <c r="I98" i="17"/>
  <c r="F98" i="17"/>
  <c r="E97" i="17"/>
  <c r="D97" i="17"/>
  <c r="H96" i="17"/>
  <c r="H97" i="17" s="1"/>
  <c r="G96" i="17"/>
  <c r="G97" i="17" s="1"/>
  <c r="F95" i="17"/>
  <c r="I95" i="17" s="1"/>
  <c r="F94" i="17"/>
  <c r="I94" i="17" s="1"/>
  <c r="F93" i="17"/>
  <c r="I93" i="17" s="1"/>
  <c r="F92" i="17"/>
  <c r="I92" i="17" s="1"/>
  <c r="F91" i="17"/>
  <c r="I91" i="17" s="1"/>
  <c r="F90" i="17"/>
  <c r="I90" i="17" s="1"/>
  <c r="F89" i="17"/>
  <c r="I89" i="17" s="1"/>
  <c r="E88" i="17"/>
  <c r="H87" i="17"/>
  <c r="G87" i="17"/>
  <c r="D87" i="17"/>
  <c r="F86" i="17"/>
  <c r="I86" i="17" s="1"/>
  <c r="F85" i="17"/>
  <c r="I85" i="17" s="1"/>
  <c r="F84" i="17"/>
  <c r="I84" i="17" s="1"/>
  <c r="F83" i="17"/>
  <c r="I83" i="17" s="1"/>
  <c r="F82" i="17"/>
  <c r="I82" i="17" s="1"/>
  <c r="F81" i="17"/>
  <c r="I81" i="17" s="1"/>
  <c r="F80" i="17"/>
  <c r="H79" i="17"/>
  <c r="D79" i="17"/>
  <c r="F78" i="17"/>
  <c r="I78" i="17" s="1"/>
  <c r="F76" i="17"/>
  <c r="I76" i="17" s="1"/>
  <c r="F75" i="17"/>
  <c r="I75" i="17" s="1"/>
  <c r="F74" i="17"/>
  <c r="I74" i="17" s="1"/>
  <c r="F216" i="13"/>
  <c r="F215" i="13"/>
  <c r="F213" i="13"/>
  <c r="I213" i="13" s="1"/>
  <c r="F212" i="13"/>
  <c r="I212" i="13" s="1"/>
  <c r="F211" i="13"/>
  <c r="F209" i="13"/>
  <c r="I209" i="13" s="1"/>
  <c r="F208" i="13"/>
  <c r="I208" i="13" s="1"/>
  <c r="F207" i="13"/>
  <c r="I207" i="13" s="1"/>
  <c r="F206" i="13"/>
  <c r="F205" i="13"/>
  <c r="F203" i="13"/>
  <c r="F202" i="13"/>
  <c r="F200" i="13"/>
  <c r="I200" i="13" s="1"/>
  <c r="F199" i="13"/>
  <c r="I199" i="13" s="1"/>
  <c r="F198" i="13"/>
  <c r="I198" i="13" s="1"/>
  <c r="F197" i="13"/>
  <c r="F195" i="13"/>
  <c r="I195" i="13" s="1"/>
  <c r="F194" i="13"/>
  <c r="I194" i="13" s="1"/>
  <c r="F193" i="13"/>
  <c r="F190" i="13"/>
  <c r="I190" i="13" s="1"/>
  <c r="F187" i="13"/>
  <c r="I187" i="13" s="1"/>
  <c r="F186" i="13"/>
  <c r="I186" i="13" s="1"/>
  <c r="F185" i="13"/>
  <c r="F183" i="13"/>
  <c r="I183" i="13" s="1"/>
  <c r="F182" i="13"/>
  <c r="I182" i="13" s="1"/>
  <c r="F181" i="13"/>
  <c r="F177" i="13"/>
  <c r="I177" i="13" s="1"/>
  <c r="F176" i="13"/>
  <c r="F174" i="13"/>
  <c r="I174" i="13" s="1"/>
  <c r="F173" i="13"/>
  <c r="I173" i="13" s="1"/>
  <c r="F172" i="13"/>
  <c r="I172" i="13" s="1"/>
  <c r="F171" i="13"/>
  <c r="I171" i="13" s="1"/>
  <c r="F170" i="13"/>
  <c r="I170" i="13" s="1"/>
  <c r="F169" i="13"/>
  <c r="I169" i="13" s="1"/>
  <c r="F168" i="13"/>
  <c r="I168" i="13" s="1"/>
  <c r="F167" i="13"/>
  <c r="I167" i="13" s="1"/>
  <c r="F166" i="13"/>
  <c r="F162" i="13"/>
  <c r="I162" i="13" s="1"/>
  <c r="F161" i="13"/>
  <c r="I161" i="13" s="1"/>
  <c r="F160" i="13"/>
  <c r="I160" i="13" s="1"/>
  <c r="F159" i="13"/>
  <c r="I159" i="13" s="1"/>
  <c r="F158" i="13"/>
  <c r="I158" i="13" s="1"/>
  <c r="F157" i="13"/>
  <c r="I157" i="13" s="1"/>
  <c r="F156" i="13"/>
  <c r="F155" i="13"/>
  <c r="F153" i="13"/>
  <c r="I153" i="13" s="1"/>
  <c r="F152" i="13"/>
  <c r="I152" i="13" s="1"/>
  <c r="F151" i="13"/>
  <c r="I151" i="13" s="1"/>
  <c r="F150" i="13"/>
  <c r="F147" i="13"/>
  <c r="I147" i="13" s="1"/>
  <c r="F146" i="13"/>
  <c r="I146" i="13" s="1"/>
  <c r="F145" i="13"/>
  <c r="F143" i="13"/>
  <c r="I143" i="13" s="1"/>
  <c r="F142" i="13"/>
  <c r="I142" i="13" s="1"/>
  <c r="F141" i="13"/>
  <c r="F139" i="13"/>
  <c r="I139" i="13" s="1"/>
  <c r="F138" i="13"/>
  <c r="I138" i="13" s="1"/>
  <c r="F137" i="13"/>
  <c r="I137" i="13" s="1"/>
  <c r="F136" i="13"/>
  <c r="I136" i="13" s="1"/>
  <c r="F135" i="13"/>
  <c r="I135" i="13" s="1"/>
  <c r="F134" i="13"/>
  <c r="I134" i="13" s="1"/>
  <c r="F133" i="13"/>
  <c r="F131" i="13"/>
  <c r="I131" i="13" s="1"/>
  <c r="F130" i="13"/>
  <c r="I130" i="13" s="1"/>
  <c r="F129" i="13"/>
  <c r="I129" i="13" s="1"/>
  <c r="F128" i="13"/>
  <c r="I128" i="13" s="1"/>
  <c r="F127" i="13"/>
  <c r="I127" i="13" s="1"/>
  <c r="F126" i="13"/>
  <c r="I126" i="13" s="1"/>
  <c r="F125" i="13"/>
  <c r="F123" i="13"/>
  <c r="I123" i="13" s="1"/>
  <c r="F122" i="13"/>
  <c r="I122" i="13" s="1"/>
  <c r="F121" i="13"/>
  <c r="I121" i="13" s="1"/>
  <c r="F120" i="13"/>
  <c r="J217" i="13"/>
  <c r="I217" i="13"/>
  <c r="I203" i="13"/>
  <c r="F216" i="1"/>
  <c r="F217" i="1" s="1"/>
  <c r="E216" i="1"/>
  <c r="E217" i="1" s="1"/>
  <c r="I215" i="1"/>
  <c r="H215" i="1"/>
  <c r="G214" i="1"/>
  <c r="J214" i="1" s="1"/>
  <c r="G213" i="1"/>
  <c r="J213" i="1" s="1"/>
  <c r="I212" i="1"/>
  <c r="H212" i="1"/>
  <c r="G211" i="1"/>
  <c r="J211" i="1" s="1"/>
  <c r="G210" i="1"/>
  <c r="J210" i="1" s="1"/>
  <c r="G209" i="1"/>
  <c r="I208" i="1"/>
  <c r="H208" i="1"/>
  <c r="G207" i="1"/>
  <c r="J207" i="1" s="1"/>
  <c r="G206" i="1"/>
  <c r="J206" i="1" s="1"/>
  <c r="G205" i="1"/>
  <c r="J205" i="1" s="1"/>
  <c r="G204" i="1"/>
  <c r="J204" i="1" s="1"/>
  <c r="G203" i="1"/>
  <c r="J203" i="1" s="1"/>
  <c r="I202" i="1"/>
  <c r="H202" i="1"/>
  <c r="G201" i="1"/>
  <c r="J201" i="1" s="1"/>
  <c r="G200" i="1"/>
  <c r="I199" i="1"/>
  <c r="H199" i="1"/>
  <c r="G198" i="1"/>
  <c r="J198" i="1" s="1"/>
  <c r="G197" i="1"/>
  <c r="J197" i="1" s="1"/>
  <c r="G196" i="1"/>
  <c r="J196" i="1" s="1"/>
  <c r="G195" i="1"/>
  <c r="J195" i="1" s="1"/>
  <c r="I194" i="1"/>
  <c r="H194" i="1"/>
  <c r="G193" i="1"/>
  <c r="J193" i="1" s="1"/>
  <c r="G192" i="1"/>
  <c r="J192" i="1" s="1"/>
  <c r="G191" i="1"/>
  <c r="F189" i="1"/>
  <c r="F190" i="1" s="1"/>
  <c r="E189" i="1"/>
  <c r="E190" i="1" s="1"/>
  <c r="M188" i="1"/>
  <c r="M292" i="1" s="1"/>
  <c r="M396" i="1" s="1"/>
  <c r="L188" i="1"/>
  <c r="L292" i="1" s="1"/>
  <c r="L396" i="1" s="1"/>
  <c r="G188" i="1"/>
  <c r="J188" i="1" s="1"/>
  <c r="I186" i="1"/>
  <c r="H186" i="1"/>
  <c r="G185" i="1"/>
  <c r="J185" i="1" s="1"/>
  <c r="G184" i="1"/>
  <c r="J184" i="1" s="1"/>
  <c r="G183" i="1"/>
  <c r="J183" i="1" s="1"/>
  <c r="I182" i="1"/>
  <c r="H182" i="1"/>
  <c r="G181" i="1"/>
  <c r="J181" i="1" s="1"/>
  <c r="G180" i="1"/>
  <c r="J180" i="1" s="1"/>
  <c r="G179" i="1"/>
  <c r="J179" i="1" s="1"/>
  <c r="I177" i="1"/>
  <c r="G175" i="1"/>
  <c r="J175" i="1" s="1"/>
  <c r="G174" i="1"/>
  <c r="I173" i="1"/>
  <c r="H173" i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F162" i="1"/>
  <c r="I161" i="1"/>
  <c r="H161" i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I152" i="1"/>
  <c r="E152" i="1"/>
  <c r="E162" i="1" s="1"/>
  <c r="G151" i="1"/>
  <c r="J151" i="1" s="1"/>
  <c r="H152" i="1"/>
  <c r="G150" i="1"/>
  <c r="J150" i="1" s="1"/>
  <c r="G149" i="1"/>
  <c r="J149" i="1" s="1"/>
  <c r="G148" i="1"/>
  <c r="J148" i="1" s="1"/>
  <c r="I146" i="1"/>
  <c r="H146" i="1"/>
  <c r="E146" i="1"/>
  <c r="G145" i="1"/>
  <c r="J145" i="1" s="1"/>
  <c r="G144" i="1"/>
  <c r="J144" i="1" s="1"/>
  <c r="G143" i="1"/>
  <c r="J143" i="1" s="1"/>
  <c r="I142" i="1"/>
  <c r="H142" i="1"/>
  <c r="F142" i="1"/>
  <c r="F147" i="1" s="1"/>
  <c r="E142" i="1"/>
  <c r="G141" i="1"/>
  <c r="G140" i="1"/>
  <c r="J140" i="1" s="1"/>
  <c r="G139" i="1"/>
  <c r="G142" i="1" s="1"/>
  <c r="J142" i="1" s="1"/>
  <c r="I138" i="1"/>
  <c r="H138" i="1"/>
  <c r="E138" i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I130" i="1"/>
  <c r="G129" i="1"/>
  <c r="J129" i="1" s="1"/>
  <c r="G128" i="1"/>
  <c r="J128" i="1" s="1"/>
  <c r="G127" i="1"/>
  <c r="J127" i="1" s="1"/>
  <c r="G126" i="1"/>
  <c r="J126" i="1" s="1"/>
  <c r="H130" i="1"/>
  <c r="G124" i="1"/>
  <c r="J124" i="1" s="1"/>
  <c r="G123" i="1"/>
  <c r="J123" i="1" s="1"/>
  <c r="I122" i="1"/>
  <c r="H122" i="1"/>
  <c r="G121" i="1"/>
  <c r="J121" i="1" s="1"/>
  <c r="G120" i="1"/>
  <c r="J120" i="1" s="1"/>
  <c r="G119" i="1"/>
  <c r="J119" i="1" s="1"/>
  <c r="G118" i="1"/>
  <c r="J118" i="1" s="1"/>
  <c r="H21" i="1"/>
  <c r="M1335" i="17" l="1"/>
  <c r="N1335" i="17"/>
  <c r="I162" i="1"/>
  <c r="P87" i="17"/>
  <c r="H123" i="16"/>
  <c r="G176" i="1"/>
  <c r="J176" i="1" s="1"/>
  <c r="H216" i="1"/>
  <c r="H217" i="1" s="1"/>
  <c r="H88" i="17"/>
  <c r="E147" i="1"/>
  <c r="I1378" i="16"/>
  <c r="I1379" i="16" s="1"/>
  <c r="F1469" i="16"/>
  <c r="F163" i="13"/>
  <c r="F184" i="13"/>
  <c r="F458" i="16"/>
  <c r="I376" i="16"/>
  <c r="I314" i="16"/>
  <c r="J64" i="15" s="1"/>
  <c r="J66" i="15" s="1"/>
  <c r="F440" i="16"/>
  <c r="I358" i="16"/>
  <c r="F479" i="16"/>
  <c r="I397" i="16"/>
  <c r="F343" i="16"/>
  <c r="I261" i="16"/>
  <c r="I359" i="16"/>
  <c r="F441" i="16"/>
  <c r="F369" i="16"/>
  <c r="I392" i="16"/>
  <c r="F474" i="16"/>
  <c r="I415" i="16"/>
  <c r="F497" i="16"/>
  <c r="I413" i="16"/>
  <c r="F495" i="16"/>
  <c r="I411" i="16"/>
  <c r="F493" i="16"/>
  <c r="I409" i="16"/>
  <c r="F491" i="16"/>
  <c r="I407" i="16"/>
  <c r="F489" i="16"/>
  <c r="I405" i="16"/>
  <c r="F487" i="16"/>
  <c r="I403" i="16"/>
  <c r="F485" i="16"/>
  <c r="I401" i="16"/>
  <c r="F483" i="16"/>
  <c r="I399" i="16"/>
  <c r="F481" i="16"/>
  <c r="F564" i="16" s="1"/>
  <c r="I356" i="16"/>
  <c r="F438" i="16"/>
  <c r="I354" i="16"/>
  <c r="F436" i="16"/>
  <c r="I352" i="16"/>
  <c r="F434" i="16"/>
  <c r="I350" i="16"/>
  <c r="F432" i="16"/>
  <c r="I348" i="16"/>
  <c r="F430" i="16"/>
  <c r="I395" i="16"/>
  <c r="F477" i="16"/>
  <c r="I393" i="16"/>
  <c r="F475" i="16"/>
  <c r="I391" i="16"/>
  <c r="F473" i="16"/>
  <c r="I389" i="16"/>
  <c r="F471" i="16"/>
  <c r="I387" i="16"/>
  <c r="F469" i="16"/>
  <c r="I385" i="16"/>
  <c r="F467" i="16"/>
  <c r="I383" i="16"/>
  <c r="F465" i="16"/>
  <c r="I381" i="16"/>
  <c r="F463" i="16"/>
  <c r="I379" i="16"/>
  <c r="F461" i="16"/>
  <c r="I355" i="16"/>
  <c r="F437" i="16"/>
  <c r="I353" i="16"/>
  <c r="F435" i="16"/>
  <c r="I351" i="16"/>
  <c r="F433" i="16"/>
  <c r="I349" i="16"/>
  <c r="F431" i="16"/>
  <c r="I347" i="16"/>
  <c r="F429" i="16"/>
  <c r="I345" i="16"/>
  <c r="F427" i="16"/>
  <c r="I394" i="16"/>
  <c r="F476" i="16"/>
  <c r="I390" i="16"/>
  <c r="F472" i="16"/>
  <c r="I388" i="16"/>
  <c r="F470" i="16"/>
  <c r="I386" i="16"/>
  <c r="F468" i="16"/>
  <c r="I384" i="16"/>
  <c r="F466" i="16"/>
  <c r="I382" i="16"/>
  <c r="F464" i="16"/>
  <c r="I380" i="16"/>
  <c r="F462" i="16"/>
  <c r="I378" i="16"/>
  <c r="F460" i="16"/>
  <c r="I368" i="16"/>
  <c r="F450" i="16"/>
  <c r="I366" i="16"/>
  <c r="F448" i="16"/>
  <c r="I364" i="16"/>
  <c r="F446" i="16"/>
  <c r="I362" i="16"/>
  <c r="F444" i="16"/>
  <c r="I360" i="16"/>
  <c r="F442" i="16"/>
  <c r="I291" i="16"/>
  <c r="J62" i="15" s="1"/>
  <c r="I335" i="16"/>
  <c r="H171" i="16"/>
  <c r="I367" i="16"/>
  <c r="F449" i="16"/>
  <c r="I365" i="16"/>
  <c r="F447" i="16"/>
  <c r="I363" i="16"/>
  <c r="F445" i="16"/>
  <c r="I361" i="16"/>
  <c r="F443" i="16"/>
  <c r="I287" i="16"/>
  <c r="I344" i="16"/>
  <c r="F426" i="16"/>
  <c r="I377" i="16"/>
  <c r="F459" i="16"/>
  <c r="F396" i="16"/>
  <c r="I400" i="16"/>
  <c r="F482" i="16"/>
  <c r="J52" i="15"/>
  <c r="J54" i="15" s="1"/>
  <c r="F454" i="16"/>
  <c r="I372" i="16"/>
  <c r="I371" i="16"/>
  <c r="F453" i="16"/>
  <c r="F373" i="16"/>
  <c r="I416" i="16"/>
  <c r="F498" i="16"/>
  <c r="I414" i="16"/>
  <c r="F496" i="16"/>
  <c r="I412" i="16"/>
  <c r="F494" i="16"/>
  <c r="I410" i="16"/>
  <c r="F492" i="16"/>
  <c r="I408" i="16"/>
  <c r="F490" i="16"/>
  <c r="I406" i="16"/>
  <c r="F488" i="16"/>
  <c r="I404" i="16"/>
  <c r="F486" i="16"/>
  <c r="I402" i="16"/>
  <c r="F484" i="16"/>
  <c r="F480" i="16"/>
  <c r="I398" i="16"/>
  <c r="F417" i="16"/>
  <c r="M502" i="1"/>
  <c r="M608" i="1" s="1"/>
  <c r="F163" i="1"/>
  <c r="H162" i="1"/>
  <c r="I178" i="1"/>
  <c r="H187" i="1"/>
  <c r="K396" i="1"/>
  <c r="N396" i="1" s="1"/>
  <c r="L502" i="1"/>
  <c r="L608" i="1" s="1"/>
  <c r="G400" i="13"/>
  <c r="J400" i="13" s="1"/>
  <c r="G202" i="1"/>
  <c r="J202" i="1" s="1"/>
  <c r="I156" i="13"/>
  <c r="F196" i="13"/>
  <c r="J139" i="1"/>
  <c r="F175" i="13"/>
  <c r="F124" i="13"/>
  <c r="F144" i="13"/>
  <c r="F154" i="13"/>
  <c r="F204" i="13"/>
  <c r="F210" i="13"/>
  <c r="F214" i="13"/>
  <c r="E130" i="17"/>
  <c r="P96" i="17"/>
  <c r="P97" i="17" s="1"/>
  <c r="F140" i="13"/>
  <c r="F148" i="13"/>
  <c r="F179" i="13"/>
  <c r="F201" i="13"/>
  <c r="F217" i="13"/>
  <c r="E163" i="1"/>
  <c r="E218" i="1" s="1"/>
  <c r="K292" i="1"/>
  <c r="N292" i="1" s="1"/>
  <c r="G295" i="13"/>
  <c r="J295" i="13" s="1"/>
  <c r="F218" i="1"/>
  <c r="H177" i="1"/>
  <c r="H178" i="1" s="1"/>
  <c r="K188" i="1"/>
  <c r="O292" i="1"/>
  <c r="I216" i="1"/>
  <c r="I217" i="1" s="1"/>
  <c r="J200" i="1"/>
  <c r="I206" i="13"/>
  <c r="G190" i="13"/>
  <c r="J190" i="13" s="1"/>
  <c r="G161" i="1"/>
  <c r="J161" i="1" s="1"/>
  <c r="G208" i="1"/>
  <c r="J208" i="1" s="1"/>
  <c r="F132" i="13"/>
  <c r="N440" i="14"/>
  <c r="R440" i="14" s="1"/>
  <c r="M436" i="14"/>
  <c r="O436" i="14"/>
  <c r="N436" i="14" s="1"/>
  <c r="P436" i="14" s="1"/>
  <c r="O437" i="14"/>
  <c r="N437" i="14" s="1"/>
  <c r="C434" i="14"/>
  <c r="P128" i="17"/>
  <c r="P129" i="17" s="1"/>
  <c r="F87" i="17"/>
  <c r="I87" i="17" s="1"/>
  <c r="D88" i="17"/>
  <c r="D130" i="17" s="1"/>
  <c r="F96" i="17"/>
  <c r="I96" i="17" s="1"/>
  <c r="I80" i="17"/>
  <c r="F128" i="17"/>
  <c r="F129" i="17" s="1"/>
  <c r="I129" i="17" s="1"/>
  <c r="H129" i="17"/>
  <c r="N426" i="14"/>
  <c r="P426" i="14" s="1"/>
  <c r="P79" i="17"/>
  <c r="O425" i="14"/>
  <c r="N425" i="14" s="1"/>
  <c r="F188" i="13"/>
  <c r="N427" i="14"/>
  <c r="P427" i="14" s="1"/>
  <c r="N429" i="14"/>
  <c r="R429" i="14" s="1"/>
  <c r="N439" i="14"/>
  <c r="R439" i="14" s="1"/>
  <c r="N438" i="14"/>
  <c r="P438" i="14" s="1"/>
  <c r="O435" i="14"/>
  <c r="N435" i="14" s="1"/>
  <c r="P435" i="14" s="1"/>
  <c r="O434" i="14"/>
  <c r="N428" i="14"/>
  <c r="P428" i="14" s="1"/>
  <c r="R428" i="14"/>
  <c r="M426" i="14"/>
  <c r="M427" i="14"/>
  <c r="M428" i="14"/>
  <c r="M429" i="14"/>
  <c r="O430" i="14"/>
  <c r="N430" i="14" s="1"/>
  <c r="M430" i="14"/>
  <c r="K432" i="14"/>
  <c r="R436" i="14"/>
  <c r="R437" i="14"/>
  <c r="P437" i="14"/>
  <c r="R438" i="14"/>
  <c r="P439" i="14"/>
  <c r="Q440" i="14"/>
  <c r="O431" i="14"/>
  <c r="N431" i="14" s="1"/>
  <c r="M431" i="14"/>
  <c r="K433" i="14"/>
  <c r="Q436" i="14"/>
  <c r="S436" i="14" s="1"/>
  <c r="Q437" i="14"/>
  <c r="M438" i="14"/>
  <c r="M439" i="14"/>
  <c r="M440" i="14"/>
  <c r="F171" i="16"/>
  <c r="E129" i="16"/>
  <c r="E174" i="16" s="1"/>
  <c r="I124" i="16"/>
  <c r="I127" i="16" s="1"/>
  <c r="J32" i="15" s="1"/>
  <c r="I130" i="16"/>
  <c r="I150" i="16" s="1"/>
  <c r="J34" i="15" s="1"/>
  <c r="J36" i="15" s="1"/>
  <c r="I171" i="16"/>
  <c r="J37" i="15" s="1"/>
  <c r="J39" i="15" s="1"/>
  <c r="H111" i="16"/>
  <c r="H129" i="16" s="1"/>
  <c r="I112" i="16"/>
  <c r="I123" i="16" s="1"/>
  <c r="P88" i="17"/>
  <c r="G79" i="17"/>
  <c r="G88" i="17" s="1"/>
  <c r="G130" i="17" s="1"/>
  <c r="F77" i="17"/>
  <c r="I77" i="17" s="1"/>
  <c r="I144" i="13"/>
  <c r="I120" i="13"/>
  <c r="I124" i="13" s="1"/>
  <c r="I125" i="13"/>
  <c r="I132" i="13" s="1"/>
  <c r="I133" i="13"/>
  <c r="I140" i="13" s="1"/>
  <c r="I141" i="13"/>
  <c r="I145" i="13"/>
  <c r="I148" i="13" s="1"/>
  <c r="I150" i="13"/>
  <c r="I154" i="13" s="1"/>
  <c r="I155" i="13"/>
  <c r="I166" i="13"/>
  <c r="I175" i="13" s="1"/>
  <c r="I176" i="13"/>
  <c r="I179" i="13" s="1"/>
  <c r="I181" i="13"/>
  <c r="I184" i="13" s="1"/>
  <c r="I185" i="13"/>
  <c r="I188" i="13" s="1"/>
  <c r="I193" i="13"/>
  <c r="I196" i="13" s="1"/>
  <c r="I197" i="13"/>
  <c r="I201" i="13" s="1"/>
  <c r="I202" i="13"/>
  <c r="I204" i="13" s="1"/>
  <c r="I205" i="13"/>
  <c r="I211" i="13"/>
  <c r="I214" i="13" s="1"/>
  <c r="I147" i="1"/>
  <c r="I163" i="1" s="1"/>
  <c r="H147" i="1"/>
  <c r="H163" i="1" s="1"/>
  <c r="G122" i="1"/>
  <c r="G138" i="1"/>
  <c r="J138" i="1" s="1"/>
  <c r="G146" i="1"/>
  <c r="J146" i="1" s="1"/>
  <c r="G186" i="1"/>
  <c r="J186" i="1" s="1"/>
  <c r="G194" i="1"/>
  <c r="J191" i="1"/>
  <c r="G125" i="1"/>
  <c r="J125" i="1" s="1"/>
  <c r="G152" i="1"/>
  <c r="G173" i="1"/>
  <c r="J164" i="1"/>
  <c r="G177" i="1"/>
  <c r="J177" i="1" s="1"/>
  <c r="J174" i="1"/>
  <c r="G182" i="1"/>
  <c r="I187" i="1"/>
  <c r="I189" i="1" s="1"/>
  <c r="I190" i="1" s="1"/>
  <c r="G199" i="1"/>
  <c r="J199" i="1" s="1"/>
  <c r="G212" i="1"/>
  <c r="J212" i="1" s="1"/>
  <c r="J209" i="1"/>
  <c r="G215" i="1"/>
  <c r="J215" i="1" s="1"/>
  <c r="P440" i="14" l="1"/>
  <c r="R426" i="14"/>
  <c r="H130" i="17"/>
  <c r="S440" i="14"/>
  <c r="T440" i="14" s="1"/>
  <c r="Q428" i="14"/>
  <c r="I163" i="13"/>
  <c r="F164" i="13"/>
  <c r="I1469" i="16"/>
  <c r="I1470" i="16" s="1"/>
  <c r="F1561" i="16"/>
  <c r="I564" i="16"/>
  <c r="F649" i="16"/>
  <c r="F189" i="13"/>
  <c r="K608" i="1"/>
  <c r="N608" i="1" s="1"/>
  <c r="L714" i="1"/>
  <c r="G613" i="13"/>
  <c r="J613" i="13" s="1"/>
  <c r="O396" i="1"/>
  <c r="M714" i="1"/>
  <c r="I373" i="16"/>
  <c r="J77" i="15" s="1"/>
  <c r="F541" i="16"/>
  <c r="I458" i="16"/>
  <c r="F425" i="16"/>
  <c r="I343" i="16"/>
  <c r="I479" i="16"/>
  <c r="F562" i="16"/>
  <c r="F522" i="16"/>
  <c r="I440" i="16"/>
  <c r="F499" i="16"/>
  <c r="F563" i="16"/>
  <c r="F648" i="16" s="1"/>
  <c r="F733" i="16" s="1"/>
  <c r="F820" i="16" s="1"/>
  <c r="I480" i="16"/>
  <c r="I484" i="16"/>
  <c r="F568" i="16"/>
  <c r="I486" i="16"/>
  <c r="F570" i="16"/>
  <c r="I488" i="16"/>
  <c r="F572" i="16"/>
  <c r="I490" i="16"/>
  <c r="F574" i="16"/>
  <c r="I492" i="16"/>
  <c r="F576" i="16"/>
  <c r="I494" i="16"/>
  <c r="F578" i="16"/>
  <c r="I496" i="16"/>
  <c r="F580" i="16"/>
  <c r="I498" i="16"/>
  <c r="F582" i="16"/>
  <c r="F455" i="16"/>
  <c r="F537" i="16"/>
  <c r="I454" i="16"/>
  <c r="I459" i="16"/>
  <c r="F542" i="16"/>
  <c r="F627" i="16" s="1"/>
  <c r="F712" i="16" s="1"/>
  <c r="F798" i="16" s="1"/>
  <c r="F478" i="16"/>
  <c r="I443" i="16"/>
  <c r="F525" i="16"/>
  <c r="I445" i="16"/>
  <c r="F527" i="16"/>
  <c r="I447" i="16"/>
  <c r="F529" i="16"/>
  <c r="I449" i="16"/>
  <c r="F531" i="16"/>
  <c r="I430" i="16"/>
  <c r="F512" i="16"/>
  <c r="I432" i="16"/>
  <c r="F514" i="16"/>
  <c r="I434" i="16"/>
  <c r="F516" i="16"/>
  <c r="I436" i="16"/>
  <c r="F518" i="16"/>
  <c r="I438" i="16"/>
  <c r="F520" i="16"/>
  <c r="I481" i="16"/>
  <c r="F565" i="16"/>
  <c r="I483" i="16"/>
  <c r="F567" i="16"/>
  <c r="I485" i="16"/>
  <c r="F569" i="16"/>
  <c r="I487" i="16"/>
  <c r="F571" i="16"/>
  <c r="I489" i="16"/>
  <c r="F573" i="16"/>
  <c r="I491" i="16"/>
  <c r="F575" i="16"/>
  <c r="I493" i="16"/>
  <c r="F577" i="16"/>
  <c r="I495" i="16"/>
  <c r="F579" i="16"/>
  <c r="I497" i="16"/>
  <c r="F581" i="16"/>
  <c r="I474" i="16"/>
  <c r="F557" i="16"/>
  <c r="I369" i="16"/>
  <c r="I417" i="16"/>
  <c r="I453" i="16"/>
  <c r="F536" i="16"/>
  <c r="F621" i="16" s="1"/>
  <c r="F706" i="16" s="1"/>
  <c r="I482" i="16"/>
  <c r="F566" i="16"/>
  <c r="I396" i="16"/>
  <c r="J79" i="15" s="1"/>
  <c r="J81" i="15" s="1"/>
  <c r="I426" i="16"/>
  <c r="F508" i="16"/>
  <c r="F592" i="16" s="1"/>
  <c r="F677" i="16" s="1"/>
  <c r="F763" i="16" s="1"/>
  <c r="F851" i="16" s="1"/>
  <c r="J61" i="15"/>
  <c r="J67" i="15"/>
  <c r="J69" i="15" s="1"/>
  <c r="I442" i="16"/>
  <c r="F524" i="16"/>
  <c r="I444" i="16"/>
  <c r="F526" i="16"/>
  <c r="I446" i="16"/>
  <c r="F528" i="16"/>
  <c r="I448" i="16"/>
  <c r="F530" i="16"/>
  <c r="I450" i="16"/>
  <c r="F532" i="16"/>
  <c r="I460" i="16"/>
  <c r="F543" i="16"/>
  <c r="I462" i="16"/>
  <c r="F545" i="16"/>
  <c r="I464" i="16"/>
  <c r="F547" i="16"/>
  <c r="I466" i="16"/>
  <c r="F549" i="16"/>
  <c r="I468" i="16"/>
  <c r="F551" i="16"/>
  <c r="I470" i="16"/>
  <c r="F553" i="16"/>
  <c r="I472" i="16"/>
  <c r="F555" i="16"/>
  <c r="I476" i="16"/>
  <c r="F559" i="16"/>
  <c r="I427" i="16"/>
  <c r="F509" i="16"/>
  <c r="I429" i="16"/>
  <c r="F511" i="16"/>
  <c r="I431" i="16"/>
  <c r="F513" i="16"/>
  <c r="I433" i="16"/>
  <c r="F515" i="16"/>
  <c r="I435" i="16"/>
  <c r="F517" i="16"/>
  <c r="I437" i="16"/>
  <c r="F519" i="16"/>
  <c r="I461" i="16"/>
  <c r="F544" i="16"/>
  <c r="I463" i="16"/>
  <c r="F546" i="16"/>
  <c r="I465" i="16"/>
  <c r="F548" i="16"/>
  <c r="I467" i="16"/>
  <c r="F550" i="16"/>
  <c r="I469" i="16"/>
  <c r="F552" i="16"/>
  <c r="I471" i="16"/>
  <c r="F554" i="16"/>
  <c r="I473" i="16"/>
  <c r="F556" i="16"/>
  <c r="I475" i="16"/>
  <c r="F558" i="16"/>
  <c r="I477" i="16"/>
  <c r="F560" i="16"/>
  <c r="I441" i="16"/>
  <c r="F523" i="16"/>
  <c r="F607" i="16" s="1"/>
  <c r="F692" i="16" s="1"/>
  <c r="F778" i="16" s="1"/>
  <c r="F451" i="16"/>
  <c r="F218" i="13"/>
  <c r="F219" i="13" s="1"/>
  <c r="G507" i="13"/>
  <c r="J507" i="13" s="1"/>
  <c r="K502" i="1"/>
  <c r="N502" i="1" s="1"/>
  <c r="I210" i="13"/>
  <c r="I218" i="13" s="1"/>
  <c r="I219" i="13" s="1"/>
  <c r="H189" i="1"/>
  <c r="H190" i="1" s="1"/>
  <c r="H218" i="1" s="1"/>
  <c r="F180" i="13"/>
  <c r="F97" i="17"/>
  <c r="I97" i="17" s="1"/>
  <c r="P130" i="17"/>
  <c r="F149" i="13"/>
  <c r="F165" i="13" s="1"/>
  <c r="N188" i="1"/>
  <c r="O188" i="1"/>
  <c r="S428" i="14"/>
  <c r="T428" i="14" s="1"/>
  <c r="Q426" i="14"/>
  <c r="S426" i="14" s="1"/>
  <c r="T426" i="14" s="1"/>
  <c r="Q438" i="14"/>
  <c r="S438" i="14" s="1"/>
  <c r="T438" i="14" s="1"/>
  <c r="R435" i="14"/>
  <c r="R427" i="14"/>
  <c r="N434" i="14"/>
  <c r="Q434" i="14" s="1"/>
  <c r="R425" i="14"/>
  <c r="P425" i="14"/>
  <c r="S437" i="14"/>
  <c r="T437" i="14" s="1"/>
  <c r="I128" i="17"/>
  <c r="J31" i="15"/>
  <c r="F79" i="17"/>
  <c r="I79" i="17" s="1"/>
  <c r="P429" i="14"/>
  <c r="Q427" i="14"/>
  <c r="Q425" i="14"/>
  <c r="Q435" i="14"/>
  <c r="S435" i="14" s="1"/>
  <c r="T435" i="14" s="1"/>
  <c r="Q439" i="14"/>
  <c r="S439" i="14" s="1"/>
  <c r="T436" i="14"/>
  <c r="Q429" i="14"/>
  <c r="S429" i="14" s="1"/>
  <c r="O432" i="14"/>
  <c r="N432" i="14" s="1"/>
  <c r="M432" i="14"/>
  <c r="Q430" i="14"/>
  <c r="R430" i="14"/>
  <c r="P430" i="14"/>
  <c r="T439" i="14"/>
  <c r="M433" i="14"/>
  <c r="O433" i="14"/>
  <c r="N433" i="14" s="1"/>
  <c r="Q431" i="14"/>
  <c r="P431" i="14"/>
  <c r="R431" i="14"/>
  <c r="I189" i="13"/>
  <c r="I180" i="13"/>
  <c r="I164" i="13"/>
  <c r="I149" i="13"/>
  <c r="G178" i="1"/>
  <c r="J173" i="1"/>
  <c r="G216" i="1"/>
  <c r="J194" i="1"/>
  <c r="G130" i="1"/>
  <c r="J130" i="1" s="1"/>
  <c r="I218" i="1"/>
  <c r="G187" i="1"/>
  <c r="J187" i="1" s="1"/>
  <c r="J182" i="1"/>
  <c r="J152" i="1"/>
  <c r="G162" i="1"/>
  <c r="J162" i="1" s="1"/>
  <c r="J122" i="1"/>
  <c r="O608" i="1" l="1"/>
  <c r="F191" i="13"/>
  <c r="F192" i="13" s="1"/>
  <c r="F792" i="16"/>
  <c r="F880" i="16" s="1"/>
  <c r="I706" i="16"/>
  <c r="I1561" i="16"/>
  <c r="I1562" i="16" s="1"/>
  <c r="F1653" i="16"/>
  <c r="I778" i="16"/>
  <c r="F866" i="16"/>
  <c r="F939" i="16"/>
  <c r="I851" i="16"/>
  <c r="I798" i="16"/>
  <c r="F886" i="16"/>
  <c r="I820" i="16"/>
  <c r="F908" i="16"/>
  <c r="I880" i="16"/>
  <c r="F968" i="16"/>
  <c r="I763" i="16"/>
  <c r="I792" i="16"/>
  <c r="I607" i="16"/>
  <c r="I627" i="16"/>
  <c r="I648" i="16"/>
  <c r="I733" i="16"/>
  <c r="I649" i="16"/>
  <c r="F734" i="16"/>
  <c r="I560" i="16"/>
  <c r="F645" i="16"/>
  <c r="F730" i="16" s="1"/>
  <c r="F817" i="16" s="1"/>
  <c r="I558" i="16"/>
  <c r="F643" i="16"/>
  <c r="F728" i="16" s="1"/>
  <c r="F815" i="16" s="1"/>
  <c r="I556" i="16"/>
  <c r="F641" i="16"/>
  <c r="F726" i="16" s="1"/>
  <c r="F813" i="16" s="1"/>
  <c r="I554" i="16"/>
  <c r="F639" i="16"/>
  <c r="F724" i="16" s="1"/>
  <c r="F811" i="16" s="1"/>
  <c r="I552" i="16"/>
  <c r="F637" i="16"/>
  <c r="F722" i="16" s="1"/>
  <c r="F809" i="16" s="1"/>
  <c r="I550" i="16"/>
  <c r="F635" i="16"/>
  <c r="F720" i="16" s="1"/>
  <c r="F807" i="16" s="1"/>
  <c r="I548" i="16"/>
  <c r="F633" i="16"/>
  <c r="F718" i="16" s="1"/>
  <c r="I546" i="16"/>
  <c r="F631" i="16"/>
  <c r="F716" i="16" s="1"/>
  <c r="F802" i="16" s="1"/>
  <c r="I544" i="16"/>
  <c r="F629" i="16"/>
  <c r="F714" i="16" s="1"/>
  <c r="F800" i="16" s="1"/>
  <c r="I519" i="16"/>
  <c r="F603" i="16"/>
  <c r="F688" i="16" s="1"/>
  <c r="F774" i="16" s="1"/>
  <c r="I517" i="16"/>
  <c r="F601" i="16"/>
  <c r="F686" i="16" s="1"/>
  <c r="F772" i="16" s="1"/>
  <c r="I515" i="16"/>
  <c r="F599" i="16"/>
  <c r="F684" i="16" s="1"/>
  <c r="F770" i="16" s="1"/>
  <c r="I513" i="16"/>
  <c r="F597" i="16"/>
  <c r="F682" i="16" s="1"/>
  <c r="F768" i="16" s="1"/>
  <c r="I511" i="16"/>
  <c r="F595" i="16"/>
  <c r="F680" i="16" s="1"/>
  <c r="F766" i="16" s="1"/>
  <c r="I509" i="16"/>
  <c r="F593" i="16"/>
  <c r="F678" i="16" s="1"/>
  <c r="F764" i="16" s="1"/>
  <c r="I559" i="16"/>
  <c r="F644" i="16"/>
  <c r="F729" i="16" s="1"/>
  <c r="F816" i="16" s="1"/>
  <c r="I555" i="16"/>
  <c r="F640" i="16"/>
  <c r="F725" i="16" s="1"/>
  <c r="F812" i="16" s="1"/>
  <c r="I553" i="16"/>
  <c r="F638" i="16"/>
  <c r="F723" i="16" s="1"/>
  <c r="F810" i="16" s="1"/>
  <c r="I551" i="16"/>
  <c r="F636" i="16"/>
  <c r="F721" i="16" s="1"/>
  <c r="F808" i="16" s="1"/>
  <c r="I549" i="16"/>
  <c r="F634" i="16"/>
  <c r="F719" i="16" s="1"/>
  <c r="F806" i="16" s="1"/>
  <c r="I547" i="16"/>
  <c r="F632" i="16"/>
  <c r="F717" i="16" s="1"/>
  <c r="F803" i="16" s="1"/>
  <c r="I545" i="16"/>
  <c r="F630" i="16"/>
  <c r="F715" i="16" s="1"/>
  <c r="F801" i="16" s="1"/>
  <c r="I543" i="16"/>
  <c r="F628" i="16"/>
  <c r="F713" i="16" s="1"/>
  <c r="F799" i="16" s="1"/>
  <c r="I532" i="16"/>
  <c r="F616" i="16"/>
  <c r="F701" i="16" s="1"/>
  <c r="F787" i="16" s="1"/>
  <c r="I530" i="16"/>
  <c r="F614" i="16"/>
  <c r="F699" i="16" s="1"/>
  <c r="F785" i="16" s="1"/>
  <c r="I528" i="16"/>
  <c r="F612" i="16"/>
  <c r="F697" i="16" s="1"/>
  <c r="F783" i="16" s="1"/>
  <c r="I526" i="16"/>
  <c r="F610" i="16"/>
  <c r="F695" i="16" s="1"/>
  <c r="F781" i="16" s="1"/>
  <c r="I524" i="16"/>
  <c r="F608" i="16"/>
  <c r="F693" i="16" s="1"/>
  <c r="F779" i="16" s="1"/>
  <c r="I592" i="16"/>
  <c r="I562" i="16"/>
  <c r="F647" i="16"/>
  <c r="F732" i="16" s="1"/>
  <c r="F819" i="16" s="1"/>
  <c r="F907" i="16" s="1"/>
  <c r="I451" i="16"/>
  <c r="J91" i="15" s="1"/>
  <c r="I566" i="16"/>
  <c r="F651" i="16"/>
  <c r="I621" i="16"/>
  <c r="I557" i="16"/>
  <c r="F642" i="16"/>
  <c r="F727" i="16" s="1"/>
  <c r="F814" i="16" s="1"/>
  <c r="I581" i="16"/>
  <c r="F666" i="16"/>
  <c r="I579" i="16"/>
  <c r="F664" i="16"/>
  <c r="I577" i="16"/>
  <c r="F662" i="16"/>
  <c r="I575" i="16"/>
  <c r="F660" i="16"/>
  <c r="I573" i="16"/>
  <c r="F658" i="16"/>
  <c r="I571" i="16"/>
  <c r="F656" i="16"/>
  <c r="I569" i="16"/>
  <c r="F654" i="16"/>
  <c r="I567" i="16"/>
  <c r="F652" i="16"/>
  <c r="I565" i="16"/>
  <c r="F650" i="16"/>
  <c r="I520" i="16"/>
  <c r="F604" i="16"/>
  <c r="F689" i="16" s="1"/>
  <c r="F775" i="16" s="1"/>
  <c r="I518" i="16"/>
  <c r="F602" i="16"/>
  <c r="F687" i="16" s="1"/>
  <c r="F773" i="16" s="1"/>
  <c r="I516" i="16"/>
  <c r="F600" i="16"/>
  <c r="F685" i="16" s="1"/>
  <c r="F771" i="16" s="1"/>
  <c r="I514" i="16"/>
  <c r="F598" i="16"/>
  <c r="F683" i="16" s="1"/>
  <c r="F769" i="16" s="1"/>
  <c r="I512" i="16"/>
  <c r="F596" i="16"/>
  <c r="F681" i="16" s="1"/>
  <c r="F767" i="16" s="1"/>
  <c r="I531" i="16"/>
  <c r="F615" i="16"/>
  <c r="F700" i="16" s="1"/>
  <c r="F786" i="16" s="1"/>
  <c r="I529" i="16"/>
  <c r="F613" i="16"/>
  <c r="F698" i="16" s="1"/>
  <c r="F784" i="16" s="1"/>
  <c r="I527" i="16"/>
  <c r="F611" i="16"/>
  <c r="F696" i="16" s="1"/>
  <c r="F782" i="16" s="1"/>
  <c r="I525" i="16"/>
  <c r="F609" i="16"/>
  <c r="F694" i="16" s="1"/>
  <c r="F780" i="16" s="1"/>
  <c r="I537" i="16"/>
  <c r="F622" i="16"/>
  <c r="F707" i="16" s="1"/>
  <c r="F793" i="16" s="1"/>
  <c r="I582" i="16"/>
  <c r="F667" i="16"/>
  <c r="I580" i="16"/>
  <c r="F665" i="16"/>
  <c r="I578" i="16"/>
  <c r="F663" i="16"/>
  <c r="I576" i="16"/>
  <c r="F661" i="16"/>
  <c r="I574" i="16"/>
  <c r="F659" i="16"/>
  <c r="I572" i="16"/>
  <c r="F657" i="16"/>
  <c r="I570" i="16"/>
  <c r="F655" i="16"/>
  <c r="I568" i="16"/>
  <c r="F653" i="16"/>
  <c r="I522" i="16"/>
  <c r="F606" i="16"/>
  <c r="F691" i="16" s="1"/>
  <c r="F777" i="16" s="1"/>
  <c r="F865" i="16" s="1"/>
  <c r="I541" i="16"/>
  <c r="F626" i="16"/>
  <c r="F220" i="13"/>
  <c r="K714" i="1"/>
  <c r="N714" i="1" s="1"/>
  <c r="L820" i="1"/>
  <c r="L926" i="1" s="1"/>
  <c r="G719" i="13"/>
  <c r="J719" i="13" s="1"/>
  <c r="I165" i="13"/>
  <c r="M820" i="1"/>
  <c r="M926" i="1" s="1"/>
  <c r="F507" i="16"/>
  <c r="I425" i="16"/>
  <c r="I523" i="16"/>
  <c r="F533" i="16"/>
  <c r="I536" i="16"/>
  <c r="I538" i="16" s="1"/>
  <c r="J107" i="15" s="1"/>
  <c r="F538" i="16"/>
  <c r="J82" i="15"/>
  <c r="J84" i="15" s="1"/>
  <c r="I542" i="16"/>
  <c r="F561" i="16"/>
  <c r="I563" i="16"/>
  <c r="F583" i="16"/>
  <c r="I508" i="16"/>
  <c r="I455" i="16"/>
  <c r="J92" i="15" s="1"/>
  <c r="J76" i="15"/>
  <c r="I478" i="16"/>
  <c r="J94" i="15" s="1"/>
  <c r="J96" i="15" s="1"/>
  <c r="I499" i="16"/>
  <c r="J97" i="15" s="1"/>
  <c r="J99" i="15" s="1"/>
  <c r="O502" i="1"/>
  <c r="F88" i="17"/>
  <c r="I88" i="17" s="1"/>
  <c r="I191" i="13"/>
  <c r="I192" i="13" s="1"/>
  <c r="I220" i="13" s="1"/>
  <c r="G147" i="1"/>
  <c r="J147" i="1" s="1"/>
  <c r="S427" i="14"/>
  <c r="T427" i="14" s="1"/>
  <c r="S425" i="14"/>
  <c r="T425" i="14" s="1"/>
  <c r="R434" i="14"/>
  <c r="S434" i="14" s="1"/>
  <c r="P434" i="14"/>
  <c r="T429" i="14"/>
  <c r="S430" i="14"/>
  <c r="T430" i="14" s="1"/>
  <c r="S431" i="14"/>
  <c r="T431" i="14" s="1"/>
  <c r="Q432" i="14"/>
  <c r="R432" i="14"/>
  <c r="P432" i="14"/>
  <c r="R433" i="14"/>
  <c r="P433" i="14"/>
  <c r="Q433" i="14"/>
  <c r="S433" i="14" s="1"/>
  <c r="F130" i="17"/>
  <c r="I130" i="17" s="1"/>
  <c r="G189" i="1"/>
  <c r="J178" i="1"/>
  <c r="G217" i="1"/>
  <c r="J216" i="1"/>
  <c r="J217" i="1" s="1"/>
  <c r="M1032" i="1" l="1"/>
  <c r="K926" i="1"/>
  <c r="N926" i="1" s="1"/>
  <c r="L1032" i="1"/>
  <c r="G931" i="13"/>
  <c r="J931" i="13" s="1"/>
  <c r="I1653" i="16"/>
  <c r="I1654" i="16" s="1"/>
  <c r="F1747" i="16"/>
  <c r="G163" i="1"/>
  <c r="I779" i="16"/>
  <c r="F867" i="16"/>
  <c r="I781" i="16"/>
  <c r="F869" i="16"/>
  <c r="I783" i="16"/>
  <c r="F871" i="16"/>
  <c r="I785" i="16"/>
  <c r="F873" i="16"/>
  <c r="I787" i="16"/>
  <c r="F875" i="16"/>
  <c r="I799" i="16"/>
  <c r="F887" i="16"/>
  <c r="I801" i="16"/>
  <c r="F889" i="16"/>
  <c r="I803" i="16"/>
  <c r="F891" i="16"/>
  <c r="I806" i="16"/>
  <c r="F894" i="16"/>
  <c r="I808" i="16"/>
  <c r="F896" i="16"/>
  <c r="I810" i="16"/>
  <c r="F898" i="16"/>
  <c r="I812" i="16"/>
  <c r="F900" i="16"/>
  <c r="I816" i="16"/>
  <c r="F904" i="16"/>
  <c r="I764" i="16"/>
  <c r="F852" i="16"/>
  <c r="I766" i="16"/>
  <c r="F854" i="16"/>
  <c r="I768" i="16"/>
  <c r="F856" i="16"/>
  <c r="I770" i="16"/>
  <c r="F858" i="16"/>
  <c r="I772" i="16"/>
  <c r="F860" i="16"/>
  <c r="I774" i="16"/>
  <c r="F862" i="16"/>
  <c r="I800" i="16"/>
  <c r="F888" i="16"/>
  <c r="I802" i="16"/>
  <c r="F890" i="16"/>
  <c r="I807" i="16"/>
  <c r="F895" i="16"/>
  <c r="I809" i="16"/>
  <c r="F897" i="16"/>
  <c r="I811" i="16"/>
  <c r="F899" i="16"/>
  <c r="I813" i="16"/>
  <c r="F901" i="16"/>
  <c r="I815" i="16"/>
  <c r="F903" i="16"/>
  <c r="I817" i="16"/>
  <c r="F905" i="16"/>
  <c r="I866" i="16"/>
  <c r="F954" i="16"/>
  <c r="F953" i="16"/>
  <c r="I865" i="16"/>
  <c r="I793" i="16"/>
  <c r="I794" i="16" s="1"/>
  <c r="J152" i="15" s="1"/>
  <c r="F881" i="16"/>
  <c r="I780" i="16"/>
  <c r="F868" i="16"/>
  <c r="I782" i="16"/>
  <c r="F870" i="16"/>
  <c r="I784" i="16"/>
  <c r="F872" i="16"/>
  <c r="I786" i="16"/>
  <c r="F874" i="16"/>
  <c r="I767" i="16"/>
  <c r="F855" i="16"/>
  <c r="I769" i="16"/>
  <c r="F857" i="16"/>
  <c r="I771" i="16"/>
  <c r="F859" i="16"/>
  <c r="I773" i="16"/>
  <c r="F861" i="16"/>
  <c r="I775" i="16"/>
  <c r="F863" i="16"/>
  <c r="I814" i="16"/>
  <c r="F902" i="16"/>
  <c r="F995" i="16"/>
  <c r="I907" i="16"/>
  <c r="I968" i="16"/>
  <c r="F1056" i="16"/>
  <c r="F996" i="16"/>
  <c r="I908" i="16"/>
  <c r="F974" i="16"/>
  <c r="I886" i="16"/>
  <c r="I939" i="16"/>
  <c r="F1027" i="16"/>
  <c r="F1115" i="16" s="1"/>
  <c r="F804" i="16"/>
  <c r="F805" i="16"/>
  <c r="F711" i="16"/>
  <c r="F797" i="16" s="1"/>
  <c r="F885" i="16" s="1"/>
  <c r="F788" i="16"/>
  <c r="I777" i="16"/>
  <c r="I819" i="16"/>
  <c r="I734" i="16"/>
  <c r="F821" i="16"/>
  <c r="I533" i="16"/>
  <c r="J106" i="15" s="1"/>
  <c r="F794" i="16"/>
  <c r="I651" i="16"/>
  <c r="F736" i="16"/>
  <c r="I608" i="16"/>
  <c r="I692" i="16"/>
  <c r="I610" i="16"/>
  <c r="I694" i="16"/>
  <c r="I612" i="16"/>
  <c r="I696" i="16"/>
  <c r="I614" i="16"/>
  <c r="I698" i="16"/>
  <c r="I616" i="16"/>
  <c r="I700" i="16"/>
  <c r="I628" i="16"/>
  <c r="I713" i="16"/>
  <c r="I630" i="16"/>
  <c r="I715" i="16"/>
  <c r="I632" i="16"/>
  <c r="I717" i="16"/>
  <c r="I634" i="16"/>
  <c r="I719" i="16"/>
  <c r="I636" i="16"/>
  <c r="I721" i="16"/>
  <c r="I638" i="16"/>
  <c r="I723" i="16"/>
  <c r="I640" i="16"/>
  <c r="I725" i="16"/>
  <c r="I644" i="16"/>
  <c r="I729" i="16"/>
  <c r="I593" i="16"/>
  <c r="I595" i="16"/>
  <c r="I597" i="16"/>
  <c r="I681" i="16"/>
  <c r="I599" i="16"/>
  <c r="I683" i="16"/>
  <c r="I601" i="16"/>
  <c r="I685" i="16"/>
  <c r="I603" i="16"/>
  <c r="I687" i="16"/>
  <c r="I629" i="16"/>
  <c r="I714" i="16"/>
  <c r="I631" i="16"/>
  <c r="I716" i="16"/>
  <c r="I633" i="16"/>
  <c r="I718" i="16"/>
  <c r="I635" i="16"/>
  <c r="I720" i="16"/>
  <c r="I637" i="16"/>
  <c r="I722" i="16"/>
  <c r="I639" i="16"/>
  <c r="I724" i="16"/>
  <c r="I641" i="16"/>
  <c r="I726" i="16"/>
  <c r="I643" i="16"/>
  <c r="I728" i="16"/>
  <c r="I645" i="16"/>
  <c r="I730" i="16"/>
  <c r="I712" i="16"/>
  <c r="I691" i="16"/>
  <c r="I653" i="16"/>
  <c r="F738" i="16"/>
  <c r="I655" i="16"/>
  <c r="F740" i="16"/>
  <c r="I657" i="16"/>
  <c r="F742" i="16"/>
  <c r="I659" i="16"/>
  <c r="F744" i="16"/>
  <c r="I661" i="16"/>
  <c r="F746" i="16"/>
  <c r="I663" i="16"/>
  <c r="F748" i="16"/>
  <c r="I665" i="16"/>
  <c r="F751" i="16"/>
  <c r="I667" i="16"/>
  <c r="F753" i="16"/>
  <c r="I622" i="16"/>
  <c r="I623" i="16" s="1"/>
  <c r="J122" i="15" s="1"/>
  <c r="I609" i="16"/>
  <c r="I693" i="16"/>
  <c r="I611" i="16"/>
  <c r="I695" i="16"/>
  <c r="I613" i="16"/>
  <c r="I697" i="16"/>
  <c r="I615" i="16"/>
  <c r="I699" i="16"/>
  <c r="I596" i="16"/>
  <c r="I680" i="16"/>
  <c r="I598" i="16"/>
  <c r="I682" i="16"/>
  <c r="I600" i="16"/>
  <c r="I684" i="16"/>
  <c r="I602" i="16"/>
  <c r="I686" i="16"/>
  <c r="I604" i="16"/>
  <c r="I688" i="16"/>
  <c r="I650" i="16"/>
  <c r="F735" i="16"/>
  <c r="I652" i="16"/>
  <c r="F737" i="16"/>
  <c r="F825" i="16" s="1"/>
  <c r="I654" i="16"/>
  <c r="F739" i="16"/>
  <c r="I656" i="16"/>
  <c r="F741" i="16"/>
  <c r="I658" i="16"/>
  <c r="F743" i="16"/>
  <c r="I660" i="16"/>
  <c r="F745" i="16"/>
  <c r="I662" i="16"/>
  <c r="F747" i="16"/>
  <c r="I664" i="16"/>
  <c r="F749" i="16"/>
  <c r="I666" i="16"/>
  <c r="F752" i="16"/>
  <c r="I642" i="16"/>
  <c r="I727" i="16"/>
  <c r="I732" i="16"/>
  <c r="I507" i="16"/>
  <c r="F591" i="16"/>
  <c r="I561" i="16"/>
  <c r="J109" i="15" s="1"/>
  <c r="J111" i="15" s="1"/>
  <c r="F646" i="16"/>
  <c r="I626" i="16"/>
  <c r="F617" i="16"/>
  <c r="I701" i="16" s="1"/>
  <c r="I606" i="16"/>
  <c r="F623" i="16"/>
  <c r="I583" i="16"/>
  <c r="J112" i="15" s="1"/>
  <c r="J114" i="15" s="1"/>
  <c r="I647" i="16"/>
  <c r="F668" i="16"/>
  <c r="O714" i="1"/>
  <c r="K820" i="1"/>
  <c r="N820" i="1" s="1"/>
  <c r="G825" i="13"/>
  <c r="J825" i="13" s="1"/>
  <c r="T434" i="14"/>
  <c r="T433" i="14"/>
  <c r="S432" i="14"/>
  <c r="T432" i="14" s="1"/>
  <c r="G190" i="1"/>
  <c r="J189" i="1"/>
  <c r="J190" i="1" s="1"/>
  <c r="G218" i="1" l="1"/>
  <c r="J218" i="1" s="1"/>
  <c r="K1032" i="1"/>
  <c r="N1032" i="1" s="1"/>
  <c r="L1138" i="1"/>
  <c r="G1037" i="13"/>
  <c r="J1037" i="13" s="1"/>
  <c r="J163" i="1"/>
  <c r="O926" i="1"/>
  <c r="O1032" i="1"/>
  <c r="M1138" i="1"/>
  <c r="I1747" i="16"/>
  <c r="I1748" i="16" s="1"/>
  <c r="F1841" i="16"/>
  <c r="I591" i="16"/>
  <c r="F676" i="16"/>
  <c r="I825" i="16"/>
  <c r="F913" i="16"/>
  <c r="I821" i="16"/>
  <c r="F909" i="16"/>
  <c r="I805" i="16"/>
  <c r="F893" i="16"/>
  <c r="I974" i="16"/>
  <c r="F1062" i="16"/>
  <c r="I996" i="16"/>
  <c r="F1084" i="16"/>
  <c r="I1056" i="16"/>
  <c r="F1146" i="16"/>
  <c r="F1236" i="16" s="1"/>
  <c r="F1083" i="16"/>
  <c r="I995" i="16"/>
  <c r="I954" i="16"/>
  <c r="F1042" i="16"/>
  <c r="F1130" i="16" s="1"/>
  <c r="F993" i="16"/>
  <c r="I905" i="16"/>
  <c r="F991" i="16"/>
  <c r="I903" i="16"/>
  <c r="F989" i="16"/>
  <c r="I901" i="16"/>
  <c r="F987" i="16"/>
  <c r="I899" i="16"/>
  <c r="F985" i="16"/>
  <c r="I897" i="16"/>
  <c r="F983" i="16"/>
  <c r="I895" i="16"/>
  <c r="F978" i="16"/>
  <c r="I890" i="16"/>
  <c r="F976" i="16"/>
  <c r="I888" i="16"/>
  <c r="I862" i="16"/>
  <c r="F950" i="16"/>
  <c r="I860" i="16"/>
  <c r="F948" i="16"/>
  <c r="I858" i="16"/>
  <c r="F946" i="16"/>
  <c r="I856" i="16"/>
  <c r="F944" i="16"/>
  <c r="I854" i="16"/>
  <c r="F942" i="16"/>
  <c r="I852" i="16"/>
  <c r="F940" i="16"/>
  <c r="F992" i="16"/>
  <c r="I904" i="16"/>
  <c r="F988" i="16"/>
  <c r="I900" i="16"/>
  <c r="F986" i="16"/>
  <c r="I898" i="16"/>
  <c r="F984" i="16"/>
  <c r="I896" i="16"/>
  <c r="F982" i="16"/>
  <c r="I894" i="16"/>
  <c r="F979" i="16"/>
  <c r="I891" i="16"/>
  <c r="F977" i="16"/>
  <c r="I889" i="16"/>
  <c r="F975" i="16"/>
  <c r="I887" i="16"/>
  <c r="F963" i="16"/>
  <c r="I875" i="16"/>
  <c r="F961" i="16"/>
  <c r="I873" i="16"/>
  <c r="F959" i="16"/>
  <c r="I871" i="16"/>
  <c r="F957" i="16"/>
  <c r="I869" i="16"/>
  <c r="F955" i="16"/>
  <c r="I867" i="16"/>
  <c r="I788" i="16"/>
  <c r="J151" i="15" s="1"/>
  <c r="F973" i="16"/>
  <c r="I885" i="16"/>
  <c r="I804" i="16"/>
  <c r="F892" i="16"/>
  <c r="I1027" i="16"/>
  <c r="F1205" i="16"/>
  <c r="F990" i="16"/>
  <c r="I902" i="16"/>
  <c r="F951" i="16"/>
  <c r="I863" i="16"/>
  <c r="F949" i="16"/>
  <c r="I861" i="16"/>
  <c r="F947" i="16"/>
  <c r="I859" i="16"/>
  <c r="F945" i="16"/>
  <c r="I857" i="16"/>
  <c r="F943" i="16"/>
  <c r="I855" i="16"/>
  <c r="I874" i="16"/>
  <c r="F962" i="16"/>
  <c r="I872" i="16"/>
  <c r="F960" i="16"/>
  <c r="I870" i="16"/>
  <c r="F958" i="16"/>
  <c r="I868" i="16"/>
  <c r="F956" i="16"/>
  <c r="F969" i="16"/>
  <c r="I881" i="16"/>
  <c r="I882" i="16" s="1"/>
  <c r="J167" i="15" s="1"/>
  <c r="F882" i="16"/>
  <c r="F876" i="16"/>
  <c r="F1041" i="16"/>
  <c r="F1129" i="16" s="1"/>
  <c r="I953" i="16"/>
  <c r="I753" i="16"/>
  <c r="F841" i="16"/>
  <c r="I751" i="16"/>
  <c r="F839" i="16"/>
  <c r="I748" i="16"/>
  <c r="F836" i="16"/>
  <c r="I746" i="16"/>
  <c r="F834" i="16"/>
  <c r="I744" i="16"/>
  <c r="F832" i="16"/>
  <c r="I742" i="16"/>
  <c r="F830" i="16"/>
  <c r="I740" i="16"/>
  <c r="F828" i="16"/>
  <c r="I738" i="16"/>
  <c r="F826" i="16"/>
  <c r="I668" i="16"/>
  <c r="J127" i="15" s="1"/>
  <c r="J129" i="15" s="1"/>
  <c r="I617" i="16"/>
  <c r="J121" i="15" s="1"/>
  <c r="I646" i="16"/>
  <c r="J124" i="15" s="1"/>
  <c r="J126" i="15" s="1"/>
  <c r="I752" i="16"/>
  <c r="F840" i="16"/>
  <c r="I749" i="16"/>
  <c r="F837" i="16"/>
  <c r="I747" i="16"/>
  <c r="F835" i="16"/>
  <c r="I745" i="16"/>
  <c r="F833" i="16"/>
  <c r="I743" i="16"/>
  <c r="F831" i="16"/>
  <c r="I741" i="16"/>
  <c r="F829" i="16"/>
  <c r="I739" i="16"/>
  <c r="F827" i="16"/>
  <c r="I737" i="16"/>
  <c r="F824" i="16"/>
  <c r="I735" i="16"/>
  <c r="F822" i="16"/>
  <c r="I736" i="16"/>
  <c r="F823" i="16"/>
  <c r="F818" i="16"/>
  <c r="I797" i="16"/>
  <c r="I711" i="16"/>
  <c r="I731" i="16" s="1"/>
  <c r="J139" i="15" s="1"/>
  <c r="J141" i="15" s="1"/>
  <c r="I707" i="16"/>
  <c r="I708" i="16" s="1"/>
  <c r="J137" i="15" s="1"/>
  <c r="F708" i="16"/>
  <c r="I702" i="16"/>
  <c r="J136" i="15" s="1"/>
  <c r="I677" i="16"/>
  <c r="F754" i="16"/>
  <c r="F702" i="16"/>
  <c r="F731" i="16"/>
  <c r="O820" i="1"/>
  <c r="E18" i="16"/>
  <c r="F100" i="16" s="1"/>
  <c r="H17" i="17"/>
  <c r="G17" i="17"/>
  <c r="F22" i="13"/>
  <c r="I21" i="1"/>
  <c r="M1244" i="1" l="1"/>
  <c r="K1138" i="1"/>
  <c r="N1138" i="1" s="1"/>
  <c r="L1244" i="1"/>
  <c r="G1143" i="13"/>
  <c r="J1143" i="13" s="1"/>
  <c r="I1841" i="16"/>
  <c r="I1842" i="16" s="1"/>
  <c r="F1949" i="16"/>
  <c r="I1949" i="16" s="1"/>
  <c r="I1950" i="16" s="1"/>
  <c r="I1236" i="16"/>
  <c r="F1327" i="16"/>
  <c r="F1418" i="16" s="1"/>
  <c r="F1295" i="16"/>
  <c r="F1386" i="16" s="1"/>
  <c r="I1205" i="16"/>
  <c r="I876" i="16"/>
  <c r="J166" i="15" s="1"/>
  <c r="F906" i="16"/>
  <c r="F762" i="16"/>
  <c r="I676" i="16"/>
  <c r="I754" i="16"/>
  <c r="J142" i="15" s="1"/>
  <c r="J144" i="15" s="1"/>
  <c r="I823" i="16"/>
  <c r="F911" i="16"/>
  <c r="I822" i="16"/>
  <c r="F910" i="16"/>
  <c r="I824" i="16"/>
  <c r="F912" i="16"/>
  <c r="I827" i="16"/>
  <c r="F915" i="16"/>
  <c r="I829" i="16"/>
  <c r="F917" i="16"/>
  <c r="I831" i="16"/>
  <c r="F919" i="16"/>
  <c r="I833" i="16"/>
  <c r="F921" i="16"/>
  <c r="I835" i="16"/>
  <c r="F923" i="16"/>
  <c r="I837" i="16"/>
  <c r="F925" i="16"/>
  <c r="I840" i="16"/>
  <c r="F928" i="16"/>
  <c r="F1219" i="16"/>
  <c r="I1041" i="16"/>
  <c r="I956" i="16"/>
  <c r="F1044" i="16"/>
  <c r="F1132" i="16" s="1"/>
  <c r="I958" i="16"/>
  <c r="F1046" i="16"/>
  <c r="F1134" i="16" s="1"/>
  <c r="I960" i="16"/>
  <c r="F1048" i="16"/>
  <c r="F1138" i="16" s="1"/>
  <c r="I962" i="16"/>
  <c r="F1050" i="16"/>
  <c r="F1140" i="16" s="1"/>
  <c r="I955" i="16"/>
  <c r="F1043" i="16"/>
  <c r="F1131" i="16" s="1"/>
  <c r="I957" i="16"/>
  <c r="F1045" i="16"/>
  <c r="F1133" i="16" s="1"/>
  <c r="I959" i="16"/>
  <c r="F1047" i="16"/>
  <c r="F1137" i="16" s="1"/>
  <c r="I961" i="16"/>
  <c r="F1049" i="16"/>
  <c r="F1139" i="16" s="1"/>
  <c r="I963" i="16"/>
  <c r="F1051" i="16"/>
  <c r="F1141" i="16" s="1"/>
  <c r="I975" i="16"/>
  <c r="F1063" i="16"/>
  <c r="I977" i="16"/>
  <c r="F1065" i="16"/>
  <c r="I979" i="16"/>
  <c r="F1067" i="16"/>
  <c r="I982" i="16"/>
  <c r="F1070" i="16"/>
  <c r="I984" i="16"/>
  <c r="F1072" i="16"/>
  <c r="I986" i="16"/>
  <c r="F1074" i="16"/>
  <c r="I988" i="16"/>
  <c r="F1076" i="16"/>
  <c r="I992" i="16"/>
  <c r="F1080" i="16"/>
  <c r="I940" i="16"/>
  <c r="F1028" i="16"/>
  <c r="F1116" i="16" s="1"/>
  <c r="I942" i="16"/>
  <c r="F1030" i="16"/>
  <c r="F1118" i="16" s="1"/>
  <c r="I944" i="16"/>
  <c r="F1032" i="16"/>
  <c r="F1120" i="16" s="1"/>
  <c r="I946" i="16"/>
  <c r="F1034" i="16"/>
  <c r="F1122" i="16" s="1"/>
  <c r="I948" i="16"/>
  <c r="F1036" i="16"/>
  <c r="I950" i="16"/>
  <c r="F1038" i="16"/>
  <c r="F1126" i="16" s="1"/>
  <c r="I1042" i="16"/>
  <c r="F1173" i="16"/>
  <c r="F1263" i="16" s="1"/>
  <c r="I1083" i="16"/>
  <c r="F981" i="16"/>
  <c r="I893" i="16"/>
  <c r="I909" i="16"/>
  <c r="F997" i="16"/>
  <c r="F1001" i="16"/>
  <c r="I913" i="16"/>
  <c r="I818" i="16"/>
  <c r="J154" i="15" s="1"/>
  <c r="J156" i="15" s="1"/>
  <c r="I826" i="16"/>
  <c r="F914" i="16"/>
  <c r="I828" i="16"/>
  <c r="F916" i="16"/>
  <c r="I830" i="16"/>
  <c r="F918" i="16"/>
  <c r="I832" i="16"/>
  <c r="F920" i="16"/>
  <c r="I834" i="16"/>
  <c r="F922" i="16"/>
  <c r="I836" i="16"/>
  <c r="F924" i="16"/>
  <c r="I839" i="16"/>
  <c r="F927" i="16"/>
  <c r="I841" i="16"/>
  <c r="F929" i="16"/>
  <c r="F964" i="16"/>
  <c r="I969" i="16"/>
  <c r="I970" i="16" s="1"/>
  <c r="J182" i="15" s="1"/>
  <c r="F1057" i="16"/>
  <c r="F970" i="16"/>
  <c r="I943" i="16"/>
  <c r="F1031" i="16"/>
  <c r="F1119" i="16" s="1"/>
  <c r="I945" i="16"/>
  <c r="F1033" i="16"/>
  <c r="F1121" i="16" s="1"/>
  <c r="I947" i="16"/>
  <c r="F1035" i="16"/>
  <c r="F1123" i="16" s="1"/>
  <c r="I949" i="16"/>
  <c r="F1037" i="16"/>
  <c r="F1125" i="16" s="1"/>
  <c r="F1215" i="16" s="1"/>
  <c r="I951" i="16"/>
  <c r="F1039" i="16"/>
  <c r="F1127" i="16" s="1"/>
  <c r="I990" i="16"/>
  <c r="F1078" i="16"/>
  <c r="I1115" i="16"/>
  <c r="F980" i="16"/>
  <c r="I892" i="16"/>
  <c r="I906" i="16" s="1"/>
  <c r="J169" i="15" s="1"/>
  <c r="J171" i="15" s="1"/>
  <c r="F1061" i="16"/>
  <c r="I973" i="16"/>
  <c r="I976" i="16"/>
  <c r="F1064" i="16"/>
  <c r="I978" i="16"/>
  <c r="F1066" i="16"/>
  <c r="I983" i="16"/>
  <c r="F1071" i="16"/>
  <c r="I985" i="16"/>
  <c r="F1073" i="16"/>
  <c r="I987" i="16"/>
  <c r="F1075" i="16"/>
  <c r="I989" i="16"/>
  <c r="F1077" i="16"/>
  <c r="I991" i="16"/>
  <c r="F1079" i="16"/>
  <c r="I993" i="16"/>
  <c r="F1081" i="16"/>
  <c r="I1146" i="16"/>
  <c r="I1084" i="16"/>
  <c r="F1174" i="16"/>
  <c r="I1062" i="16"/>
  <c r="F1152" i="16"/>
  <c r="F842" i="16"/>
  <c r="F182" i="16"/>
  <c r="I100" i="16"/>
  <c r="I111" i="16" s="1"/>
  <c r="F111" i="16"/>
  <c r="F129" i="16" s="1"/>
  <c r="F174" i="16" s="1"/>
  <c r="E6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48" i="16"/>
  <c r="E45" i="16"/>
  <c r="F43" i="16"/>
  <c r="F44" i="16"/>
  <c r="F42" i="16"/>
  <c r="E41" i="16"/>
  <c r="F31" i="16"/>
  <c r="F32" i="16"/>
  <c r="F33" i="16"/>
  <c r="F34" i="16"/>
  <c r="F35" i="16"/>
  <c r="F36" i="16"/>
  <c r="F37" i="16"/>
  <c r="F38" i="16"/>
  <c r="F39" i="16"/>
  <c r="F40" i="16"/>
  <c r="F30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15" i="16"/>
  <c r="E29" i="16"/>
  <c r="E47" i="16" s="1"/>
  <c r="E8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69" i="16"/>
  <c r="K1244" i="1" l="1"/>
  <c r="N1244" i="1" s="1"/>
  <c r="L1350" i="1"/>
  <c r="G1249" i="13"/>
  <c r="J1249" i="13" s="1"/>
  <c r="F1305" i="16"/>
  <c r="I1215" i="16"/>
  <c r="I1125" i="16"/>
  <c r="F1124" i="16"/>
  <c r="M1350" i="1"/>
  <c r="O1244" i="1"/>
  <c r="O1138" i="1"/>
  <c r="F1510" i="16"/>
  <c r="F1602" i="16" s="1"/>
  <c r="F1694" i="16" s="1"/>
  <c r="I1418" i="16"/>
  <c r="F1477" i="16"/>
  <c r="F1569" i="16" s="1"/>
  <c r="I1386" i="16"/>
  <c r="F1309" i="16"/>
  <c r="F1400" i="16" s="1"/>
  <c r="I1219" i="16"/>
  <c r="I1295" i="16"/>
  <c r="I1327" i="16"/>
  <c r="I1152" i="16"/>
  <c r="F1242" i="16"/>
  <c r="I1174" i="16"/>
  <c r="F1264" i="16"/>
  <c r="F1354" i="16"/>
  <c r="F1445" i="16" s="1"/>
  <c r="I1263" i="16"/>
  <c r="I1130" i="16"/>
  <c r="F1220" i="16"/>
  <c r="I964" i="16"/>
  <c r="I842" i="16"/>
  <c r="J157" i="15" s="1"/>
  <c r="J159" i="15" s="1"/>
  <c r="F930" i="16"/>
  <c r="F850" i="16"/>
  <c r="I762" i="16"/>
  <c r="I1081" i="16"/>
  <c r="F1171" i="16"/>
  <c r="I1079" i="16"/>
  <c r="F1169" i="16"/>
  <c r="I1077" i="16"/>
  <c r="F1167" i="16"/>
  <c r="I1075" i="16"/>
  <c r="F1165" i="16"/>
  <c r="I1073" i="16"/>
  <c r="F1163" i="16"/>
  <c r="I1071" i="16"/>
  <c r="F1161" i="16"/>
  <c r="I1066" i="16"/>
  <c r="F1156" i="16"/>
  <c r="I1064" i="16"/>
  <c r="F1154" i="16"/>
  <c r="F1151" i="16"/>
  <c r="F1241" i="16" s="1"/>
  <c r="I1061" i="16"/>
  <c r="I980" i="16"/>
  <c r="F1068" i="16"/>
  <c r="I1057" i="16"/>
  <c r="I1058" i="16" s="1"/>
  <c r="J197" i="15" s="1"/>
  <c r="F1147" i="16"/>
  <c r="F1237" i="16" s="1"/>
  <c r="F1058" i="16"/>
  <c r="J181" i="15"/>
  <c r="I981" i="16"/>
  <c r="F1069" i="16"/>
  <c r="I1028" i="16"/>
  <c r="F1206" i="16"/>
  <c r="I1080" i="16"/>
  <c r="F1170" i="16"/>
  <c r="I1076" i="16"/>
  <c r="F1166" i="16"/>
  <c r="I1074" i="16"/>
  <c r="F1164" i="16"/>
  <c r="I1072" i="16"/>
  <c r="F1162" i="16"/>
  <c r="I1070" i="16"/>
  <c r="F1160" i="16"/>
  <c r="I1067" i="16"/>
  <c r="F1157" i="16"/>
  <c r="I1065" i="16"/>
  <c r="F1155" i="16"/>
  <c r="I1063" i="16"/>
  <c r="F1153" i="16"/>
  <c r="I1051" i="16"/>
  <c r="I1049" i="16"/>
  <c r="I1047" i="16"/>
  <c r="I1045" i="16"/>
  <c r="I1043" i="16"/>
  <c r="I1129" i="16"/>
  <c r="I928" i="16"/>
  <c r="F1016" i="16"/>
  <c r="F1013" i="16"/>
  <c r="I925" i="16"/>
  <c r="F1011" i="16"/>
  <c r="I923" i="16"/>
  <c r="F1009" i="16"/>
  <c r="I921" i="16"/>
  <c r="F1007" i="16"/>
  <c r="I919" i="16"/>
  <c r="F1005" i="16"/>
  <c r="I917" i="16"/>
  <c r="F1003" i="16"/>
  <c r="I915" i="16"/>
  <c r="I912" i="16"/>
  <c r="F1000" i="16"/>
  <c r="F998" i="16"/>
  <c r="I910" i="16"/>
  <c r="F999" i="16"/>
  <c r="I911" i="16"/>
  <c r="F994" i="16"/>
  <c r="I1078" i="16"/>
  <c r="F1168" i="16"/>
  <c r="I1039" i="16"/>
  <c r="I1037" i="16"/>
  <c r="I1035" i="16"/>
  <c r="I1033" i="16"/>
  <c r="I1031" i="16"/>
  <c r="F1017" i="16"/>
  <c r="I929" i="16"/>
  <c r="F1015" i="16"/>
  <c r="I927" i="16"/>
  <c r="I924" i="16"/>
  <c r="F1012" i="16"/>
  <c r="I922" i="16"/>
  <c r="F1010" i="16"/>
  <c r="I920" i="16"/>
  <c r="F1008" i="16"/>
  <c r="I918" i="16"/>
  <c r="F1006" i="16"/>
  <c r="I916" i="16"/>
  <c r="F1004" i="16"/>
  <c r="I914" i="16"/>
  <c r="F1002" i="16"/>
  <c r="I1001" i="16"/>
  <c r="F1089" i="16"/>
  <c r="I997" i="16"/>
  <c r="F1085" i="16"/>
  <c r="I1173" i="16"/>
  <c r="I1038" i="16"/>
  <c r="I1036" i="16"/>
  <c r="I1034" i="16"/>
  <c r="I1032" i="16"/>
  <c r="I1030" i="16"/>
  <c r="I1050" i="16"/>
  <c r="I1048" i="16"/>
  <c r="I1046" i="16"/>
  <c r="I1044" i="16"/>
  <c r="F1052" i="16"/>
  <c r="F45" i="16"/>
  <c r="J30" i="15"/>
  <c r="J33" i="15" s="1"/>
  <c r="J40" i="15" s="1"/>
  <c r="I129" i="16"/>
  <c r="I174" i="16" s="1"/>
  <c r="F89" i="16"/>
  <c r="E92" i="16"/>
  <c r="F68" i="16"/>
  <c r="F264" i="16"/>
  <c r="I182" i="16"/>
  <c r="I193" i="16" s="1"/>
  <c r="F193" i="16"/>
  <c r="F211" i="16" s="1"/>
  <c r="F256" i="16" s="1"/>
  <c r="F29" i="16"/>
  <c r="F41" i="16"/>
  <c r="L39" i="17"/>
  <c r="L99" i="17" s="1"/>
  <c r="L159" i="17" s="1"/>
  <c r="L40" i="17"/>
  <c r="L100" i="17" s="1"/>
  <c r="L160" i="17" s="1"/>
  <c r="L41" i="17"/>
  <c r="L101" i="17" s="1"/>
  <c r="L161" i="17" s="1"/>
  <c r="L42" i="17"/>
  <c r="L43" i="17"/>
  <c r="L103" i="17" s="1"/>
  <c r="L163" i="17" s="1"/>
  <c r="L44" i="17"/>
  <c r="L104" i="17" s="1"/>
  <c r="L164" i="17" s="1"/>
  <c r="L224" i="17" s="1"/>
  <c r="L284" i="17" s="1"/>
  <c r="L346" i="17" s="1"/>
  <c r="L408" i="17" s="1"/>
  <c r="L470" i="17" s="1"/>
  <c r="L45" i="17"/>
  <c r="L105" i="17" s="1"/>
  <c r="L165" i="17" s="1"/>
  <c r="L46" i="17"/>
  <c r="L106" i="17" s="1"/>
  <c r="L166" i="17" s="1"/>
  <c r="L47" i="17"/>
  <c r="L107" i="17" s="1"/>
  <c r="L167" i="17" s="1"/>
  <c r="L48" i="17"/>
  <c r="L108" i="17" s="1"/>
  <c r="L168" i="17" s="1"/>
  <c r="L49" i="17"/>
  <c r="L109" i="17" s="1"/>
  <c r="L169" i="17" s="1"/>
  <c r="L50" i="17"/>
  <c r="L110" i="17" s="1"/>
  <c r="L170" i="17" s="1"/>
  <c r="L51" i="17"/>
  <c r="L111" i="17" s="1"/>
  <c r="L171" i="17" s="1"/>
  <c r="L52" i="17"/>
  <c r="L112" i="17" s="1"/>
  <c r="L172" i="17" s="1"/>
  <c r="L53" i="17"/>
  <c r="L113" i="17" s="1"/>
  <c r="L173" i="17" s="1"/>
  <c r="L54" i="17"/>
  <c r="L114" i="17" s="1"/>
  <c r="L174" i="17" s="1"/>
  <c r="L55" i="17"/>
  <c r="L115" i="17" s="1"/>
  <c r="L175" i="17" s="1"/>
  <c r="L56" i="17"/>
  <c r="L116" i="17" s="1"/>
  <c r="L176" i="17" s="1"/>
  <c r="L57" i="17"/>
  <c r="L117" i="17" s="1"/>
  <c r="L177" i="17" s="1"/>
  <c r="L58" i="17"/>
  <c r="L118" i="17" s="1"/>
  <c r="L178" i="17" s="1"/>
  <c r="L59" i="17"/>
  <c r="L119" i="17" s="1"/>
  <c r="L179" i="17" s="1"/>
  <c r="L60" i="17"/>
  <c r="L120" i="17" s="1"/>
  <c r="L180" i="17" s="1"/>
  <c r="L61" i="17"/>
  <c r="L121" i="17" s="1"/>
  <c r="L181" i="17" s="1"/>
  <c r="L62" i="17"/>
  <c r="L122" i="17" s="1"/>
  <c r="L182" i="17" s="1"/>
  <c r="L63" i="17"/>
  <c r="L123" i="17" s="1"/>
  <c r="L183" i="17" s="1"/>
  <c r="L64" i="17"/>
  <c r="L124" i="17" s="1"/>
  <c r="L184" i="17" s="1"/>
  <c r="L65" i="17"/>
  <c r="L125" i="17" s="1"/>
  <c r="L185" i="17" s="1"/>
  <c r="L66" i="17"/>
  <c r="L126" i="17" s="1"/>
  <c r="L186" i="17" s="1"/>
  <c r="L67" i="17"/>
  <c r="L127" i="17" s="1"/>
  <c r="L187" i="17" s="1"/>
  <c r="K39" i="17"/>
  <c r="K99" i="17" s="1"/>
  <c r="K159" i="17" s="1"/>
  <c r="K40" i="17"/>
  <c r="K100" i="17" s="1"/>
  <c r="K160" i="17" s="1"/>
  <c r="K41" i="17"/>
  <c r="K101" i="17" s="1"/>
  <c r="K161" i="17" s="1"/>
  <c r="K42" i="17"/>
  <c r="K43" i="17"/>
  <c r="K103" i="17" s="1"/>
  <c r="K163" i="17" s="1"/>
  <c r="K44" i="17"/>
  <c r="K104" i="17" s="1"/>
  <c r="K164" i="17" s="1"/>
  <c r="K45" i="17"/>
  <c r="K105" i="17" s="1"/>
  <c r="K165" i="17" s="1"/>
  <c r="K46" i="17"/>
  <c r="K106" i="17" s="1"/>
  <c r="K166" i="17" s="1"/>
  <c r="K47" i="17"/>
  <c r="K107" i="17" s="1"/>
  <c r="K167" i="17" s="1"/>
  <c r="K48" i="17"/>
  <c r="K108" i="17" s="1"/>
  <c r="K168" i="17" s="1"/>
  <c r="K49" i="17"/>
  <c r="K109" i="17" s="1"/>
  <c r="K169" i="17" s="1"/>
  <c r="K50" i="17"/>
  <c r="K110" i="17" s="1"/>
  <c r="K170" i="17" s="1"/>
  <c r="K51" i="17"/>
  <c r="K111" i="17" s="1"/>
  <c r="K171" i="17" s="1"/>
  <c r="K52" i="17"/>
  <c r="K112" i="17" s="1"/>
  <c r="K172" i="17" s="1"/>
  <c r="K53" i="17"/>
  <c r="K113" i="17" s="1"/>
  <c r="K173" i="17" s="1"/>
  <c r="K54" i="17"/>
  <c r="K114" i="17" s="1"/>
  <c r="K174" i="17" s="1"/>
  <c r="K55" i="17"/>
  <c r="K115" i="17" s="1"/>
  <c r="K175" i="17" s="1"/>
  <c r="K56" i="17"/>
  <c r="K116" i="17" s="1"/>
  <c r="K176" i="17" s="1"/>
  <c r="K57" i="17"/>
  <c r="K117" i="17" s="1"/>
  <c r="K177" i="17" s="1"/>
  <c r="K58" i="17"/>
  <c r="K118" i="17" s="1"/>
  <c r="K178" i="17" s="1"/>
  <c r="K59" i="17"/>
  <c r="K119" i="17" s="1"/>
  <c r="K179" i="17" s="1"/>
  <c r="K60" i="17"/>
  <c r="K120" i="17" s="1"/>
  <c r="K180" i="17" s="1"/>
  <c r="K61" i="17"/>
  <c r="K121" i="17" s="1"/>
  <c r="K181" i="17" s="1"/>
  <c r="K62" i="17"/>
  <c r="K122" i="17" s="1"/>
  <c r="K182" i="17" s="1"/>
  <c r="K63" i="17"/>
  <c r="K123" i="17" s="1"/>
  <c r="K183" i="17" s="1"/>
  <c r="K64" i="17"/>
  <c r="K124" i="17" s="1"/>
  <c r="K184" i="17" s="1"/>
  <c r="K65" i="17"/>
  <c r="K125" i="17" s="1"/>
  <c r="K185" i="17" s="1"/>
  <c r="K66" i="17"/>
  <c r="K126" i="17" s="1"/>
  <c r="K186" i="17" s="1"/>
  <c r="K67" i="17"/>
  <c r="K127" i="17" s="1"/>
  <c r="K187" i="17" s="1"/>
  <c r="L38" i="17"/>
  <c r="L98" i="17" s="1"/>
  <c r="L158" i="17" s="1"/>
  <c r="K38" i="17"/>
  <c r="K98" i="17" s="1"/>
  <c r="K158" i="17" s="1"/>
  <c r="L30" i="17"/>
  <c r="L90" i="17" s="1"/>
  <c r="L150" i="17" s="1"/>
  <c r="L31" i="17"/>
  <c r="L91" i="17" s="1"/>
  <c r="L151" i="17" s="1"/>
  <c r="L32" i="17"/>
  <c r="L92" i="17" s="1"/>
  <c r="L152" i="17" s="1"/>
  <c r="L33" i="17"/>
  <c r="L93" i="17" s="1"/>
  <c r="L153" i="17" s="1"/>
  <c r="L34" i="17"/>
  <c r="L94" i="17" s="1"/>
  <c r="L154" i="17" s="1"/>
  <c r="L35" i="17"/>
  <c r="L95" i="17" s="1"/>
  <c r="L155" i="17" s="1"/>
  <c r="K30" i="17"/>
  <c r="K90" i="17" s="1"/>
  <c r="K150" i="17" s="1"/>
  <c r="K31" i="17"/>
  <c r="K91" i="17" s="1"/>
  <c r="K151" i="17" s="1"/>
  <c r="K32" i="17"/>
  <c r="K92" i="17" s="1"/>
  <c r="K152" i="17" s="1"/>
  <c r="K33" i="17"/>
  <c r="K93" i="17" s="1"/>
  <c r="K153" i="17" s="1"/>
  <c r="K34" i="17"/>
  <c r="K94" i="17" s="1"/>
  <c r="K154" i="17" s="1"/>
  <c r="K35" i="17"/>
  <c r="K95" i="17" s="1"/>
  <c r="K155" i="17" s="1"/>
  <c r="L29" i="17"/>
  <c r="L89" i="17" s="1"/>
  <c r="L149" i="17" s="1"/>
  <c r="K29" i="17"/>
  <c r="K89" i="17" s="1"/>
  <c r="K149" i="17" s="1"/>
  <c r="K26" i="17"/>
  <c r="K86" i="17" s="1"/>
  <c r="K146" i="17" s="1"/>
  <c r="L21" i="17"/>
  <c r="L81" i="17" s="1"/>
  <c r="L141" i="17" s="1"/>
  <c r="L22" i="17"/>
  <c r="L82" i="17" s="1"/>
  <c r="L142" i="17" s="1"/>
  <c r="L23" i="17"/>
  <c r="L83" i="17" s="1"/>
  <c r="L143" i="17" s="1"/>
  <c r="L24" i="17"/>
  <c r="L84" i="17" s="1"/>
  <c r="L144" i="17" s="1"/>
  <c r="L25" i="17"/>
  <c r="L85" i="17" s="1"/>
  <c r="L145" i="17" s="1"/>
  <c r="L26" i="17"/>
  <c r="L86" i="17" s="1"/>
  <c r="L146" i="17" s="1"/>
  <c r="K21" i="17"/>
  <c r="K81" i="17" s="1"/>
  <c r="K141" i="17" s="1"/>
  <c r="K22" i="17"/>
  <c r="K82" i="17" s="1"/>
  <c r="K142" i="17" s="1"/>
  <c r="K23" i="17"/>
  <c r="K83" i="17" s="1"/>
  <c r="K143" i="17" s="1"/>
  <c r="K24" i="17"/>
  <c r="K84" i="17" s="1"/>
  <c r="K144" i="17" s="1"/>
  <c r="K25" i="17"/>
  <c r="K85" i="17" s="1"/>
  <c r="K145" i="17" s="1"/>
  <c r="L20" i="17"/>
  <c r="L80" i="17" s="1"/>
  <c r="L140" i="17" s="1"/>
  <c r="K20" i="17"/>
  <c r="K80" i="17" s="1"/>
  <c r="K140" i="17" s="1"/>
  <c r="L15" i="17"/>
  <c r="L75" i="17" s="1"/>
  <c r="L135" i="17" s="1"/>
  <c r="L16" i="17"/>
  <c r="L76" i="17" s="1"/>
  <c r="L136" i="17" s="1"/>
  <c r="L17" i="17"/>
  <c r="L77" i="17" s="1"/>
  <c r="L137" i="17" s="1"/>
  <c r="L18" i="17"/>
  <c r="L78" i="17" s="1"/>
  <c r="L138" i="17" s="1"/>
  <c r="K15" i="17"/>
  <c r="K75" i="17" s="1"/>
  <c r="K135" i="17" s="1"/>
  <c r="K16" i="17"/>
  <c r="K76" i="17" s="1"/>
  <c r="K136" i="17" s="1"/>
  <c r="K17" i="17"/>
  <c r="K77" i="17" s="1"/>
  <c r="K137" i="17" s="1"/>
  <c r="K18" i="17"/>
  <c r="K78" i="17" s="1"/>
  <c r="K138" i="17" s="1"/>
  <c r="L14" i="17"/>
  <c r="L74" i="17" s="1"/>
  <c r="L134" i="17" s="1"/>
  <c r="K14" i="17"/>
  <c r="K74" i="17" s="1"/>
  <c r="K134" i="17" s="1"/>
  <c r="M110" i="1"/>
  <c r="M214" i="1" s="1"/>
  <c r="L110" i="1"/>
  <c r="L214" i="1" s="1"/>
  <c r="M109" i="1"/>
  <c r="M213" i="1" s="1"/>
  <c r="L109" i="1"/>
  <c r="L213" i="1" s="1"/>
  <c r="M106" i="1"/>
  <c r="M210" i="1" s="1"/>
  <c r="M107" i="1"/>
  <c r="M211" i="1" s="1"/>
  <c r="L106" i="1"/>
  <c r="L210" i="1" s="1"/>
  <c r="L107" i="1"/>
  <c r="L211" i="1" s="1"/>
  <c r="M105" i="1"/>
  <c r="M209" i="1" s="1"/>
  <c r="L105" i="1"/>
  <c r="L209" i="1" s="1"/>
  <c r="M100" i="1"/>
  <c r="M204" i="1" s="1"/>
  <c r="M101" i="1"/>
  <c r="M205" i="1" s="1"/>
  <c r="M102" i="1"/>
  <c r="M206" i="1" s="1"/>
  <c r="M103" i="1"/>
  <c r="M207" i="1" s="1"/>
  <c r="L100" i="1"/>
  <c r="L204" i="1" s="1"/>
  <c r="L101" i="1"/>
  <c r="L205" i="1" s="1"/>
  <c r="L102" i="1"/>
  <c r="L206" i="1" s="1"/>
  <c r="L103" i="1"/>
  <c r="L207" i="1" s="1"/>
  <c r="M99" i="1"/>
  <c r="M203" i="1" s="1"/>
  <c r="L99" i="1"/>
  <c r="L203" i="1" s="1"/>
  <c r="M97" i="1"/>
  <c r="M201" i="1" s="1"/>
  <c r="L97" i="1"/>
  <c r="L201" i="1" s="1"/>
  <c r="M96" i="1"/>
  <c r="M200" i="1" s="1"/>
  <c r="L96" i="1"/>
  <c r="L200" i="1" s="1"/>
  <c r="M92" i="1"/>
  <c r="M196" i="1" s="1"/>
  <c r="M93" i="1"/>
  <c r="M197" i="1" s="1"/>
  <c r="M94" i="1"/>
  <c r="M198" i="1" s="1"/>
  <c r="L92" i="1"/>
  <c r="L196" i="1" s="1"/>
  <c r="L93" i="1"/>
  <c r="L197" i="1" s="1"/>
  <c r="L94" i="1"/>
  <c r="L198" i="1" s="1"/>
  <c r="M91" i="1"/>
  <c r="M195" i="1" s="1"/>
  <c r="L91" i="1"/>
  <c r="L195" i="1" s="1"/>
  <c r="M88" i="1"/>
  <c r="M192" i="1" s="1"/>
  <c r="M89" i="1"/>
  <c r="M193" i="1" s="1"/>
  <c r="L88" i="1"/>
  <c r="L192" i="1" s="1"/>
  <c r="L89" i="1"/>
  <c r="L193" i="1" s="1"/>
  <c r="M87" i="1"/>
  <c r="M191" i="1" s="1"/>
  <c r="M295" i="1" s="1"/>
  <c r="M399" i="1" s="1"/>
  <c r="L87" i="1"/>
  <c r="L191" i="1" s="1"/>
  <c r="M84" i="1"/>
  <c r="L84" i="1"/>
  <c r="M1457" i="1" l="1"/>
  <c r="K1350" i="1"/>
  <c r="N1350" i="1" s="1"/>
  <c r="L1457" i="1"/>
  <c r="G1355" i="13"/>
  <c r="J1355" i="13" s="1"/>
  <c r="I1305" i="16"/>
  <c r="F1396" i="16"/>
  <c r="L532" i="17"/>
  <c r="F1788" i="16"/>
  <c r="I1694" i="16"/>
  <c r="F1661" i="16"/>
  <c r="I1569" i="16"/>
  <c r="I1602" i="16"/>
  <c r="I1477" i="16"/>
  <c r="F1537" i="16"/>
  <c r="F1629" i="16" s="1"/>
  <c r="I1445" i="16"/>
  <c r="I1400" i="16"/>
  <c r="F1492" i="16"/>
  <c r="F1584" i="16" s="1"/>
  <c r="I1510" i="16"/>
  <c r="I1119" i="16"/>
  <c r="F1209" i="16"/>
  <c r="I1121" i="16"/>
  <c r="F1211" i="16"/>
  <c r="I1123" i="16"/>
  <c r="F1213" i="16"/>
  <c r="F1332" i="16"/>
  <c r="F1423" i="16" s="1"/>
  <c r="I1241" i="16"/>
  <c r="F1355" i="16"/>
  <c r="I1264" i="16"/>
  <c r="F1333" i="16"/>
  <c r="I1242" i="16"/>
  <c r="I1132" i="16"/>
  <c r="F1222" i="16"/>
  <c r="I1134" i="16"/>
  <c r="F1224" i="16"/>
  <c r="I1138" i="16"/>
  <c r="F1228" i="16"/>
  <c r="I1140" i="16"/>
  <c r="F1230" i="16"/>
  <c r="I1118" i="16"/>
  <c r="F1208" i="16"/>
  <c r="I1120" i="16"/>
  <c r="F1210" i="16"/>
  <c r="I1122" i="16"/>
  <c r="F1212" i="16"/>
  <c r="I1124" i="16"/>
  <c r="F1214" i="16"/>
  <c r="I1126" i="16"/>
  <c r="F1216" i="16"/>
  <c r="I1127" i="16"/>
  <c r="F1217" i="16"/>
  <c r="I1168" i="16"/>
  <c r="F1258" i="16"/>
  <c r="I1131" i="16"/>
  <c r="F1221" i="16"/>
  <c r="I1133" i="16"/>
  <c r="F1223" i="16"/>
  <c r="I1137" i="16"/>
  <c r="F1227" i="16"/>
  <c r="I1139" i="16"/>
  <c r="F1229" i="16"/>
  <c r="I1141" i="16"/>
  <c r="F1231" i="16"/>
  <c r="I1153" i="16"/>
  <c r="F1243" i="16"/>
  <c r="I1155" i="16"/>
  <c r="F1245" i="16"/>
  <c r="I1157" i="16"/>
  <c r="F1247" i="16"/>
  <c r="I1160" i="16"/>
  <c r="F1250" i="16"/>
  <c r="I1162" i="16"/>
  <c r="F1252" i="16"/>
  <c r="I1164" i="16"/>
  <c r="F1254" i="16"/>
  <c r="I1166" i="16"/>
  <c r="F1256" i="16"/>
  <c r="I1170" i="16"/>
  <c r="F1260" i="16"/>
  <c r="F1296" i="16"/>
  <c r="F1387" i="16" s="1"/>
  <c r="I1206" i="16"/>
  <c r="F1328" i="16"/>
  <c r="F1419" i="16" s="1"/>
  <c r="I1237" i="16"/>
  <c r="I1238" i="16" s="1"/>
  <c r="J227" i="15" s="1"/>
  <c r="F1238" i="16"/>
  <c r="I1154" i="16"/>
  <c r="F1244" i="16"/>
  <c r="I1156" i="16"/>
  <c r="F1246" i="16"/>
  <c r="I1161" i="16"/>
  <c r="F1251" i="16"/>
  <c r="I1163" i="16"/>
  <c r="F1253" i="16"/>
  <c r="I1165" i="16"/>
  <c r="F1255" i="16"/>
  <c r="I1167" i="16"/>
  <c r="F1257" i="16"/>
  <c r="I1169" i="16"/>
  <c r="F1259" i="16"/>
  <c r="I1171" i="16"/>
  <c r="F1261" i="16"/>
  <c r="F1310" i="16"/>
  <c r="I1220" i="16"/>
  <c r="I1354" i="16"/>
  <c r="I1309" i="16"/>
  <c r="I1052" i="16"/>
  <c r="I994" i="16"/>
  <c r="J184" i="15" s="1"/>
  <c r="J186" i="15" s="1"/>
  <c r="F1018" i="16"/>
  <c r="F938" i="16"/>
  <c r="I850" i="16"/>
  <c r="I930" i="16"/>
  <c r="J172" i="15" s="1"/>
  <c r="J174" i="15" s="1"/>
  <c r="J196" i="15"/>
  <c r="I1015" i="16"/>
  <c r="F1103" i="16"/>
  <c r="I1017" i="16"/>
  <c r="F1105" i="16"/>
  <c r="I999" i="16"/>
  <c r="F1087" i="16"/>
  <c r="I998" i="16"/>
  <c r="F1086" i="16"/>
  <c r="I1003" i="16"/>
  <c r="F1091" i="16"/>
  <c r="I1005" i="16"/>
  <c r="F1093" i="16"/>
  <c r="I1007" i="16"/>
  <c r="F1095" i="16"/>
  <c r="I1009" i="16"/>
  <c r="F1097" i="16"/>
  <c r="I1011" i="16"/>
  <c r="F1099" i="16"/>
  <c r="I1013" i="16"/>
  <c r="F1101" i="16"/>
  <c r="I1116" i="16"/>
  <c r="I1147" i="16"/>
  <c r="I1148" i="16" s="1"/>
  <c r="J212" i="15" s="1"/>
  <c r="F1148" i="16"/>
  <c r="I1068" i="16"/>
  <c r="F1158" i="16"/>
  <c r="F1082" i="16"/>
  <c r="I1085" i="16"/>
  <c r="F1175" i="16"/>
  <c r="F1265" i="16" s="1"/>
  <c r="I1089" i="16"/>
  <c r="F1179" i="16"/>
  <c r="I1002" i="16"/>
  <c r="F1090" i="16"/>
  <c r="I1004" i="16"/>
  <c r="F1092" i="16"/>
  <c r="I1006" i="16"/>
  <c r="F1094" i="16"/>
  <c r="I1008" i="16"/>
  <c r="F1096" i="16"/>
  <c r="I1010" i="16"/>
  <c r="F1098" i="16"/>
  <c r="I1012" i="16"/>
  <c r="F1100" i="16"/>
  <c r="I1000" i="16"/>
  <c r="F1088" i="16"/>
  <c r="I1016" i="16"/>
  <c r="F1104" i="16"/>
  <c r="F1142" i="16"/>
  <c r="I1069" i="16"/>
  <c r="I1082" i="16" s="1"/>
  <c r="J199" i="15" s="1"/>
  <c r="J201" i="15" s="1"/>
  <c r="F1159" i="16"/>
  <c r="I1151" i="16"/>
  <c r="J45" i="15"/>
  <c r="J48" i="15" s="1"/>
  <c r="J55" i="15" s="1"/>
  <c r="I211" i="16"/>
  <c r="I256" i="16" s="1"/>
  <c r="F47" i="16"/>
  <c r="F92" i="16" s="1"/>
  <c r="F275" i="16"/>
  <c r="F293" i="16" s="1"/>
  <c r="F338" i="16" s="1"/>
  <c r="F346" i="16"/>
  <c r="I264" i="16"/>
  <c r="I275" i="16" s="1"/>
  <c r="M505" i="1"/>
  <c r="M611" i="1" s="1"/>
  <c r="K194" i="17"/>
  <c r="Q134" i="17"/>
  <c r="J134" i="17"/>
  <c r="M134" i="17" s="1"/>
  <c r="K200" i="17"/>
  <c r="J140" i="17"/>
  <c r="M140" i="17" s="1"/>
  <c r="Q140" i="17"/>
  <c r="Q149" i="17"/>
  <c r="K209" i="17"/>
  <c r="J149" i="17"/>
  <c r="M149" i="17" s="1"/>
  <c r="K218" i="17"/>
  <c r="J158" i="17"/>
  <c r="M158" i="17" s="1"/>
  <c r="Q158" i="17"/>
  <c r="L194" i="17"/>
  <c r="L200" i="17"/>
  <c r="N140" i="17"/>
  <c r="L209" i="17"/>
  <c r="N149" i="17"/>
  <c r="L218" i="17"/>
  <c r="J138" i="17"/>
  <c r="M138" i="17" s="1"/>
  <c r="K198" i="17"/>
  <c r="Q138" i="17"/>
  <c r="K196" i="17"/>
  <c r="Q136" i="17"/>
  <c r="J136" i="17"/>
  <c r="M136" i="17" s="1"/>
  <c r="L198" i="17"/>
  <c r="N138" i="17"/>
  <c r="L196" i="17"/>
  <c r="K205" i="17"/>
  <c r="J145" i="17"/>
  <c r="M145" i="17" s="1"/>
  <c r="Q145" i="17"/>
  <c r="K203" i="17"/>
  <c r="Q143" i="17"/>
  <c r="J143" i="17"/>
  <c r="M143" i="17" s="1"/>
  <c r="K201" i="17"/>
  <c r="J141" i="17"/>
  <c r="Q141" i="17"/>
  <c r="K147" i="17"/>
  <c r="G46" i="15" s="1"/>
  <c r="L205" i="17"/>
  <c r="L203" i="17"/>
  <c r="L201" i="17"/>
  <c r="N141" i="17"/>
  <c r="L147" i="17"/>
  <c r="K215" i="17"/>
  <c r="Q155" i="17"/>
  <c r="J155" i="17"/>
  <c r="M155" i="17" s="1"/>
  <c r="J153" i="17"/>
  <c r="K213" i="17"/>
  <c r="Q153" i="17"/>
  <c r="Q151" i="17"/>
  <c r="K211" i="17"/>
  <c r="J151" i="17"/>
  <c r="M151" i="17" s="1"/>
  <c r="L215" i="17"/>
  <c r="L213" i="17"/>
  <c r="N153" i="17"/>
  <c r="L211" i="17"/>
  <c r="K247" i="17"/>
  <c r="Q187" i="17"/>
  <c r="J187" i="17"/>
  <c r="M187" i="17" s="1"/>
  <c r="K245" i="17"/>
  <c r="J185" i="17"/>
  <c r="M185" i="17" s="1"/>
  <c r="Q185" i="17"/>
  <c r="K243" i="17"/>
  <c r="Q183" i="17"/>
  <c r="J183" i="17"/>
  <c r="M183" i="17" s="1"/>
  <c r="K241" i="17"/>
  <c r="J181" i="17"/>
  <c r="M181" i="17" s="1"/>
  <c r="Q181" i="17"/>
  <c r="K239" i="17"/>
  <c r="Q179" i="17"/>
  <c r="J179" i="17"/>
  <c r="M179" i="17" s="1"/>
  <c r="K237" i="17"/>
  <c r="Q177" i="17"/>
  <c r="J177" i="17"/>
  <c r="M177" i="17" s="1"/>
  <c r="K235" i="17"/>
  <c r="Q175" i="17"/>
  <c r="J175" i="17"/>
  <c r="M175" i="17" s="1"/>
  <c r="K233" i="17"/>
  <c r="Q173" i="17"/>
  <c r="J173" i="17"/>
  <c r="M173" i="17" s="1"/>
  <c r="K231" i="17"/>
  <c r="J171" i="17"/>
  <c r="M171" i="17" s="1"/>
  <c r="Q171" i="17"/>
  <c r="K229" i="17"/>
  <c r="K290" i="17" s="1"/>
  <c r="K352" i="17" s="1"/>
  <c r="Q169" i="17"/>
  <c r="J169" i="17"/>
  <c r="M169" i="17" s="1"/>
  <c r="K227" i="17"/>
  <c r="J167" i="17"/>
  <c r="M167" i="17" s="1"/>
  <c r="Q167" i="17"/>
  <c r="K225" i="17"/>
  <c r="J165" i="17"/>
  <c r="M165" i="17" s="1"/>
  <c r="Q165" i="17"/>
  <c r="K223" i="17"/>
  <c r="J163" i="17"/>
  <c r="M163" i="17" s="1"/>
  <c r="Q163" i="17"/>
  <c r="Q161" i="17"/>
  <c r="J161" i="17"/>
  <c r="M161" i="17" s="1"/>
  <c r="K219" i="17"/>
  <c r="Q159" i="17"/>
  <c r="J159" i="17"/>
  <c r="N159" i="17" s="1"/>
  <c r="L246" i="17"/>
  <c r="L244" i="17"/>
  <c r="L242" i="17"/>
  <c r="L240" i="17"/>
  <c r="L238" i="17"/>
  <c r="L236" i="17"/>
  <c r="L234" i="17"/>
  <c r="L232" i="17"/>
  <c r="L230" i="17"/>
  <c r="L228" i="17"/>
  <c r="L289" i="17" s="1"/>
  <c r="L226" i="17"/>
  <c r="L220" i="17"/>
  <c r="K197" i="17"/>
  <c r="Q137" i="17"/>
  <c r="J137" i="17"/>
  <c r="M137" i="17" s="1"/>
  <c r="K195" i="17"/>
  <c r="J135" i="17"/>
  <c r="N135" i="17" s="1"/>
  <c r="Q135" i="17"/>
  <c r="K139" i="17"/>
  <c r="L197" i="17"/>
  <c r="N137" i="17"/>
  <c r="L195" i="17"/>
  <c r="L139" i="17"/>
  <c r="K204" i="17"/>
  <c r="J144" i="17"/>
  <c r="M144" i="17" s="1"/>
  <c r="Q144" i="17"/>
  <c r="K202" i="17"/>
  <c r="Q142" i="17"/>
  <c r="J142" i="17"/>
  <c r="M142" i="17" s="1"/>
  <c r="L206" i="17"/>
  <c r="L204" i="17"/>
  <c r="L202" i="17"/>
  <c r="K206" i="17"/>
  <c r="J146" i="17"/>
  <c r="M146" i="17" s="1"/>
  <c r="Q146" i="17"/>
  <c r="Q154" i="17"/>
  <c r="K214" i="17"/>
  <c r="J154" i="17"/>
  <c r="M154" i="17" s="1"/>
  <c r="K212" i="17"/>
  <c r="Q152" i="17"/>
  <c r="J152" i="17"/>
  <c r="M152" i="17" s="1"/>
  <c r="K210" i="17"/>
  <c r="Q150" i="17"/>
  <c r="J150" i="17"/>
  <c r="N150" i="17" s="1"/>
  <c r="K156" i="17"/>
  <c r="K157" i="17" s="1"/>
  <c r="G49" i="15" s="1"/>
  <c r="G51" i="15" s="1"/>
  <c r="L214" i="17"/>
  <c r="L212" i="17"/>
  <c r="L210" i="17"/>
  <c r="L156" i="17"/>
  <c r="K246" i="17"/>
  <c r="Q186" i="17"/>
  <c r="J186" i="17"/>
  <c r="M186" i="17" s="1"/>
  <c r="K244" i="17"/>
  <c r="Q184" i="17"/>
  <c r="J184" i="17"/>
  <c r="M184" i="17" s="1"/>
  <c r="K242" i="17"/>
  <c r="J182" i="17"/>
  <c r="M182" i="17" s="1"/>
  <c r="Q182" i="17"/>
  <c r="K240" i="17"/>
  <c r="Q180" i="17"/>
  <c r="J180" i="17"/>
  <c r="M180" i="17" s="1"/>
  <c r="K238" i="17"/>
  <c r="Q178" i="17"/>
  <c r="J178" i="17"/>
  <c r="M178" i="17" s="1"/>
  <c r="J176" i="17"/>
  <c r="M176" i="17" s="1"/>
  <c r="Q176" i="17"/>
  <c r="K236" i="17"/>
  <c r="K234" i="17"/>
  <c r="Q174" i="17"/>
  <c r="J174" i="17"/>
  <c r="M174" i="17" s="1"/>
  <c r="K232" i="17"/>
  <c r="J172" i="17"/>
  <c r="M172" i="17" s="1"/>
  <c r="Q172" i="17"/>
  <c r="K230" i="17"/>
  <c r="Q170" i="17"/>
  <c r="J170" i="17"/>
  <c r="M170" i="17" s="1"/>
  <c r="K228" i="17"/>
  <c r="Q168" i="17"/>
  <c r="J168" i="17"/>
  <c r="M168" i="17" s="1"/>
  <c r="K226" i="17"/>
  <c r="Q166" i="17"/>
  <c r="J166" i="17"/>
  <c r="M166" i="17" s="1"/>
  <c r="J164" i="17"/>
  <c r="N164" i="17" s="1"/>
  <c r="K224" i="17"/>
  <c r="Q164" i="17"/>
  <c r="Q160" i="17"/>
  <c r="K220" i="17"/>
  <c r="J160" i="17"/>
  <c r="M160" i="17" s="1"/>
  <c r="L247" i="17"/>
  <c r="N187" i="17"/>
  <c r="L245" i="17"/>
  <c r="N185" i="17"/>
  <c r="L243" i="17"/>
  <c r="L241" i="17"/>
  <c r="N181" i="17"/>
  <c r="L239" i="17"/>
  <c r="N179" i="17"/>
  <c r="L237" i="17"/>
  <c r="L235" i="17"/>
  <c r="L233" i="17"/>
  <c r="L231" i="17"/>
  <c r="L229" i="17"/>
  <c r="L290" i="17" s="1"/>
  <c r="L352" i="17" s="1"/>
  <c r="L227" i="17"/>
  <c r="L225" i="17"/>
  <c r="L223" i="17"/>
  <c r="L219" i="17"/>
  <c r="L295" i="1"/>
  <c r="L399" i="1" s="1"/>
  <c r="G193" i="13"/>
  <c r="J193" i="13" s="1"/>
  <c r="K191" i="1"/>
  <c r="K195" i="1"/>
  <c r="N195" i="1" s="1"/>
  <c r="L299" i="1"/>
  <c r="L403" i="1" s="1"/>
  <c r="G197" i="13"/>
  <c r="J197" i="13" s="1"/>
  <c r="L304" i="1"/>
  <c r="L408" i="1" s="1"/>
  <c r="G202" i="13"/>
  <c r="L202" i="1"/>
  <c r="K200" i="1"/>
  <c r="K201" i="1"/>
  <c r="N201" i="1" s="1"/>
  <c r="L305" i="1"/>
  <c r="L409" i="1" s="1"/>
  <c r="G203" i="13"/>
  <c r="J203" i="13" s="1"/>
  <c r="L307" i="1"/>
  <c r="L411" i="1" s="1"/>
  <c r="L517" i="1" s="1"/>
  <c r="L623" i="1" s="1"/>
  <c r="G205" i="13"/>
  <c r="J205" i="13" s="1"/>
  <c r="K203" i="1"/>
  <c r="N203" i="1" s="1"/>
  <c r="L313" i="1"/>
  <c r="L417" i="1" s="1"/>
  <c r="G211" i="13"/>
  <c r="J211" i="13" s="1"/>
  <c r="K209" i="1"/>
  <c r="N209" i="1" s="1"/>
  <c r="K213" i="1"/>
  <c r="L317" i="1"/>
  <c r="L421" i="1" s="1"/>
  <c r="G215" i="13"/>
  <c r="L215" i="1"/>
  <c r="L318" i="1"/>
  <c r="L422" i="1" s="1"/>
  <c r="G216" i="13"/>
  <c r="K214" i="1"/>
  <c r="N214" i="1" s="1"/>
  <c r="M299" i="1"/>
  <c r="M403" i="1" s="1"/>
  <c r="O195" i="1"/>
  <c r="M304" i="1"/>
  <c r="M408" i="1" s="1"/>
  <c r="M202" i="1"/>
  <c r="M305" i="1"/>
  <c r="M409" i="1" s="1"/>
  <c r="M307" i="1"/>
  <c r="M411" i="1" s="1"/>
  <c r="M313" i="1"/>
  <c r="M417" i="1" s="1"/>
  <c r="M317" i="1"/>
  <c r="M421" i="1" s="1"/>
  <c r="O213" i="1"/>
  <c r="M215" i="1"/>
  <c r="M318" i="1"/>
  <c r="M422" i="1" s="1"/>
  <c r="L297" i="1"/>
  <c r="L401" i="1" s="1"/>
  <c r="G195" i="13"/>
  <c r="J195" i="13" s="1"/>
  <c r="K193" i="1"/>
  <c r="N193" i="1" s="1"/>
  <c r="M297" i="1"/>
  <c r="M401" i="1" s="1"/>
  <c r="K198" i="1"/>
  <c r="N198" i="1" s="1"/>
  <c r="L302" i="1"/>
  <c r="L406" i="1" s="1"/>
  <c r="G200" i="13"/>
  <c r="J200" i="13" s="1"/>
  <c r="L300" i="1"/>
  <c r="L404" i="1" s="1"/>
  <c r="L199" i="1"/>
  <c r="G198" i="13"/>
  <c r="K196" i="1"/>
  <c r="M301" i="1"/>
  <c r="M405" i="1" s="1"/>
  <c r="L311" i="1"/>
  <c r="L415" i="1" s="1"/>
  <c r="G209" i="13"/>
  <c r="J209" i="13" s="1"/>
  <c r="K207" i="1"/>
  <c r="N207" i="1" s="1"/>
  <c r="K205" i="1"/>
  <c r="N205" i="1" s="1"/>
  <c r="L309" i="1"/>
  <c r="L413" i="1" s="1"/>
  <c r="G207" i="13"/>
  <c r="J207" i="13" s="1"/>
  <c r="M311" i="1"/>
  <c r="M415" i="1" s="1"/>
  <c r="M309" i="1"/>
  <c r="M413" i="1" s="1"/>
  <c r="L315" i="1"/>
  <c r="L419" i="1" s="1"/>
  <c r="K211" i="1"/>
  <c r="N211" i="1" s="1"/>
  <c r="G213" i="13"/>
  <c r="J213" i="13" s="1"/>
  <c r="M315" i="1"/>
  <c r="M419" i="1" s="1"/>
  <c r="K192" i="1"/>
  <c r="L296" i="1"/>
  <c r="L400" i="1" s="1"/>
  <c r="L194" i="1"/>
  <c r="G194" i="13"/>
  <c r="M296" i="1"/>
  <c r="M400" i="1" s="1"/>
  <c r="M194" i="1"/>
  <c r="O192" i="1"/>
  <c r="K197" i="1"/>
  <c r="N197" i="1" s="1"/>
  <c r="L301" i="1"/>
  <c r="L405" i="1" s="1"/>
  <c r="G199" i="13"/>
  <c r="J199" i="13" s="1"/>
  <c r="M302" i="1"/>
  <c r="M406" i="1" s="1"/>
  <c r="M300" i="1"/>
  <c r="M404" i="1" s="1"/>
  <c r="M199" i="1"/>
  <c r="O196" i="1"/>
  <c r="L310" i="1"/>
  <c r="L414" i="1" s="1"/>
  <c r="G208" i="13"/>
  <c r="J208" i="13" s="1"/>
  <c r="K206" i="1"/>
  <c r="N206" i="1" s="1"/>
  <c r="L308" i="1"/>
  <c r="L412" i="1" s="1"/>
  <c r="G206" i="13"/>
  <c r="L208" i="1"/>
  <c r="K204" i="1"/>
  <c r="M310" i="1"/>
  <c r="M414" i="1" s="1"/>
  <c r="O206" i="1"/>
  <c r="M308" i="1"/>
  <c r="M412" i="1" s="1"/>
  <c r="O204" i="1"/>
  <c r="M208" i="1"/>
  <c r="G212" i="13"/>
  <c r="L314" i="1"/>
  <c r="L418" i="1" s="1"/>
  <c r="L524" i="1" s="1"/>
  <c r="L630" i="1" s="1"/>
  <c r="K210" i="1"/>
  <c r="L212" i="1"/>
  <c r="M314" i="1"/>
  <c r="M418" i="1" s="1"/>
  <c r="M212" i="1"/>
  <c r="O210" i="1"/>
  <c r="Q74" i="17"/>
  <c r="J74" i="17"/>
  <c r="M74" i="17" s="1"/>
  <c r="Q80" i="17"/>
  <c r="J80" i="17"/>
  <c r="Q89" i="17"/>
  <c r="J89" i="17"/>
  <c r="M89" i="17" s="1"/>
  <c r="Q98" i="17"/>
  <c r="J98" i="17"/>
  <c r="M98" i="17" s="1"/>
  <c r="N89" i="17"/>
  <c r="Q78" i="17"/>
  <c r="J78" i="17"/>
  <c r="M78" i="17" s="1"/>
  <c r="Q76" i="17"/>
  <c r="J76" i="17"/>
  <c r="M76" i="17" s="1"/>
  <c r="Q85" i="17"/>
  <c r="J85" i="17"/>
  <c r="M85" i="17" s="1"/>
  <c r="Q83" i="17"/>
  <c r="J83" i="17"/>
  <c r="M83" i="17" s="1"/>
  <c r="Q81" i="17"/>
  <c r="J81" i="17"/>
  <c r="K87" i="17"/>
  <c r="G31" i="15" s="1"/>
  <c r="N85" i="17"/>
  <c r="L87" i="17"/>
  <c r="Q95" i="17"/>
  <c r="J95" i="17"/>
  <c r="M95" i="17" s="1"/>
  <c r="Q93" i="17"/>
  <c r="J93" i="17"/>
  <c r="Q91" i="17"/>
  <c r="J91" i="17"/>
  <c r="M91" i="17" s="1"/>
  <c r="N93" i="17"/>
  <c r="Q127" i="17"/>
  <c r="J127" i="17"/>
  <c r="M127" i="17" s="1"/>
  <c r="Q125" i="17"/>
  <c r="J125" i="17"/>
  <c r="M125" i="17" s="1"/>
  <c r="Q123" i="17"/>
  <c r="J123" i="17"/>
  <c r="M123" i="17" s="1"/>
  <c r="Q121" i="17"/>
  <c r="J121" i="17"/>
  <c r="M121" i="17" s="1"/>
  <c r="Q119" i="17"/>
  <c r="J119" i="17"/>
  <c r="M119" i="17" s="1"/>
  <c r="Q117" i="17"/>
  <c r="J117" i="17"/>
  <c r="M117" i="17" s="1"/>
  <c r="Q115" i="17"/>
  <c r="J115" i="17"/>
  <c r="M115" i="17" s="1"/>
  <c r="Q113" i="17"/>
  <c r="J113" i="17"/>
  <c r="M113" i="17" s="1"/>
  <c r="Q111" i="17"/>
  <c r="J111" i="17"/>
  <c r="M111" i="17" s="1"/>
  <c r="Q109" i="17"/>
  <c r="J109" i="17"/>
  <c r="M109" i="17" s="1"/>
  <c r="Q107" i="17"/>
  <c r="J107" i="17"/>
  <c r="M107" i="17" s="1"/>
  <c r="Q105" i="17"/>
  <c r="J105" i="17"/>
  <c r="M105" i="17" s="1"/>
  <c r="Q103" i="17"/>
  <c r="J103" i="17"/>
  <c r="N103" i="17" s="1"/>
  <c r="Q101" i="17"/>
  <c r="J101" i="17"/>
  <c r="M101" i="17" s="1"/>
  <c r="Q99" i="17"/>
  <c r="J99" i="17"/>
  <c r="M99" i="17" s="1"/>
  <c r="L102" i="17"/>
  <c r="L162" i="17" s="1"/>
  <c r="L222" i="17" s="1"/>
  <c r="L282" i="17" s="1"/>
  <c r="L344" i="17" s="1"/>
  <c r="L406" i="17" s="1"/>
  <c r="L468" i="17" s="1"/>
  <c r="L530" i="17" s="1"/>
  <c r="Q77" i="17"/>
  <c r="J77" i="17"/>
  <c r="M77" i="17" s="1"/>
  <c r="Q75" i="17"/>
  <c r="K79" i="17"/>
  <c r="J75" i="17"/>
  <c r="N77" i="17"/>
  <c r="L79" i="17"/>
  <c r="Q84" i="17"/>
  <c r="J84" i="17"/>
  <c r="M84" i="17" s="1"/>
  <c r="Q82" i="17"/>
  <c r="J82" i="17"/>
  <c r="M82" i="17" s="1"/>
  <c r="Q86" i="17"/>
  <c r="J86" i="17"/>
  <c r="M86" i="17" s="1"/>
  <c r="Q94" i="17"/>
  <c r="J94" i="17"/>
  <c r="M94" i="17" s="1"/>
  <c r="Q92" i="17"/>
  <c r="J92" i="17"/>
  <c r="M92" i="17" s="1"/>
  <c r="Q90" i="17"/>
  <c r="J90" i="17"/>
  <c r="K96" i="17"/>
  <c r="K97" i="17" s="1"/>
  <c r="G34" i="15" s="1"/>
  <c r="G36" i="15" s="1"/>
  <c r="N94" i="17"/>
  <c r="L96" i="17"/>
  <c r="Q126" i="17"/>
  <c r="J126" i="17"/>
  <c r="M126" i="17" s="1"/>
  <c r="Q124" i="17"/>
  <c r="J124" i="17"/>
  <c r="M124" i="17" s="1"/>
  <c r="Q122" i="17"/>
  <c r="J122" i="17"/>
  <c r="M122" i="17" s="1"/>
  <c r="Q120" i="17"/>
  <c r="J120" i="17"/>
  <c r="M120" i="17" s="1"/>
  <c r="Q118" i="17"/>
  <c r="J118" i="17"/>
  <c r="M118" i="17" s="1"/>
  <c r="Q116" i="17"/>
  <c r="J116" i="17"/>
  <c r="M116" i="17" s="1"/>
  <c r="Q114" i="17"/>
  <c r="J114" i="17"/>
  <c r="M114" i="17" s="1"/>
  <c r="Q112" i="17"/>
  <c r="J112" i="17"/>
  <c r="M112" i="17" s="1"/>
  <c r="Q110" i="17"/>
  <c r="J110" i="17"/>
  <c r="M110" i="17" s="1"/>
  <c r="Q108" i="17"/>
  <c r="J108" i="17"/>
  <c r="M108" i="17" s="1"/>
  <c r="Q106" i="17"/>
  <c r="J106" i="17"/>
  <c r="M106" i="17" s="1"/>
  <c r="Q104" i="17"/>
  <c r="J104" i="17"/>
  <c r="N104" i="17" s="1"/>
  <c r="K102" i="17"/>
  <c r="K162" i="17" s="1"/>
  <c r="Q100" i="17"/>
  <c r="J100" i="17"/>
  <c r="M100" i="17" s="1"/>
  <c r="M80" i="1"/>
  <c r="M184" i="1" s="1"/>
  <c r="M81" i="1"/>
  <c r="M185" i="1" s="1"/>
  <c r="L80" i="1"/>
  <c r="L184" i="1" s="1"/>
  <c r="L81" i="1"/>
  <c r="L185" i="1" s="1"/>
  <c r="M79" i="1"/>
  <c r="M183" i="1" s="1"/>
  <c r="L79" i="1"/>
  <c r="L183" i="1" s="1"/>
  <c r="M76" i="1"/>
  <c r="M180" i="1" s="1"/>
  <c r="M77" i="1"/>
  <c r="M181" i="1" s="1"/>
  <c r="L76" i="1"/>
  <c r="L180" i="1" s="1"/>
  <c r="L77" i="1"/>
  <c r="L181" i="1" s="1"/>
  <c r="M75" i="1"/>
  <c r="M179" i="1" s="1"/>
  <c r="L75" i="1"/>
  <c r="L179" i="1" s="1"/>
  <c r="M71" i="1"/>
  <c r="M175" i="1" s="1"/>
  <c r="M72" i="1"/>
  <c r="M176" i="1" s="1"/>
  <c r="L71" i="1"/>
  <c r="L175" i="1" s="1"/>
  <c r="L72" i="1"/>
  <c r="L176" i="1" s="1"/>
  <c r="O203" i="1" l="1"/>
  <c r="K1457" i="1"/>
  <c r="N1457" i="1" s="1"/>
  <c r="L1564" i="1"/>
  <c r="G1462" i="13"/>
  <c r="J1462" i="13" s="1"/>
  <c r="L592" i="17"/>
  <c r="L654" i="17" s="1"/>
  <c r="L716" i="17" s="1"/>
  <c r="L778" i="17" s="1"/>
  <c r="L840" i="17" s="1"/>
  <c r="L902" i="17" s="1"/>
  <c r="L964" i="17" s="1"/>
  <c r="L1026" i="17" s="1"/>
  <c r="L1088" i="17" s="1"/>
  <c r="L1150" i="17" s="1"/>
  <c r="L1212" i="17" s="1"/>
  <c r="L1274" i="17" s="1"/>
  <c r="L1336" i="17" s="1"/>
  <c r="L414" i="17"/>
  <c r="N352" i="17"/>
  <c r="Q352" i="17"/>
  <c r="K414" i="17"/>
  <c r="J352" i="17"/>
  <c r="M352" i="17" s="1"/>
  <c r="N134" i="17"/>
  <c r="I1396" i="16"/>
  <c r="F1488" i="16"/>
  <c r="L594" i="17"/>
  <c r="L656" i="17" s="1"/>
  <c r="L718" i="17" s="1"/>
  <c r="L780" i="17" s="1"/>
  <c r="Q79" i="17"/>
  <c r="H30" i="15" s="1"/>
  <c r="O193" i="1"/>
  <c r="N183" i="17"/>
  <c r="N152" i="17"/>
  <c r="N145" i="17"/>
  <c r="M1564" i="1"/>
  <c r="O1457" i="1"/>
  <c r="L351" i="17"/>
  <c r="J289" i="17"/>
  <c r="M289" i="17" s="1"/>
  <c r="N158" i="17"/>
  <c r="O1350" i="1"/>
  <c r="I1142" i="16"/>
  <c r="J211" i="15" s="1"/>
  <c r="I1661" i="16"/>
  <c r="F1755" i="16"/>
  <c r="I1788" i="16"/>
  <c r="F1883" i="16"/>
  <c r="F1723" i="16"/>
  <c r="F1817" i="16" s="1"/>
  <c r="I1629" i="16"/>
  <c r="F1676" i="16"/>
  <c r="I1584" i="16"/>
  <c r="I1696" i="16"/>
  <c r="I1310" i="16"/>
  <c r="F1401" i="16"/>
  <c r="F1511" i="16"/>
  <c r="F1603" i="16" s="1"/>
  <c r="F1697" i="16" s="1"/>
  <c r="F1791" i="16" s="1"/>
  <c r="I1419" i="16"/>
  <c r="I1420" i="16" s="1"/>
  <c r="J257" i="15" s="1"/>
  <c r="F1420" i="16"/>
  <c r="F1478" i="16"/>
  <c r="F1570" i="16" s="1"/>
  <c r="I1387" i="16"/>
  <c r="I1333" i="16"/>
  <c r="F1424" i="16"/>
  <c r="I1355" i="16"/>
  <c r="F1446" i="16"/>
  <c r="F1515" i="16"/>
  <c r="F1607" i="16" s="1"/>
  <c r="I1423" i="16"/>
  <c r="I1492" i="16"/>
  <c r="I1537" i="16"/>
  <c r="I1179" i="16"/>
  <c r="F1269" i="16"/>
  <c r="F1356" i="16"/>
  <c r="F1447" i="16" s="1"/>
  <c r="I1265" i="16"/>
  <c r="F1352" i="16"/>
  <c r="I1261" i="16"/>
  <c r="F1350" i="16"/>
  <c r="I1259" i="16"/>
  <c r="F1348" i="16"/>
  <c r="I1257" i="16"/>
  <c r="F1346" i="16"/>
  <c r="I1255" i="16"/>
  <c r="F1344" i="16"/>
  <c r="I1253" i="16"/>
  <c r="F1342" i="16"/>
  <c r="I1251" i="16"/>
  <c r="F1337" i="16"/>
  <c r="I1246" i="16"/>
  <c r="F1335" i="16"/>
  <c r="I1244" i="16"/>
  <c r="I1328" i="16"/>
  <c r="I1329" i="16" s="1"/>
  <c r="J242" i="15" s="1"/>
  <c r="F1329" i="16"/>
  <c r="F1351" i="16"/>
  <c r="I1260" i="16"/>
  <c r="F1347" i="16"/>
  <c r="I1256" i="16"/>
  <c r="F1345" i="16"/>
  <c r="I1254" i="16"/>
  <c r="F1343" i="16"/>
  <c r="I1252" i="16"/>
  <c r="F1341" i="16"/>
  <c r="I1250" i="16"/>
  <c r="F1338" i="16"/>
  <c r="I1247" i="16"/>
  <c r="F1336" i="16"/>
  <c r="I1245" i="16"/>
  <c r="F1334" i="16"/>
  <c r="I1243" i="16"/>
  <c r="F1322" i="16"/>
  <c r="I1231" i="16"/>
  <c r="F1319" i="16"/>
  <c r="I1229" i="16"/>
  <c r="I1227" i="16"/>
  <c r="F1317" i="16"/>
  <c r="F1313" i="16"/>
  <c r="I1223" i="16"/>
  <c r="F1311" i="16"/>
  <c r="F1402" i="16" s="1"/>
  <c r="I1221" i="16"/>
  <c r="F1349" i="16"/>
  <c r="I1258" i="16"/>
  <c r="F1307" i="16"/>
  <c r="I1217" i="16"/>
  <c r="F1306" i="16"/>
  <c r="I1216" i="16"/>
  <c r="F1304" i="16"/>
  <c r="I1214" i="16"/>
  <c r="F1302" i="16"/>
  <c r="I1212" i="16"/>
  <c r="F1300" i="16"/>
  <c r="I1210" i="16"/>
  <c r="F1298" i="16"/>
  <c r="I1208" i="16"/>
  <c r="F1321" i="16"/>
  <c r="I1230" i="16"/>
  <c r="F1318" i="16"/>
  <c r="I1228" i="16"/>
  <c r="F1314" i="16"/>
  <c r="I1224" i="16"/>
  <c r="F1312" i="16"/>
  <c r="I1222" i="16"/>
  <c r="F1303" i="16"/>
  <c r="I1213" i="16"/>
  <c r="F1301" i="16"/>
  <c r="I1211" i="16"/>
  <c r="F1299" i="16"/>
  <c r="I1209" i="16"/>
  <c r="I1159" i="16"/>
  <c r="F1249" i="16"/>
  <c r="I1158" i="16"/>
  <c r="I1172" i="16" s="1"/>
  <c r="J214" i="15" s="1"/>
  <c r="J216" i="15" s="1"/>
  <c r="F1248" i="16"/>
  <c r="F1232" i="16"/>
  <c r="I1296" i="16"/>
  <c r="I1332" i="16"/>
  <c r="F1026" i="16"/>
  <c r="F1114" i="16" s="1"/>
  <c r="I938" i="16"/>
  <c r="I1018" i="16"/>
  <c r="J187" i="15" s="1"/>
  <c r="J189" i="15" s="1"/>
  <c r="I1104" i="16"/>
  <c r="F1194" i="16"/>
  <c r="I1088" i="16"/>
  <c r="F1178" i="16"/>
  <c r="I1100" i="16"/>
  <c r="F1190" i="16"/>
  <c r="I1098" i="16"/>
  <c r="F1188" i="16"/>
  <c r="I1096" i="16"/>
  <c r="F1186" i="16"/>
  <c r="I1094" i="16"/>
  <c r="F1184" i="16"/>
  <c r="I1092" i="16"/>
  <c r="F1182" i="16"/>
  <c r="I1090" i="16"/>
  <c r="F1180" i="16"/>
  <c r="F1106" i="16"/>
  <c r="I1105" i="16"/>
  <c r="F1195" i="16"/>
  <c r="I1103" i="16"/>
  <c r="F1193" i="16"/>
  <c r="F1172" i="16"/>
  <c r="I1175" i="16"/>
  <c r="I1101" i="16"/>
  <c r="F1191" i="16"/>
  <c r="I1099" i="16"/>
  <c r="F1189" i="16"/>
  <c r="I1097" i="16"/>
  <c r="F1187" i="16"/>
  <c r="I1095" i="16"/>
  <c r="F1185" i="16"/>
  <c r="I1093" i="16"/>
  <c r="F1183" i="16"/>
  <c r="I1091" i="16"/>
  <c r="F1181" i="16"/>
  <c r="I1086" i="16"/>
  <c r="F1176" i="16"/>
  <c r="I1087" i="16"/>
  <c r="F1177" i="16"/>
  <c r="L736" i="1"/>
  <c r="G634" i="13"/>
  <c r="J634" i="13" s="1"/>
  <c r="L729" i="1"/>
  <c r="G628" i="13"/>
  <c r="M717" i="1"/>
  <c r="J60" i="15"/>
  <c r="J63" i="15" s="1"/>
  <c r="J70" i="15" s="1"/>
  <c r="I293" i="16"/>
  <c r="I338" i="16" s="1"/>
  <c r="F428" i="16"/>
  <c r="I346" i="16"/>
  <c r="I357" i="16" s="1"/>
  <c r="F357" i="16"/>
  <c r="F375" i="16" s="1"/>
  <c r="F420" i="16" s="1"/>
  <c r="M527" i="1"/>
  <c r="M633" i="1" s="1"/>
  <c r="M423" i="1"/>
  <c r="M515" i="1"/>
  <c r="M621" i="1" s="1"/>
  <c r="M514" i="1"/>
  <c r="M410" i="1"/>
  <c r="L423" i="1"/>
  <c r="G427" i="13" s="1"/>
  <c r="L527" i="1"/>
  <c r="L633" i="1" s="1"/>
  <c r="G425" i="13"/>
  <c r="K421" i="1"/>
  <c r="G412" i="13"/>
  <c r="L514" i="1"/>
  <c r="L620" i="1" s="1"/>
  <c r="K408" i="1"/>
  <c r="L410" i="1"/>
  <c r="M528" i="1"/>
  <c r="M634" i="1" s="1"/>
  <c r="K422" i="1"/>
  <c r="N422" i="1" s="1"/>
  <c r="L528" i="1"/>
  <c r="L634" i="1" s="1"/>
  <c r="G426" i="13"/>
  <c r="L515" i="1"/>
  <c r="L621" i="1" s="1"/>
  <c r="G413" i="13"/>
  <c r="J413" i="13" s="1"/>
  <c r="K409" i="1"/>
  <c r="N409" i="1" s="1"/>
  <c r="M420" i="1"/>
  <c r="M524" i="1"/>
  <c r="K414" i="1"/>
  <c r="N414" i="1" s="1"/>
  <c r="L520" i="1"/>
  <c r="L626" i="1" s="1"/>
  <c r="G418" i="13"/>
  <c r="J418" i="13" s="1"/>
  <c r="M512" i="1"/>
  <c r="M618" i="1" s="1"/>
  <c r="L511" i="1"/>
  <c r="L617" i="1" s="1"/>
  <c r="K405" i="1"/>
  <c r="N405" i="1" s="1"/>
  <c r="G409" i="13"/>
  <c r="J409" i="13" s="1"/>
  <c r="M506" i="1"/>
  <c r="M612" i="1" s="1"/>
  <c r="K419" i="1"/>
  <c r="N419" i="1" s="1"/>
  <c r="L525" i="1"/>
  <c r="L631" i="1" s="1"/>
  <c r="G423" i="13"/>
  <c r="J423" i="13" s="1"/>
  <c r="M519" i="1"/>
  <c r="M625" i="1" s="1"/>
  <c r="M511" i="1"/>
  <c r="M617" i="1" s="1"/>
  <c r="O405" i="1"/>
  <c r="L510" i="1"/>
  <c r="L616" i="1" s="1"/>
  <c r="G408" i="13"/>
  <c r="J408" i="13" s="1"/>
  <c r="K404" i="1"/>
  <c r="N404" i="1" s="1"/>
  <c r="K406" i="1"/>
  <c r="N406" i="1" s="1"/>
  <c r="L512" i="1"/>
  <c r="L618" i="1" s="1"/>
  <c r="G410" i="13"/>
  <c r="J410" i="13" s="1"/>
  <c r="K401" i="1"/>
  <c r="N401" i="1" s="1"/>
  <c r="L507" i="1"/>
  <c r="L613" i="1" s="1"/>
  <c r="G405" i="13"/>
  <c r="J405" i="13" s="1"/>
  <c r="M523" i="1"/>
  <c r="M629" i="1" s="1"/>
  <c r="M416" i="1"/>
  <c r="M517" i="1"/>
  <c r="M623" i="1" s="1"/>
  <c r="K623" i="1" s="1"/>
  <c r="M509" i="1"/>
  <c r="M615" i="1" s="1"/>
  <c r="M407" i="1"/>
  <c r="K417" i="1"/>
  <c r="N417" i="1" s="1"/>
  <c r="L523" i="1"/>
  <c r="L629" i="1" s="1"/>
  <c r="G421" i="13"/>
  <c r="J421" i="13" s="1"/>
  <c r="L509" i="1"/>
  <c r="L615" i="1" s="1"/>
  <c r="K403" i="1"/>
  <c r="G407" i="13"/>
  <c r="L407" i="1"/>
  <c r="L505" i="1"/>
  <c r="L611" i="1" s="1"/>
  <c r="G403" i="13"/>
  <c r="K399" i="1"/>
  <c r="L402" i="1"/>
  <c r="M402" i="1"/>
  <c r="G528" i="13"/>
  <c r="J528" i="13" s="1"/>
  <c r="M518" i="1"/>
  <c r="M624" i="1" s="1"/>
  <c r="M520" i="1"/>
  <c r="M626" i="1" s="1"/>
  <c r="K412" i="1"/>
  <c r="N412" i="1" s="1"/>
  <c r="L518" i="1"/>
  <c r="L624" i="1" s="1"/>
  <c r="G416" i="13"/>
  <c r="J416" i="13" s="1"/>
  <c r="M510" i="1"/>
  <c r="M616" i="1" s="1"/>
  <c r="L506" i="1"/>
  <c r="L612" i="1" s="1"/>
  <c r="K400" i="1"/>
  <c r="N400" i="1" s="1"/>
  <c r="G404" i="13"/>
  <c r="J404" i="13" s="1"/>
  <c r="M525" i="1"/>
  <c r="M631" i="1" s="1"/>
  <c r="O205" i="1"/>
  <c r="M521" i="1"/>
  <c r="M627" i="1" s="1"/>
  <c r="L519" i="1"/>
  <c r="L625" i="1" s="1"/>
  <c r="G417" i="13"/>
  <c r="J417" i="13" s="1"/>
  <c r="K413" i="1"/>
  <c r="N413" i="1" s="1"/>
  <c r="L521" i="1"/>
  <c r="G419" i="13"/>
  <c r="J419" i="13" s="1"/>
  <c r="K415" i="1"/>
  <c r="N415" i="1" s="1"/>
  <c r="M507" i="1"/>
  <c r="M613" i="1" s="1"/>
  <c r="O209" i="1"/>
  <c r="O201" i="1"/>
  <c r="G217" i="13"/>
  <c r="G522" i="13"/>
  <c r="Q290" i="17"/>
  <c r="J290" i="17"/>
  <c r="M290" i="17" s="1"/>
  <c r="N99" i="17"/>
  <c r="K278" i="17"/>
  <c r="K340" i="17" s="1"/>
  <c r="Q218" i="17"/>
  <c r="J218" i="17"/>
  <c r="M218" i="17" s="1"/>
  <c r="Q209" i="17"/>
  <c r="J209" i="17"/>
  <c r="M209" i="17" s="1"/>
  <c r="K269" i="17"/>
  <c r="K331" i="17" s="1"/>
  <c r="Q200" i="17"/>
  <c r="K260" i="17"/>
  <c r="K322" i="17" s="1"/>
  <c r="J200" i="17"/>
  <c r="M200" i="17" s="1"/>
  <c r="N115" i="17"/>
  <c r="N161" i="17"/>
  <c r="N165" i="17"/>
  <c r="N175" i="17"/>
  <c r="N151" i="17"/>
  <c r="L278" i="17"/>
  <c r="L340" i="17" s="1"/>
  <c r="L269" i="17"/>
  <c r="L331" i="17" s="1"/>
  <c r="L260" i="17"/>
  <c r="L322" i="17" s="1"/>
  <c r="L254" i="17"/>
  <c r="L316" i="17" s="1"/>
  <c r="K254" i="17"/>
  <c r="K316" i="17" s="1"/>
  <c r="J194" i="17"/>
  <c r="M194" i="17" s="1"/>
  <c r="Q194" i="17"/>
  <c r="L287" i="17"/>
  <c r="L349" i="17" s="1"/>
  <c r="N107" i="17"/>
  <c r="N123" i="17"/>
  <c r="N163" i="17"/>
  <c r="N167" i="17"/>
  <c r="N169" i="17"/>
  <c r="N171" i="17"/>
  <c r="N173" i="17"/>
  <c r="N177" i="17"/>
  <c r="N142" i="17"/>
  <c r="N144" i="17"/>
  <c r="K287" i="17"/>
  <c r="K349" i="17" s="1"/>
  <c r="N155" i="17"/>
  <c r="N143" i="17"/>
  <c r="N136" i="17"/>
  <c r="N106" i="17"/>
  <c r="N91" i="17"/>
  <c r="N95" i="17"/>
  <c r="N76" i="17"/>
  <c r="L279" i="17"/>
  <c r="L341" i="17" s="1"/>
  <c r="L283" i="17"/>
  <c r="L345" i="17" s="1"/>
  <c r="L285" i="17"/>
  <c r="L347" i="17" s="1"/>
  <c r="L291" i="17"/>
  <c r="L353" i="17" s="1"/>
  <c r="L293" i="17"/>
  <c r="L355" i="17" s="1"/>
  <c r="L295" i="17"/>
  <c r="L357" i="17" s="1"/>
  <c r="L297" i="17"/>
  <c r="L359" i="17" s="1"/>
  <c r="L299" i="17"/>
  <c r="L361" i="17" s="1"/>
  <c r="L301" i="17"/>
  <c r="L363" i="17" s="1"/>
  <c r="L303" i="17"/>
  <c r="L365" i="17" s="1"/>
  <c r="L305" i="17"/>
  <c r="L367" i="17" s="1"/>
  <c r="L307" i="17"/>
  <c r="L369" i="17" s="1"/>
  <c r="L309" i="17"/>
  <c r="L371" i="17" s="1"/>
  <c r="K280" i="17"/>
  <c r="K342" i="17" s="1"/>
  <c r="Q220" i="17"/>
  <c r="J220" i="17"/>
  <c r="M220" i="17" s="1"/>
  <c r="Q228" i="17"/>
  <c r="K288" i="17"/>
  <c r="K350" i="17" s="1"/>
  <c r="J228" i="17"/>
  <c r="M228" i="17" s="1"/>
  <c r="K294" i="17"/>
  <c r="K356" i="17" s="1"/>
  <c r="Q232" i="17"/>
  <c r="J232" i="17"/>
  <c r="M232" i="17" s="1"/>
  <c r="K298" i="17"/>
  <c r="K360" i="17" s="1"/>
  <c r="J236" i="17"/>
  <c r="M236" i="17" s="1"/>
  <c r="Q236" i="17"/>
  <c r="K302" i="17"/>
  <c r="K364" i="17" s="1"/>
  <c r="Q240" i="17"/>
  <c r="J240" i="17"/>
  <c r="M240" i="17" s="1"/>
  <c r="K306" i="17"/>
  <c r="K368" i="17" s="1"/>
  <c r="Q244" i="17"/>
  <c r="J244" i="17"/>
  <c r="M244" i="17" s="1"/>
  <c r="L157" i="17"/>
  <c r="L274" i="17"/>
  <c r="L336" i="17" s="1"/>
  <c r="M150" i="17"/>
  <c r="J156" i="17"/>
  <c r="M156" i="17" s="1"/>
  <c r="K270" i="17"/>
  <c r="K332" i="17" s="1"/>
  <c r="Q210" i="17"/>
  <c r="J210" i="17"/>
  <c r="N210" i="17" s="1"/>
  <c r="K216" i="17"/>
  <c r="K217" i="17" s="1"/>
  <c r="G64" i="15" s="1"/>
  <c r="G66" i="15" s="1"/>
  <c r="N146" i="17"/>
  <c r="K262" i="17"/>
  <c r="K324" i="17" s="1"/>
  <c r="Q202" i="17"/>
  <c r="J202" i="17"/>
  <c r="M202" i="17" s="1"/>
  <c r="L255" i="17"/>
  <c r="L317" i="17" s="1"/>
  <c r="L199" i="17"/>
  <c r="L257" i="17"/>
  <c r="L319" i="17" s="1"/>
  <c r="J195" i="17"/>
  <c r="K255" i="17"/>
  <c r="K317" i="17" s="1"/>
  <c r="Q195" i="17"/>
  <c r="K199" i="17"/>
  <c r="Q139" i="17"/>
  <c r="N160" i="17"/>
  <c r="N166" i="17"/>
  <c r="L288" i="17"/>
  <c r="L350" i="17" s="1"/>
  <c r="N228" i="17"/>
  <c r="N170" i="17"/>
  <c r="L294" i="17"/>
  <c r="L356" i="17" s="1"/>
  <c r="N232" i="17"/>
  <c r="N174" i="17"/>
  <c r="L298" i="17"/>
  <c r="L360" i="17" s="1"/>
  <c r="N178" i="17"/>
  <c r="L302" i="17"/>
  <c r="L364" i="17" s="1"/>
  <c r="L304" i="17"/>
  <c r="L366" i="17" s="1"/>
  <c r="L428" i="17" s="1"/>
  <c r="L306" i="17"/>
  <c r="L368" i="17" s="1"/>
  <c r="N186" i="17"/>
  <c r="M159" i="17"/>
  <c r="K279" i="17"/>
  <c r="K341" i="17" s="1"/>
  <c r="Q219" i="17"/>
  <c r="J219" i="17"/>
  <c r="M219" i="17" s="1"/>
  <c r="K285" i="17"/>
  <c r="K347" i="17" s="1"/>
  <c r="Q225" i="17"/>
  <c r="J225" i="17"/>
  <c r="M225" i="17" s="1"/>
  <c r="K291" i="17"/>
  <c r="K353" i="17" s="1"/>
  <c r="Q229" i="17"/>
  <c r="J229" i="17"/>
  <c r="M229" i="17" s="1"/>
  <c r="K295" i="17"/>
  <c r="K357" i="17" s="1"/>
  <c r="J233" i="17"/>
  <c r="M233" i="17" s="1"/>
  <c r="Q233" i="17"/>
  <c r="K299" i="17"/>
  <c r="K361" i="17" s="1"/>
  <c r="Q237" i="17"/>
  <c r="J237" i="17"/>
  <c r="M237" i="17" s="1"/>
  <c r="K303" i="17"/>
  <c r="K365" i="17" s="1"/>
  <c r="Q241" i="17"/>
  <c r="J241" i="17"/>
  <c r="M241" i="17" s="1"/>
  <c r="K307" i="17"/>
  <c r="K369" i="17" s="1"/>
  <c r="Q245" i="17"/>
  <c r="J245" i="17"/>
  <c r="M245" i="17" s="1"/>
  <c r="L275" i="17"/>
  <c r="L337" i="17" s="1"/>
  <c r="J213" i="17"/>
  <c r="N213" i="17" s="1"/>
  <c r="K273" i="17"/>
  <c r="K335" i="17" s="1"/>
  <c r="Q213" i="17"/>
  <c r="K275" i="17"/>
  <c r="K337" i="17" s="1"/>
  <c r="Q215" i="17"/>
  <c r="J215" i="17"/>
  <c r="M215" i="17" s="1"/>
  <c r="L263" i="17"/>
  <c r="L325" i="17" s="1"/>
  <c r="M141" i="17"/>
  <c r="J147" i="17"/>
  <c r="M147" i="17" s="1"/>
  <c r="K263" i="17"/>
  <c r="K325" i="17" s="1"/>
  <c r="Q203" i="17"/>
  <c r="J203" i="17"/>
  <c r="M203" i="17" s="1"/>
  <c r="L256" i="17"/>
  <c r="L318" i="17" s="1"/>
  <c r="K256" i="17"/>
  <c r="K318" i="17" s="1"/>
  <c r="Q196" i="17"/>
  <c r="J196" i="17"/>
  <c r="M196" i="17" s="1"/>
  <c r="K258" i="17"/>
  <c r="K320" i="17" s="1"/>
  <c r="J198" i="17"/>
  <c r="M198" i="17" s="1"/>
  <c r="Q198" i="17"/>
  <c r="K222" i="17"/>
  <c r="Q162" i="17"/>
  <c r="J162" i="17"/>
  <c r="J188" i="17" s="1"/>
  <c r="N82" i="17"/>
  <c r="N114" i="17"/>
  <c r="L188" i="17"/>
  <c r="J224" i="17"/>
  <c r="N224" i="17" s="1"/>
  <c r="K284" i="17"/>
  <c r="K346" i="17" s="1"/>
  <c r="Q224" i="17"/>
  <c r="K286" i="17"/>
  <c r="K348" i="17" s="1"/>
  <c r="J226" i="17"/>
  <c r="M226" i="17" s="1"/>
  <c r="Q226" i="17"/>
  <c r="Q230" i="17"/>
  <c r="K292" i="17"/>
  <c r="K354" i="17" s="1"/>
  <c r="J230" i="17"/>
  <c r="M230" i="17" s="1"/>
  <c r="J234" i="17"/>
  <c r="M234" i="17" s="1"/>
  <c r="K296" i="17"/>
  <c r="K358" i="17" s="1"/>
  <c r="Q234" i="17"/>
  <c r="Q238" i="17"/>
  <c r="K300" i="17"/>
  <c r="K362" i="17" s="1"/>
  <c r="J238" i="17"/>
  <c r="M238" i="17" s="1"/>
  <c r="Q188" i="17"/>
  <c r="Q189" i="17" s="1"/>
  <c r="K304" i="17"/>
  <c r="K366" i="17" s="1"/>
  <c r="Q242" i="17"/>
  <c r="J242" i="17"/>
  <c r="M242" i="17" s="1"/>
  <c r="K308" i="17"/>
  <c r="K370" i="17" s="1"/>
  <c r="Q246" i="17"/>
  <c r="J246" i="17"/>
  <c r="M246" i="17" s="1"/>
  <c r="L270" i="17"/>
  <c r="L332" i="17" s="1"/>
  <c r="L216" i="17"/>
  <c r="L272" i="17"/>
  <c r="L334" i="17" s="1"/>
  <c r="N154" i="17"/>
  <c r="K272" i="17"/>
  <c r="K334" i="17" s="1"/>
  <c r="Q212" i="17"/>
  <c r="J212" i="17"/>
  <c r="M212" i="17" s="1"/>
  <c r="Q214" i="17"/>
  <c r="K274" i="17"/>
  <c r="K336" i="17" s="1"/>
  <c r="J214" i="17"/>
  <c r="M214" i="17" s="1"/>
  <c r="Q206" i="17"/>
  <c r="K266" i="17"/>
  <c r="K328" i="17" s="1"/>
  <c r="J206" i="17"/>
  <c r="M206" i="17" s="1"/>
  <c r="L262" i="17"/>
  <c r="L324" i="17" s="1"/>
  <c r="L264" i="17"/>
  <c r="L326" i="17" s="1"/>
  <c r="L266" i="17"/>
  <c r="L328" i="17" s="1"/>
  <c r="N206" i="17"/>
  <c r="Q204" i="17"/>
  <c r="K264" i="17"/>
  <c r="K326" i="17" s="1"/>
  <c r="J204" i="17"/>
  <c r="M204" i="17" s="1"/>
  <c r="L148" i="17"/>
  <c r="K148" i="17"/>
  <c r="G45" i="15"/>
  <c r="G48" i="15" s="1"/>
  <c r="M135" i="17"/>
  <c r="J139" i="17"/>
  <c r="Q197" i="17"/>
  <c r="K257" i="17"/>
  <c r="K319" i="17" s="1"/>
  <c r="J197" i="17"/>
  <c r="M197" i="17" s="1"/>
  <c r="L280" i="17"/>
  <c r="L342" i="17" s="1"/>
  <c r="L286" i="17"/>
  <c r="L348" i="17" s="1"/>
  <c r="N168" i="17"/>
  <c r="L292" i="17"/>
  <c r="L354" i="17" s="1"/>
  <c r="N172" i="17"/>
  <c r="L296" i="17"/>
  <c r="L358" i="17" s="1"/>
  <c r="N176" i="17"/>
  <c r="L300" i="17"/>
  <c r="L362" i="17" s="1"/>
  <c r="N238" i="17"/>
  <c r="N180" i="17"/>
  <c r="N182" i="17"/>
  <c r="N184" i="17"/>
  <c r="L308" i="17"/>
  <c r="L370" i="17" s="1"/>
  <c r="K188" i="17"/>
  <c r="K189" i="17" s="1"/>
  <c r="K283" i="17"/>
  <c r="K345" i="17" s="1"/>
  <c r="Q223" i="17"/>
  <c r="J223" i="17"/>
  <c r="N223" i="17" s="1"/>
  <c r="Q227" i="17"/>
  <c r="J227" i="17"/>
  <c r="M227" i="17" s="1"/>
  <c r="K293" i="17"/>
  <c r="K355" i="17" s="1"/>
  <c r="Q231" i="17"/>
  <c r="J231" i="17"/>
  <c r="M231" i="17" s="1"/>
  <c r="K297" i="17"/>
  <c r="K359" i="17" s="1"/>
  <c r="Q235" i="17"/>
  <c r="J235" i="17"/>
  <c r="M235" i="17" s="1"/>
  <c r="K301" i="17"/>
  <c r="K363" i="17" s="1"/>
  <c r="J239" i="17"/>
  <c r="M239" i="17" s="1"/>
  <c r="Q239" i="17"/>
  <c r="K305" i="17"/>
  <c r="K367" i="17" s="1"/>
  <c r="J243" i="17"/>
  <c r="M243" i="17" s="1"/>
  <c r="Q243" i="17"/>
  <c r="K309" i="17"/>
  <c r="K371" i="17" s="1"/>
  <c r="J247" i="17"/>
  <c r="M247" i="17" s="1"/>
  <c r="Q247" i="17"/>
  <c r="L271" i="17"/>
  <c r="L333" i="17" s="1"/>
  <c r="L273" i="17"/>
  <c r="L335" i="17" s="1"/>
  <c r="Q211" i="17"/>
  <c r="K271" i="17"/>
  <c r="K333" i="17" s="1"/>
  <c r="J211" i="17"/>
  <c r="M211" i="17" s="1"/>
  <c r="Q156" i="17"/>
  <c r="Q157" i="17" s="1"/>
  <c r="H49" i="15" s="1"/>
  <c r="H51" i="15" s="1"/>
  <c r="L261" i="17"/>
  <c r="L323" i="17" s="1"/>
  <c r="L207" i="17"/>
  <c r="L265" i="17"/>
  <c r="L327" i="17" s="1"/>
  <c r="Q147" i="17"/>
  <c r="H46" i="15" s="1"/>
  <c r="Q201" i="17"/>
  <c r="K261" i="17"/>
  <c r="K323" i="17" s="1"/>
  <c r="J201" i="17"/>
  <c r="N201" i="17" s="1"/>
  <c r="K207" i="17"/>
  <c r="G61" i="15" s="1"/>
  <c r="Q205" i="17"/>
  <c r="K265" i="17"/>
  <c r="K327" i="17" s="1"/>
  <c r="J205" i="17"/>
  <c r="M205" i="17" s="1"/>
  <c r="L258" i="17"/>
  <c r="L320" i="17" s="1"/>
  <c r="K418" i="1"/>
  <c r="G422" i="13"/>
  <c r="L420" i="1"/>
  <c r="G415" i="13"/>
  <c r="K411" i="1"/>
  <c r="L416" i="1"/>
  <c r="M283" i="1"/>
  <c r="M387" i="1" s="1"/>
  <c r="M287" i="1"/>
  <c r="M391" i="1" s="1"/>
  <c r="K318" i="1"/>
  <c r="N318" i="1" s="1"/>
  <c r="G321" i="13"/>
  <c r="N213" i="1"/>
  <c r="K215" i="1"/>
  <c r="N215" i="1" s="1"/>
  <c r="G310" i="13"/>
  <c r="J310" i="13" s="1"/>
  <c r="K307" i="1"/>
  <c r="N307" i="1" s="1"/>
  <c r="G308" i="13"/>
  <c r="J308" i="13" s="1"/>
  <c r="K305" i="1"/>
  <c r="N305" i="1" s="1"/>
  <c r="O200" i="1"/>
  <c r="K202" i="1"/>
  <c r="N202" i="1" s="1"/>
  <c r="N200" i="1"/>
  <c r="G204" i="13"/>
  <c r="J202" i="13"/>
  <c r="J204" i="13" s="1"/>
  <c r="L283" i="1"/>
  <c r="L387" i="1" s="1"/>
  <c r="G181" i="13"/>
  <c r="J181" i="13" s="1"/>
  <c r="K179" i="1"/>
  <c r="N179" i="1" s="1"/>
  <c r="L287" i="1"/>
  <c r="L391" i="1" s="1"/>
  <c r="G185" i="13"/>
  <c r="J185" i="13" s="1"/>
  <c r="K183" i="1"/>
  <c r="N183" i="1" s="1"/>
  <c r="O207" i="1"/>
  <c r="O197" i="1"/>
  <c r="O214" i="1"/>
  <c r="M319" i="1"/>
  <c r="O305" i="1"/>
  <c r="M306" i="1"/>
  <c r="K317" i="1"/>
  <c r="O317" i="1" s="1"/>
  <c r="G320" i="13"/>
  <c r="L319" i="1"/>
  <c r="G322" i="13" s="1"/>
  <c r="G316" i="13"/>
  <c r="J316" i="13" s="1"/>
  <c r="K313" i="1"/>
  <c r="N313" i="1" s="1"/>
  <c r="G307" i="13"/>
  <c r="K304" i="1"/>
  <c r="L306" i="1"/>
  <c r="K299" i="1"/>
  <c r="N299" i="1" s="1"/>
  <c r="G302" i="13"/>
  <c r="J302" i="13" s="1"/>
  <c r="O191" i="1"/>
  <c r="N191" i="1"/>
  <c r="G298" i="13"/>
  <c r="J298" i="13" s="1"/>
  <c r="K295" i="1"/>
  <c r="L280" i="1"/>
  <c r="L384" i="1" s="1"/>
  <c r="L490" i="1" s="1"/>
  <c r="G178" i="13"/>
  <c r="J178" i="13" s="1"/>
  <c r="K176" i="1"/>
  <c r="N176" i="1" s="1"/>
  <c r="M280" i="1"/>
  <c r="M384" i="1" s="1"/>
  <c r="M490" i="1" s="1"/>
  <c r="M596" i="1" s="1"/>
  <c r="L285" i="1"/>
  <c r="L389" i="1" s="1"/>
  <c r="K181" i="1"/>
  <c r="N181" i="1" s="1"/>
  <c r="G183" i="13"/>
  <c r="J183" i="13" s="1"/>
  <c r="M285" i="1"/>
  <c r="M389" i="1" s="1"/>
  <c r="K185" i="1"/>
  <c r="N185" i="1" s="1"/>
  <c r="L289" i="1"/>
  <c r="L393" i="1" s="1"/>
  <c r="G187" i="13"/>
  <c r="J187" i="13" s="1"/>
  <c r="M289" i="1"/>
  <c r="M393" i="1" s="1"/>
  <c r="O185" i="1"/>
  <c r="G317" i="13"/>
  <c r="L316" i="1"/>
  <c r="K314" i="1"/>
  <c r="O314" i="1" s="1"/>
  <c r="M312" i="1"/>
  <c r="G311" i="13"/>
  <c r="K308" i="1"/>
  <c r="O308" i="1" s="1"/>
  <c r="L312" i="1"/>
  <c r="M303" i="1"/>
  <c r="K301" i="1"/>
  <c r="N301" i="1" s="1"/>
  <c r="G304" i="13"/>
  <c r="J304" i="13" s="1"/>
  <c r="M298" i="1"/>
  <c r="L216" i="1"/>
  <c r="L217" i="1" s="1"/>
  <c r="D37" i="15" s="1"/>
  <c r="K194" i="1"/>
  <c r="O194" i="1" s="1"/>
  <c r="N192" i="1"/>
  <c r="N196" i="1"/>
  <c r="K199" i="1"/>
  <c r="N199" i="1" s="1"/>
  <c r="K175" i="1"/>
  <c r="O175" i="1" s="1"/>
  <c r="L279" i="1"/>
  <c r="L383" i="1" s="1"/>
  <c r="G177" i="13"/>
  <c r="M279" i="1"/>
  <c r="M383" i="1" s="1"/>
  <c r="M489" i="1" s="1"/>
  <c r="M595" i="1" s="1"/>
  <c r="K180" i="1"/>
  <c r="O180" i="1" s="1"/>
  <c r="L284" i="1"/>
  <c r="L388" i="1" s="1"/>
  <c r="G182" i="13"/>
  <c r="L182" i="1"/>
  <c r="M284" i="1"/>
  <c r="M388" i="1" s="1"/>
  <c r="M182" i="1"/>
  <c r="K184" i="1"/>
  <c r="L288" i="1"/>
  <c r="L392" i="1" s="1"/>
  <c r="L186" i="1"/>
  <c r="G186" i="13"/>
  <c r="M288" i="1"/>
  <c r="M392" i="1" s="1"/>
  <c r="M186" i="1"/>
  <c r="O184" i="1"/>
  <c r="M316" i="1"/>
  <c r="N210" i="1"/>
  <c r="K212" i="1"/>
  <c r="N212" i="1" s="1"/>
  <c r="J212" i="13"/>
  <c r="J214" i="13" s="1"/>
  <c r="G214" i="13"/>
  <c r="N204" i="1"/>
  <c r="K208" i="1"/>
  <c r="N208" i="1" s="1"/>
  <c r="J206" i="13"/>
  <c r="J210" i="13" s="1"/>
  <c r="G210" i="13"/>
  <c r="K310" i="1"/>
  <c r="N310" i="1" s="1"/>
  <c r="G313" i="13"/>
  <c r="J313" i="13" s="1"/>
  <c r="O198" i="1"/>
  <c r="M216" i="1"/>
  <c r="J194" i="13"/>
  <c r="J196" i="13" s="1"/>
  <c r="G196" i="13"/>
  <c r="G299" i="13"/>
  <c r="K296" i="1"/>
  <c r="L298" i="1"/>
  <c r="O211" i="1"/>
  <c r="G318" i="13"/>
  <c r="J318" i="13" s="1"/>
  <c r="K315" i="1"/>
  <c r="N315" i="1" s="1"/>
  <c r="K309" i="1"/>
  <c r="N309" i="1" s="1"/>
  <c r="G312" i="13"/>
  <c r="J312" i="13" s="1"/>
  <c r="K311" i="1"/>
  <c r="N311" i="1" s="1"/>
  <c r="G314" i="13"/>
  <c r="J314" i="13" s="1"/>
  <c r="J198" i="13"/>
  <c r="J201" i="13" s="1"/>
  <c r="G201" i="13"/>
  <c r="K300" i="1"/>
  <c r="O300" i="1" s="1"/>
  <c r="G303" i="13"/>
  <c r="L303" i="1"/>
  <c r="K302" i="1"/>
  <c r="N302" i="1" s="1"/>
  <c r="G305" i="13"/>
  <c r="J305" i="13" s="1"/>
  <c r="G300" i="13"/>
  <c r="J300" i="13" s="1"/>
  <c r="K297" i="1"/>
  <c r="N297" i="1" s="1"/>
  <c r="N122" i="17"/>
  <c r="N80" i="17"/>
  <c r="M80" i="17"/>
  <c r="N111" i="17"/>
  <c r="N119" i="17"/>
  <c r="N127" i="17"/>
  <c r="N84" i="17"/>
  <c r="N110" i="17"/>
  <c r="N118" i="17"/>
  <c r="N126" i="17"/>
  <c r="N98" i="17"/>
  <c r="N74" i="17"/>
  <c r="L97" i="17"/>
  <c r="M90" i="17"/>
  <c r="J96" i="17"/>
  <c r="M96" i="17" s="1"/>
  <c r="N86" i="17"/>
  <c r="L88" i="17"/>
  <c r="M75" i="17"/>
  <c r="J79" i="17"/>
  <c r="M103" i="17"/>
  <c r="J128" i="17"/>
  <c r="M81" i="17"/>
  <c r="J87" i="17"/>
  <c r="M87" i="17" s="1"/>
  <c r="N101" i="17"/>
  <c r="N105" i="17"/>
  <c r="N109" i="17"/>
  <c r="N113" i="17"/>
  <c r="N117" i="17"/>
  <c r="N121" i="17"/>
  <c r="N125" i="17"/>
  <c r="Q102" i="17"/>
  <c r="Q128" i="17" s="1"/>
  <c r="Q129" i="17" s="1"/>
  <c r="J102" i="17"/>
  <c r="N90" i="17"/>
  <c r="N92" i="17"/>
  <c r="Q96" i="17"/>
  <c r="Q97" i="17" s="1"/>
  <c r="H34" i="15" s="1"/>
  <c r="H36" i="15" s="1"/>
  <c r="N75" i="17"/>
  <c r="G30" i="15"/>
  <c r="G33" i="15" s="1"/>
  <c r="K88" i="17"/>
  <c r="N100" i="17"/>
  <c r="N108" i="17"/>
  <c r="N112" i="17"/>
  <c r="N116" i="17"/>
  <c r="N120" i="17"/>
  <c r="N124" i="17"/>
  <c r="K128" i="17"/>
  <c r="K129" i="17" s="1"/>
  <c r="G37" i="15" s="1"/>
  <c r="G39" i="15" s="1"/>
  <c r="N81" i="17"/>
  <c r="N83" i="17"/>
  <c r="Q87" i="17"/>
  <c r="H31" i="15" s="1"/>
  <c r="N78" i="17"/>
  <c r="M70" i="1"/>
  <c r="M174" i="1" s="1"/>
  <c r="M177" i="1" s="1"/>
  <c r="L70" i="1"/>
  <c r="L174" i="1" s="1"/>
  <c r="M61" i="1"/>
  <c r="M165" i="1" s="1"/>
  <c r="M62" i="1"/>
  <c r="M166" i="1" s="1"/>
  <c r="M63" i="1"/>
  <c r="M167" i="1" s="1"/>
  <c r="M64" i="1"/>
  <c r="M168" i="1" s="1"/>
  <c r="M65" i="1"/>
  <c r="M169" i="1" s="1"/>
  <c r="M66" i="1"/>
  <c r="M170" i="1" s="1"/>
  <c r="M67" i="1"/>
  <c r="M171" i="1" s="1"/>
  <c r="M68" i="1"/>
  <c r="M172" i="1" s="1"/>
  <c r="L61" i="1"/>
  <c r="L165" i="1" s="1"/>
  <c r="L62" i="1"/>
  <c r="L166" i="1" s="1"/>
  <c r="L63" i="1"/>
  <c r="L167" i="1" s="1"/>
  <c r="L64" i="1"/>
  <c r="L168" i="1" s="1"/>
  <c r="L65" i="1"/>
  <c r="L169" i="1" s="1"/>
  <c r="L66" i="1"/>
  <c r="L170" i="1" s="1"/>
  <c r="L67" i="1"/>
  <c r="L171" i="1" s="1"/>
  <c r="L68" i="1"/>
  <c r="L172" i="1" s="1"/>
  <c r="M60" i="1"/>
  <c r="M164" i="1" s="1"/>
  <c r="L60" i="1"/>
  <c r="L164" i="1" s="1"/>
  <c r="M50" i="1"/>
  <c r="M154" i="1" s="1"/>
  <c r="M51" i="1"/>
  <c r="M155" i="1" s="1"/>
  <c r="M52" i="1"/>
  <c r="M156" i="1" s="1"/>
  <c r="M53" i="1"/>
  <c r="M157" i="1" s="1"/>
  <c r="M54" i="1"/>
  <c r="M158" i="1" s="1"/>
  <c r="M55" i="1"/>
  <c r="M159" i="1" s="1"/>
  <c r="M56" i="1"/>
  <c r="M160" i="1" s="1"/>
  <c r="L50" i="1"/>
  <c r="L154" i="1" s="1"/>
  <c r="L51" i="1"/>
  <c r="L155" i="1" s="1"/>
  <c r="L52" i="1"/>
  <c r="L156" i="1" s="1"/>
  <c r="L53" i="1"/>
  <c r="L157" i="1" s="1"/>
  <c r="L54" i="1"/>
  <c r="L158" i="1" s="1"/>
  <c r="L55" i="1"/>
  <c r="L159" i="1" s="1"/>
  <c r="L56" i="1"/>
  <c r="L160" i="1" s="1"/>
  <c r="M49" i="1"/>
  <c r="M153" i="1" s="1"/>
  <c r="L49" i="1"/>
  <c r="L153" i="1" s="1"/>
  <c r="M45" i="1"/>
  <c r="M149" i="1" s="1"/>
  <c r="M46" i="1"/>
  <c r="M150" i="1" s="1"/>
  <c r="M47" i="1"/>
  <c r="M151" i="1" s="1"/>
  <c r="L45" i="1"/>
  <c r="L149" i="1" s="1"/>
  <c r="L46" i="1"/>
  <c r="L150" i="1" s="1"/>
  <c r="L47" i="1"/>
  <c r="L151" i="1" s="1"/>
  <c r="M44" i="1"/>
  <c r="M148" i="1" s="1"/>
  <c r="L44" i="1"/>
  <c r="L148" i="1" s="1"/>
  <c r="M40" i="1"/>
  <c r="M144" i="1" s="1"/>
  <c r="M41" i="1"/>
  <c r="M145" i="1" s="1"/>
  <c r="L40" i="1"/>
  <c r="L144" i="1" s="1"/>
  <c r="L41" i="1"/>
  <c r="L145" i="1" s="1"/>
  <c r="M39" i="1"/>
  <c r="M143" i="1" s="1"/>
  <c r="L39" i="1"/>
  <c r="L143" i="1" s="1"/>
  <c r="M36" i="1"/>
  <c r="M140" i="1" s="1"/>
  <c r="M37" i="1"/>
  <c r="M141" i="1" s="1"/>
  <c r="L36" i="1"/>
  <c r="L140" i="1" s="1"/>
  <c r="L37" i="1"/>
  <c r="L141" i="1" s="1"/>
  <c r="M35" i="1"/>
  <c r="M139" i="1" s="1"/>
  <c r="L35" i="1"/>
  <c r="L139" i="1" s="1"/>
  <c r="M28" i="1"/>
  <c r="M132" i="1" s="1"/>
  <c r="M29" i="1"/>
  <c r="M133" i="1" s="1"/>
  <c r="M30" i="1"/>
  <c r="M134" i="1" s="1"/>
  <c r="M31" i="1"/>
  <c r="M135" i="1" s="1"/>
  <c r="M32" i="1"/>
  <c r="M136" i="1" s="1"/>
  <c r="M33" i="1"/>
  <c r="M137" i="1" s="1"/>
  <c r="L28" i="1"/>
  <c r="L132" i="1" s="1"/>
  <c r="L29" i="1"/>
  <c r="L133" i="1" s="1"/>
  <c r="L30" i="1"/>
  <c r="L134" i="1" s="1"/>
  <c r="L31" i="1"/>
  <c r="L135" i="1" s="1"/>
  <c r="L32" i="1"/>
  <c r="L136" i="1" s="1"/>
  <c r="L33" i="1"/>
  <c r="L137" i="1" s="1"/>
  <c r="M27" i="1"/>
  <c r="M131" i="1" s="1"/>
  <c r="L27" i="1"/>
  <c r="L131" i="1" s="1"/>
  <c r="L20" i="1"/>
  <c r="L124" i="1" s="1"/>
  <c r="L21" i="1"/>
  <c r="L125" i="1" s="1"/>
  <c r="L22" i="1"/>
  <c r="L126" i="1" s="1"/>
  <c r="L23" i="1"/>
  <c r="L127" i="1" s="1"/>
  <c r="L24" i="1"/>
  <c r="L128" i="1" s="1"/>
  <c r="L25" i="1"/>
  <c r="L129" i="1" s="1"/>
  <c r="M20" i="1"/>
  <c r="M124" i="1" s="1"/>
  <c r="M21" i="1"/>
  <c r="M125" i="1" s="1"/>
  <c r="M22" i="1"/>
  <c r="M126" i="1" s="1"/>
  <c r="M23" i="1"/>
  <c r="M127" i="1" s="1"/>
  <c r="M24" i="1"/>
  <c r="M128" i="1" s="1"/>
  <c r="M25" i="1"/>
  <c r="M129" i="1" s="1"/>
  <c r="M19" i="1"/>
  <c r="M123" i="1" s="1"/>
  <c r="L19" i="1"/>
  <c r="L123" i="1" s="1"/>
  <c r="M15" i="1"/>
  <c r="M119" i="1" s="1"/>
  <c r="M16" i="1"/>
  <c r="M120" i="1" s="1"/>
  <c r="M17" i="1"/>
  <c r="M121" i="1" s="1"/>
  <c r="L15" i="1"/>
  <c r="L119" i="1" s="1"/>
  <c r="L16" i="1"/>
  <c r="L120" i="1" s="1"/>
  <c r="L17" i="1"/>
  <c r="L121" i="1" s="1"/>
  <c r="M14" i="1"/>
  <c r="M118" i="1" s="1"/>
  <c r="L14" i="1"/>
  <c r="L118" i="1" s="1"/>
  <c r="O176" i="1" l="1"/>
  <c r="L387" i="17"/>
  <c r="L415" i="17"/>
  <c r="L389" i="17"/>
  <c r="K407" i="17"/>
  <c r="J345" i="17"/>
  <c r="M345" i="17" s="1"/>
  <c r="Q345" i="17"/>
  <c r="K388" i="17"/>
  <c r="Q326" i="17"/>
  <c r="J326" i="17"/>
  <c r="M326" i="17" s="1"/>
  <c r="L382" i="17"/>
  <c r="K433" i="17"/>
  <c r="J371" i="17"/>
  <c r="M371" i="17" s="1"/>
  <c r="Q371" i="17"/>
  <c r="K417" i="17"/>
  <c r="J355" i="17"/>
  <c r="M355" i="17" s="1"/>
  <c r="Q355" i="17"/>
  <c r="L416" i="17"/>
  <c r="K390" i="17"/>
  <c r="Q328" i="17"/>
  <c r="J328" i="17"/>
  <c r="M328" i="17" s="1"/>
  <c r="K423" i="17"/>
  <c r="J361" i="17"/>
  <c r="M361" i="17" s="1"/>
  <c r="Q361" i="17"/>
  <c r="Q341" i="17"/>
  <c r="K403" i="17"/>
  <c r="J341" i="17"/>
  <c r="M341" i="17" s="1"/>
  <c r="L422" i="17"/>
  <c r="K379" i="17"/>
  <c r="Q317" i="17"/>
  <c r="J317" i="17"/>
  <c r="M317" i="17" s="1"/>
  <c r="Q332" i="17"/>
  <c r="K394" i="17"/>
  <c r="J332" i="17"/>
  <c r="M332" i="17" s="1"/>
  <c r="L423" i="17"/>
  <c r="N361" i="17"/>
  <c r="L393" i="17"/>
  <c r="L338" i="17"/>
  <c r="N331" i="17"/>
  <c r="L395" i="17"/>
  <c r="L396" i="17"/>
  <c r="J325" i="17"/>
  <c r="M325" i="17" s="1"/>
  <c r="K387" i="17"/>
  <c r="Q325" i="17"/>
  <c r="J335" i="17"/>
  <c r="N335" i="17" s="1"/>
  <c r="K397" i="17"/>
  <c r="Q335" i="17"/>
  <c r="L490" i="17"/>
  <c r="K422" i="17"/>
  <c r="Q360" i="17"/>
  <c r="J360" i="17"/>
  <c r="M360" i="17" s="1"/>
  <c r="L429" i="17"/>
  <c r="L409" i="17"/>
  <c r="Q316" i="17"/>
  <c r="K378" i="17"/>
  <c r="J316" i="17"/>
  <c r="K321" i="17"/>
  <c r="L413" i="17"/>
  <c r="J351" i="17"/>
  <c r="M351" i="17" s="1"/>
  <c r="K389" i="17"/>
  <c r="J327" i="17"/>
  <c r="M327" i="17" s="1"/>
  <c r="Q327" i="17"/>
  <c r="K385" i="17"/>
  <c r="Q323" i="17"/>
  <c r="J323" i="17"/>
  <c r="M323" i="17" s="1"/>
  <c r="K395" i="17"/>
  <c r="Q333" i="17"/>
  <c r="J333" i="17"/>
  <c r="M333" i="17" s="1"/>
  <c r="K425" i="17"/>
  <c r="J363" i="17"/>
  <c r="M363" i="17" s="1"/>
  <c r="Q363" i="17"/>
  <c r="L420" i="17"/>
  <c r="N358" i="17"/>
  <c r="L410" i="17"/>
  <c r="L386" i="17"/>
  <c r="N324" i="17"/>
  <c r="Q370" i="17"/>
  <c r="K432" i="17"/>
  <c r="J370" i="17"/>
  <c r="M370" i="17" s="1"/>
  <c r="Q354" i="17"/>
  <c r="K416" i="17"/>
  <c r="J354" i="17"/>
  <c r="M354" i="17" s="1"/>
  <c r="K410" i="17"/>
  <c r="J348" i="17"/>
  <c r="M348" i="17" s="1"/>
  <c r="Q348" i="17"/>
  <c r="Q320" i="17"/>
  <c r="K382" i="17"/>
  <c r="J320" i="17"/>
  <c r="M320" i="17" s="1"/>
  <c r="L380" i="17"/>
  <c r="K431" i="17"/>
  <c r="Q369" i="17"/>
  <c r="J369" i="17"/>
  <c r="M369" i="17" s="1"/>
  <c r="K415" i="17"/>
  <c r="Q353" i="17"/>
  <c r="J353" i="17"/>
  <c r="M353" i="17" s="1"/>
  <c r="L426" i="17"/>
  <c r="L412" i="17"/>
  <c r="N350" i="17"/>
  <c r="L381" i="17"/>
  <c r="K426" i="17"/>
  <c r="J364" i="17"/>
  <c r="M364" i="17" s="1"/>
  <c r="Q364" i="17"/>
  <c r="J350" i="17"/>
  <c r="M350" i="17" s="1"/>
  <c r="K412" i="17"/>
  <c r="Q350" i="17"/>
  <c r="K404" i="17"/>
  <c r="Q342" i="17"/>
  <c r="J342" i="17"/>
  <c r="M342" i="17" s="1"/>
  <c r="L427" i="17"/>
  <c r="N365" i="17"/>
  <c r="L419" i="17"/>
  <c r="L407" i="17"/>
  <c r="L411" i="17"/>
  <c r="L378" i="17"/>
  <c r="N316" i="17"/>
  <c r="L321" i="17"/>
  <c r="K393" i="17"/>
  <c r="Q331" i="17"/>
  <c r="K338" i="17"/>
  <c r="J331" i="17"/>
  <c r="L842" i="17"/>
  <c r="L904" i="17" s="1"/>
  <c r="L966" i="17" s="1"/>
  <c r="L1028" i="17" s="1"/>
  <c r="L1090" i="17" s="1"/>
  <c r="L476" i="17"/>
  <c r="K1564" i="1"/>
  <c r="N1564" i="1" s="1"/>
  <c r="L1671" i="1"/>
  <c r="G1569" i="13"/>
  <c r="J1569" i="13" s="1"/>
  <c r="L397" i="17"/>
  <c r="L424" i="17"/>
  <c r="L390" i="17"/>
  <c r="N328" i="17"/>
  <c r="J362" i="17"/>
  <c r="M362" i="17" s="1"/>
  <c r="K424" i="17"/>
  <c r="Q362" i="17"/>
  <c r="K408" i="17"/>
  <c r="Q346" i="17"/>
  <c r="J346" i="17"/>
  <c r="N346" i="17" s="1"/>
  <c r="L430" i="17"/>
  <c r="L379" i="17"/>
  <c r="Q356" i="17"/>
  <c r="K418" i="17"/>
  <c r="J356" i="17"/>
  <c r="M356" i="17" s="1"/>
  <c r="L431" i="17"/>
  <c r="K384" i="17"/>
  <c r="J322" i="17"/>
  <c r="Q322" i="17"/>
  <c r="K329" i="17"/>
  <c r="G91" i="15" s="1"/>
  <c r="K421" i="17"/>
  <c r="J359" i="17"/>
  <c r="M359" i="17" s="1"/>
  <c r="Q359" i="17"/>
  <c r="K381" i="17"/>
  <c r="Q319" i="17"/>
  <c r="J319" i="17"/>
  <c r="M319" i="17" s="1"/>
  <c r="L388" i="17"/>
  <c r="K428" i="17"/>
  <c r="Q366" i="17"/>
  <c r="J366" i="17"/>
  <c r="Q318" i="17"/>
  <c r="K380" i="17"/>
  <c r="J318" i="17"/>
  <c r="M318" i="17" s="1"/>
  <c r="K427" i="17"/>
  <c r="J365" i="17"/>
  <c r="M365" i="17" s="1"/>
  <c r="Q365" i="17"/>
  <c r="K409" i="17"/>
  <c r="J347" i="17"/>
  <c r="M347" i="17" s="1"/>
  <c r="Q347" i="17"/>
  <c r="L421" i="17"/>
  <c r="N359" i="17"/>
  <c r="L402" i="17"/>
  <c r="L372" i="17"/>
  <c r="L385" i="17"/>
  <c r="K429" i="17"/>
  <c r="Q367" i="17"/>
  <c r="J367" i="17"/>
  <c r="M367" i="17" s="1"/>
  <c r="L432" i="17"/>
  <c r="N370" i="17"/>
  <c r="L404" i="17"/>
  <c r="N342" i="17"/>
  <c r="Q336" i="17"/>
  <c r="K398" i="17"/>
  <c r="J336" i="17"/>
  <c r="M336" i="17" s="1"/>
  <c r="J334" i="17"/>
  <c r="M334" i="17" s="1"/>
  <c r="K396" i="17"/>
  <c r="Q334" i="17"/>
  <c r="L394" i="17"/>
  <c r="N332" i="17"/>
  <c r="K420" i="17"/>
  <c r="J358" i="17"/>
  <c r="M358" i="17" s="1"/>
  <c r="Q358" i="17"/>
  <c r="Q337" i="17"/>
  <c r="K399" i="17"/>
  <c r="J337" i="17"/>
  <c r="M337" i="17" s="1"/>
  <c r="L399" i="17"/>
  <c r="N337" i="17"/>
  <c r="K419" i="17"/>
  <c r="J357" i="17"/>
  <c r="M357" i="17" s="1"/>
  <c r="Q357" i="17"/>
  <c r="N244" i="17"/>
  <c r="L418" i="17"/>
  <c r="K386" i="17"/>
  <c r="Q324" i="17"/>
  <c r="J324" i="17"/>
  <c r="M324" i="17" s="1"/>
  <c r="L398" i="17"/>
  <c r="N336" i="17"/>
  <c r="Q368" i="17"/>
  <c r="K430" i="17"/>
  <c r="J368" i="17"/>
  <c r="M368" i="17" s="1"/>
  <c r="L433" i="17"/>
  <c r="N371" i="17"/>
  <c r="L425" i="17"/>
  <c r="N363" i="17"/>
  <c r="L417" i="17"/>
  <c r="N355" i="17"/>
  <c r="L403" i="17"/>
  <c r="N341" i="17"/>
  <c r="K411" i="17"/>
  <c r="J349" i="17"/>
  <c r="M349" i="17" s="1"/>
  <c r="Q349" i="17"/>
  <c r="L384" i="17"/>
  <c r="L329" i="17"/>
  <c r="K402" i="17"/>
  <c r="J340" i="17"/>
  <c r="N340" i="17" s="1"/>
  <c r="Q340" i="17"/>
  <c r="N289" i="17"/>
  <c r="M1671" i="1"/>
  <c r="O1564" i="1"/>
  <c r="F1580" i="16"/>
  <c r="I1488" i="16"/>
  <c r="K476" i="17"/>
  <c r="J414" i="17"/>
  <c r="M414" i="17" s="1"/>
  <c r="Q414" i="17"/>
  <c r="F1886" i="16"/>
  <c r="I1886" i="16" s="1"/>
  <c r="I1791" i="16"/>
  <c r="I1792" i="16" s="1"/>
  <c r="J317" i="15" s="1"/>
  <c r="F1792" i="16"/>
  <c r="I1676" i="16"/>
  <c r="F1770" i="16"/>
  <c r="F1923" i="16"/>
  <c r="I1817" i="16"/>
  <c r="I1883" i="16"/>
  <c r="F1887" i="16"/>
  <c r="F1849" i="16"/>
  <c r="I1849" i="16" s="1"/>
  <c r="I1755" i="16"/>
  <c r="I1603" i="16"/>
  <c r="I1604" i="16" s="1"/>
  <c r="J287" i="15" s="1"/>
  <c r="F1604" i="16"/>
  <c r="F1701" i="16"/>
  <c r="F1795" i="16" s="1"/>
  <c r="I1607" i="16"/>
  <c r="F1662" i="16"/>
  <c r="F1756" i="16" s="1"/>
  <c r="I1570" i="16"/>
  <c r="I1723" i="16"/>
  <c r="I1299" i="16"/>
  <c r="F1390" i="16"/>
  <c r="I1301" i="16"/>
  <c r="F1392" i="16"/>
  <c r="I1303" i="16"/>
  <c r="F1394" i="16"/>
  <c r="I1312" i="16"/>
  <c r="F1403" i="16"/>
  <c r="I1314" i="16"/>
  <c r="F1405" i="16"/>
  <c r="I1318" i="16"/>
  <c r="F1409" i="16"/>
  <c r="I1321" i="16"/>
  <c r="F1412" i="16"/>
  <c r="I1298" i="16"/>
  <c r="F1389" i="16"/>
  <c r="I1300" i="16"/>
  <c r="F1391" i="16"/>
  <c r="I1302" i="16"/>
  <c r="F1393" i="16"/>
  <c r="I1304" i="16"/>
  <c r="F1395" i="16"/>
  <c r="I1306" i="16"/>
  <c r="F1397" i="16"/>
  <c r="I1307" i="16"/>
  <c r="F1398" i="16"/>
  <c r="I1349" i="16"/>
  <c r="F1440" i="16"/>
  <c r="F1494" i="16"/>
  <c r="I1402" i="16"/>
  <c r="I1313" i="16"/>
  <c r="F1404" i="16"/>
  <c r="I1319" i="16"/>
  <c r="F1410" i="16"/>
  <c r="I1322" i="16"/>
  <c r="F1413" i="16"/>
  <c r="I1334" i="16"/>
  <c r="F1425" i="16"/>
  <c r="I1336" i="16"/>
  <c r="F1427" i="16"/>
  <c r="I1338" i="16"/>
  <c r="F1429" i="16"/>
  <c r="I1341" i="16"/>
  <c r="F1432" i="16"/>
  <c r="I1343" i="16"/>
  <c r="F1434" i="16"/>
  <c r="I1345" i="16"/>
  <c r="F1436" i="16"/>
  <c r="I1347" i="16"/>
  <c r="F1438" i="16"/>
  <c r="I1351" i="16"/>
  <c r="F1442" i="16"/>
  <c r="I1335" i="16"/>
  <c r="F1426" i="16"/>
  <c r="I1337" i="16"/>
  <c r="F1428" i="16"/>
  <c r="I1342" i="16"/>
  <c r="F1433" i="16"/>
  <c r="I1344" i="16"/>
  <c r="F1435" i="16"/>
  <c r="I1346" i="16"/>
  <c r="F1437" i="16"/>
  <c r="I1348" i="16"/>
  <c r="F1439" i="16"/>
  <c r="I1350" i="16"/>
  <c r="F1441" i="16"/>
  <c r="I1352" i="16"/>
  <c r="F1443" i="16"/>
  <c r="I1447" i="16"/>
  <c r="F1539" i="16"/>
  <c r="I1446" i="16"/>
  <c r="F1538" i="16"/>
  <c r="F1630" i="16" s="1"/>
  <c r="I1424" i="16"/>
  <c r="F1516" i="16"/>
  <c r="I1478" i="16"/>
  <c r="F1493" i="16"/>
  <c r="F1585" i="16" s="1"/>
  <c r="I1401" i="16"/>
  <c r="I1317" i="16"/>
  <c r="F1408" i="16"/>
  <c r="I1515" i="16"/>
  <c r="I1511" i="16"/>
  <c r="I1512" i="16" s="1"/>
  <c r="J272" i="15" s="1"/>
  <c r="F1512" i="16"/>
  <c r="I1232" i="16"/>
  <c r="J226" i="15" s="1"/>
  <c r="I1180" i="16"/>
  <c r="F1270" i="16"/>
  <c r="I1182" i="16"/>
  <c r="F1272" i="16"/>
  <c r="I1184" i="16"/>
  <c r="F1274" i="16"/>
  <c r="I1186" i="16"/>
  <c r="F1276" i="16"/>
  <c r="I1188" i="16"/>
  <c r="F1278" i="16"/>
  <c r="I1190" i="16"/>
  <c r="F1280" i="16"/>
  <c r="I1178" i="16"/>
  <c r="F1268" i="16"/>
  <c r="I1194" i="16"/>
  <c r="F1284" i="16"/>
  <c r="F1339" i="16"/>
  <c r="I1248" i="16"/>
  <c r="F1340" i="16"/>
  <c r="I1249" i="16"/>
  <c r="F1262" i="16"/>
  <c r="I1311" i="16"/>
  <c r="F1323" i="16"/>
  <c r="I1269" i="16"/>
  <c r="F1360" i="16"/>
  <c r="I1177" i="16"/>
  <c r="F1267" i="16"/>
  <c r="I1176" i="16"/>
  <c r="F1266" i="16"/>
  <c r="I1181" i="16"/>
  <c r="F1271" i="16"/>
  <c r="I1183" i="16"/>
  <c r="F1273" i="16"/>
  <c r="I1185" i="16"/>
  <c r="F1275" i="16"/>
  <c r="I1187" i="16"/>
  <c r="F1277" i="16"/>
  <c r="I1189" i="16"/>
  <c r="F1279" i="16"/>
  <c r="I1191" i="16"/>
  <c r="F1281" i="16"/>
  <c r="I1193" i="16"/>
  <c r="F1283" i="16"/>
  <c r="I1195" i="16"/>
  <c r="F1285" i="16"/>
  <c r="I1356" i="16"/>
  <c r="I1106" i="16"/>
  <c r="J202" i="15" s="1"/>
  <c r="J204" i="15" s="1"/>
  <c r="I1026" i="16"/>
  <c r="F1196" i="16"/>
  <c r="L726" i="1"/>
  <c r="G625" i="13"/>
  <c r="L622" i="1"/>
  <c r="G637" i="13"/>
  <c r="L739" i="1"/>
  <c r="L635" i="1"/>
  <c r="G639" i="13" s="1"/>
  <c r="K633" i="1"/>
  <c r="M727" i="1"/>
  <c r="M739" i="1"/>
  <c r="M635" i="1"/>
  <c r="O419" i="1"/>
  <c r="O404" i="1"/>
  <c r="L727" i="1"/>
  <c r="K621" i="1"/>
  <c r="N621" i="1" s="1"/>
  <c r="G626" i="13"/>
  <c r="J626" i="13" s="1"/>
  <c r="L740" i="1"/>
  <c r="G638" i="13"/>
  <c r="K634" i="1"/>
  <c r="N634" i="1" s="1"/>
  <c r="M740" i="1"/>
  <c r="M516" i="1"/>
  <c r="M620" i="1"/>
  <c r="L596" i="1"/>
  <c r="G495" i="13"/>
  <c r="M719" i="1"/>
  <c r="L731" i="1"/>
  <c r="G630" i="13"/>
  <c r="J630" i="13" s="1"/>
  <c r="K625" i="1"/>
  <c r="N625" i="1" s="1"/>
  <c r="M732" i="1"/>
  <c r="M721" i="1"/>
  <c r="M619" i="1"/>
  <c r="K618" i="1"/>
  <c r="N618" i="1" s="1"/>
  <c r="L724" i="1"/>
  <c r="G623" i="13"/>
  <c r="J623" i="13" s="1"/>
  <c r="G621" i="13"/>
  <c r="J621" i="13" s="1"/>
  <c r="L722" i="1"/>
  <c r="K616" i="1"/>
  <c r="N616" i="1" s="1"/>
  <c r="M723" i="1"/>
  <c r="K617" i="1"/>
  <c r="N617" i="1" s="1"/>
  <c r="L723" i="1"/>
  <c r="G622" i="13"/>
  <c r="J622" i="13" s="1"/>
  <c r="M614" i="1"/>
  <c r="M823" i="1"/>
  <c r="M929" i="1" s="1"/>
  <c r="N623" i="1"/>
  <c r="L835" i="1"/>
  <c r="L941" i="1" s="1"/>
  <c r="G734" i="13"/>
  <c r="O301" i="1"/>
  <c r="M701" i="1"/>
  <c r="K595" i="1"/>
  <c r="N595" i="1" s="1"/>
  <c r="M702" i="1"/>
  <c r="O401" i="1"/>
  <c r="K521" i="1"/>
  <c r="N521" i="1" s="1"/>
  <c r="L627" i="1"/>
  <c r="M733" i="1"/>
  <c r="M737" i="1"/>
  <c r="L718" i="1"/>
  <c r="G617" i="13"/>
  <c r="J617" i="13" s="1"/>
  <c r="M722" i="1"/>
  <c r="L730" i="1"/>
  <c r="G629" i="13"/>
  <c r="J629" i="13" s="1"/>
  <c r="K624" i="1"/>
  <c r="N624" i="1" s="1"/>
  <c r="O414" i="1"/>
  <c r="M730" i="1"/>
  <c r="G616" i="13"/>
  <c r="L717" i="1"/>
  <c r="K611" i="1"/>
  <c r="L614" i="1"/>
  <c r="G620" i="13"/>
  <c r="L721" i="1"/>
  <c r="K615" i="1"/>
  <c r="O615" i="1" s="1"/>
  <c r="L619" i="1"/>
  <c r="L735" i="1"/>
  <c r="G633" i="13"/>
  <c r="K629" i="1"/>
  <c r="O629" i="1" s="1"/>
  <c r="L632" i="1"/>
  <c r="M628" i="1"/>
  <c r="M729" i="1"/>
  <c r="O623" i="1"/>
  <c r="M735" i="1"/>
  <c r="K613" i="1"/>
  <c r="N613" i="1" s="1"/>
  <c r="L719" i="1"/>
  <c r="G618" i="13"/>
  <c r="J618" i="13" s="1"/>
  <c r="M731" i="1"/>
  <c r="L737" i="1"/>
  <c r="K631" i="1"/>
  <c r="N631" i="1" s="1"/>
  <c r="G635" i="13"/>
  <c r="J635" i="13" s="1"/>
  <c r="K612" i="1"/>
  <c r="N612" i="1" s="1"/>
  <c r="M718" i="1"/>
  <c r="M824" i="1" s="1"/>
  <c r="M930" i="1" s="1"/>
  <c r="O612" i="1"/>
  <c r="M724" i="1"/>
  <c r="L732" i="1"/>
  <c r="K626" i="1"/>
  <c r="N626" i="1" s="1"/>
  <c r="G631" i="13"/>
  <c r="J631" i="13" s="1"/>
  <c r="K524" i="1"/>
  <c r="N524" i="1" s="1"/>
  <c r="M630" i="1"/>
  <c r="L628" i="1"/>
  <c r="J628" i="13"/>
  <c r="G740" i="13"/>
  <c r="J740" i="13" s="1"/>
  <c r="L842" i="1"/>
  <c r="L948" i="1" s="1"/>
  <c r="J75" i="15"/>
  <c r="J78" i="15" s="1"/>
  <c r="J85" i="15" s="1"/>
  <c r="I375" i="16"/>
  <c r="I420" i="16" s="1"/>
  <c r="I428" i="16"/>
  <c r="I439" i="16" s="1"/>
  <c r="F510" i="16"/>
  <c r="F594" i="16" s="1"/>
  <c r="F679" i="16" s="1"/>
  <c r="F439" i="16"/>
  <c r="F457" i="16" s="1"/>
  <c r="F502" i="16" s="1"/>
  <c r="L310" i="17"/>
  <c r="K489" i="1"/>
  <c r="N489" i="1" s="1"/>
  <c r="M493" i="1"/>
  <c r="M599" i="1" s="1"/>
  <c r="M424" i="1"/>
  <c r="M425" i="1" s="1"/>
  <c r="M508" i="1"/>
  <c r="K515" i="1"/>
  <c r="N515" i="1" s="1"/>
  <c r="G520" i="13"/>
  <c r="J520" i="13" s="1"/>
  <c r="K528" i="1"/>
  <c r="N528" i="1" s="1"/>
  <c r="G532" i="13"/>
  <c r="O422" i="1"/>
  <c r="K514" i="1"/>
  <c r="G519" i="13"/>
  <c r="L516" i="1"/>
  <c r="N421" i="1"/>
  <c r="K423" i="1"/>
  <c r="N423" i="1" s="1"/>
  <c r="L529" i="1"/>
  <c r="G533" i="13" s="1"/>
  <c r="G531" i="13"/>
  <c r="K527" i="1"/>
  <c r="O527" i="1" s="1"/>
  <c r="L493" i="1"/>
  <c r="L599" i="1" s="1"/>
  <c r="G391" i="13"/>
  <c r="J391" i="13" s="1"/>
  <c r="K387" i="1"/>
  <c r="N387" i="1" s="1"/>
  <c r="N408" i="1"/>
  <c r="K410" i="1"/>
  <c r="N410" i="1" s="1"/>
  <c r="G414" i="13"/>
  <c r="J412" i="13"/>
  <c r="J414" i="13" s="1"/>
  <c r="O408" i="1"/>
  <c r="O409" i="1"/>
  <c r="O421" i="1"/>
  <c r="M529" i="1"/>
  <c r="L522" i="1"/>
  <c r="L320" i="1"/>
  <c r="L321" i="1" s="1"/>
  <c r="D52" i="15" s="1"/>
  <c r="D54" i="15" s="1"/>
  <c r="E54" i="15" s="1"/>
  <c r="K392" i="1"/>
  <c r="N392" i="1" s="1"/>
  <c r="L498" i="1"/>
  <c r="L604" i="1" s="1"/>
  <c r="G396" i="13"/>
  <c r="J396" i="13" s="1"/>
  <c r="M494" i="1"/>
  <c r="M600" i="1" s="1"/>
  <c r="M390" i="1"/>
  <c r="M495" i="1"/>
  <c r="M601" i="1" s="1"/>
  <c r="K384" i="1"/>
  <c r="N384" i="1" s="1"/>
  <c r="G388" i="13"/>
  <c r="J388" i="13" s="1"/>
  <c r="O313" i="1"/>
  <c r="L497" i="1"/>
  <c r="L603" i="1" s="1"/>
  <c r="G395" i="13"/>
  <c r="K391" i="1"/>
  <c r="L394" i="1"/>
  <c r="M394" i="1"/>
  <c r="M497" i="1"/>
  <c r="M603" i="1" s="1"/>
  <c r="O391" i="1"/>
  <c r="J522" i="13"/>
  <c r="O415" i="1"/>
  <c r="J403" i="13"/>
  <c r="J406" i="13" s="1"/>
  <c r="G406" i="13"/>
  <c r="N403" i="1"/>
  <c r="K407" i="1"/>
  <c r="N407" i="1" s="1"/>
  <c r="O403" i="1"/>
  <c r="M522" i="1"/>
  <c r="O417" i="1"/>
  <c r="K512" i="1"/>
  <c r="N512" i="1" s="1"/>
  <c r="G517" i="13"/>
  <c r="J517" i="13" s="1"/>
  <c r="K510" i="1"/>
  <c r="N510" i="1" s="1"/>
  <c r="G515" i="13"/>
  <c r="J515" i="13" s="1"/>
  <c r="K525" i="1"/>
  <c r="N525" i="1" s="1"/>
  <c r="G529" i="13"/>
  <c r="J529" i="13" s="1"/>
  <c r="O400" i="1"/>
  <c r="G516" i="13"/>
  <c r="J516" i="13" s="1"/>
  <c r="K511" i="1"/>
  <c r="N511" i="1" s="1"/>
  <c r="K520" i="1"/>
  <c r="N520" i="1" s="1"/>
  <c r="G525" i="13"/>
  <c r="J525" i="13" s="1"/>
  <c r="O199" i="1"/>
  <c r="M498" i="1"/>
  <c r="M604" i="1" s="1"/>
  <c r="K388" i="1"/>
  <c r="L494" i="1"/>
  <c r="L600" i="1" s="1"/>
  <c r="G392" i="13"/>
  <c r="L390" i="1"/>
  <c r="M488" i="1"/>
  <c r="M594" i="1" s="1"/>
  <c r="L488" i="1"/>
  <c r="G387" i="13"/>
  <c r="K383" i="1"/>
  <c r="O297" i="1"/>
  <c r="O208" i="1"/>
  <c r="O212" i="1"/>
  <c r="M499" i="1"/>
  <c r="M605" i="1" s="1"/>
  <c r="L499" i="1"/>
  <c r="L605" i="1" s="1"/>
  <c r="G397" i="13"/>
  <c r="J397" i="13" s="1"/>
  <c r="K393" i="1"/>
  <c r="N393" i="1" s="1"/>
  <c r="O181" i="1"/>
  <c r="L495" i="1"/>
  <c r="L601" i="1" s="1"/>
  <c r="K389" i="1"/>
  <c r="N389" i="1" s="1"/>
  <c r="G393" i="13"/>
  <c r="J393" i="13" s="1"/>
  <c r="O299" i="1"/>
  <c r="O183" i="1"/>
  <c r="K517" i="1"/>
  <c r="K519" i="1"/>
  <c r="N519" i="1" s="1"/>
  <c r="G524" i="13"/>
  <c r="J524" i="13" s="1"/>
  <c r="L508" i="1"/>
  <c r="G511" i="13"/>
  <c r="K506" i="1"/>
  <c r="N506" i="1" s="1"/>
  <c r="K518" i="1"/>
  <c r="N518" i="1" s="1"/>
  <c r="G523" i="13"/>
  <c r="J523" i="13" s="1"/>
  <c r="O412" i="1"/>
  <c r="N399" i="1"/>
  <c r="K402" i="1"/>
  <c r="O399" i="1"/>
  <c r="K505" i="1"/>
  <c r="G510" i="13"/>
  <c r="J510" i="13" s="1"/>
  <c r="G411" i="13"/>
  <c r="J407" i="13"/>
  <c r="J411" i="13" s="1"/>
  <c r="G514" i="13"/>
  <c r="L513" i="1"/>
  <c r="K509" i="1"/>
  <c r="O509" i="1" s="1"/>
  <c r="K523" i="1"/>
  <c r="G527" i="13"/>
  <c r="L526" i="1"/>
  <c r="M513" i="1"/>
  <c r="M526" i="1"/>
  <c r="K507" i="1"/>
  <c r="N507" i="1" s="1"/>
  <c r="G512" i="13"/>
  <c r="J512" i="13" s="1"/>
  <c r="O413" i="1"/>
  <c r="O406" i="1"/>
  <c r="N290" i="17"/>
  <c r="N198" i="17"/>
  <c r="N209" i="17"/>
  <c r="J157" i="17"/>
  <c r="M157" i="17" s="1"/>
  <c r="N202" i="17"/>
  <c r="N226" i="17"/>
  <c r="N220" i="17"/>
  <c r="N240" i="17"/>
  <c r="N200" i="17"/>
  <c r="N218" i="17"/>
  <c r="N194" i="17"/>
  <c r="Q260" i="17"/>
  <c r="J260" i="17"/>
  <c r="J269" i="17"/>
  <c r="Q269" i="17"/>
  <c r="N230" i="17"/>
  <c r="N204" i="17"/>
  <c r="N203" i="17"/>
  <c r="N236" i="17"/>
  <c r="Q254" i="17"/>
  <c r="J254" i="17"/>
  <c r="M254" i="17" s="1"/>
  <c r="J278" i="17"/>
  <c r="M278" i="17" s="1"/>
  <c r="Q278" i="17"/>
  <c r="J287" i="17"/>
  <c r="M287" i="17" s="1"/>
  <c r="Q287" i="17"/>
  <c r="N147" i="17"/>
  <c r="N246" i="17"/>
  <c r="N234" i="17"/>
  <c r="M188" i="17"/>
  <c r="J189" i="17"/>
  <c r="Q265" i="17"/>
  <c r="J265" i="17"/>
  <c r="M265" i="17" s="1"/>
  <c r="Q261" i="17"/>
  <c r="J261" i="17"/>
  <c r="N261" i="17" s="1"/>
  <c r="K267" i="17"/>
  <c r="G76" i="15" s="1"/>
  <c r="N265" i="17"/>
  <c r="Q271" i="17"/>
  <c r="J271" i="17"/>
  <c r="M271" i="17" s="1"/>
  <c r="N211" i="17"/>
  <c r="Q309" i="17"/>
  <c r="J309" i="17"/>
  <c r="M309" i="17" s="1"/>
  <c r="Q301" i="17"/>
  <c r="J301" i="17"/>
  <c r="M301" i="17" s="1"/>
  <c r="Q293" i="17"/>
  <c r="J293" i="17"/>
  <c r="M293" i="17" s="1"/>
  <c r="G52" i="15"/>
  <c r="G54" i="15" s="1"/>
  <c r="G55" i="15" s="1"/>
  <c r="K190" i="17"/>
  <c r="Q257" i="17"/>
  <c r="J257" i="17"/>
  <c r="M257" i="17" s="1"/>
  <c r="M139" i="17"/>
  <c r="J148" i="17"/>
  <c r="M148" i="17" s="1"/>
  <c r="N139" i="17"/>
  <c r="J266" i="17"/>
  <c r="M266" i="17" s="1"/>
  <c r="Q266" i="17"/>
  <c r="N212" i="17"/>
  <c r="L276" i="17"/>
  <c r="Q308" i="17"/>
  <c r="J308" i="17"/>
  <c r="M308" i="17" s="1"/>
  <c r="H52" i="15"/>
  <c r="H54" i="15" s="1"/>
  <c r="Q300" i="17"/>
  <c r="J300" i="17"/>
  <c r="M300" i="17" s="1"/>
  <c r="Q292" i="17"/>
  <c r="J292" i="17"/>
  <c r="M292" i="17" s="1"/>
  <c r="Q286" i="17"/>
  <c r="J286" i="17"/>
  <c r="M286" i="17" s="1"/>
  <c r="Q284" i="17"/>
  <c r="J284" i="17"/>
  <c r="N284" i="17" s="1"/>
  <c r="L248" i="17"/>
  <c r="L189" i="17"/>
  <c r="N188" i="17"/>
  <c r="Q199" i="17"/>
  <c r="Q258" i="17"/>
  <c r="J258" i="17"/>
  <c r="M258" i="17" s="1"/>
  <c r="N196" i="17"/>
  <c r="Q263" i="17"/>
  <c r="J263" i="17"/>
  <c r="M263" i="17" s="1"/>
  <c r="Q216" i="17"/>
  <c r="Q217" i="17" s="1"/>
  <c r="H64" i="15" s="1"/>
  <c r="H66" i="15" s="1"/>
  <c r="Q303" i="17"/>
  <c r="J303" i="17"/>
  <c r="M303" i="17" s="1"/>
  <c r="Q295" i="17"/>
  <c r="J295" i="17"/>
  <c r="Q285" i="17"/>
  <c r="J285" i="17"/>
  <c r="M285" i="17" s="1"/>
  <c r="Q279" i="17"/>
  <c r="J279" i="17"/>
  <c r="M279" i="17" s="1"/>
  <c r="N242" i="17"/>
  <c r="K208" i="17"/>
  <c r="G60" i="15"/>
  <c r="G63" i="15" s="1"/>
  <c r="Q255" i="17"/>
  <c r="J255" i="17"/>
  <c r="N255" i="17" s="1"/>
  <c r="K259" i="17"/>
  <c r="N197" i="17"/>
  <c r="L208" i="17"/>
  <c r="L259" i="17"/>
  <c r="M210" i="17"/>
  <c r="J216" i="17"/>
  <c r="M216" i="17" s="1"/>
  <c r="J270" i="17"/>
  <c r="Q270" i="17"/>
  <c r="K276" i="17"/>
  <c r="K277" i="17" s="1"/>
  <c r="G79" i="15" s="1"/>
  <c r="G81" i="15" s="1"/>
  <c r="J302" i="17"/>
  <c r="M302" i="17" s="1"/>
  <c r="Q302" i="17"/>
  <c r="Q294" i="17"/>
  <c r="J294" i="17"/>
  <c r="M294" i="17" s="1"/>
  <c r="J288" i="17"/>
  <c r="M288" i="17" s="1"/>
  <c r="Q288" i="17"/>
  <c r="Q280" i="17"/>
  <c r="J280" i="17"/>
  <c r="M280" i="17" s="1"/>
  <c r="N309" i="17"/>
  <c r="N225" i="17"/>
  <c r="N219" i="17"/>
  <c r="M201" i="17"/>
  <c r="J207" i="17"/>
  <c r="M207" i="17" s="1"/>
  <c r="Q207" i="17"/>
  <c r="H61" i="15" s="1"/>
  <c r="N205" i="17"/>
  <c r="L267" i="17"/>
  <c r="J305" i="17"/>
  <c r="M305" i="17" s="1"/>
  <c r="Q305" i="17"/>
  <c r="J297" i="17"/>
  <c r="M297" i="17" s="1"/>
  <c r="Q297" i="17"/>
  <c r="M223" i="17"/>
  <c r="J248" i="17"/>
  <c r="Q283" i="17"/>
  <c r="J283" i="17"/>
  <c r="N283" i="17" s="1"/>
  <c r="J264" i="17"/>
  <c r="M264" i="17" s="1"/>
  <c r="Q264" i="17"/>
  <c r="Q274" i="17"/>
  <c r="J274" i="17"/>
  <c r="M274" i="17" s="1"/>
  <c r="Q272" i="17"/>
  <c r="J272" i="17"/>
  <c r="M272" i="17" s="1"/>
  <c r="L217" i="17"/>
  <c r="Q304" i="17"/>
  <c r="J304" i="17"/>
  <c r="M304" i="17" s="1"/>
  <c r="Q296" i="17"/>
  <c r="J296" i="17"/>
  <c r="M296" i="17" s="1"/>
  <c r="K282" i="17"/>
  <c r="K344" i="17" s="1"/>
  <c r="J222" i="17"/>
  <c r="Q222" i="17"/>
  <c r="Q248" i="17" s="1"/>
  <c r="Q249" i="17" s="1"/>
  <c r="Q256" i="17"/>
  <c r="J256" i="17"/>
  <c r="M256" i="17" s="1"/>
  <c r="Q275" i="17"/>
  <c r="J275" i="17"/>
  <c r="M275" i="17" s="1"/>
  <c r="J273" i="17"/>
  <c r="Q273" i="17"/>
  <c r="N215" i="17"/>
  <c r="Q307" i="17"/>
  <c r="J307" i="17"/>
  <c r="M307" i="17" s="1"/>
  <c r="Q299" i="17"/>
  <c r="J299" i="17"/>
  <c r="M299" i="17" s="1"/>
  <c r="Q291" i="17"/>
  <c r="J291" i="17"/>
  <c r="M291" i="17" s="1"/>
  <c r="K248" i="17"/>
  <c r="K249" i="17" s="1"/>
  <c r="N304" i="17"/>
  <c r="H45" i="15"/>
  <c r="H48" i="15" s="1"/>
  <c r="Q148" i="17"/>
  <c r="Q190" i="17" s="1"/>
  <c r="M195" i="17"/>
  <c r="J199" i="17"/>
  <c r="N199" i="17" s="1"/>
  <c r="N195" i="17"/>
  <c r="Q262" i="17"/>
  <c r="J262" i="17"/>
  <c r="M262" i="17" s="1"/>
  <c r="N214" i="17"/>
  <c r="N156" i="17"/>
  <c r="J306" i="17"/>
  <c r="M306" i="17" s="1"/>
  <c r="Q306" i="17"/>
  <c r="Q298" i="17"/>
  <c r="J298" i="17"/>
  <c r="M298" i="17" s="1"/>
  <c r="N247" i="17"/>
  <c r="N245" i="17"/>
  <c r="N243" i="17"/>
  <c r="N241" i="17"/>
  <c r="N239" i="17"/>
  <c r="N237" i="17"/>
  <c r="N235" i="17"/>
  <c r="N233" i="17"/>
  <c r="N231" i="17"/>
  <c r="N229" i="17"/>
  <c r="N227" i="17"/>
  <c r="J218" i="13"/>
  <c r="J219" i="13" s="1"/>
  <c r="I37" i="15" s="1"/>
  <c r="I39" i="15" s="1"/>
  <c r="L424" i="1"/>
  <c r="L425" i="1" s="1"/>
  <c r="D67" i="15" s="1"/>
  <c r="J422" i="13"/>
  <c r="J424" i="13" s="1"/>
  <c r="G424" i="13"/>
  <c r="N418" i="1"/>
  <c r="O418" i="1"/>
  <c r="K420" i="1"/>
  <c r="N411" i="1"/>
  <c r="O411" i="1"/>
  <c r="K416" i="1"/>
  <c r="G420" i="13"/>
  <c r="J415" i="13"/>
  <c r="J420" i="13" s="1"/>
  <c r="G120" i="13"/>
  <c r="J120" i="13" s="1"/>
  <c r="L222" i="1"/>
  <c r="L326" i="1" s="1"/>
  <c r="K118" i="1"/>
  <c r="N118" i="1" s="1"/>
  <c r="L227" i="1"/>
  <c r="L331" i="1" s="1"/>
  <c r="G125" i="13"/>
  <c r="J125" i="13" s="1"/>
  <c r="K123" i="1"/>
  <c r="N123" i="1" s="1"/>
  <c r="L235" i="1"/>
  <c r="L339" i="1" s="1"/>
  <c r="G133" i="13"/>
  <c r="J133" i="13" s="1"/>
  <c r="K131" i="1"/>
  <c r="N131" i="1" s="1"/>
  <c r="L243" i="1"/>
  <c r="L347" i="1" s="1"/>
  <c r="G141" i="13"/>
  <c r="J141" i="13" s="1"/>
  <c r="K139" i="1"/>
  <c r="N139" i="1" s="1"/>
  <c r="K143" i="1"/>
  <c r="N143" i="1" s="1"/>
  <c r="L247" i="1"/>
  <c r="L351" i="1" s="1"/>
  <c r="G145" i="13"/>
  <c r="J145" i="13" s="1"/>
  <c r="L252" i="1"/>
  <c r="L356" i="1" s="1"/>
  <c r="G150" i="13"/>
  <c r="J150" i="13" s="1"/>
  <c r="K148" i="1"/>
  <c r="N148" i="1" s="1"/>
  <c r="K153" i="1"/>
  <c r="N153" i="1" s="1"/>
  <c r="L257" i="1"/>
  <c r="L361" i="1" s="1"/>
  <c r="G155" i="13"/>
  <c r="J155" i="13" s="1"/>
  <c r="K164" i="1"/>
  <c r="N164" i="1" s="1"/>
  <c r="L268" i="1"/>
  <c r="L372" i="1" s="1"/>
  <c r="G166" i="13"/>
  <c r="J166" i="13" s="1"/>
  <c r="K174" i="1"/>
  <c r="N174" i="1" s="1"/>
  <c r="L278" i="1"/>
  <c r="L382" i="1" s="1"/>
  <c r="G176" i="13"/>
  <c r="J176" i="13" s="1"/>
  <c r="L177" i="1"/>
  <c r="O295" i="1"/>
  <c r="N295" i="1"/>
  <c r="G309" i="13"/>
  <c r="J307" i="13"/>
  <c r="J309" i="13" s="1"/>
  <c r="G286" i="13"/>
  <c r="J286" i="13" s="1"/>
  <c r="K283" i="1"/>
  <c r="N283" i="1" s="1"/>
  <c r="O202" i="1"/>
  <c r="O179" i="1"/>
  <c r="M222" i="1"/>
  <c r="M326" i="1" s="1"/>
  <c r="O118" i="1"/>
  <c r="M227" i="1"/>
  <c r="M331" i="1" s="1"/>
  <c r="M235" i="1"/>
  <c r="M339" i="1" s="1"/>
  <c r="M243" i="1"/>
  <c r="M347" i="1" s="1"/>
  <c r="M247" i="1"/>
  <c r="M351" i="1" s="1"/>
  <c r="M252" i="1"/>
  <c r="M356" i="1" s="1"/>
  <c r="M257" i="1"/>
  <c r="M361" i="1" s="1"/>
  <c r="M268" i="1"/>
  <c r="M372" i="1" s="1"/>
  <c r="M278" i="1"/>
  <c r="M382" i="1" s="1"/>
  <c r="M486" i="1" s="1"/>
  <c r="M592" i="1" s="1"/>
  <c r="O304" i="1"/>
  <c r="K306" i="1"/>
  <c r="N306" i="1" s="1"/>
  <c r="N304" i="1"/>
  <c r="N317" i="1"/>
  <c r="K319" i="1"/>
  <c r="N319" i="1" s="1"/>
  <c r="O306" i="1"/>
  <c r="O307" i="1"/>
  <c r="O215" i="1"/>
  <c r="G290" i="13"/>
  <c r="J290" i="13" s="1"/>
  <c r="K287" i="1"/>
  <c r="N287" i="1" s="1"/>
  <c r="O318" i="1"/>
  <c r="K121" i="1"/>
  <c r="N121" i="1" s="1"/>
  <c r="L225" i="1"/>
  <c r="L329" i="1" s="1"/>
  <c r="G123" i="13"/>
  <c r="J123" i="13" s="1"/>
  <c r="K119" i="1"/>
  <c r="O119" i="1" s="1"/>
  <c r="L223" i="1"/>
  <c r="L327" i="1" s="1"/>
  <c r="G121" i="13"/>
  <c r="L122" i="1"/>
  <c r="M224" i="1"/>
  <c r="M328" i="1" s="1"/>
  <c r="M233" i="1"/>
  <c r="M337" i="1" s="1"/>
  <c r="M231" i="1"/>
  <c r="M335" i="1" s="1"/>
  <c r="M130" i="1"/>
  <c r="M229" i="1"/>
  <c r="M333" i="1" s="1"/>
  <c r="K129" i="1"/>
  <c r="N129" i="1" s="1"/>
  <c r="L233" i="1"/>
  <c r="L337" i="1" s="1"/>
  <c r="G131" i="13"/>
  <c r="J131" i="13" s="1"/>
  <c r="K127" i="1"/>
  <c r="N127" i="1" s="1"/>
  <c r="L231" i="1"/>
  <c r="L335" i="1" s="1"/>
  <c r="G129" i="13"/>
  <c r="J129" i="13" s="1"/>
  <c r="G127" i="13"/>
  <c r="J127" i="13" s="1"/>
  <c r="L229" i="1"/>
  <c r="L333" i="1" s="1"/>
  <c r="K125" i="1"/>
  <c r="N125" i="1" s="1"/>
  <c r="L241" i="1"/>
  <c r="L345" i="1" s="1"/>
  <c r="G139" i="13"/>
  <c r="J139" i="13" s="1"/>
  <c r="K137" i="1"/>
  <c r="N137" i="1" s="1"/>
  <c r="K135" i="1"/>
  <c r="N135" i="1" s="1"/>
  <c r="L239" i="1"/>
  <c r="L343" i="1" s="1"/>
  <c r="G137" i="13"/>
  <c r="J137" i="13" s="1"/>
  <c r="L237" i="1"/>
  <c r="L341" i="1" s="1"/>
  <c r="G135" i="13"/>
  <c r="J135" i="13" s="1"/>
  <c r="K133" i="1"/>
  <c r="N133" i="1" s="1"/>
  <c r="M241" i="1"/>
  <c r="M345" i="1" s="1"/>
  <c r="O137" i="1"/>
  <c r="M239" i="1"/>
  <c r="M343" i="1" s="1"/>
  <c r="M237" i="1"/>
  <c r="M341" i="1" s="1"/>
  <c r="K141" i="1"/>
  <c r="N141" i="1" s="1"/>
  <c r="L245" i="1"/>
  <c r="L349" i="1" s="1"/>
  <c r="G143" i="13"/>
  <c r="J143" i="13" s="1"/>
  <c r="M245" i="1"/>
  <c r="M349" i="1" s="1"/>
  <c r="O141" i="1"/>
  <c r="K145" i="1"/>
  <c r="N145" i="1" s="1"/>
  <c r="L249" i="1"/>
  <c r="L353" i="1" s="1"/>
  <c r="G147" i="13"/>
  <c r="J147" i="13" s="1"/>
  <c r="M249" i="1"/>
  <c r="M353" i="1" s="1"/>
  <c r="O145" i="1"/>
  <c r="K151" i="1"/>
  <c r="N151" i="1" s="1"/>
  <c r="L255" i="1"/>
  <c r="L359" i="1" s="1"/>
  <c r="G153" i="13"/>
  <c r="J153" i="13" s="1"/>
  <c r="L253" i="1"/>
  <c r="L357" i="1" s="1"/>
  <c r="G151" i="13"/>
  <c r="K149" i="1"/>
  <c r="O149" i="1" s="1"/>
  <c r="L152" i="1"/>
  <c r="M254" i="1"/>
  <c r="M358" i="1" s="1"/>
  <c r="K160" i="1"/>
  <c r="N160" i="1" s="1"/>
  <c r="L264" i="1"/>
  <c r="L368" i="1" s="1"/>
  <c r="G162" i="13"/>
  <c r="J162" i="13" s="1"/>
  <c r="K158" i="1"/>
  <c r="N158" i="1" s="1"/>
  <c r="L262" i="1"/>
  <c r="L366" i="1" s="1"/>
  <c r="G160" i="13"/>
  <c r="J160" i="13" s="1"/>
  <c r="K156" i="1"/>
  <c r="N156" i="1" s="1"/>
  <c r="L260" i="1"/>
  <c r="L364" i="1" s="1"/>
  <c r="G158" i="13"/>
  <c r="J158" i="13" s="1"/>
  <c r="K154" i="1"/>
  <c r="O154" i="1" s="1"/>
  <c r="L258" i="1"/>
  <c r="L362" i="1" s="1"/>
  <c r="G156" i="13"/>
  <c r="L161" i="1"/>
  <c r="M263" i="1"/>
  <c r="M367" i="1" s="1"/>
  <c r="M261" i="1"/>
  <c r="M365" i="1" s="1"/>
  <c r="M259" i="1"/>
  <c r="M363" i="1" s="1"/>
  <c r="K172" i="1"/>
  <c r="N172" i="1" s="1"/>
  <c r="L276" i="1"/>
  <c r="L380" i="1" s="1"/>
  <c r="G174" i="13"/>
  <c r="J174" i="13" s="1"/>
  <c r="K170" i="1"/>
  <c r="O170" i="1" s="1"/>
  <c r="L274" i="1"/>
  <c r="L378" i="1" s="1"/>
  <c r="G172" i="13"/>
  <c r="J172" i="13" s="1"/>
  <c r="K168" i="1"/>
  <c r="O168" i="1" s="1"/>
  <c r="L272" i="1"/>
  <c r="L376" i="1" s="1"/>
  <c r="G170" i="13"/>
  <c r="J170" i="13" s="1"/>
  <c r="K166" i="1"/>
  <c r="O166" i="1" s="1"/>
  <c r="L270" i="1"/>
  <c r="L374" i="1" s="1"/>
  <c r="G168" i="13"/>
  <c r="J168" i="13" s="1"/>
  <c r="M276" i="1"/>
  <c r="M380" i="1" s="1"/>
  <c r="M274" i="1"/>
  <c r="M378" i="1" s="1"/>
  <c r="M272" i="1"/>
  <c r="M376" i="1" s="1"/>
  <c r="M270" i="1"/>
  <c r="M374" i="1" s="1"/>
  <c r="J303" i="13"/>
  <c r="J306" i="13" s="1"/>
  <c r="G306" i="13"/>
  <c r="O309" i="1"/>
  <c r="J299" i="13"/>
  <c r="J301" i="13" s="1"/>
  <c r="G301" i="13"/>
  <c r="M217" i="1"/>
  <c r="G188" i="13"/>
  <c r="J186" i="13"/>
  <c r="J188" i="13" s="1"/>
  <c r="G291" i="13"/>
  <c r="K288" i="1"/>
  <c r="O288" i="1" s="1"/>
  <c r="L290" i="1"/>
  <c r="M286" i="1"/>
  <c r="J182" i="13"/>
  <c r="J184" i="13" s="1"/>
  <c r="G184" i="13"/>
  <c r="N180" i="1"/>
  <c r="K182" i="1"/>
  <c r="G282" i="13"/>
  <c r="K279" i="1"/>
  <c r="O279" i="1" s="1"/>
  <c r="D39" i="15"/>
  <c r="E39" i="15" s="1"/>
  <c r="E37" i="15"/>
  <c r="M320" i="1"/>
  <c r="M321" i="1" s="1"/>
  <c r="J311" i="13"/>
  <c r="J315" i="13" s="1"/>
  <c r="G315" i="13"/>
  <c r="K289" i="1"/>
  <c r="N289" i="1" s="1"/>
  <c r="G292" i="13"/>
  <c r="J292" i="13" s="1"/>
  <c r="G288" i="13"/>
  <c r="J288" i="13" s="1"/>
  <c r="K285" i="1"/>
  <c r="N285" i="1" s="1"/>
  <c r="K120" i="1"/>
  <c r="N120" i="1" s="1"/>
  <c r="L224" i="1"/>
  <c r="L328" i="1" s="1"/>
  <c r="G122" i="13"/>
  <c r="J122" i="13" s="1"/>
  <c r="M225" i="1"/>
  <c r="M329" i="1" s="1"/>
  <c r="M223" i="1"/>
  <c r="M327" i="1" s="1"/>
  <c r="M122" i="1"/>
  <c r="M232" i="1"/>
  <c r="M336" i="1" s="1"/>
  <c r="M230" i="1"/>
  <c r="M334" i="1" s="1"/>
  <c r="M228" i="1"/>
  <c r="M332" i="1" s="1"/>
  <c r="K128" i="1"/>
  <c r="N128" i="1" s="1"/>
  <c r="L232" i="1"/>
  <c r="L336" i="1" s="1"/>
  <c r="G130" i="13"/>
  <c r="J130" i="13" s="1"/>
  <c r="K126" i="1"/>
  <c r="N126" i="1" s="1"/>
  <c r="L230" i="1"/>
  <c r="L334" i="1" s="1"/>
  <c r="G128" i="13"/>
  <c r="J128" i="13" s="1"/>
  <c r="L228" i="1"/>
  <c r="L332" i="1" s="1"/>
  <c r="G126" i="13"/>
  <c r="K124" i="1"/>
  <c r="O124" i="1" s="1"/>
  <c r="L130" i="1"/>
  <c r="L240" i="1"/>
  <c r="L344" i="1" s="1"/>
  <c r="G138" i="13"/>
  <c r="J138" i="13" s="1"/>
  <c r="K136" i="1"/>
  <c r="N136" i="1" s="1"/>
  <c r="K134" i="1"/>
  <c r="N134" i="1" s="1"/>
  <c r="L238" i="1"/>
  <c r="L342" i="1" s="1"/>
  <c r="G136" i="13"/>
  <c r="J136" i="13" s="1"/>
  <c r="L236" i="1"/>
  <c r="L340" i="1" s="1"/>
  <c r="G134" i="13"/>
  <c r="K132" i="1"/>
  <c r="O132" i="1" s="1"/>
  <c r="L138" i="1"/>
  <c r="M240" i="1"/>
  <c r="M344" i="1" s="1"/>
  <c r="M238" i="1"/>
  <c r="M342" i="1" s="1"/>
  <c r="M236" i="1"/>
  <c r="M340" i="1" s="1"/>
  <c r="M138" i="1"/>
  <c r="L244" i="1"/>
  <c r="L348" i="1" s="1"/>
  <c r="G142" i="13"/>
  <c r="K140" i="1"/>
  <c r="L142" i="1"/>
  <c r="M244" i="1"/>
  <c r="M348" i="1" s="1"/>
  <c r="M142" i="1"/>
  <c r="L248" i="1"/>
  <c r="L352" i="1" s="1"/>
  <c r="G146" i="13"/>
  <c r="K144" i="1"/>
  <c r="O144" i="1" s="1"/>
  <c r="L146" i="1"/>
  <c r="M248" i="1"/>
  <c r="M352" i="1" s="1"/>
  <c r="M146" i="1"/>
  <c r="L254" i="1"/>
  <c r="L358" i="1" s="1"/>
  <c r="G152" i="13"/>
  <c r="J152" i="13" s="1"/>
  <c r="K150" i="1"/>
  <c r="N150" i="1" s="1"/>
  <c r="M255" i="1"/>
  <c r="M359" i="1" s="1"/>
  <c r="M253" i="1"/>
  <c r="M357" i="1" s="1"/>
  <c r="M152" i="1"/>
  <c r="K159" i="1"/>
  <c r="N159" i="1" s="1"/>
  <c r="L263" i="1"/>
  <c r="L367" i="1" s="1"/>
  <c r="G161" i="13"/>
  <c r="J161" i="13" s="1"/>
  <c r="K157" i="1"/>
  <c r="N157" i="1" s="1"/>
  <c r="L261" i="1"/>
  <c r="L365" i="1" s="1"/>
  <c r="G159" i="13"/>
  <c r="J159" i="13" s="1"/>
  <c r="K155" i="1"/>
  <c r="N155" i="1" s="1"/>
  <c r="L259" i="1"/>
  <c r="L363" i="1" s="1"/>
  <c r="G157" i="13"/>
  <c r="J157" i="13" s="1"/>
  <c r="M264" i="1"/>
  <c r="M368" i="1" s="1"/>
  <c r="M262" i="1"/>
  <c r="M366" i="1" s="1"/>
  <c r="M260" i="1"/>
  <c r="M364" i="1" s="1"/>
  <c r="M258" i="1"/>
  <c r="M362" i="1" s="1"/>
  <c r="M161" i="1"/>
  <c r="K171" i="1"/>
  <c r="O171" i="1" s="1"/>
  <c r="L275" i="1"/>
  <c r="L379" i="1" s="1"/>
  <c r="G173" i="13"/>
  <c r="J173" i="13" s="1"/>
  <c r="K169" i="1"/>
  <c r="O169" i="1" s="1"/>
  <c r="L273" i="1"/>
  <c r="L377" i="1" s="1"/>
  <c r="G171" i="13"/>
  <c r="J171" i="13" s="1"/>
  <c r="K167" i="1"/>
  <c r="O167" i="1" s="1"/>
  <c r="L271" i="1"/>
  <c r="L375" i="1" s="1"/>
  <c r="G169" i="13"/>
  <c r="J169" i="13" s="1"/>
  <c r="K165" i="1"/>
  <c r="L269" i="1"/>
  <c r="L373" i="1" s="1"/>
  <c r="G167" i="13"/>
  <c r="L173" i="1"/>
  <c r="M275" i="1"/>
  <c r="M379" i="1" s="1"/>
  <c r="M273" i="1"/>
  <c r="M377" i="1" s="1"/>
  <c r="M271" i="1"/>
  <c r="M375" i="1" s="1"/>
  <c r="M269" i="1"/>
  <c r="M373" i="1" s="1"/>
  <c r="M173" i="1"/>
  <c r="O165" i="1"/>
  <c r="N300" i="1"/>
  <c r="K303" i="1"/>
  <c r="N303" i="1" s="1"/>
  <c r="O311" i="1"/>
  <c r="N296" i="1"/>
  <c r="K298" i="1"/>
  <c r="G218" i="13"/>
  <c r="G219" i="13" s="1"/>
  <c r="F37" i="15" s="1"/>
  <c r="F39" i="15" s="1"/>
  <c r="M290" i="1"/>
  <c r="N184" i="1"/>
  <c r="K186" i="1"/>
  <c r="N186" i="1" s="1"/>
  <c r="M187" i="1"/>
  <c r="L187" i="1"/>
  <c r="K284" i="1"/>
  <c r="G287" i="13"/>
  <c r="L286" i="1"/>
  <c r="M281" i="1"/>
  <c r="J177" i="13"/>
  <c r="N175" i="1"/>
  <c r="O315" i="1"/>
  <c r="N194" i="1"/>
  <c r="K216" i="1"/>
  <c r="O296" i="1"/>
  <c r="O302" i="1"/>
  <c r="N308" i="1"/>
  <c r="K312" i="1"/>
  <c r="N312" i="1" s="1"/>
  <c r="O310" i="1"/>
  <c r="N314" i="1"/>
  <c r="K316" i="1"/>
  <c r="N316" i="1" s="1"/>
  <c r="J317" i="13"/>
  <c r="J319" i="13" s="1"/>
  <c r="G319" i="13"/>
  <c r="G283" i="13"/>
  <c r="J283" i="13" s="1"/>
  <c r="K280" i="1"/>
  <c r="N280" i="1" s="1"/>
  <c r="G40" i="15"/>
  <c r="H37" i="15"/>
  <c r="H39" i="15" s="1"/>
  <c r="N87" i="17"/>
  <c r="H33" i="15"/>
  <c r="H40" i="15" s="1"/>
  <c r="N96" i="17"/>
  <c r="J97" i="17"/>
  <c r="M97" i="17" s="1"/>
  <c r="K130" i="17"/>
  <c r="J129" i="17"/>
  <c r="M128" i="17"/>
  <c r="Q88" i="17"/>
  <c r="Q130" i="17" s="1"/>
  <c r="J88" i="17"/>
  <c r="M88" i="17" s="1"/>
  <c r="M79" i="17"/>
  <c r="N79" i="17"/>
  <c r="H88" i="16"/>
  <c r="I88" i="16"/>
  <c r="H87" i="16"/>
  <c r="I87" i="16"/>
  <c r="H86" i="16"/>
  <c r="I86" i="16"/>
  <c r="H85" i="16"/>
  <c r="I85" i="16"/>
  <c r="H84" i="16"/>
  <c r="I84" i="16"/>
  <c r="H83" i="16"/>
  <c r="I83" i="16"/>
  <c r="H82" i="16"/>
  <c r="I82" i="16"/>
  <c r="H81" i="16"/>
  <c r="I81" i="16"/>
  <c r="H80" i="16"/>
  <c r="I80" i="16"/>
  <c r="H79" i="16"/>
  <c r="I79" i="16"/>
  <c r="H78" i="16"/>
  <c r="I78" i="16"/>
  <c r="H77" i="16"/>
  <c r="I77" i="16"/>
  <c r="H76" i="16"/>
  <c r="I76" i="16"/>
  <c r="H75" i="16"/>
  <c r="I75" i="16"/>
  <c r="H74" i="16"/>
  <c r="I74" i="16"/>
  <c r="H73" i="16"/>
  <c r="I73" i="16"/>
  <c r="H72" i="16"/>
  <c r="I72" i="16"/>
  <c r="H71" i="16"/>
  <c r="I71" i="16"/>
  <c r="H70" i="16"/>
  <c r="I70" i="16"/>
  <c r="H69" i="16"/>
  <c r="I69" i="16"/>
  <c r="H67" i="16"/>
  <c r="I67" i="16"/>
  <c r="H66" i="16"/>
  <c r="I66" i="16"/>
  <c r="H65" i="16"/>
  <c r="I65" i="16"/>
  <c r="H64" i="16"/>
  <c r="I64" i="16"/>
  <c r="H63" i="16"/>
  <c r="I63" i="16"/>
  <c r="I62" i="16"/>
  <c r="H62" i="16"/>
  <c r="H61" i="16"/>
  <c r="I61" i="16"/>
  <c r="H60" i="16"/>
  <c r="I60" i="16"/>
  <c r="H59" i="16"/>
  <c r="I59" i="16"/>
  <c r="H58" i="16"/>
  <c r="I58" i="16"/>
  <c r="H57" i="16"/>
  <c r="I57" i="16"/>
  <c r="H56" i="16"/>
  <c r="I56" i="16"/>
  <c r="H55" i="16"/>
  <c r="I55" i="16"/>
  <c r="H54" i="16"/>
  <c r="I54" i="16"/>
  <c r="H53" i="16"/>
  <c r="I53" i="16"/>
  <c r="H52" i="16"/>
  <c r="I52" i="16"/>
  <c r="H51" i="16"/>
  <c r="I51" i="16"/>
  <c r="H50" i="16"/>
  <c r="I50" i="16"/>
  <c r="H49" i="16"/>
  <c r="I49" i="16"/>
  <c r="H48" i="16"/>
  <c r="I48" i="16"/>
  <c r="I46" i="16"/>
  <c r="H44" i="16"/>
  <c r="I44" i="16"/>
  <c r="H43" i="16"/>
  <c r="I43" i="16"/>
  <c r="H42" i="16"/>
  <c r="I42" i="16"/>
  <c r="I45" i="16" s="1"/>
  <c r="J17" i="15" s="1"/>
  <c r="H40" i="16"/>
  <c r="I40" i="16"/>
  <c r="H39" i="16"/>
  <c r="I39" i="16"/>
  <c r="H38" i="16"/>
  <c r="I38" i="16"/>
  <c r="H37" i="16"/>
  <c r="I37" i="16"/>
  <c r="H36" i="16"/>
  <c r="I36" i="16"/>
  <c r="H35" i="16"/>
  <c r="I35" i="16"/>
  <c r="H34" i="16"/>
  <c r="I34" i="16"/>
  <c r="H33" i="16"/>
  <c r="I33" i="16"/>
  <c r="H32" i="16"/>
  <c r="I32" i="16"/>
  <c r="H31" i="16"/>
  <c r="I31" i="16"/>
  <c r="H30" i="16"/>
  <c r="I30" i="16"/>
  <c r="H28" i="16"/>
  <c r="I28" i="16"/>
  <c r="H27" i="16"/>
  <c r="I27" i="16"/>
  <c r="H26" i="16"/>
  <c r="I26" i="16"/>
  <c r="H25" i="16"/>
  <c r="I25" i="16"/>
  <c r="H24" i="16"/>
  <c r="I24" i="16"/>
  <c r="H23" i="16"/>
  <c r="I23" i="16"/>
  <c r="H22" i="16"/>
  <c r="I22" i="16"/>
  <c r="H21" i="16"/>
  <c r="I21" i="16"/>
  <c r="H20" i="16"/>
  <c r="H19" i="16"/>
  <c r="I19" i="16"/>
  <c r="H18" i="16"/>
  <c r="I18" i="16"/>
  <c r="H17" i="16"/>
  <c r="I17" i="16"/>
  <c r="H16" i="16"/>
  <c r="I16" i="16"/>
  <c r="H15" i="16"/>
  <c r="I15" i="16"/>
  <c r="E69" i="17"/>
  <c r="H68" i="17"/>
  <c r="H69" i="17" s="1"/>
  <c r="G68" i="17"/>
  <c r="G69" i="17" s="1"/>
  <c r="D68" i="17"/>
  <c r="D69" i="17" s="1"/>
  <c r="P67" i="17"/>
  <c r="J67" i="17"/>
  <c r="M67" i="17" s="1"/>
  <c r="F67" i="17"/>
  <c r="I67" i="17" s="1"/>
  <c r="P66" i="17"/>
  <c r="Q66" i="17"/>
  <c r="F66" i="17"/>
  <c r="I66" i="17" s="1"/>
  <c r="P65" i="17"/>
  <c r="Q65" i="17"/>
  <c r="J65" i="17"/>
  <c r="N65" i="17" s="1"/>
  <c r="F65" i="17"/>
  <c r="I65" i="17" s="1"/>
  <c r="P64" i="17"/>
  <c r="Q64" i="17"/>
  <c r="F64" i="17"/>
  <c r="I64" i="17" s="1"/>
  <c r="P63" i="17"/>
  <c r="F63" i="17"/>
  <c r="I63" i="17" s="1"/>
  <c r="P62" i="17"/>
  <c r="F62" i="17"/>
  <c r="I62" i="17" s="1"/>
  <c r="P61" i="17"/>
  <c r="Q61" i="17"/>
  <c r="J61" i="17"/>
  <c r="N61" i="17" s="1"/>
  <c r="F61" i="17"/>
  <c r="I61" i="17" s="1"/>
  <c r="P60" i="17"/>
  <c r="Q60" i="17"/>
  <c r="F60" i="17"/>
  <c r="I60" i="17" s="1"/>
  <c r="P59" i="17"/>
  <c r="F59" i="17"/>
  <c r="I59" i="17" s="1"/>
  <c r="P58" i="17"/>
  <c r="F58" i="17"/>
  <c r="I58" i="17" s="1"/>
  <c r="P57" i="17"/>
  <c r="F57" i="17"/>
  <c r="I57" i="17" s="1"/>
  <c r="P56" i="17"/>
  <c r="Q56" i="17"/>
  <c r="F56" i="17"/>
  <c r="I56" i="17" s="1"/>
  <c r="P55" i="17"/>
  <c r="J55" i="17"/>
  <c r="M55" i="17" s="1"/>
  <c r="F55" i="17"/>
  <c r="I55" i="17" s="1"/>
  <c r="Q54" i="17"/>
  <c r="P54" i="17"/>
  <c r="F54" i="17"/>
  <c r="I54" i="17" s="1"/>
  <c r="P53" i="17"/>
  <c r="Q53" i="17"/>
  <c r="F53" i="17"/>
  <c r="I53" i="17" s="1"/>
  <c r="P52" i="17"/>
  <c r="Q52" i="17"/>
  <c r="J52" i="17"/>
  <c r="M52" i="17" s="1"/>
  <c r="F52" i="17"/>
  <c r="I52" i="17" s="1"/>
  <c r="P51" i="17"/>
  <c r="F51" i="17"/>
  <c r="I51" i="17" s="1"/>
  <c r="P50" i="17"/>
  <c r="J50" i="17"/>
  <c r="M50" i="17" s="1"/>
  <c r="F50" i="17"/>
  <c r="I50" i="17" s="1"/>
  <c r="P49" i="17"/>
  <c r="Q49" i="17"/>
  <c r="F49" i="17"/>
  <c r="I49" i="17" s="1"/>
  <c r="P48" i="17"/>
  <c r="Q48" i="17"/>
  <c r="F48" i="17"/>
  <c r="I48" i="17" s="1"/>
  <c r="P47" i="17"/>
  <c r="F47" i="17"/>
  <c r="I47" i="17" s="1"/>
  <c r="P46" i="17"/>
  <c r="F46" i="17"/>
  <c r="I46" i="17" s="1"/>
  <c r="P45" i="17"/>
  <c r="Q45" i="17"/>
  <c r="F45" i="17"/>
  <c r="I45" i="17" s="1"/>
  <c r="P44" i="17"/>
  <c r="Q44" i="17"/>
  <c r="F44" i="17"/>
  <c r="P43" i="17"/>
  <c r="F43" i="17"/>
  <c r="I43" i="17" s="1"/>
  <c r="P42" i="17"/>
  <c r="Q42" i="17"/>
  <c r="F42" i="17"/>
  <c r="I42" i="17" s="1"/>
  <c r="P41" i="17"/>
  <c r="J41" i="17"/>
  <c r="F41" i="17"/>
  <c r="I41" i="17" s="1"/>
  <c r="P40" i="17"/>
  <c r="Q40" i="17"/>
  <c r="F40" i="17"/>
  <c r="I40" i="17" s="1"/>
  <c r="P39" i="17"/>
  <c r="J39" i="17"/>
  <c r="M39" i="17" s="1"/>
  <c r="F39" i="17"/>
  <c r="I39" i="17" s="1"/>
  <c r="Q38" i="17"/>
  <c r="P38" i="17"/>
  <c r="F38" i="17"/>
  <c r="I38" i="17" s="1"/>
  <c r="E37" i="17"/>
  <c r="D37" i="17"/>
  <c r="H36" i="17"/>
  <c r="H37" i="17" s="1"/>
  <c r="G36" i="17"/>
  <c r="G37" i="17" s="1"/>
  <c r="P35" i="17"/>
  <c r="J35" i="17"/>
  <c r="M35" i="17" s="1"/>
  <c r="F35" i="17"/>
  <c r="I35" i="17" s="1"/>
  <c r="P34" i="17"/>
  <c r="Q34" i="17"/>
  <c r="F34" i="17"/>
  <c r="I34" i="17" s="1"/>
  <c r="P33" i="17"/>
  <c r="Q33" i="17"/>
  <c r="F33" i="17"/>
  <c r="I33" i="17" s="1"/>
  <c r="P32" i="17"/>
  <c r="J32" i="17"/>
  <c r="M32" i="17" s="1"/>
  <c r="F32" i="17"/>
  <c r="I32" i="17" s="1"/>
  <c r="Q31" i="17"/>
  <c r="P31" i="17"/>
  <c r="F31" i="17"/>
  <c r="P30" i="17"/>
  <c r="Q30" i="17"/>
  <c r="F30" i="17"/>
  <c r="I30" i="17" s="1"/>
  <c r="P29" i="17"/>
  <c r="L36" i="17"/>
  <c r="Q29" i="17"/>
  <c r="J29" i="17"/>
  <c r="F29" i="17"/>
  <c r="I29" i="17" s="1"/>
  <c r="E28" i="17"/>
  <c r="H27" i="17"/>
  <c r="G27" i="17"/>
  <c r="D27" i="17"/>
  <c r="P26" i="17"/>
  <c r="J26" i="17"/>
  <c r="M26" i="17" s="1"/>
  <c r="F26" i="17"/>
  <c r="I26" i="17" s="1"/>
  <c r="P25" i="17"/>
  <c r="Q25" i="17"/>
  <c r="F25" i="17"/>
  <c r="I25" i="17" s="1"/>
  <c r="P24" i="17"/>
  <c r="Q24" i="17"/>
  <c r="F24" i="17"/>
  <c r="I24" i="17" s="1"/>
  <c r="P23" i="17"/>
  <c r="F23" i="17"/>
  <c r="I23" i="17" s="1"/>
  <c r="P22" i="17"/>
  <c r="Q22" i="17"/>
  <c r="F22" i="17"/>
  <c r="I22" i="17" s="1"/>
  <c r="P21" i="17"/>
  <c r="Q21" i="17"/>
  <c r="F21" i="17"/>
  <c r="I21" i="17" s="1"/>
  <c r="P20" i="17"/>
  <c r="J20" i="17"/>
  <c r="F20" i="17"/>
  <c r="I20" i="17" s="1"/>
  <c r="H19" i="17"/>
  <c r="G19" i="17"/>
  <c r="D19" i="17"/>
  <c r="P18" i="17"/>
  <c r="F18" i="17"/>
  <c r="I18" i="17" s="1"/>
  <c r="P17" i="17"/>
  <c r="Q17" i="17"/>
  <c r="F17" i="17"/>
  <c r="I17" i="17" s="1"/>
  <c r="P16" i="17"/>
  <c r="Q16" i="17"/>
  <c r="F16" i="17"/>
  <c r="I16" i="17" s="1"/>
  <c r="P15" i="17"/>
  <c r="Q15" i="17"/>
  <c r="F15" i="17"/>
  <c r="I15" i="17" s="1"/>
  <c r="P14" i="17"/>
  <c r="F14" i="17"/>
  <c r="F111" i="13"/>
  <c r="F110" i="13"/>
  <c r="F108" i="13"/>
  <c r="I108" i="13" s="1"/>
  <c r="F107" i="13"/>
  <c r="I107" i="13" s="1"/>
  <c r="F106" i="13"/>
  <c r="I106" i="13" s="1"/>
  <c r="F104" i="13"/>
  <c r="I104" i="13" s="1"/>
  <c r="F103" i="13"/>
  <c r="I103" i="13" s="1"/>
  <c r="F102" i="13"/>
  <c r="I102" i="13" s="1"/>
  <c r="F101" i="13"/>
  <c r="I101" i="13" s="1"/>
  <c r="F100" i="13"/>
  <c r="I100" i="13" s="1"/>
  <c r="F98" i="13"/>
  <c r="I98" i="13" s="1"/>
  <c r="F97" i="13"/>
  <c r="I97" i="13" s="1"/>
  <c r="F95" i="13"/>
  <c r="I95" i="13" s="1"/>
  <c r="F94" i="13"/>
  <c r="I94" i="13" s="1"/>
  <c r="F93" i="13"/>
  <c r="I93" i="13" s="1"/>
  <c r="F92" i="13"/>
  <c r="I92" i="13" s="1"/>
  <c r="F90" i="13"/>
  <c r="F89" i="13"/>
  <c r="F88" i="13"/>
  <c r="I88" i="13" s="1"/>
  <c r="F85" i="13"/>
  <c r="I85" i="13" s="1"/>
  <c r="F82" i="13"/>
  <c r="I82" i="13" s="1"/>
  <c r="F81" i="13"/>
  <c r="F80" i="13"/>
  <c r="I80" i="13" s="1"/>
  <c r="F78" i="13"/>
  <c r="I78" i="13" s="1"/>
  <c r="F77" i="13"/>
  <c r="I77" i="13" s="1"/>
  <c r="F76" i="13"/>
  <c r="F73" i="13"/>
  <c r="I73" i="13" s="1"/>
  <c r="F72" i="13"/>
  <c r="F71" i="13"/>
  <c r="I71" i="13" s="1"/>
  <c r="F69" i="13"/>
  <c r="I69" i="13" s="1"/>
  <c r="F68" i="13"/>
  <c r="I68" i="13" s="1"/>
  <c r="F67" i="13"/>
  <c r="I67" i="13" s="1"/>
  <c r="F66" i="13"/>
  <c r="I66" i="13" s="1"/>
  <c r="F65" i="13"/>
  <c r="I65" i="13" s="1"/>
  <c r="F64" i="13"/>
  <c r="I64" i="13" s="1"/>
  <c r="F63" i="13"/>
  <c r="I63" i="13" s="1"/>
  <c r="F62" i="13"/>
  <c r="I62" i="13" s="1"/>
  <c r="F61" i="13"/>
  <c r="I61" i="13" s="1"/>
  <c r="F57" i="13"/>
  <c r="F56" i="13"/>
  <c r="I56" i="13" s="1"/>
  <c r="F55" i="13"/>
  <c r="I55" i="13" s="1"/>
  <c r="F54" i="13"/>
  <c r="I54" i="13" s="1"/>
  <c r="F53" i="13"/>
  <c r="I53" i="13" s="1"/>
  <c r="F52" i="13"/>
  <c r="I52" i="13" s="1"/>
  <c r="F51" i="13"/>
  <c r="I51" i="13" s="1"/>
  <c r="F50" i="13"/>
  <c r="I50" i="13" s="1"/>
  <c r="F48" i="13"/>
  <c r="I48" i="13" s="1"/>
  <c r="F47" i="13"/>
  <c r="I47" i="13" s="1"/>
  <c r="F46" i="13"/>
  <c r="I46" i="13" s="1"/>
  <c r="F45" i="13"/>
  <c r="I45" i="13" s="1"/>
  <c r="F42" i="13"/>
  <c r="I42" i="13" s="1"/>
  <c r="F41" i="13"/>
  <c r="F40" i="13"/>
  <c r="I40" i="13" s="1"/>
  <c r="F38" i="13"/>
  <c r="I38" i="13" s="1"/>
  <c r="I39" i="13" s="1"/>
  <c r="F37" i="13"/>
  <c r="I37" i="13" s="1"/>
  <c r="F36" i="13"/>
  <c r="I36" i="13" s="1"/>
  <c r="F34" i="13"/>
  <c r="I34" i="13" s="1"/>
  <c r="F33" i="13"/>
  <c r="I33" i="13" s="1"/>
  <c r="F32" i="13"/>
  <c r="I32" i="13" s="1"/>
  <c r="F31" i="13"/>
  <c r="I31" i="13" s="1"/>
  <c r="F30" i="13"/>
  <c r="I30" i="13" s="1"/>
  <c r="F29" i="13"/>
  <c r="I29" i="13" s="1"/>
  <c r="F28" i="13"/>
  <c r="I28" i="13" s="1"/>
  <c r="F26" i="13"/>
  <c r="I26" i="13" s="1"/>
  <c r="F25" i="13"/>
  <c r="I25" i="13" s="1"/>
  <c r="F24" i="13"/>
  <c r="I24" i="13" s="1"/>
  <c r="F23" i="13"/>
  <c r="I23" i="13" s="1"/>
  <c r="I22" i="13"/>
  <c r="F21" i="13"/>
  <c r="I21" i="13" s="1"/>
  <c r="F20" i="13"/>
  <c r="I20" i="13" s="1"/>
  <c r="F18" i="13"/>
  <c r="I18" i="13" s="1"/>
  <c r="F17" i="13"/>
  <c r="I17" i="13" s="1"/>
  <c r="F16" i="13"/>
  <c r="I16" i="13" s="1"/>
  <c r="F15" i="13"/>
  <c r="I15" i="13" s="1"/>
  <c r="J112" i="13"/>
  <c r="I112" i="13"/>
  <c r="I90" i="13"/>
  <c r="I76" i="13"/>
  <c r="I57" i="13"/>
  <c r="F112" i="1"/>
  <c r="F113" i="1" s="1"/>
  <c r="E112" i="1"/>
  <c r="E113" i="1" s="1"/>
  <c r="I111" i="1"/>
  <c r="H111" i="1"/>
  <c r="G110" i="1"/>
  <c r="J110" i="1" s="1"/>
  <c r="G109" i="1"/>
  <c r="I108" i="1"/>
  <c r="H108" i="1"/>
  <c r="G108" i="13"/>
  <c r="J108" i="13" s="1"/>
  <c r="G107" i="1"/>
  <c r="J107" i="1" s="1"/>
  <c r="G106" i="1"/>
  <c r="J106" i="1" s="1"/>
  <c r="M108" i="1"/>
  <c r="G106" i="13"/>
  <c r="J106" i="13" s="1"/>
  <c r="K105" i="1"/>
  <c r="O105" i="1" s="1"/>
  <c r="G105" i="1"/>
  <c r="I104" i="1"/>
  <c r="H104" i="1"/>
  <c r="G104" i="13"/>
  <c r="J104" i="13" s="1"/>
  <c r="K103" i="1"/>
  <c r="N103" i="1" s="1"/>
  <c r="G103" i="1"/>
  <c r="J103" i="1" s="1"/>
  <c r="G102" i="1"/>
  <c r="J102" i="1" s="1"/>
  <c r="G102" i="13"/>
  <c r="J102" i="13" s="1"/>
  <c r="G101" i="1"/>
  <c r="J101" i="1" s="1"/>
  <c r="G101" i="13"/>
  <c r="J101" i="13" s="1"/>
  <c r="G100" i="1"/>
  <c r="M104" i="1"/>
  <c r="G99" i="1"/>
  <c r="J99" i="1" s="1"/>
  <c r="I98" i="1"/>
  <c r="H98" i="1"/>
  <c r="G98" i="13"/>
  <c r="J98" i="13" s="1"/>
  <c r="G97" i="1"/>
  <c r="J97" i="1" s="1"/>
  <c r="M98" i="1"/>
  <c r="G96" i="1"/>
  <c r="J96" i="1" s="1"/>
  <c r="I95" i="1"/>
  <c r="H95" i="1"/>
  <c r="G94" i="1"/>
  <c r="J94" i="1" s="1"/>
  <c r="G94" i="13"/>
  <c r="J94" i="13" s="1"/>
  <c r="G93" i="1"/>
  <c r="J93" i="1" s="1"/>
  <c r="G93" i="13"/>
  <c r="J93" i="13" s="1"/>
  <c r="G92" i="1"/>
  <c r="J92" i="1" s="1"/>
  <c r="G92" i="13"/>
  <c r="J92" i="13" s="1"/>
  <c r="G91" i="1"/>
  <c r="J91" i="1" s="1"/>
  <c r="I90" i="1"/>
  <c r="H90" i="1"/>
  <c r="G90" i="13"/>
  <c r="J90" i="13" s="1"/>
  <c r="K89" i="1"/>
  <c r="N89" i="1" s="1"/>
  <c r="G89" i="1"/>
  <c r="J89" i="1" s="1"/>
  <c r="G88" i="1"/>
  <c r="J88" i="1" s="1"/>
  <c r="G88" i="13"/>
  <c r="G87" i="1"/>
  <c r="F85" i="1"/>
  <c r="F86" i="1" s="1"/>
  <c r="E85" i="1"/>
  <c r="E86" i="1" s="1"/>
  <c r="G84" i="1"/>
  <c r="J84" i="1" s="1"/>
  <c r="I82" i="1"/>
  <c r="H82" i="1"/>
  <c r="G82" i="13"/>
  <c r="J82" i="13" s="1"/>
  <c r="K81" i="1"/>
  <c r="N81" i="1" s="1"/>
  <c r="G81" i="1"/>
  <c r="J81" i="1" s="1"/>
  <c r="G80" i="1"/>
  <c r="J80" i="1" s="1"/>
  <c r="G80" i="13"/>
  <c r="G79" i="1"/>
  <c r="I78" i="1"/>
  <c r="H78" i="1"/>
  <c r="G78" i="13"/>
  <c r="G77" i="1"/>
  <c r="J77" i="1" s="1"/>
  <c r="G76" i="1"/>
  <c r="J76" i="1" s="1"/>
  <c r="G76" i="13"/>
  <c r="J76" i="13" s="1"/>
  <c r="G75" i="1"/>
  <c r="I73" i="1"/>
  <c r="H73" i="1"/>
  <c r="G73" i="13"/>
  <c r="J73" i="13" s="1"/>
  <c r="G72" i="1"/>
  <c r="J72" i="1" s="1"/>
  <c r="M73" i="1"/>
  <c r="G72" i="13"/>
  <c r="J72" i="13" s="1"/>
  <c r="G71" i="1"/>
  <c r="J71" i="1" s="1"/>
  <c r="G71" i="13"/>
  <c r="G70" i="1"/>
  <c r="J70" i="1" s="1"/>
  <c r="I69" i="1"/>
  <c r="H69" i="1"/>
  <c r="K68" i="1"/>
  <c r="N68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K61" i="1"/>
  <c r="N61" i="1" s="1"/>
  <c r="G62" i="13"/>
  <c r="J62" i="13" s="1"/>
  <c r="G61" i="1"/>
  <c r="J61" i="1" s="1"/>
  <c r="G61" i="13"/>
  <c r="J61" i="13" s="1"/>
  <c r="G60" i="1"/>
  <c r="J60" i="1" s="1"/>
  <c r="F58" i="1"/>
  <c r="I57" i="1"/>
  <c r="H57" i="1"/>
  <c r="G56" i="1"/>
  <c r="J56" i="1" s="1"/>
  <c r="G56" i="13"/>
  <c r="J56" i="13" s="1"/>
  <c r="G55" i="1"/>
  <c r="J55" i="1" s="1"/>
  <c r="K54" i="1"/>
  <c r="N54" i="1" s="1"/>
  <c r="G54" i="1"/>
  <c r="J54" i="1" s="1"/>
  <c r="G54" i="13"/>
  <c r="J54" i="13" s="1"/>
  <c r="G53" i="1"/>
  <c r="J53" i="1" s="1"/>
  <c r="G53" i="13"/>
  <c r="J53" i="13" s="1"/>
  <c r="K52" i="1"/>
  <c r="O52" i="1" s="1"/>
  <c r="G52" i="1"/>
  <c r="J52" i="1" s="1"/>
  <c r="G52" i="13"/>
  <c r="J52" i="13" s="1"/>
  <c r="G51" i="1"/>
  <c r="J51" i="1" s="1"/>
  <c r="G50" i="1"/>
  <c r="J50" i="1" s="1"/>
  <c r="G50" i="13"/>
  <c r="G49" i="1"/>
  <c r="J49" i="1" s="1"/>
  <c r="I48" i="1"/>
  <c r="H48" i="1"/>
  <c r="E48" i="1"/>
  <c r="E58" i="1" s="1"/>
  <c r="G47" i="1"/>
  <c r="J47" i="1" s="1"/>
  <c r="G46" i="1"/>
  <c r="J46" i="1" s="1"/>
  <c r="G46" i="13"/>
  <c r="J46" i="13" s="1"/>
  <c r="G45" i="1"/>
  <c r="J45" i="1" s="1"/>
  <c r="G45" i="13"/>
  <c r="J45" i="13" s="1"/>
  <c r="G44" i="1"/>
  <c r="I42" i="1"/>
  <c r="H42" i="1"/>
  <c r="E42" i="1"/>
  <c r="G42" i="13"/>
  <c r="J42" i="13" s="1"/>
  <c r="G41" i="1"/>
  <c r="J41" i="1" s="1"/>
  <c r="G40" i="1"/>
  <c r="J40" i="1" s="1"/>
  <c r="M42" i="1"/>
  <c r="G40" i="13"/>
  <c r="G39" i="1"/>
  <c r="J39" i="1" s="1"/>
  <c r="I38" i="1"/>
  <c r="H38" i="1"/>
  <c r="F38" i="1"/>
  <c r="F43" i="1" s="1"/>
  <c r="E38" i="1"/>
  <c r="G38" i="13"/>
  <c r="G37" i="1"/>
  <c r="K36" i="1"/>
  <c r="N36" i="1" s="1"/>
  <c r="G37" i="13"/>
  <c r="G36" i="1"/>
  <c r="J36" i="1" s="1"/>
  <c r="M38" i="1"/>
  <c r="G36" i="13"/>
  <c r="G35" i="1"/>
  <c r="J35" i="1" s="1"/>
  <c r="I34" i="1"/>
  <c r="H34" i="1"/>
  <c r="E34" i="1"/>
  <c r="G34" i="13"/>
  <c r="J34" i="13" s="1"/>
  <c r="K33" i="1"/>
  <c r="N33" i="1" s="1"/>
  <c r="G33" i="1"/>
  <c r="J33" i="1" s="1"/>
  <c r="G32" i="1"/>
  <c r="J32" i="1" s="1"/>
  <c r="G32" i="13"/>
  <c r="J32" i="13" s="1"/>
  <c r="G31" i="1"/>
  <c r="J31" i="1" s="1"/>
  <c r="G30" i="1"/>
  <c r="J30" i="1" s="1"/>
  <c r="G30" i="13"/>
  <c r="J30" i="13" s="1"/>
  <c r="K29" i="1"/>
  <c r="N29" i="1" s="1"/>
  <c r="G29" i="1"/>
  <c r="J29" i="1" s="1"/>
  <c r="G28" i="1"/>
  <c r="J28" i="1" s="1"/>
  <c r="M34" i="1"/>
  <c r="G27" i="1"/>
  <c r="G26" i="13"/>
  <c r="J26" i="13" s="1"/>
  <c r="G25" i="1"/>
  <c r="J25" i="1" s="1"/>
  <c r="I26" i="1"/>
  <c r="G24" i="1"/>
  <c r="J24" i="1" s="1"/>
  <c r="G24" i="13"/>
  <c r="J24" i="13" s="1"/>
  <c r="G23" i="1"/>
  <c r="J23" i="1" s="1"/>
  <c r="K22" i="1"/>
  <c r="N22" i="1" s="1"/>
  <c r="G22" i="1"/>
  <c r="J22" i="1" s="1"/>
  <c r="G22" i="13"/>
  <c r="J22" i="13" s="1"/>
  <c r="G21" i="1"/>
  <c r="J21" i="1" s="1"/>
  <c r="K20" i="1"/>
  <c r="O20" i="1" s="1"/>
  <c r="G20" i="1"/>
  <c r="J20" i="1" s="1"/>
  <c r="G20" i="13"/>
  <c r="J20" i="13" s="1"/>
  <c r="G19" i="1"/>
  <c r="I18" i="1"/>
  <c r="H18" i="1"/>
  <c r="G18" i="13"/>
  <c r="J18" i="13" s="1"/>
  <c r="G17" i="1"/>
  <c r="J17" i="1" s="1"/>
  <c r="K16" i="1"/>
  <c r="N16" i="1" s="1"/>
  <c r="G16" i="1"/>
  <c r="J16" i="1" s="1"/>
  <c r="G16" i="13"/>
  <c r="J16" i="13" s="1"/>
  <c r="K15" i="1"/>
  <c r="N15" i="1" s="1"/>
  <c r="G15" i="1"/>
  <c r="J15" i="1" s="1"/>
  <c r="K14" i="1"/>
  <c r="N14" i="1" s="1"/>
  <c r="G14" i="1"/>
  <c r="O148" i="1" l="1"/>
  <c r="O634" i="1"/>
  <c r="O287" i="1"/>
  <c r="O123" i="1"/>
  <c r="O616" i="1"/>
  <c r="L281" i="1"/>
  <c r="K464" i="17"/>
  <c r="Q402" i="17"/>
  <c r="J402" i="17"/>
  <c r="L447" i="17"/>
  <c r="N322" i="17"/>
  <c r="J329" i="17"/>
  <c r="M329" i="17" s="1"/>
  <c r="M322" i="17"/>
  <c r="L1152" i="17"/>
  <c r="L1214" i="17" s="1"/>
  <c r="L1276" i="17" s="1"/>
  <c r="L1338" i="17" s="1"/>
  <c r="L440" i="17"/>
  <c r="L383" i="17"/>
  <c r="N378" i="17"/>
  <c r="L489" i="17"/>
  <c r="N427" i="17"/>
  <c r="L475" i="17"/>
  <c r="J413" i="17"/>
  <c r="M413" i="17" s="1"/>
  <c r="L491" i="17"/>
  <c r="N334" i="17"/>
  <c r="N353" i="17"/>
  <c r="O139" i="1"/>
  <c r="Q344" i="17"/>
  <c r="K406" i="17"/>
  <c r="J344" i="17"/>
  <c r="O625" i="1"/>
  <c r="F1672" i="16"/>
  <c r="I1580" i="16"/>
  <c r="Q372" i="17"/>
  <c r="Q373" i="17" s="1"/>
  <c r="N329" i="17"/>
  <c r="K473" i="17"/>
  <c r="Q411" i="17"/>
  <c r="J411" i="17"/>
  <c r="M411" i="17" s="1"/>
  <c r="L479" i="17"/>
  <c r="L495" i="17"/>
  <c r="K448" i="17"/>
  <c r="Q386" i="17"/>
  <c r="J386" i="17"/>
  <c r="M386" i="17" s="1"/>
  <c r="L461" i="17"/>
  <c r="N399" i="17"/>
  <c r="L456" i="17"/>
  <c r="L466" i="17"/>
  <c r="L483" i="17"/>
  <c r="Q380" i="17"/>
  <c r="K442" i="17"/>
  <c r="J380" i="17"/>
  <c r="M380" i="17" s="1"/>
  <c r="K490" i="17"/>
  <c r="Q428" i="17"/>
  <c r="J428" i="17"/>
  <c r="K483" i="17"/>
  <c r="Q421" i="17"/>
  <c r="J421" i="17"/>
  <c r="M421" i="17" s="1"/>
  <c r="K446" i="17"/>
  <c r="J384" i="17"/>
  <c r="K391" i="17"/>
  <c r="Q384" i="17"/>
  <c r="K480" i="17"/>
  <c r="J418" i="17"/>
  <c r="M418" i="17" s="1"/>
  <c r="Q418" i="17"/>
  <c r="N368" i="17"/>
  <c r="J408" i="17"/>
  <c r="N408" i="17" s="1"/>
  <c r="K470" i="17"/>
  <c r="Q408" i="17"/>
  <c r="Q393" i="17"/>
  <c r="K455" i="17"/>
  <c r="K400" i="17"/>
  <c r="J393" i="17"/>
  <c r="N349" i="17"/>
  <c r="N357" i="17"/>
  <c r="K474" i="17"/>
  <c r="Q412" i="17"/>
  <c r="J412" i="17"/>
  <c r="M412" i="17" s="1"/>
  <c r="Q426" i="17"/>
  <c r="K488" i="17"/>
  <c r="J426" i="17"/>
  <c r="M426" i="17" s="1"/>
  <c r="L474" i="17"/>
  <c r="N412" i="17"/>
  <c r="K493" i="17"/>
  <c r="Q431" i="17"/>
  <c r="J431" i="17"/>
  <c r="M431" i="17" s="1"/>
  <c r="K444" i="17"/>
  <c r="Q382" i="17"/>
  <c r="J382" i="17"/>
  <c r="M382" i="17" s="1"/>
  <c r="K472" i="17"/>
  <c r="Q410" i="17"/>
  <c r="J410" i="17"/>
  <c r="M410" i="17" s="1"/>
  <c r="L448" i="17"/>
  <c r="N386" i="17"/>
  <c r="L482" i="17"/>
  <c r="K451" i="17"/>
  <c r="Q389" i="17"/>
  <c r="J389" i="17"/>
  <c r="M389" i="17" s="1"/>
  <c r="G90" i="15"/>
  <c r="K330" i="17"/>
  <c r="N347" i="17"/>
  <c r="L552" i="17"/>
  <c r="L458" i="17"/>
  <c r="L339" i="17"/>
  <c r="Q321" i="17"/>
  <c r="K452" i="17"/>
  <c r="Q390" i="17"/>
  <c r="J390" i="17"/>
  <c r="M390" i="17" s="1"/>
  <c r="K495" i="17"/>
  <c r="Q433" i="17"/>
  <c r="J433" i="17"/>
  <c r="M433" i="17" s="1"/>
  <c r="K469" i="17"/>
  <c r="J407" i="17"/>
  <c r="M407" i="17" s="1"/>
  <c r="Q407" i="17"/>
  <c r="L477" i="17"/>
  <c r="K471" i="17"/>
  <c r="Q409" i="17"/>
  <c r="J409" i="17"/>
  <c r="M409" i="17" s="1"/>
  <c r="L441" i="17"/>
  <c r="L486" i="17"/>
  <c r="L1778" i="1"/>
  <c r="K1671" i="1"/>
  <c r="N1671" i="1" s="1"/>
  <c r="G1676" i="13"/>
  <c r="J1676" i="13" s="1"/>
  <c r="L469" i="17"/>
  <c r="K487" i="17"/>
  <c r="J425" i="17"/>
  <c r="M425" i="17" s="1"/>
  <c r="Q425" i="17"/>
  <c r="L485" i="17"/>
  <c r="N423" i="17"/>
  <c r="L484" i="17"/>
  <c r="F59" i="1"/>
  <c r="O312" i="1"/>
  <c r="K372" i="17"/>
  <c r="K373" i="17" s="1"/>
  <c r="L391" i="17"/>
  <c r="L446" i="17"/>
  <c r="L460" i="17"/>
  <c r="N356" i="17"/>
  <c r="Q398" i="17"/>
  <c r="K460" i="17"/>
  <c r="J398" i="17"/>
  <c r="M398" i="17" s="1"/>
  <c r="K491" i="17"/>
  <c r="J429" i="17"/>
  <c r="M429" i="17" s="1"/>
  <c r="Q429" i="17"/>
  <c r="L373" i="17"/>
  <c r="N326" i="17"/>
  <c r="K443" i="17"/>
  <c r="Q381" i="17"/>
  <c r="J381" i="17"/>
  <c r="M381" i="17" s="1"/>
  <c r="G93" i="15"/>
  <c r="N369" i="17"/>
  <c r="N430" i="17"/>
  <c r="L492" i="17"/>
  <c r="L452" i="17"/>
  <c r="N390" i="17"/>
  <c r="L459" i="17"/>
  <c r="L538" i="17"/>
  <c r="M331" i="17"/>
  <c r="J338" i="17"/>
  <c r="M338" i="17" s="1"/>
  <c r="L330" i="17"/>
  <c r="L473" i="17"/>
  <c r="L481" i="17"/>
  <c r="N319" i="17"/>
  <c r="N364" i="17"/>
  <c r="K477" i="17"/>
  <c r="Q415" i="17"/>
  <c r="J415" i="17"/>
  <c r="M415" i="17" s="1"/>
  <c r="N318" i="17"/>
  <c r="Q432" i="17"/>
  <c r="K494" i="17"/>
  <c r="J432" i="17"/>
  <c r="M432" i="17" s="1"/>
  <c r="N348" i="17"/>
  <c r="Q385" i="17"/>
  <c r="K447" i="17"/>
  <c r="J385" i="17"/>
  <c r="M385" i="17" s="1"/>
  <c r="N351" i="17"/>
  <c r="M316" i="17"/>
  <c r="J321" i="17"/>
  <c r="L471" i="17"/>
  <c r="Q338" i="17"/>
  <c r="Q387" i="17"/>
  <c r="K449" i="17"/>
  <c r="J387" i="17"/>
  <c r="M387" i="17" s="1"/>
  <c r="N333" i="17"/>
  <c r="L455" i="17"/>
  <c r="N393" i="17"/>
  <c r="L400" i="17"/>
  <c r="K456" i="17"/>
  <c r="Q394" i="17"/>
  <c r="J394" i="17"/>
  <c r="M394" i="17" s="1"/>
  <c r="K441" i="17"/>
  <c r="J379" i="17"/>
  <c r="M379" i="17" s="1"/>
  <c r="Q379" i="17"/>
  <c r="K465" i="17"/>
  <c r="Q403" i="17"/>
  <c r="J403" i="17"/>
  <c r="M403" i="17" s="1"/>
  <c r="K485" i="17"/>
  <c r="Q423" i="17"/>
  <c r="J423" i="17"/>
  <c r="M423" i="17" s="1"/>
  <c r="N354" i="17"/>
  <c r="K479" i="17"/>
  <c r="Q417" i="17"/>
  <c r="J417" i="17"/>
  <c r="M417" i="17" s="1"/>
  <c r="N320" i="17"/>
  <c r="K450" i="17"/>
  <c r="Q388" i="17"/>
  <c r="J388" i="17"/>
  <c r="M388" i="17" s="1"/>
  <c r="N327" i="17"/>
  <c r="N325" i="17"/>
  <c r="K310" i="17"/>
  <c r="K538" i="17"/>
  <c r="Q476" i="17"/>
  <c r="J476" i="17"/>
  <c r="M476" i="17" s="1"/>
  <c r="O1671" i="1"/>
  <c r="M1778" i="1"/>
  <c r="M340" i="17"/>
  <c r="J372" i="17"/>
  <c r="L465" i="17"/>
  <c r="L487" i="17"/>
  <c r="N425" i="17"/>
  <c r="K492" i="17"/>
  <c r="Q430" i="17"/>
  <c r="J430" i="17"/>
  <c r="M430" i="17" s="1"/>
  <c r="N418" i="17"/>
  <c r="L480" i="17"/>
  <c r="K481" i="17"/>
  <c r="Q419" i="17"/>
  <c r="J419" i="17"/>
  <c r="M419" i="17" s="1"/>
  <c r="Q399" i="17"/>
  <c r="K461" i="17"/>
  <c r="J399" i="17"/>
  <c r="M399" i="17" s="1"/>
  <c r="J420" i="17"/>
  <c r="M420" i="17" s="1"/>
  <c r="K482" i="17"/>
  <c r="Q420" i="17"/>
  <c r="Q396" i="17"/>
  <c r="K458" i="17"/>
  <c r="J396" i="17"/>
  <c r="M396" i="17" s="1"/>
  <c r="L494" i="17"/>
  <c r="N323" i="17"/>
  <c r="L464" i="17"/>
  <c r="L434" i="17"/>
  <c r="L435" i="17" s="1"/>
  <c r="K489" i="17"/>
  <c r="Q427" i="17"/>
  <c r="J427" i="17"/>
  <c r="M427" i="17" s="1"/>
  <c r="N366" i="17"/>
  <c r="M366" i="17"/>
  <c r="L450" i="17"/>
  <c r="N388" i="17"/>
  <c r="Q329" i="17"/>
  <c r="H91" i="15" s="1"/>
  <c r="L493" i="17"/>
  <c r="N431" i="17"/>
  <c r="N317" i="17"/>
  <c r="Q424" i="17"/>
  <c r="K486" i="17"/>
  <c r="J424" i="17"/>
  <c r="M424" i="17" s="1"/>
  <c r="N362" i="17"/>
  <c r="N414" i="17"/>
  <c r="G94" i="15"/>
  <c r="G96" i="15" s="1"/>
  <c r="K339" i="17"/>
  <c r="N345" i="17"/>
  <c r="Q404" i="17"/>
  <c r="K466" i="17"/>
  <c r="J404" i="17"/>
  <c r="M404" i="17" s="1"/>
  <c r="L443" i="17"/>
  <c r="N381" i="17"/>
  <c r="L488" i="17"/>
  <c r="N426" i="17"/>
  <c r="L442" i="17"/>
  <c r="L504" i="17" s="1"/>
  <c r="N380" i="17"/>
  <c r="K478" i="17"/>
  <c r="Q416" i="17"/>
  <c r="J416" i="17"/>
  <c r="M416" i="17" s="1"/>
  <c r="N410" i="17"/>
  <c r="L472" i="17"/>
  <c r="Q395" i="17"/>
  <c r="K457" i="17"/>
  <c r="J395" i="17"/>
  <c r="M395" i="17" s="1"/>
  <c r="K440" i="17"/>
  <c r="K383" i="17"/>
  <c r="G105" i="15" s="1"/>
  <c r="J378" i="17"/>
  <c r="Q378" i="17"/>
  <c r="N367" i="17"/>
  <c r="Q422" i="17"/>
  <c r="K484" i="17"/>
  <c r="J422" i="17"/>
  <c r="M422" i="17" s="1"/>
  <c r="J397" i="17"/>
  <c r="K459" i="17"/>
  <c r="Q397" i="17"/>
  <c r="L457" i="17"/>
  <c r="N395" i="17"/>
  <c r="N360" i="17"/>
  <c r="L478" i="17"/>
  <c r="N416" i="17"/>
  <c r="L444" i="17"/>
  <c r="N382" i="17"/>
  <c r="L451" i="17"/>
  <c r="N387" i="17"/>
  <c r="L449" i="17"/>
  <c r="I1196" i="16"/>
  <c r="J217" i="15" s="1"/>
  <c r="J219" i="15" s="1"/>
  <c r="I1323" i="16"/>
  <c r="J241" i="15" s="1"/>
  <c r="I1887" i="16"/>
  <c r="J332" i="15" s="1"/>
  <c r="F1850" i="16"/>
  <c r="I1756" i="16"/>
  <c r="F1890" i="16"/>
  <c r="I1795" i="16"/>
  <c r="I1923" i="16"/>
  <c r="F1865" i="16"/>
  <c r="I1865" i="16" s="1"/>
  <c r="I1770" i="16"/>
  <c r="F1677" i="16"/>
  <c r="F1771" i="16" s="1"/>
  <c r="I1585" i="16"/>
  <c r="I1516" i="16"/>
  <c r="F1608" i="16"/>
  <c r="F1724" i="16"/>
  <c r="F1818" i="16" s="1"/>
  <c r="I1630" i="16"/>
  <c r="I1539" i="16"/>
  <c r="F1631" i="16"/>
  <c r="I1494" i="16"/>
  <c r="F1586" i="16"/>
  <c r="I1662" i="16"/>
  <c r="I1701" i="16"/>
  <c r="I1697" i="16"/>
  <c r="I1698" i="16" s="1"/>
  <c r="J302" i="15" s="1"/>
  <c r="F1698" i="16"/>
  <c r="F1535" i="16"/>
  <c r="I1443" i="16"/>
  <c r="F1533" i="16"/>
  <c r="I1441" i="16"/>
  <c r="F1531" i="16"/>
  <c r="I1439" i="16"/>
  <c r="F1529" i="16"/>
  <c r="I1437" i="16"/>
  <c r="F1527" i="16"/>
  <c r="I1435" i="16"/>
  <c r="F1525" i="16"/>
  <c r="I1433" i="16"/>
  <c r="F1520" i="16"/>
  <c r="I1428" i="16"/>
  <c r="I1426" i="16"/>
  <c r="F1518" i="16"/>
  <c r="I1442" i="16"/>
  <c r="F1534" i="16"/>
  <c r="I1438" i="16"/>
  <c r="F1530" i="16"/>
  <c r="I1436" i="16"/>
  <c r="F1528" i="16"/>
  <c r="I1434" i="16"/>
  <c r="F1526" i="16"/>
  <c r="I1432" i="16"/>
  <c r="F1524" i="16"/>
  <c r="F1521" i="16"/>
  <c r="I1429" i="16"/>
  <c r="F1519" i="16"/>
  <c r="I1427" i="16"/>
  <c r="F1517" i="16"/>
  <c r="F1609" i="16" s="1"/>
  <c r="I1425" i="16"/>
  <c r="I1413" i="16"/>
  <c r="F1505" i="16"/>
  <c r="F1502" i="16"/>
  <c r="I1410" i="16"/>
  <c r="F1496" i="16"/>
  <c r="I1404" i="16"/>
  <c r="I1440" i="16"/>
  <c r="F1532" i="16"/>
  <c r="F1490" i="16"/>
  <c r="I1398" i="16"/>
  <c r="F1489" i="16"/>
  <c r="I1397" i="16"/>
  <c r="F1487" i="16"/>
  <c r="I1395" i="16"/>
  <c r="F1485" i="16"/>
  <c r="I1393" i="16"/>
  <c r="F1482" i="16"/>
  <c r="I1391" i="16"/>
  <c r="F1480" i="16"/>
  <c r="I1389" i="16"/>
  <c r="F1504" i="16"/>
  <c r="I1412" i="16"/>
  <c r="F1501" i="16"/>
  <c r="I1409" i="16"/>
  <c r="F1497" i="16"/>
  <c r="I1405" i="16"/>
  <c r="F1495" i="16"/>
  <c r="I1403" i="16"/>
  <c r="I1394" i="16"/>
  <c r="F1486" i="16"/>
  <c r="F1484" i="16"/>
  <c r="I1392" i="16"/>
  <c r="F1481" i="16"/>
  <c r="I1390" i="16"/>
  <c r="I1360" i="16"/>
  <c r="F1451" i="16"/>
  <c r="I1340" i="16"/>
  <c r="F1431" i="16"/>
  <c r="I1339" i="16"/>
  <c r="I1353" i="16" s="1"/>
  <c r="J244" i="15" s="1"/>
  <c r="J246" i="15" s="1"/>
  <c r="F1430" i="16"/>
  <c r="F1500" i="16"/>
  <c r="I1408" i="16"/>
  <c r="F1414" i="16"/>
  <c r="I1493" i="16"/>
  <c r="I1538" i="16"/>
  <c r="I1114" i="16"/>
  <c r="F1204" i="16"/>
  <c r="F1376" i="16"/>
  <c r="I1285" i="16"/>
  <c r="F1374" i="16"/>
  <c r="I1283" i="16"/>
  <c r="F1372" i="16"/>
  <c r="I1281" i="16"/>
  <c r="F1370" i="16"/>
  <c r="I1279" i="16"/>
  <c r="I1277" i="16"/>
  <c r="F1368" i="16"/>
  <c r="I1275" i="16"/>
  <c r="F1366" i="16"/>
  <c r="I1273" i="16"/>
  <c r="F1364" i="16"/>
  <c r="I1271" i="16"/>
  <c r="F1362" i="16"/>
  <c r="F1357" i="16"/>
  <c r="F1448" i="16" s="1"/>
  <c r="I1266" i="16"/>
  <c r="F1286" i="16"/>
  <c r="I1267" i="16"/>
  <c r="F1358" i="16"/>
  <c r="F1375" i="16"/>
  <c r="I1284" i="16"/>
  <c r="F1359" i="16"/>
  <c r="I1268" i="16"/>
  <c r="F1371" i="16"/>
  <c r="I1280" i="16"/>
  <c r="I1278" i="16"/>
  <c r="F1369" i="16"/>
  <c r="F1367" i="16"/>
  <c r="I1276" i="16"/>
  <c r="F1365" i="16"/>
  <c r="I1274" i="16"/>
  <c r="F1363" i="16"/>
  <c r="I1272" i="16"/>
  <c r="F1361" i="16"/>
  <c r="I1270" i="16"/>
  <c r="F1353" i="16"/>
  <c r="I1262" i="16"/>
  <c r="J229" i="15" s="1"/>
  <c r="J231" i="15" s="1"/>
  <c r="L1054" i="1"/>
  <c r="G952" i="13"/>
  <c r="J952" i="13" s="1"/>
  <c r="O521" i="1"/>
  <c r="O384" i="1"/>
  <c r="M1036" i="1"/>
  <c r="L1047" i="1"/>
  <c r="G946" i="13"/>
  <c r="M1035" i="1"/>
  <c r="F765" i="16"/>
  <c r="F853" i="16" s="1"/>
  <c r="I679" i="16"/>
  <c r="I678" i="16"/>
  <c r="I594" i="16"/>
  <c r="I605" i="16" s="1"/>
  <c r="F605" i="16"/>
  <c r="E52" i="15"/>
  <c r="J632" i="13"/>
  <c r="O621" i="1"/>
  <c r="M846" i="1"/>
  <c r="M952" i="1" s="1"/>
  <c r="L833" i="1"/>
  <c r="L939" i="1" s="1"/>
  <c r="K727" i="1"/>
  <c r="N727" i="1" s="1"/>
  <c r="G732" i="13"/>
  <c r="J732" i="13" s="1"/>
  <c r="K635" i="1"/>
  <c r="N635" i="1" s="1"/>
  <c r="N633" i="1"/>
  <c r="L845" i="1"/>
  <c r="L951" i="1" s="1"/>
  <c r="G743" i="13"/>
  <c r="L741" i="1"/>
  <c r="G745" i="13" s="1"/>
  <c r="K739" i="1"/>
  <c r="G627" i="13"/>
  <c r="J625" i="13"/>
  <c r="J627" i="13" s="1"/>
  <c r="H58" i="1"/>
  <c r="O528" i="1"/>
  <c r="O515" i="1"/>
  <c r="O618" i="1"/>
  <c r="O624" i="1"/>
  <c r="M720" i="1"/>
  <c r="O617" i="1"/>
  <c r="M726" i="1"/>
  <c r="M622" i="1"/>
  <c r="L846" i="1"/>
  <c r="L952" i="1" s="1"/>
  <c r="G744" i="13"/>
  <c r="K740" i="1"/>
  <c r="N740" i="1" s="1"/>
  <c r="O633" i="1"/>
  <c r="M845" i="1"/>
  <c r="M951" i="1" s="1"/>
  <c r="M741" i="1"/>
  <c r="M833" i="1"/>
  <c r="M939" i="1" s="1"/>
  <c r="K620" i="1"/>
  <c r="L728" i="1"/>
  <c r="G731" i="13"/>
  <c r="L832" i="1"/>
  <c r="L938" i="1" s="1"/>
  <c r="M698" i="1"/>
  <c r="M597" i="1"/>
  <c r="L707" i="1"/>
  <c r="G606" i="13"/>
  <c r="J606" i="13" s="1"/>
  <c r="K601" i="1"/>
  <c r="N601" i="1" s="1"/>
  <c r="L711" i="1"/>
  <c r="G610" i="13"/>
  <c r="J610" i="13" s="1"/>
  <c r="K605" i="1"/>
  <c r="N605" i="1" s="1"/>
  <c r="M700" i="1"/>
  <c r="G608" i="13"/>
  <c r="L709" i="1"/>
  <c r="K603" i="1"/>
  <c r="L606" i="1"/>
  <c r="K599" i="1"/>
  <c r="O599" i="1" s="1"/>
  <c r="L705" i="1"/>
  <c r="G604" i="13"/>
  <c r="L602" i="1"/>
  <c r="L607" i="1" s="1"/>
  <c r="M705" i="1"/>
  <c r="M602" i="1"/>
  <c r="G846" i="13"/>
  <c r="J846" i="13" s="1"/>
  <c r="M841" i="1"/>
  <c r="M947" i="1" s="1"/>
  <c r="M835" i="1"/>
  <c r="M734" i="1"/>
  <c r="G636" i="13"/>
  <c r="J633" i="13"/>
  <c r="J636" i="13" s="1"/>
  <c r="L827" i="1"/>
  <c r="L933" i="1" s="1"/>
  <c r="K721" i="1"/>
  <c r="O721" i="1" s="1"/>
  <c r="G726" i="13"/>
  <c r="L725" i="1"/>
  <c r="L636" i="1"/>
  <c r="L637" i="1" s="1"/>
  <c r="D97" i="15" s="1"/>
  <c r="K717" i="1"/>
  <c r="L823" i="1"/>
  <c r="L929" i="1" s="1"/>
  <c r="G722" i="13"/>
  <c r="L720" i="1"/>
  <c r="O631" i="1"/>
  <c r="L733" i="1"/>
  <c r="K627" i="1"/>
  <c r="K628" i="1" s="1"/>
  <c r="N628" i="1" s="1"/>
  <c r="M808" i="1"/>
  <c r="M914" i="1" s="1"/>
  <c r="J734" i="13"/>
  <c r="K723" i="1"/>
  <c r="N723" i="1" s="1"/>
  <c r="L829" i="1"/>
  <c r="L935" i="1" s="1"/>
  <c r="G728" i="13"/>
  <c r="J728" i="13" s="1"/>
  <c r="L830" i="1"/>
  <c r="L936" i="1" s="1"/>
  <c r="G729" i="13"/>
  <c r="J729" i="13" s="1"/>
  <c r="K724" i="1"/>
  <c r="N724" i="1" s="1"/>
  <c r="M827" i="1"/>
  <c r="M933" i="1" s="1"/>
  <c r="M725" i="1"/>
  <c r="M838" i="1"/>
  <c r="M944" i="1" s="1"/>
  <c r="O613" i="1"/>
  <c r="O407" i="1"/>
  <c r="M711" i="1"/>
  <c r="L594" i="1"/>
  <c r="G493" i="13"/>
  <c r="J493" i="13" s="1"/>
  <c r="K600" i="1"/>
  <c r="N600" i="1" s="1"/>
  <c r="L706" i="1"/>
  <c r="G605" i="13"/>
  <c r="J605" i="13" s="1"/>
  <c r="M710" i="1"/>
  <c r="O524" i="1"/>
  <c r="M709" i="1"/>
  <c r="M606" i="1"/>
  <c r="M707" i="1"/>
  <c r="M706" i="1"/>
  <c r="K604" i="1"/>
  <c r="N604" i="1" s="1"/>
  <c r="L710" i="1"/>
  <c r="G609" i="13"/>
  <c r="J609" i="13" s="1"/>
  <c r="O423" i="1"/>
  <c r="G632" i="13"/>
  <c r="M632" i="1"/>
  <c r="M636" i="1" s="1"/>
  <c r="M736" i="1"/>
  <c r="K630" i="1"/>
  <c r="N630" i="1" s="1"/>
  <c r="K732" i="1"/>
  <c r="N732" i="1" s="1"/>
  <c r="L838" i="1"/>
  <c r="L944" i="1" s="1"/>
  <c r="G737" i="13"/>
  <c r="J737" i="13" s="1"/>
  <c r="M830" i="1"/>
  <c r="M936" i="1" s="1"/>
  <c r="L843" i="1"/>
  <c r="L949" i="1" s="1"/>
  <c r="G741" i="13"/>
  <c r="J741" i="13" s="1"/>
  <c r="K737" i="1"/>
  <c r="N737" i="1" s="1"/>
  <c r="M837" i="1"/>
  <c r="M943" i="1" s="1"/>
  <c r="L825" i="1"/>
  <c r="L931" i="1" s="1"/>
  <c r="G724" i="13"/>
  <c r="J724" i="13" s="1"/>
  <c r="K719" i="1"/>
  <c r="N719" i="1" s="1"/>
  <c r="N629" i="1"/>
  <c r="L841" i="1"/>
  <c r="L947" i="1" s="1"/>
  <c r="G739" i="13"/>
  <c r="K735" i="1"/>
  <c r="L738" i="1"/>
  <c r="N615" i="1"/>
  <c r="K619" i="1"/>
  <c r="N619" i="1" s="1"/>
  <c r="G624" i="13"/>
  <c r="J620" i="13"/>
  <c r="J624" i="13" s="1"/>
  <c r="K614" i="1"/>
  <c r="N611" i="1"/>
  <c r="O611" i="1"/>
  <c r="G619" i="13"/>
  <c r="J616" i="13"/>
  <c r="J619" i="13" s="1"/>
  <c r="M836" i="1"/>
  <c r="M942" i="1" s="1"/>
  <c r="L836" i="1"/>
  <c r="L942" i="1" s="1"/>
  <c r="G735" i="13"/>
  <c r="J735" i="13" s="1"/>
  <c r="K730" i="1"/>
  <c r="N730" i="1" s="1"/>
  <c r="M828" i="1"/>
  <c r="M934" i="1" s="1"/>
  <c r="L824" i="1"/>
  <c r="L930" i="1" s="1"/>
  <c r="G723" i="13"/>
  <c r="J723" i="13" s="1"/>
  <c r="K718" i="1"/>
  <c r="M843" i="1"/>
  <c r="M949" i="1" s="1"/>
  <c r="O737" i="1"/>
  <c r="M839" i="1"/>
  <c r="M945" i="1" s="1"/>
  <c r="O595" i="1"/>
  <c r="M807" i="1"/>
  <c r="M913" i="1" s="1"/>
  <c r="K701" i="1"/>
  <c r="N701" i="1" s="1"/>
  <c r="K729" i="1"/>
  <c r="G840" i="13"/>
  <c r="M829" i="1"/>
  <c r="M935" i="1" s="1"/>
  <c r="L828" i="1"/>
  <c r="K722" i="1"/>
  <c r="N722" i="1" s="1"/>
  <c r="G727" i="13"/>
  <c r="J727" i="13" s="1"/>
  <c r="O619" i="1"/>
  <c r="O626" i="1"/>
  <c r="L837" i="1"/>
  <c r="L943" i="1" s="1"/>
  <c r="K731" i="1"/>
  <c r="N731" i="1" s="1"/>
  <c r="G736" i="13"/>
  <c r="J736" i="13" s="1"/>
  <c r="M825" i="1"/>
  <c r="M931" i="1" s="1"/>
  <c r="M932" i="1" s="1"/>
  <c r="L702" i="1"/>
  <c r="G601" i="13"/>
  <c r="J601" i="13" s="1"/>
  <c r="K596" i="1"/>
  <c r="I510" i="16"/>
  <c r="I521" i="16" s="1"/>
  <c r="F521" i="16"/>
  <c r="F540" i="16" s="1"/>
  <c r="F586" i="16" s="1"/>
  <c r="J90" i="15"/>
  <c r="J93" i="15" s="1"/>
  <c r="J100" i="15" s="1"/>
  <c r="I457" i="16"/>
  <c r="I502" i="16" s="1"/>
  <c r="M295" i="17"/>
  <c r="J310" i="17"/>
  <c r="M476" i="1"/>
  <c r="M582" i="1" s="1"/>
  <c r="M455" i="1"/>
  <c r="M561" i="1" s="1"/>
  <c r="M451" i="1"/>
  <c r="M557" i="1" s="1"/>
  <c r="K382" i="1"/>
  <c r="K385" i="1" s="1"/>
  <c r="N385" i="1" s="1"/>
  <c r="L486" i="1"/>
  <c r="L592" i="1" s="1"/>
  <c r="G386" i="13"/>
  <c r="J386" i="13" s="1"/>
  <c r="L465" i="1"/>
  <c r="L571" i="1" s="1"/>
  <c r="G365" i="13"/>
  <c r="J365" i="13" s="1"/>
  <c r="K361" i="1"/>
  <c r="N361" i="1" s="1"/>
  <c r="L460" i="1"/>
  <c r="L566" i="1" s="1"/>
  <c r="G360" i="13"/>
  <c r="J360" i="13" s="1"/>
  <c r="K356" i="1"/>
  <c r="N356" i="1" s="1"/>
  <c r="K351" i="1"/>
  <c r="N351" i="1" s="1"/>
  <c r="G355" i="13"/>
  <c r="J355" i="13" s="1"/>
  <c r="L455" i="1"/>
  <c r="L561" i="1" s="1"/>
  <c r="K347" i="1"/>
  <c r="N347" i="1" s="1"/>
  <c r="L451" i="1"/>
  <c r="L557" i="1" s="1"/>
  <c r="G351" i="13"/>
  <c r="J351" i="13" s="1"/>
  <c r="K331" i="1"/>
  <c r="N331" i="1" s="1"/>
  <c r="L435" i="1"/>
  <c r="L541" i="1" s="1"/>
  <c r="G335" i="13"/>
  <c r="J335" i="13" s="1"/>
  <c r="L430" i="1"/>
  <c r="L536" i="1" s="1"/>
  <c r="G330" i="13"/>
  <c r="J330" i="13" s="1"/>
  <c r="K326" i="1"/>
  <c r="N326" i="1" s="1"/>
  <c r="L385" i="1"/>
  <c r="M385" i="1"/>
  <c r="G498" i="13"/>
  <c r="J498" i="13" s="1"/>
  <c r="K493" i="1"/>
  <c r="N493" i="1" s="1"/>
  <c r="O410" i="1"/>
  <c r="O514" i="1"/>
  <c r="N514" i="1"/>
  <c r="K516" i="1"/>
  <c r="O387" i="1"/>
  <c r="O489" i="1"/>
  <c r="M465" i="1"/>
  <c r="M571" i="1" s="1"/>
  <c r="M460" i="1"/>
  <c r="M566" i="1" s="1"/>
  <c r="M443" i="1"/>
  <c r="M549" i="1" s="1"/>
  <c r="M435" i="1"/>
  <c r="M541" i="1" s="1"/>
  <c r="M430" i="1"/>
  <c r="M536" i="1" s="1"/>
  <c r="O326" i="1"/>
  <c r="L476" i="1"/>
  <c r="L582" i="1" s="1"/>
  <c r="G376" i="13"/>
  <c r="J376" i="13" s="1"/>
  <c r="K372" i="1"/>
  <c r="N372" i="1" s="1"/>
  <c r="K339" i="1"/>
  <c r="N339" i="1" s="1"/>
  <c r="L443" i="1"/>
  <c r="L549" i="1" s="1"/>
  <c r="G343" i="13"/>
  <c r="J343" i="13" s="1"/>
  <c r="N527" i="1"/>
  <c r="K529" i="1"/>
  <c r="N529" i="1" s="1"/>
  <c r="G521" i="13"/>
  <c r="J519" i="13"/>
  <c r="J521" i="13" s="1"/>
  <c r="O134" i="1"/>
  <c r="O172" i="1"/>
  <c r="O133" i="1"/>
  <c r="O510" i="1"/>
  <c r="O389" i="1"/>
  <c r="O285" i="1"/>
  <c r="O136" i="1"/>
  <c r="O121" i="1"/>
  <c r="O283" i="1"/>
  <c r="O164" i="1"/>
  <c r="O506" i="1"/>
  <c r="O392" i="1"/>
  <c r="J179" i="13"/>
  <c r="M477" i="1"/>
  <c r="M583" i="1" s="1"/>
  <c r="M381" i="1"/>
  <c r="M479" i="1"/>
  <c r="M585" i="1" s="1"/>
  <c r="K373" i="1"/>
  <c r="L477" i="1"/>
  <c r="L583" i="1" s="1"/>
  <c r="G377" i="13"/>
  <c r="L381" i="1"/>
  <c r="L481" i="1"/>
  <c r="L587" i="1" s="1"/>
  <c r="G381" i="13"/>
  <c r="J381" i="13" s="1"/>
  <c r="K377" i="1"/>
  <c r="O377" i="1" s="1"/>
  <c r="M468" i="1"/>
  <c r="M574" i="1" s="1"/>
  <c r="M470" i="1"/>
  <c r="M576" i="1" s="1"/>
  <c r="L469" i="1"/>
  <c r="L575" i="1" s="1"/>
  <c r="K365" i="1"/>
  <c r="N365" i="1" s="1"/>
  <c r="G369" i="13"/>
  <c r="J369" i="13" s="1"/>
  <c r="M463" i="1"/>
  <c r="M569" i="1" s="1"/>
  <c r="M456" i="1"/>
  <c r="M562" i="1" s="1"/>
  <c r="M354" i="1"/>
  <c r="L456" i="1"/>
  <c r="L562" i="1" s="1"/>
  <c r="G356" i="13"/>
  <c r="K352" i="1"/>
  <c r="O352" i="1" s="1"/>
  <c r="L354" i="1"/>
  <c r="M452" i="1"/>
  <c r="M558" i="1" s="1"/>
  <c r="M350" i="1"/>
  <c r="K348" i="1"/>
  <c r="L452" i="1"/>
  <c r="L558" i="1" s="1"/>
  <c r="G352" i="13"/>
  <c r="L350" i="1"/>
  <c r="L440" i="1"/>
  <c r="L546" i="1" s="1"/>
  <c r="G340" i="13"/>
  <c r="J340" i="13" s="1"/>
  <c r="K336" i="1"/>
  <c r="N336" i="1" s="1"/>
  <c r="M438" i="1"/>
  <c r="M544" i="1" s="1"/>
  <c r="L480" i="1"/>
  <c r="L586" i="1" s="1"/>
  <c r="G380" i="13"/>
  <c r="J380" i="13" s="1"/>
  <c r="K376" i="1"/>
  <c r="O376" i="1" s="1"/>
  <c r="L484" i="1"/>
  <c r="L590" i="1" s="1"/>
  <c r="G384" i="13"/>
  <c r="J384" i="13" s="1"/>
  <c r="K380" i="1"/>
  <c r="N380" i="1" s="1"/>
  <c r="M467" i="1"/>
  <c r="M573" i="1" s="1"/>
  <c r="M471" i="1"/>
  <c r="M577" i="1" s="1"/>
  <c r="K364" i="1"/>
  <c r="N364" i="1" s="1"/>
  <c r="L468" i="1"/>
  <c r="L574" i="1" s="1"/>
  <c r="G368" i="13"/>
  <c r="J368" i="13" s="1"/>
  <c r="K368" i="1"/>
  <c r="N368" i="1" s="1"/>
  <c r="L472" i="1"/>
  <c r="L578" i="1" s="1"/>
  <c r="G372" i="13"/>
  <c r="J372" i="13" s="1"/>
  <c r="M462" i="1"/>
  <c r="M568" i="1" s="1"/>
  <c r="L461" i="1"/>
  <c r="L567" i="1" s="1"/>
  <c r="G361" i="13"/>
  <c r="K357" i="1"/>
  <c r="O357" i="1" s="1"/>
  <c r="L360" i="1"/>
  <c r="L463" i="1"/>
  <c r="L569" i="1" s="1"/>
  <c r="K359" i="1"/>
  <c r="N359" i="1" s="1"/>
  <c r="G363" i="13"/>
  <c r="J363" i="13" s="1"/>
  <c r="M453" i="1"/>
  <c r="M559" i="1" s="1"/>
  <c r="K349" i="1"/>
  <c r="N349" i="1" s="1"/>
  <c r="L453" i="1"/>
  <c r="L559" i="1" s="1"/>
  <c r="G353" i="13"/>
  <c r="J353" i="13" s="1"/>
  <c r="M447" i="1"/>
  <c r="M553" i="1" s="1"/>
  <c r="M449" i="1"/>
  <c r="M555" i="1" s="1"/>
  <c r="K335" i="1"/>
  <c r="N335" i="1" s="1"/>
  <c r="L439" i="1"/>
  <c r="L545" i="1" s="1"/>
  <c r="G339" i="13"/>
  <c r="J339" i="13" s="1"/>
  <c r="M441" i="1"/>
  <c r="M547" i="1" s="1"/>
  <c r="L431" i="1"/>
  <c r="L537" i="1" s="1"/>
  <c r="G331" i="13"/>
  <c r="K327" i="1"/>
  <c r="L330" i="1"/>
  <c r="N523" i="1"/>
  <c r="K526" i="1"/>
  <c r="N526" i="1" s="1"/>
  <c r="G513" i="13"/>
  <c r="J511" i="13"/>
  <c r="J513" i="13" s="1"/>
  <c r="N517" i="1"/>
  <c r="K522" i="1"/>
  <c r="N522" i="1" s="1"/>
  <c r="G500" i="13"/>
  <c r="J500" i="13" s="1"/>
  <c r="K495" i="1"/>
  <c r="N495" i="1" s="1"/>
  <c r="K499" i="1"/>
  <c r="N499" i="1" s="1"/>
  <c r="G504" i="13"/>
  <c r="J504" i="13" s="1"/>
  <c r="O393" i="1"/>
  <c r="J387" i="13"/>
  <c r="M491" i="1"/>
  <c r="J392" i="13"/>
  <c r="J394" i="13" s="1"/>
  <c r="G394" i="13"/>
  <c r="N388" i="1"/>
  <c r="K390" i="1"/>
  <c r="O390" i="1" s="1"/>
  <c r="O511" i="1"/>
  <c r="O517" i="1"/>
  <c r="O520" i="1"/>
  <c r="J526" i="13"/>
  <c r="M500" i="1"/>
  <c r="G398" i="13"/>
  <c r="J395" i="13"/>
  <c r="J398" i="13" s="1"/>
  <c r="O388" i="1"/>
  <c r="M496" i="1"/>
  <c r="G503" i="13"/>
  <c r="J503" i="13" s="1"/>
  <c r="K498" i="1"/>
  <c r="N498" i="1" s="1"/>
  <c r="K177" i="1"/>
  <c r="N177" i="1" s="1"/>
  <c r="G179" i="13"/>
  <c r="M481" i="1"/>
  <c r="M587" i="1" s="1"/>
  <c r="M483" i="1"/>
  <c r="M589" i="1" s="1"/>
  <c r="L479" i="1"/>
  <c r="L585" i="1" s="1"/>
  <c r="G379" i="13"/>
  <c r="J379" i="13" s="1"/>
  <c r="K375" i="1"/>
  <c r="O375" i="1" s="1"/>
  <c r="L483" i="1"/>
  <c r="L589" i="1" s="1"/>
  <c r="G383" i="13"/>
  <c r="J383" i="13" s="1"/>
  <c r="K379" i="1"/>
  <c r="O379" i="1" s="1"/>
  <c r="M466" i="1"/>
  <c r="M572" i="1" s="1"/>
  <c r="M369" i="1"/>
  <c r="O158" i="1"/>
  <c r="M472" i="1"/>
  <c r="M578" i="1" s="1"/>
  <c r="L467" i="1"/>
  <c r="L573" i="1" s="1"/>
  <c r="K363" i="1"/>
  <c r="N363" i="1" s="1"/>
  <c r="G367" i="13"/>
  <c r="J367" i="13" s="1"/>
  <c r="G371" i="13"/>
  <c r="J371" i="13" s="1"/>
  <c r="L471" i="1"/>
  <c r="L577" i="1" s="1"/>
  <c r="K367" i="1"/>
  <c r="N367" i="1" s="1"/>
  <c r="M461" i="1"/>
  <c r="M567" i="1" s="1"/>
  <c r="M360" i="1"/>
  <c r="G362" i="13"/>
  <c r="J362" i="13" s="1"/>
  <c r="L462" i="1"/>
  <c r="L568" i="1" s="1"/>
  <c r="K358" i="1"/>
  <c r="N358" i="1" s="1"/>
  <c r="M444" i="1"/>
  <c r="M550" i="1" s="1"/>
  <c r="M346" i="1"/>
  <c r="M446" i="1"/>
  <c r="M552" i="1" s="1"/>
  <c r="M448" i="1"/>
  <c r="M554" i="1" s="1"/>
  <c r="K340" i="1"/>
  <c r="O340" i="1" s="1"/>
  <c r="L444" i="1"/>
  <c r="L550" i="1" s="1"/>
  <c r="G344" i="13"/>
  <c r="L346" i="1"/>
  <c r="K342" i="1"/>
  <c r="N342" i="1" s="1"/>
  <c r="L446" i="1"/>
  <c r="L552" i="1" s="1"/>
  <c r="G346" i="13"/>
  <c r="J346" i="13" s="1"/>
  <c r="K344" i="1"/>
  <c r="N344" i="1" s="1"/>
  <c r="L448" i="1"/>
  <c r="L554" i="1" s="1"/>
  <c r="G348" i="13"/>
  <c r="J348" i="13" s="1"/>
  <c r="G336" i="13"/>
  <c r="L436" i="1"/>
  <c r="L542" i="1" s="1"/>
  <c r="K332" i="1"/>
  <c r="O332" i="1" s="1"/>
  <c r="L338" i="1"/>
  <c r="L438" i="1"/>
  <c r="L544" i="1" s="1"/>
  <c r="G338" i="13"/>
  <c r="J338" i="13" s="1"/>
  <c r="K334" i="1"/>
  <c r="N334" i="1" s="1"/>
  <c r="M436" i="1"/>
  <c r="M542" i="1" s="1"/>
  <c r="M338" i="1"/>
  <c r="M440" i="1"/>
  <c r="M546" i="1" s="1"/>
  <c r="M431" i="1"/>
  <c r="M537" i="1" s="1"/>
  <c r="M330" i="1"/>
  <c r="M433" i="1"/>
  <c r="M539" i="1" s="1"/>
  <c r="K328" i="1"/>
  <c r="N328" i="1" s="1"/>
  <c r="L432" i="1"/>
  <c r="L538" i="1" s="1"/>
  <c r="G332" i="13"/>
  <c r="J332" i="13" s="1"/>
  <c r="O289" i="1"/>
  <c r="J189" i="13"/>
  <c r="M478" i="1"/>
  <c r="M584" i="1" s="1"/>
  <c r="M480" i="1"/>
  <c r="M586" i="1" s="1"/>
  <c r="M482" i="1"/>
  <c r="M588" i="1" s="1"/>
  <c r="M484" i="1"/>
  <c r="M590" i="1" s="1"/>
  <c r="L478" i="1"/>
  <c r="L584" i="1" s="1"/>
  <c r="G378" i="13"/>
  <c r="J378" i="13" s="1"/>
  <c r="K374" i="1"/>
  <c r="O374" i="1" s="1"/>
  <c r="L482" i="1"/>
  <c r="L588" i="1" s="1"/>
  <c r="G382" i="13"/>
  <c r="J382" i="13" s="1"/>
  <c r="K378" i="1"/>
  <c r="O378" i="1" s="1"/>
  <c r="M469" i="1"/>
  <c r="M575" i="1" s="1"/>
  <c r="K362" i="1"/>
  <c r="O362" i="1" s="1"/>
  <c r="L466" i="1"/>
  <c r="L572" i="1" s="1"/>
  <c r="G366" i="13"/>
  <c r="L369" i="1"/>
  <c r="K366" i="1"/>
  <c r="N366" i="1" s="1"/>
  <c r="L470" i="1"/>
  <c r="L576" i="1" s="1"/>
  <c r="G370" i="13"/>
  <c r="J370" i="13" s="1"/>
  <c r="M457" i="1"/>
  <c r="M563" i="1" s="1"/>
  <c r="K353" i="1"/>
  <c r="N353" i="1" s="1"/>
  <c r="L457" i="1"/>
  <c r="L563" i="1" s="1"/>
  <c r="G357" i="13"/>
  <c r="J357" i="13" s="1"/>
  <c r="M445" i="1"/>
  <c r="M551" i="1" s="1"/>
  <c r="L445" i="1"/>
  <c r="L551" i="1" s="1"/>
  <c r="G345" i="13"/>
  <c r="J345" i="13" s="1"/>
  <c r="K341" i="1"/>
  <c r="N341" i="1" s="1"/>
  <c r="L447" i="1"/>
  <c r="L553" i="1" s="1"/>
  <c r="G347" i="13"/>
  <c r="J347" i="13" s="1"/>
  <c r="K343" i="1"/>
  <c r="N343" i="1" s="1"/>
  <c r="L449" i="1"/>
  <c r="L555" i="1" s="1"/>
  <c r="G349" i="13"/>
  <c r="J349" i="13" s="1"/>
  <c r="K345" i="1"/>
  <c r="N345" i="1" s="1"/>
  <c r="K333" i="1"/>
  <c r="N333" i="1" s="1"/>
  <c r="L437" i="1"/>
  <c r="L543" i="1" s="1"/>
  <c r="G337" i="13"/>
  <c r="J337" i="13" s="1"/>
  <c r="K337" i="1"/>
  <c r="N337" i="1" s="1"/>
  <c r="L441" i="1"/>
  <c r="L547" i="1" s="1"/>
  <c r="G341" i="13"/>
  <c r="J341" i="13" s="1"/>
  <c r="M437" i="1"/>
  <c r="M543" i="1" s="1"/>
  <c r="M439" i="1"/>
  <c r="M545" i="1" s="1"/>
  <c r="M432" i="1"/>
  <c r="M538" i="1" s="1"/>
  <c r="L433" i="1"/>
  <c r="L539" i="1" s="1"/>
  <c r="G333" i="13"/>
  <c r="J333" i="13" s="1"/>
  <c r="K329" i="1"/>
  <c r="N329" i="1" s="1"/>
  <c r="O319" i="1"/>
  <c r="O174" i="1"/>
  <c r="O153" i="1"/>
  <c r="O143" i="1"/>
  <c r="O131" i="1"/>
  <c r="O523" i="1"/>
  <c r="J527" i="13"/>
  <c r="J530" i="13" s="1"/>
  <c r="G530" i="13"/>
  <c r="K513" i="1"/>
  <c r="N513" i="1" s="1"/>
  <c r="N509" i="1"/>
  <c r="G518" i="13"/>
  <c r="J514" i="13"/>
  <c r="J518" i="13" s="1"/>
  <c r="K508" i="1"/>
  <c r="N505" i="1"/>
  <c r="O505" i="1"/>
  <c r="O402" i="1"/>
  <c r="N402" i="1"/>
  <c r="L530" i="1"/>
  <c r="L531" i="1" s="1"/>
  <c r="D82" i="15" s="1"/>
  <c r="O525" i="1"/>
  <c r="O507" i="1"/>
  <c r="M530" i="1"/>
  <c r="N383" i="1"/>
  <c r="K488" i="1"/>
  <c r="O383" i="1"/>
  <c r="L395" i="1"/>
  <c r="G499" i="13"/>
  <c r="K494" i="1"/>
  <c r="L496" i="1"/>
  <c r="O512" i="1"/>
  <c r="O519" i="1"/>
  <c r="O518" i="1"/>
  <c r="G526" i="13"/>
  <c r="N391" i="1"/>
  <c r="K394" i="1"/>
  <c r="N394" i="1" s="1"/>
  <c r="K497" i="1"/>
  <c r="G502" i="13"/>
  <c r="L500" i="1"/>
  <c r="K490" i="1"/>
  <c r="N490" i="1" s="1"/>
  <c r="J495" i="13"/>
  <c r="M395" i="1"/>
  <c r="N300" i="17"/>
  <c r="N293" i="17"/>
  <c r="N148" i="17"/>
  <c r="N301" i="17"/>
  <c r="N157" i="17"/>
  <c r="N302" i="17"/>
  <c r="N295" i="17"/>
  <c r="N303" i="17"/>
  <c r="N257" i="17"/>
  <c r="N207" i="17"/>
  <c r="N287" i="17"/>
  <c r="N254" i="17"/>
  <c r="N269" i="17"/>
  <c r="M269" i="17"/>
  <c r="G28" i="17"/>
  <c r="D28" i="17"/>
  <c r="N279" i="17"/>
  <c r="N285" i="17"/>
  <c r="N294" i="17"/>
  <c r="N216" i="17"/>
  <c r="N278" i="17"/>
  <c r="N260" i="17"/>
  <c r="M260" i="17"/>
  <c r="H55" i="15"/>
  <c r="N292" i="17"/>
  <c r="N271" i="17"/>
  <c r="H67" i="15"/>
  <c r="H69" i="15" s="1"/>
  <c r="N306" i="17"/>
  <c r="Q282" i="17"/>
  <c r="J282" i="17"/>
  <c r="N273" i="17"/>
  <c r="N297" i="17"/>
  <c r="N305" i="17"/>
  <c r="N274" i="17"/>
  <c r="Q276" i="17"/>
  <c r="Q277" i="17" s="1"/>
  <c r="H79" i="15" s="1"/>
  <c r="H81" i="15" s="1"/>
  <c r="M255" i="17"/>
  <c r="J259" i="17"/>
  <c r="N259" i="17" s="1"/>
  <c r="N288" i="17"/>
  <c r="N275" i="17"/>
  <c r="L249" i="17"/>
  <c r="N248" i="17"/>
  <c r="L277" i="17"/>
  <c r="N264" i="17"/>
  <c r="N280" i="17"/>
  <c r="N296" i="17"/>
  <c r="Q267" i="17"/>
  <c r="J190" i="17"/>
  <c r="M190" i="17" s="1"/>
  <c r="M189" i="17"/>
  <c r="J208" i="17"/>
  <c r="M208" i="17" s="1"/>
  <c r="M199" i="17"/>
  <c r="G67" i="15"/>
  <c r="G69" i="15" s="1"/>
  <c r="G70" i="15" s="1"/>
  <c r="K250" i="17"/>
  <c r="N256" i="17"/>
  <c r="N272" i="17"/>
  <c r="M283" i="17"/>
  <c r="M248" i="17"/>
  <c r="J249" i="17"/>
  <c r="N291" i="17"/>
  <c r="N299" i="17"/>
  <c r="N307" i="17"/>
  <c r="M270" i="17"/>
  <c r="J276" i="17"/>
  <c r="M276" i="17" s="1"/>
  <c r="L268" i="17"/>
  <c r="K268" i="17"/>
  <c r="G75" i="15"/>
  <c r="G78" i="15" s="1"/>
  <c r="Q259" i="17"/>
  <c r="H75" i="15" s="1"/>
  <c r="N298" i="17"/>
  <c r="K311" i="17"/>
  <c r="J217" i="17"/>
  <c r="M217" i="17" s="1"/>
  <c r="N263" i="17"/>
  <c r="H60" i="15"/>
  <c r="H63" i="15" s="1"/>
  <c r="Q208" i="17"/>
  <c r="Q250" i="17" s="1"/>
  <c r="L190" i="17"/>
  <c r="N189" i="17"/>
  <c r="N270" i="17"/>
  <c r="N262" i="17"/>
  <c r="N266" i="17"/>
  <c r="N286" i="17"/>
  <c r="N308" i="17"/>
  <c r="M261" i="17"/>
  <c r="J267" i="17"/>
  <c r="M267" i="17" s="1"/>
  <c r="N258" i="17"/>
  <c r="J428" i="13"/>
  <c r="J429" i="13" s="1"/>
  <c r="I67" i="15" s="1"/>
  <c r="I69" i="15" s="1"/>
  <c r="G428" i="13"/>
  <c r="G429" i="13" s="1"/>
  <c r="F67" i="15" s="1"/>
  <c r="F69" i="15" s="1"/>
  <c r="N420" i="1"/>
  <c r="O420" i="1"/>
  <c r="D69" i="15"/>
  <c r="E67" i="15"/>
  <c r="N416" i="1"/>
  <c r="O416" i="1"/>
  <c r="K424" i="1"/>
  <c r="G281" i="13"/>
  <c r="J281" i="13" s="1"/>
  <c r="K278" i="1"/>
  <c r="N278" i="1" s="1"/>
  <c r="G260" i="13"/>
  <c r="J260" i="13" s="1"/>
  <c r="K257" i="1"/>
  <c r="N257" i="1" s="1"/>
  <c r="K252" i="1"/>
  <c r="G255" i="13"/>
  <c r="J255" i="13" s="1"/>
  <c r="K247" i="1"/>
  <c r="N247" i="1" s="1"/>
  <c r="G250" i="13"/>
  <c r="J250" i="13" s="1"/>
  <c r="K243" i="1"/>
  <c r="N243" i="1" s="1"/>
  <c r="G246" i="13"/>
  <c r="J246" i="13" s="1"/>
  <c r="G230" i="13"/>
  <c r="J230" i="13" s="1"/>
  <c r="K227" i="1"/>
  <c r="N227" i="1" s="1"/>
  <c r="G225" i="13"/>
  <c r="J225" i="13" s="1"/>
  <c r="K222" i="1"/>
  <c r="N222" i="1" s="1"/>
  <c r="C16" i="15"/>
  <c r="C30" i="15"/>
  <c r="C33" i="15" s="1"/>
  <c r="C40" i="15" s="1"/>
  <c r="O303" i="1"/>
  <c r="L178" i="1"/>
  <c r="L189" i="1" s="1"/>
  <c r="L190" i="1" s="1"/>
  <c r="D34" i="15" s="1"/>
  <c r="O156" i="1"/>
  <c r="O160" i="1"/>
  <c r="O151" i="1"/>
  <c r="O128" i="1"/>
  <c r="G189" i="13"/>
  <c r="O316" i="1"/>
  <c r="O157" i="1"/>
  <c r="O135" i="1"/>
  <c r="O125" i="1"/>
  <c r="G271" i="13"/>
  <c r="J271" i="13" s="1"/>
  <c r="K268" i="1"/>
  <c r="G238" i="13"/>
  <c r="J238" i="13" s="1"/>
  <c r="K235" i="1"/>
  <c r="N235" i="1" s="1"/>
  <c r="K217" i="1"/>
  <c r="N216" i="1"/>
  <c r="N217" i="1" s="1"/>
  <c r="J287" i="13"/>
  <c r="J289" i="13" s="1"/>
  <c r="G289" i="13"/>
  <c r="O298" i="1"/>
  <c r="N298" i="1"/>
  <c r="K320" i="1"/>
  <c r="M178" i="1"/>
  <c r="G272" i="13"/>
  <c r="K269" i="1"/>
  <c r="L277" i="1"/>
  <c r="G276" i="13"/>
  <c r="J276" i="13" s="1"/>
  <c r="K273" i="1"/>
  <c r="O273" i="1" s="1"/>
  <c r="K261" i="1"/>
  <c r="N261" i="1" s="1"/>
  <c r="G264" i="13"/>
  <c r="J264" i="13" s="1"/>
  <c r="G257" i="13"/>
  <c r="J257" i="13" s="1"/>
  <c r="K254" i="1"/>
  <c r="N254" i="1" s="1"/>
  <c r="J146" i="13"/>
  <c r="J148" i="13" s="1"/>
  <c r="G148" i="13"/>
  <c r="M246" i="1"/>
  <c r="N140" i="1"/>
  <c r="K142" i="1"/>
  <c r="N142" i="1" s="1"/>
  <c r="K244" i="1"/>
  <c r="O244" i="1" s="1"/>
  <c r="G247" i="13"/>
  <c r="L246" i="1"/>
  <c r="J134" i="13"/>
  <c r="J140" i="13" s="1"/>
  <c r="G140" i="13"/>
  <c r="J126" i="13"/>
  <c r="J132" i="13" s="1"/>
  <c r="G132" i="13"/>
  <c r="K232" i="1"/>
  <c r="N232" i="1" s="1"/>
  <c r="G235" i="13"/>
  <c r="J235" i="13" s="1"/>
  <c r="O126" i="1"/>
  <c r="M226" i="1"/>
  <c r="K224" i="1"/>
  <c r="N224" i="1" s="1"/>
  <c r="G227" i="13"/>
  <c r="J227" i="13" s="1"/>
  <c r="O280" i="1"/>
  <c r="L282" i="1"/>
  <c r="J282" i="13"/>
  <c r="K187" i="1"/>
  <c r="N187" i="1" s="1"/>
  <c r="N182" i="1"/>
  <c r="M291" i="1"/>
  <c r="J291" i="13"/>
  <c r="J293" i="13" s="1"/>
  <c r="G293" i="13"/>
  <c r="J323" i="13"/>
  <c r="J324" i="13" s="1"/>
  <c r="I52" i="15" s="1"/>
  <c r="I54" i="15" s="1"/>
  <c r="G275" i="13"/>
  <c r="J275" i="13" s="1"/>
  <c r="K272" i="1"/>
  <c r="O272" i="1" s="1"/>
  <c r="G279" i="13"/>
  <c r="J279" i="13" s="1"/>
  <c r="K276" i="1"/>
  <c r="N276" i="1" s="1"/>
  <c r="O155" i="1"/>
  <c r="O159" i="1"/>
  <c r="G261" i="13"/>
  <c r="K258" i="1"/>
  <c r="L265" i="1"/>
  <c r="G265" i="13"/>
  <c r="J265" i="13" s="1"/>
  <c r="K262" i="1"/>
  <c r="N262" i="1" s="1"/>
  <c r="N149" i="1"/>
  <c r="K152" i="1"/>
  <c r="O152" i="1" s="1"/>
  <c r="K253" i="1"/>
  <c r="O253" i="1" s="1"/>
  <c r="G256" i="13"/>
  <c r="L256" i="1"/>
  <c r="G258" i="13"/>
  <c r="J258" i="13" s="1"/>
  <c r="K255" i="1"/>
  <c r="N255" i="1" s="1"/>
  <c r="G248" i="13"/>
  <c r="J248" i="13" s="1"/>
  <c r="K245" i="1"/>
  <c r="N245" i="1" s="1"/>
  <c r="K237" i="1"/>
  <c r="N237" i="1" s="1"/>
  <c r="G240" i="13"/>
  <c r="J240" i="13" s="1"/>
  <c r="G242" i="13"/>
  <c r="J242" i="13" s="1"/>
  <c r="K239" i="1"/>
  <c r="N239" i="1" s="1"/>
  <c r="K241" i="1"/>
  <c r="N241" i="1" s="1"/>
  <c r="G244" i="13"/>
  <c r="J244" i="13" s="1"/>
  <c r="G232" i="13"/>
  <c r="J232" i="13" s="1"/>
  <c r="K229" i="1"/>
  <c r="N229" i="1" s="1"/>
  <c r="G236" i="13"/>
  <c r="J236" i="13" s="1"/>
  <c r="K233" i="1"/>
  <c r="N233" i="1" s="1"/>
  <c r="J121" i="13"/>
  <c r="J124" i="13" s="1"/>
  <c r="G124" i="13"/>
  <c r="N119" i="1"/>
  <c r="K122" i="1"/>
  <c r="G228" i="13"/>
  <c r="J228" i="13" s="1"/>
  <c r="K225" i="1"/>
  <c r="N225" i="1" s="1"/>
  <c r="G104" i="1"/>
  <c r="J104" i="1" s="1"/>
  <c r="L291" i="1"/>
  <c r="N284" i="1"/>
  <c r="K286" i="1"/>
  <c r="O182" i="1"/>
  <c r="M277" i="1"/>
  <c r="J167" i="13"/>
  <c r="J175" i="13" s="1"/>
  <c r="G175" i="13"/>
  <c r="N165" i="1"/>
  <c r="K173" i="1"/>
  <c r="O173" i="1" s="1"/>
  <c r="G274" i="13"/>
  <c r="J274" i="13" s="1"/>
  <c r="K271" i="1"/>
  <c r="O271" i="1" s="1"/>
  <c r="G278" i="13"/>
  <c r="J278" i="13" s="1"/>
  <c r="K275" i="1"/>
  <c r="O275" i="1" s="1"/>
  <c r="M265" i="1"/>
  <c r="K259" i="1"/>
  <c r="N259" i="1" s="1"/>
  <c r="G262" i="13"/>
  <c r="J262" i="13" s="1"/>
  <c r="K263" i="1"/>
  <c r="N263" i="1" s="1"/>
  <c r="G266" i="13"/>
  <c r="J266" i="13" s="1"/>
  <c r="M162" i="1"/>
  <c r="M256" i="1"/>
  <c r="M250" i="1"/>
  <c r="N144" i="1"/>
  <c r="K146" i="1"/>
  <c r="N146" i="1" s="1"/>
  <c r="K248" i="1"/>
  <c r="O248" i="1" s="1"/>
  <c r="G251" i="13"/>
  <c r="L250" i="1"/>
  <c r="O140" i="1"/>
  <c r="G144" i="13"/>
  <c r="J142" i="13"/>
  <c r="J144" i="13" s="1"/>
  <c r="M242" i="1"/>
  <c r="N132" i="1"/>
  <c r="K138" i="1"/>
  <c r="N138" i="1" s="1"/>
  <c r="G239" i="13"/>
  <c r="L242" i="1"/>
  <c r="K236" i="1"/>
  <c r="O236" i="1" s="1"/>
  <c r="K238" i="1"/>
  <c r="N238" i="1" s="1"/>
  <c r="G241" i="13"/>
  <c r="J241" i="13" s="1"/>
  <c r="G243" i="13"/>
  <c r="J243" i="13" s="1"/>
  <c r="K240" i="1"/>
  <c r="N240" i="1" s="1"/>
  <c r="N124" i="1"/>
  <c r="K130" i="1"/>
  <c r="N130" i="1" s="1"/>
  <c r="G231" i="13"/>
  <c r="K228" i="1"/>
  <c r="O228" i="1" s="1"/>
  <c r="L234" i="1"/>
  <c r="K230" i="1"/>
  <c r="N230" i="1" s="1"/>
  <c r="G233" i="13"/>
  <c r="J233" i="13" s="1"/>
  <c r="M234" i="1"/>
  <c r="M147" i="1"/>
  <c r="N279" i="1"/>
  <c r="O284" i="1"/>
  <c r="N288" i="1"/>
  <c r="K290" i="1"/>
  <c r="N290" i="1" s="1"/>
  <c r="O186" i="1"/>
  <c r="O216" i="1"/>
  <c r="O217" i="1" s="1"/>
  <c r="G323" i="13"/>
  <c r="G324" i="13" s="1"/>
  <c r="F52" i="15" s="1"/>
  <c r="F54" i="15" s="1"/>
  <c r="G273" i="13"/>
  <c r="J273" i="13" s="1"/>
  <c r="K270" i="1"/>
  <c r="O270" i="1" s="1"/>
  <c r="G277" i="13"/>
  <c r="J277" i="13" s="1"/>
  <c r="K274" i="1"/>
  <c r="O274" i="1" s="1"/>
  <c r="J156" i="13"/>
  <c r="J163" i="13" s="1"/>
  <c r="G163" i="13"/>
  <c r="K161" i="1"/>
  <c r="N161" i="1" s="1"/>
  <c r="N154" i="1"/>
  <c r="G263" i="13"/>
  <c r="J263" i="13" s="1"/>
  <c r="K260" i="1"/>
  <c r="N260" i="1" s="1"/>
  <c r="G267" i="13"/>
  <c r="J267" i="13" s="1"/>
  <c r="K264" i="1"/>
  <c r="N264" i="1" s="1"/>
  <c r="O150" i="1"/>
  <c r="L162" i="1"/>
  <c r="D31" i="15" s="1"/>
  <c r="E31" i="15" s="1"/>
  <c r="J151" i="13"/>
  <c r="J154" i="13" s="1"/>
  <c r="G154" i="13"/>
  <c r="K249" i="1"/>
  <c r="N249" i="1" s="1"/>
  <c r="G252" i="13"/>
  <c r="J252" i="13" s="1"/>
  <c r="G234" i="13"/>
  <c r="J234" i="13" s="1"/>
  <c r="K231" i="1"/>
  <c r="N231" i="1" s="1"/>
  <c r="O127" i="1"/>
  <c r="O129" i="1"/>
  <c r="O120" i="1"/>
  <c r="L147" i="1"/>
  <c r="G226" i="13"/>
  <c r="K223" i="1"/>
  <c r="L226" i="1"/>
  <c r="N88" i="17"/>
  <c r="E70" i="17"/>
  <c r="N97" i="17"/>
  <c r="J130" i="17"/>
  <c r="M130" i="17" s="1"/>
  <c r="M129" i="17"/>
  <c r="I83" i="1"/>
  <c r="G108" i="1"/>
  <c r="J108" i="1" s="1"/>
  <c r="G18" i="1"/>
  <c r="J18" i="1" s="1"/>
  <c r="E43" i="1"/>
  <c r="H83" i="1"/>
  <c r="I74" i="1"/>
  <c r="L68" i="17"/>
  <c r="O103" i="1"/>
  <c r="O89" i="1"/>
  <c r="O81" i="1"/>
  <c r="O33" i="1"/>
  <c r="O15" i="1"/>
  <c r="K46" i="1"/>
  <c r="N46" i="1" s="1"/>
  <c r="H45" i="16"/>
  <c r="J43" i="17"/>
  <c r="M43" i="17" s="1"/>
  <c r="J46" i="17"/>
  <c r="M46" i="17" s="1"/>
  <c r="J48" i="17"/>
  <c r="M48" i="17" s="1"/>
  <c r="J57" i="17"/>
  <c r="N57" i="17" s="1"/>
  <c r="J58" i="17"/>
  <c r="M58" i="17" s="1"/>
  <c r="J60" i="17"/>
  <c r="M60" i="17" s="1"/>
  <c r="J64" i="17"/>
  <c r="M64" i="17" s="1"/>
  <c r="P19" i="17"/>
  <c r="N41" i="17"/>
  <c r="M41" i="17"/>
  <c r="F36" i="17"/>
  <c r="F37" i="17" s="1"/>
  <c r="I37" i="17" s="1"/>
  <c r="Q35" i="17"/>
  <c r="Q41" i="17"/>
  <c r="Q43" i="17"/>
  <c r="Q57" i="17"/>
  <c r="H28" i="17"/>
  <c r="H70" i="17" s="1"/>
  <c r="Q26" i="17"/>
  <c r="P36" i="17"/>
  <c r="P37" i="17" s="1"/>
  <c r="J31" i="17"/>
  <c r="M31" i="17" s="1"/>
  <c r="N32" i="17"/>
  <c r="J33" i="17"/>
  <c r="N33" i="17" s="1"/>
  <c r="J34" i="17"/>
  <c r="M34" i="17" s="1"/>
  <c r="N35" i="17"/>
  <c r="J38" i="17"/>
  <c r="M38" i="17" s="1"/>
  <c r="N39" i="17"/>
  <c r="J40" i="17"/>
  <c r="M40" i="17" s="1"/>
  <c r="Q46" i="17"/>
  <c r="J47" i="17"/>
  <c r="M47" i="17" s="1"/>
  <c r="J49" i="17"/>
  <c r="N49" i="17" s="1"/>
  <c r="Q50" i="17"/>
  <c r="J51" i="17"/>
  <c r="M51" i="17" s="1"/>
  <c r="J54" i="17"/>
  <c r="M54" i="17" s="1"/>
  <c r="J56" i="17"/>
  <c r="M56" i="17" s="1"/>
  <c r="Q58" i="17"/>
  <c r="J59" i="17"/>
  <c r="M59" i="17" s="1"/>
  <c r="M61" i="17"/>
  <c r="J63" i="17"/>
  <c r="M63" i="17" s="1"/>
  <c r="M65" i="17"/>
  <c r="F43" i="13"/>
  <c r="F83" i="13"/>
  <c r="F91" i="13"/>
  <c r="I99" i="13"/>
  <c r="F112" i="13"/>
  <c r="K97" i="1"/>
  <c r="N97" i="1" s="1"/>
  <c r="F39" i="13"/>
  <c r="J50" i="13"/>
  <c r="G74" i="13"/>
  <c r="J71" i="13"/>
  <c r="J74" i="13" s="1"/>
  <c r="K32" i="1"/>
  <c r="G33" i="13"/>
  <c r="J33" i="13" s="1"/>
  <c r="G38" i="1"/>
  <c r="J38" i="1" s="1"/>
  <c r="K40" i="1"/>
  <c r="N40" i="1" s="1"/>
  <c r="G41" i="13"/>
  <c r="J41" i="13" s="1"/>
  <c r="K84" i="1"/>
  <c r="N84" i="1" s="1"/>
  <c r="G85" i="13"/>
  <c r="J85" i="13" s="1"/>
  <c r="J14" i="1"/>
  <c r="O16" i="1"/>
  <c r="K21" i="1"/>
  <c r="N21" i="1" s="1"/>
  <c r="O22" i="1"/>
  <c r="L34" i="1"/>
  <c r="G28" i="13"/>
  <c r="J28" i="13" s="1"/>
  <c r="K28" i="1"/>
  <c r="O28" i="1" s="1"/>
  <c r="G29" i="13"/>
  <c r="J29" i="13" s="1"/>
  <c r="K30" i="1"/>
  <c r="N30" i="1" s="1"/>
  <c r="G31" i="13"/>
  <c r="J31" i="13" s="1"/>
  <c r="G39" i="13"/>
  <c r="J37" i="13"/>
  <c r="F114" i="1"/>
  <c r="K39" i="1"/>
  <c r="N39" i="1" s="1"/>
  <c r="K45" i="1"/>
  <c r="K47" i="1"/>
  <c r="N47" i="1" s="1"/>
  <c r="K49" i="1"/>
  <c r="N49" i="1" s="1"/>
  <c r="K50" i="1"/>
  <c r="N50" i="1" s="1"/>
  <c r="N52" i="1"/>
  <c r="K53" i="1"/>
  <c r="O54" i="1"/>
  <c r="K56" i="1"/>
  <c r="N56" i="1" s="1"/>
  <c r="K62" i="1"/>
  <c r="O62" i="1" s="1"/>
  <c r="K63" i="1"/>
  <c r="O63" i="1" s="1"/>
  <c r="K65" i="1"/>
  <c r="O65" i="1" s="1"/>
  <c r="G66" i="13"/>
  <c r="J66" i="13" s="1"/>
  <c r="K66" i="1"/>
  <c r="O66" i="1" s="1"/>
  <c r="G67" i="13"/>
  <c r="J67" i="13" s="1"/>
  <c r="K67" i="1"/>
  <c r="O67" i="1" s="1"/>
  <c r="G68" i="13"/>
  <c r="J68" i="13" s="1"/>
  <c r="K76" i="1"/>
  <c r="O76" i="1" s="1"/>
  <c r="L82" i="1"/>
  <c r="G81" i="13"/>
  <c r="J81" i="13" s="1"/>
  <c r="K99" i="1"/>
  <c r="N99" i="1" s="1"/>
  <c r="G100" i="13"/>
  <c r="K106" i="1"/>
  <c r="N106" i="1" s="1"/>
  <c r="G107" i="13"/>
  <c r="J107" i="13" s="1"/>
  <c r="J109" i="13" s="1"/>
  <c r="L111" i="1"/>
  <c r="G110" i="13"/>
  <c r="K110" i="1"/>
  <c r="N110" i="1" s="1"/>
  <c r="G111" i="13"/>
  <c r="G77" i="13"/>
  <c r="J77" i="13" s="1"/>
  <c r="L90" i="1"/>
  <c r="G89" i="13"/>
  <c r="J89" i="13" s="1"/>
  <c r="K91" i="1"/>
  <c r="O91" i="1" s="1"/>
  <c r="K94" i="1"/>
  <c r="N94" i="1" s="1"/>
  <c r="G95" i="13"/>
  <c r="J95" i="13" s="1"/>
  <c r="J96" i="13" s="1"/>
  <c r="L98" i="1"/>
  <c r="G97" i="13"/>
  <c r="J97" i="13" s="1"/>
  <c r="J99" i="13" s="1"/>
  <c r="J100" i="1"/>
  <c r="K102" i="1"/>
  <c r="N102" i="1" s="1"/>
  <c r="G103" i="13"/>
  <c r="J103" i="13" s="1"/>
  <c r="J80" i="13"/>
  <c r="J88" i="13"/>
  <c r="G15" i="13"/>
  <c r="J15" i="13" s="1"/>
  <c r="G17" i="13"/>
  <c r="J17" i="13" s="1"/>
  <c r="G21" i="13"/>
  <c r="J21" i="13" s="1"/>
  <c r="G23" i="13"/>
  <c r="J23" i="13" s="1"/>
  <c r="G48" i="13"/>
  <c r="J48" i="13" s="1"/>
  <c r="G51" i="13"/>
  <c r="J51" i="13" s="1"/>
  <c r="G55" i="13"/>
  <c r="J55" i="13" s="1"/>
  <c r="G57" i="13"/>
  <c r="J57" i="13" s="1"/>
  <c r="G63" i="13"/>
  <c r="J63" i="13" s="1"/>
  <c r="G64" i="13"/>
  <c r="J64" i="13" s="1"/>
  <c r="I58" i="13"/>
  <c r="F74" i="13"/>
  <c r="J53" i="17"/>
  <c r="N53" i="17" s="1"/>
  <c r="H112" i="1"/>
  <c r="H113" i="1" s="1"/>
  <c r="M78" i="1"/>
  <c r="J78" i="13"/>
  <c r="O68" i="1"/>
  <c r="G69" i="13"/>
  <c r="J69" i="13" s="1"/>
  <c r="K64" i="1"/>
  <c r="O64" i="1" s="1"/>
  <c r="H74" i="1"/>
  <c r="G65" i="13"/>
  <c r="L19" i="17"/>
  <c r="J15" i="17"/>
  <c r="M15" i="17" s="1"/>
  <c r="G47" i="13"/>
  <c r="J47" i="13" s="1"/>
  <c r="H89" i="16"/>
  <c r="I41" i="16"/>
  <c r="J16" i="15" s="1"/>
  <c r="H41" i="16"/>
  <c r="H29" i="16"/>
  <c r="I68" i="16"/>
  <c r="J19" i="15" s="1"/>
  <c r="I89" i="16"/>
  <c r="J22" i="15" s="1"/>
  <c r="I20" i="16"/>
  <c r="I29" i="16" s="1"/>
  <c r="J15" i="15" s="1"/>
  <c r="J66" i="17"/>
  <c r="M66" i="17" s="1"/>
  <c r="J62" i="17"/>
  <c r="M62" i="17" s="1"/>
  <c r="Q62" i="17"/>
  <c r="P68" i="17"/>
  <c r="P69" i="17" s="1"/>
  <c r="J45" i="17"/>
  <c r="F68" i="17"/>
  <c r="J44" i="17"/>
  <c r="N44" i="17" s="1"/>
  <c r="P27" i="17"/>
  <c r="J24" i="17"/>
  <c r="M24" i="17" s="1"/>
  <c r="K19" i="17"/>
  <c r="G15" i="15" s="1"/>
  <c r="J17" i="17"/>
  <c r="M17" i="17" s="1"/>
  <c r="K27" i="17"/>
  <c r="G16" i="15" s="1"/>
  <c r="J22" i="17"/>
  <c r="M22" i="17" s="1"/>
  <c r="N26" i="17"/>
  <c r="L37" i="17"/>
  <c r="I36" i="17"/>
  <c r="N50" i="17"/>
  <c r="N55" i="17"/>
  <c r="G70" i="17"/>
  <c r="M20" i="17"/>
  <c r="F19" i="17"/>
  <c r="J18" i="17"/>
  <c r="Q18" i="17"/>
  <c r="F27" i="17"/>
  <c r="I27" i="17" s="1"/>
  <c r="J23" i="17"/>
  <c r="Q23" i="17"/>
  <c r="N67" i="17"/>
  <c r="D70" i="17"/>
  <c r="J14" i="17"/>
  <c r="Q14" i="17"/>
  <c r="N20" i="17"/>
  <c r="L27" i="17"/>
  <c r="M29" i="17"/>
  <c r="N29" i="17"/>
  <c r="N52" i="17"/>
  <c r="K68" i="17"/>
  <c r="K69" i="17" s="1"/>
  <c r="G22" i="15" s="1"/>
  <c r="J16" i="17"/>
  <c r="M16" i="17" s="1"/>
  <c r="J21" i="17"/>
  <c r="M21" i="17" s="1"/>
  <c r="J25" i="17"/>
  <c r="M25" i="17" s="1"/>
  <c r="J30" i="17"/>
  <c r="M30" i="17" s="1"/>
  <c r="I31" i="17"/>
  <c r="Q32" i="17"/>
  <c r="K36" i="17"/>
  <c r="K37" i="17" s="1"/>
  <c r="G19" i="15" s="1"/>
  <c r="Q39" i="17"/>
  <c r="Q47" i="17"/>
  <c r="Q51" i="17"/>
  <c r="Q55" i="17"/>
  <c r="Q59" i="17"/>
  <c r="Q63" i="17"/>
  <c r="Q67" i="17"/>
  <c r="I14" i="17"/>
  <c r="Q20" i="17"/>
  <c r="J42" i="17"/>
  <c r="I105" i="13"/>
  <c r="I89" i="13"/>
  <c r="I91" i="13" s="1"/>
  <c r="I81" i="13"/>
  <c r="I83" i="13" s="1"/>
  <c r="I79" i="13"/>
  <c r="I72" i="13"/>
  <c r="I74" i="13" s="1"/>
  <c r="I41" i="13"/>
  <c r="I43" i="13" s="1"/>
  <c r="F27" i="13"/>
  <c r="I27" i="13"/>
  <c r="F19" i="13"/>
  <c r="I19" i="13"/>
  <c r="J36" i="13"/>
  <c r="J40" i="13"/>
  <c r="F70" i="13"/>
  <c r="F79" i="13"/>
  <c r="I109" i="13"/>
  <c r="F35" i="13"/>
  <c r="I49" i="13"/>
  <c r="F49" i="13"/>
  <c r="I70" i="13"/>
  <c r="I96" i="13"/>
  <c r="F96" i="13"/>
  <c r="F99" i="13"/>
  <c r="F109" i="13"/>
  <c r="F58" i="13"/>
  <c r="I35" i="13"/>
  <c r="J38" i="13"/>
  <c r="F105" i="13"/>
  <c r="I112" i="1"/>
  <c r="I113" i="1" s="1"/>
  <c r="G98" i="1"/>
  <c r="J98" i="1" s="1"/>
  <c r="K72" i="1"/>
  <c r="O72" i="1" s="1"/>
  <c r="L38" i="1"/>
  <c r="K25" i="1"/>
  <c r="N25" i="1" s="1"/>
  <c r="O14" i="1"/>
  <c r="I43" i="1"/>
  <c r="K19" i="1"/>
  <c r="G25" i="13"/>
  <c r="J25" i="13" s="1"/>
  <c r="H26" i="1"/>
  <c r="H43" i="1" s="1"/>
  <c r="K27" i="1"/>
  <c r="O27" i="1" s="1"/>
  <c r="K37" i="1"/>
  <c r="N37" i="1" s="1"/>
  <c r="G48" i="1"/>
  <c r="J44" i="1"/>
  <c r="K51" i="1"/>
  <c r="N51" i="1" s="1"/>
  <c r="K41" i="1"/>
  <c r="N41" i="1" s="1"/>
  <c r="M18" i="1"/>
  <c r="L18" i="1"/>
  <c r="N20" i="1"/>
  <c r="K23" i="1"/>
  <c r="N23" i="1" s="1"/>
  <c r="K31" i="1"/>
  <c r="N31" i="1" s="1"/>
  <c r="O36" i="1"/>
  <c r="G42" i="1"/>
  <c r="J42" i="1" s="1"/>
  <c r="K55" i="1"/>
  <c r="N55" i="1" s="1"/>
  <c r="M57" i="1"/>
  <c r="K17" i="1"/>
  <c r="N17" i="1" s="1"/>
  <c r="G26" i="1"/>
  <c r="J26" i="1" s="1"/>
  <c r="J19" i="1"/>
  <c r="G34" i="1"/>
  <c r="J34" i="1" s="1"/>
  <c r="J27" i="1"/>
  <c r="O29" i="1"/>
  <c r="L42" i="1"/>
  <c r="M48" i="1"/>
  <c r="K44" i="1"/>
  <c r="O44" i="1" s="1"/>
  <c r="L48" i="1"/>
  <c r="G57" i="1"/>
  <c r="J57" i="1" s="1"/>
  <c r="K93" i="1"/>
  <c r="N93" i="1" s="1"/>
  <c r="G111" i="1"/>
  <c r="J111" i="1" s="1"/>
  <c r="J109" i="1"/>
  <c r="K35" i="1"/>
  <c r="L57" i="1"/>
  <c r="G78" i="1"/>
  <c r="J75" i="1"/>
  <c r="K77" i="1"/>
  <c r="N77" i="1" s="1"/>
  <c r="G82" i="1"/>
  <c r="J82" i="1" s="1"/>
  <c r="J79" i="1"/>
  <c r="G90" i="1"/>
  <c r="J87" i="1"/>
  <c r="L95" i="1"/>
  <c r="K92" i="1"/>
  <c r="M95" i="1"/>
  <c r="O61" i="1"/>
  <c r="G69" i="1"/>
  <c r="M69" i="1"/>
  <c r="L73" i="1"/>
  <c r="K70" i="1"/>
  <c r="K71" i="1"/>
  <c r="N71" i="1" s="1"/>
  <c r="K75" i="1"/>
  <c r="M82" i="1"/>
  <c r="K79" i="1"/>
  <c r="O79" i="1" s="1"/>
  <c r="M90" i="1"/>
  <c r="K87" i="1"/>
  <c r="K100" i="1"/>
  <c r="L104" i="1"/>
  <c r="K101" i="1"/>
  <c r="N101" i="1" s="1"/>
  <c r="N105" i="1"/>
  <c r="M111" i="1"/>
  <c r="I58" i="1"/>
  <c r="L69" i="1"/>
  <c r="K60" i="1"/>
  <c r="G73" i="1"/>
  <c r="J73" i="1" s="1"/>
  <c r="L78" i="1"/>
  <c r="K107" i="1"/>
  <c r="N107" i="1" s="1"/>
  <c r="L108" i="1"/>
  <c r="K80" i="1"/>
  <c r="N80" i="1" s="1"/>
  <c r="K88" i="1"/>
  <c r="N88" i="1" s="1"/>
  <c r="K96" i="1"/>
  <c r="O96" i="1" s="1"/>
  <c r="G95" i="1"/>
  <c r="J95" i="1" s="1"/>
  <c r="K109" i="1"/>
  <c r="O109" i="1" s="1"/>
  <c r="J105" i="1"/>
  <c r="O222" i="1" l="1"/>
  <c r="O328" i="1"/>
  <c r="O278" i="1"/>
  <c r="L511" i="17"/>
  <c r="J459" i="17"/>
  <c r="N459" i="17" s="1"/>
  <c r="K521" i="17"/>
  <c r="Q459" i="17"/>
  <c r="N480" i="17"/>
  <c r="L542" i="17"/>
  <c r="L527" i="17"/>
  <c r="L533" i="17"/>
  <c r="N471" i="17"/>
  <c r="L521" i="17"/>
  <c r="G97" i="15"/>
  <c r="G99" i="15" s="1"/>
  <c r="K374" i="17"/>
  <c r="L531" i="17"/>
  <c r="K517" i="17"/>
  <c r="Q455" i="17"/>
  <c r="Q462" i="17" s="1"/>
  <c r="Q463" i="17" s="1"/>
  <c r="H124" i="15" s="1"/>
  <c r="H126" i="15" s="1"/>
  <c r="K462" i="17"/>
  <c r="J455" i="17"/>
  <c r="K508" i="17"/>
  <c r="J446" i="17"/>
  <c r="Q446" i="17"/>
  <c r="K453" i="17"/>
  <c r="G121" i="15" s="1"/>
  <c r="K504" i="17"/>
  <c r="J442" i="17"/>
  <c r="Q442" i="17"/>
  <c r="L541" i="17"/>
  <c r="N479" i="17"/>
  <c r="J434" i="17"/>
  <c r="M402" i="17"/>
  <c r="L526" i="17"/>
  <c r="L496" i="17"/>
  <c r="L497" i="17" s="1"/>
  <c r="J492" i="17"/>
  <c r="M492" i="17" s="1"/>
  <c r="K554" i="17"/>
  <c r="Q492" i="17"/>
  <c r="Q449" i="17"/>
  <c r="K511" i="17"/>
  <c r="J449" i="17"/>
  <c r="M449" i="17" s="1"/>
  <c r="L374" i="17"/>
  <c r="N398" i="17"/>
  <c r="L546" i="17"/>
  <c r="L548" i="17"/>
  <c r="L539" i="17"/>
  <c r="N477" i="17"/>
  <c r="L614" i="17"/>
  <c r="L676" i="17" s="1"/>
  <c r="K506" i="17"/>
  <c r="Q444" i="17"/>
  <c r="J444" i="17"/>
  <c r="M444" i="17" s="1"/>
  <c r="Q480" i="17"/>
  <c r="K542" i="17"/>
  <c r="J480" i="17"/>
  <c r="M480" i="17" s="1"/>
  <c r="M428" i="17"/>
  <c r="N428" i="17"/>
  <c r="N404" i="17"/>
  <c r="K510" i="17"/>
  <c r="J448" i="17"/>
  <c r="M448" i="17" s="1"/>
  <c r="Q448" i="17"/>
  <c r="L553" i="17"/>
  <c r="N208" i="17"/>
  <c r="N444" i="17"/>
  <c r="L506" i="17"/>
  <c r="Q440" i="17"/>
  <c r="K502" i="17"/>
  <c r="J440" i="17"/>
  <c r="K445" i="17"/>
  <c r="L534" i="17"/>
  <c r="K540" i="17"/>
  <c r="Q478" i="17"/>
  <c r="J478" i="17"/>
  <c r="M478" i="17" s="1"/>
  <c r="L550" i="17"/>
  <c r="N488" i="17"/>
  <c r="Q466" i="17"/>
  <c r="K528" i="17"/>
  <c r="J466" i="17"/>
  <c r="M466" i="17" s="1"/>
  <c r="K548" i="17"/>
  <c r="Q486" i="17"/>
  <c r="J486" i="17"/>
  <c r="M486" i="17" s="1"/>
  <c r="L555" i="17"/>
  <c r="N493" i="17"/>
  <c r="K551" i="17"/>
  <c r="Q489" i="17"/>
  <c r="J489" i="17"/>
  <c r="M489" i="17" s="1"/>
  <c r="K520" i="17"/>
  <c r="Q458" i="17"/>
  <c r="J458" i="17"/>
  <c r="M458" i="17" s="1"/>
  <c r="J373" i="17"/>
  <c r="M372" i="17"/>
  <c r="K512" i="17"/>
  <c r="J450" i="17"/>
  <c r="M450" i="17" s="1"/>
  <c r="Q450" i="17"/>
  <c r="K541" i="17"/>
  <c r="J479" i="17"/>
  <c r="M479" i="17" s="1"/>
  <c r="Q479" i="17"/>
  <c r="K547" i="17"/>
  <c r="Q485" i="17"/>
  <c r="J485" i="17"/>
  <c r="M485" i="17" s="1"/>
  <c r="L517" i="17"/>
  <c r="N455" i="17"/>
  <c r="L462" i="17"/>
  <c r="L463" i="17" s="1"/>
  <c r="M321" i="17"/>
  <c r="J330" i="17"/>
  <c r="M330" i="17" s="1"/>
  <c r="J447" i="17"/>
  <c r="M447" i="17" s="1"/>
  <c r="K509" i="17"/>
  <c r="Q447" i="17"/>
  <c r="Q494" i="17"/>
  <c r="K556" i="17"/>
  <c r="J494" i="17"/>
  <c r="M494" i="17" s="1"/>
  <c r="N419" i="17"/>
  <c r="N321" i="17"/>
  <c r="N476" i="17"/>
  <c r="K505" i="17"/>
  <c r="Q443" i="17"/>
  <c r="J443" i="17"/>
  <c r="M443" i="17" s="1"/>
  <c r="K522" i="17"/>
  <c r="J460" i="17"/>
  <c r="M460" i="17" s="1"/>
  <c r="Q460" i="17"/>
  <c r="L522" i="17"/>
  <c r="N424" i="17"/>
  <c r="K514" i="17"/>
  <c r="J452" i="17"/>
  <c r="M452" i="17" s="1"/>
  <c r="Q452" i="17"/>
  <c r="N396" i="17"/>
  <c r="K534" i="17"/>
  <c r="Q472" i="17"/>
  <c r="J472" i="17"/>
  <c r="M472" i="17" s="1"/>
  <c r="N474" i="17"/>
  <c r="L536" i="17"/>
  <c r="Q391" i="17"/>
  <c r="L528" i="17"/>
  <c r="N466" i="17"/>
  <c r="L523" i="17"/>
  <c r="N433" i="17"/>
  <c r="H97" i="15"/>
  <c r="H99" i="15" s="1"/>
  <c r="L551" i="17"/>
  <c r="N489" i="17"/>
  <c r="Q434" i="17"/>
  <c r="Q435" i="17" s="1"/>
  <c r="H59" i="1"/>
  <c r="Q310" i="17"/>
  <c r="Q311" i="17" s="1"/>
  <c r="H82" i="15" s="1"/>
  <c r="H84" i="15" s="1"/>
  <c r="L512" i="17"/>
  <c r="N450" i="17"/>
  <c r="Q482" i="17"/>
  <c r="K544" i="17"/>
  <c r="J482" i="17"/>
  <c r="M482" i="17" s="1"/>
  <c r="K527" i="17"/>
  <c r="Q465" i="17"/>
  <c r="J465" i="17"/>
  <c r="M465" i="17" s="1"/>
  <c r="L535" i="17"/>
  <c r="L544" i="17"/>
  <c r="N482" i="17"/>
  <c r="L502" i="17"/>
  <c r="L445" i="17"/>
  <c r="G164" i="13"/>
  <c r="F31" i="15" s="1"/>
  <c r="N451" i="17"/>
  <c r="L513" i="17"/>
  <c r="L519" i="17"/>
  <c r="Q383" i="17"/>
  <c r="H105" i="15" s="1"/>
  <c r="N432" i="17"/>
  <c r="L549" i="17"/>
  <c r="K518" i="17"/>
  <c r="Q456" i="17"/>
  <c r="J456" i="17"/>
  <c r="M456" i="17" s="1"/>
  <c r="Q339" i="17"/>
  <c r="Q374" i="17" s="1"/>
  <c r="H94" i="15"/>
  <c r="H96" i="15" s="1"/>
  <c r="K539" i="17"/>
  <c r="Q477" i="17"/>
  <c r="J477" i="17"/>
  <c r="M477" i="17" s="1"/>
  <c r="L543" i="17"/>
  <c r="N481" i="17"/>
  <c r="N330" i="17"/>
  <c r="L600" i="17"/>
  <c r="L514" i="17"/>
  <c r="N452" i="17"/>
  <c r="G100" i="15"/>
  <c r="L508" i="17"/>
  <c r="L453" i="17"/>
  <c r="N446" i="17"/>
  <c r="L547" i="17"/>
  <c r="N485" i="17"/>
  <c r="K549" i="17"/>
  <c r="J487" i="17"/>
  <c r="M487" i="17" s="1"/>
  <c r="Q487" i="17"/>
  <c r="N379" i="17"/>
  <c r="Q471" i="17"/>
  <c r="K533" i="17"/>
  <c r="J471" i="17"/>
  <c r="M471" i="17" s="1"/>
  <c r="K557" i="17"/>
  <c r="Q495" i="17"/>
  <c r="J495" i="17"/>
  <c r="M495" i="17" s="1"/>
  <c r="H90" i="15"/>
  <c r="H93" i="15" s="1"/>
  <c r="H100" i="15" s="1"/>
  <c r="Q330" i="17"/>
  <c r="L520" i="17"/>
  <c r="N458" i="17"/>
  <c r="Q451" i="17"/>
  <c r="K513" i="17"/>
  <c r="J451" i="17"/>
  <c r="M451" i="17" s="1"/>
  <c r="L510" i="17"/>
  <c r="N448" i="17"/>
  <c r="J400" i="17"/>
  <c r="M400" i="17" s="1"/>
  <c r="M393" i="17"/>
  <c r="K392" i="17"/>
  <c r="G106" i="15"/>
  <c r="G108" i="15" s="1"/>
  <c r="K552" i="17"/>
  <c r="Q490" i="17"/>
  <c r="J490" i="17"/>
  <c r="N421" i="17"/>
  <c r="N394" i="17"/>
  <c r="L557" i="17"/>
  <c r="N495" i="17"/>
  <c r="Q406" i="17"/>
  <c r="K468" i="17"/>
  <c r="J406" i="17"/>
  <c r="N413" i="17"/>
  <c r="N385" i="17"/>
  <c r="K434" i="17"/>
  <c r="K435" i="17" s="1"/>
  <c r="J91" i="13"/>
  <c r="J164" i="13"/>
  <c r="I31" i="15" s="1"/>
  <c r="O247" i="1"/>
  <c r="N389" i="17"/>
  <c r="N478" i="17"/>
  <c r="L540" i="17"/>
  <c r="Q400" i="17"/>
  <c r="Q401" i="17" s="1"/>
  <c r="H109" i="15" s="1"/>
  <c r="H111" i="15" s="1"/>
  <c r="Q484" i="17"/>
  <c r="K546" i="17"/>
  <c r="J484" i="17"/>
  <c r="M484" i="17" s="1"/>
  <c r="M378" i="17"/>
  <c r="J383" i="17"/>
  <c r="M383" i="17" s="1"/>
  <c r="K519" i="17"/>
  <c r="J457" i="17"/>
  <c r="M457" i="17" s="1"/>
  <c r="Q457" i="17"/>
  <c r="L566" i="17"/>
  <c r="L505" i="17"/>
  <c r="N443" i="17"/>
  <c r="N402" i="17"/>
  <c r="L556" i="17"/>
  <c r="N494" i="17"/>
  <c r="K523" i="17"/>
  <c r="Q461" i="17"/>
  <c r="J461" i="17"/>
  <c r="M461" i="17" s="1"/>
  <c r="K543" i="17"/>
  <c r="Q481" i="17"/>
  <c r="J481" i="17"/>
  <c r="M481" i="17" s="1"/>
  <c r="N403" i="17"/>
  <c r="M1885" i="1"/>
  <c r="J538" i="17"/>
  <c r="M538" i="17" s="1"/>
  <c r="K600" i="17"/>
  <c r="Q538" i="17"/>
  <c r="K503" i="17"/>
  <c r="J441" i="17"/>
  <c r="M441" i="17" s="1"/>
  <c r="Q441" i="17"/>
  <c r="L401" i="17"/>
  <c r="N400" i="17"/>
  <c r="N409" i="17"/>
  <c r="N411" i="17"/>
  <c r="N397" i="17"/>
  <c r="L554" i="17"/>
  <c r="N492" i="17"/>
  <c r="N372" i="17"/>
  <c r="K553" i="17"/>
  <c r="J491" i="17"/>
  <c r="M491" i="17" s="1"/>
  <c r="Q491" i="17"/>
  <c r="N391" i="17"/>
  <c r="N422" i="17"/>
  <c r="J339" i="17"/>
  <c r="M339" i="17" s="1"/>
  <c r="N407" i="17"/>
  <c r="K1778" i="1"/>
  <c r="N1778" i="1" s="1"/>
  <c r="L1885" i="1"/>
  <c r="G1783" i="13"/>
  <c r="J1783" i="13" s="1"/>
  <c r="L503" i="17"/>
  <c r="N441" i="17"/>
  <c r="N415" i="17"/>
  <c r="K531" i="17"/>
  <c r="Q469" i="17"/>
  <c r="J469" i="17"/>
  <c r="M469" i="17" s="1"/>
  <c r="N338" i="17"/>
  <c r="N420" i="17"/>
  <c r="K555" i="17"/>
  <c r="J493" i="17"/>
  <c r="M493" i="17" s="1"/>
  <c r="Q493" i="17"/>
  <c r="K550" i="17"/>
  <c r="Q488" i="17"/>
  <c r="J488" i="17"/>
  <c r="M488" i="17" s="1"/>
  <c r="K536" i="17"/>
  <c r="Q474" i="17"/>
  <c r="J474" i="17"/>
  <c r="M474" i="17" s="1"/>
  <c r="K401" i="17"/>
  <c r="G109" i="15"/>
  <c r="G111" i="15" s="1"/>
  <c r="Q470" i="17"/>
  <c r="K532" i="17"/>
  <c r="J470" i="17"/>
  <c r="N470" i="17" s="1"/>
  <c r="N384" i="17"/>
  <c r="J391" i="17"/>
  <c r="M384" i="17"/>
  <c r="K545" i="17"/>
  <c r="J483" i="17"/>
  <c r="M483" i="17" s="1"/>
  <c r="Q483" i="17"/>
  <c r="L545" i="17"/>
  <c r="L518" i="17"/>
  <c r="N417" i="17"/>
  <c r="K535" i="17"/>
  <c r="J473" i="17"/>
  <c r="M473" i="17" s="1"/>
  <c r="Q473" i="17"/>
  <c r="I1672" i="16"/>
  <c r="F1766" i="16"/>
  <c r="N429" i="17"/>
  <c r="L537" i="17"/>
  <c r="J475" i="17"/>
  <c r="M475" i="17" s="1"/>
  <c r="L392" i="17"/>
  <c r="N383" i="17"/>
  <c r="L509" i="17"/>
  <c r="N447" i="17"/>
  <c r="K526" i="17"/>
  <c r="Q464" i="17"/>
  <c r="J464" i="17"/>
  <c r="K496" i="17"/>
  <c r="K497" i="17" s="1"/>
  <c r="F1924" i="16"/>
  <c r="I1818" i="16"/>
  <c r="F1866" i="16"/>
  <c r="I1771" i="16"/>
  <c r="I1890" i="16"/>
  <c r="I1850" i="16"/>
  <c r="O335" i="1"/>
  <c r="O493" i="1"/>
  <c r="O724" i="1"/>
  <c r="O605" i="1"/>
  <c r="I1486" i="16"/>
  <c r="F1578" i="16"/>
  <c r="I1414" i="16"/>
  <c r="J256" i="15" s="1"/>
  <c r="I1485" i="16"/>
  <c r="F1577" i="16"/>
  <c r="I1487" i="16"/>
  <c r="F1579" i="16"/>
  <c r="I1489" i="16"/>
  <c r="F1581" i="16"/>
  <c r="I1490" i="16"/>
  <c r="F1582" i="16"/>
  <c r="I1496" i="16"/>
  <c r="F1588" i="16"/>
  <c r="I1502" i="16"/>
  <c r="F1594" i="16"/>
  <c r="F1703" i="16"/>
  <c r="I1609" i="16"/>
  <c r="I1519" i="16"/>
  <c r="F1611" i="16"/>
  <c r="I1521" i="16"/>
  <c r="F1613" i="16"/>
  <c r="I1520" i="16"/>
  <c r="F1612" i="16"/>
  <c r="I1525" i="16"/>
  <c r="F1617" i="16"/>
  <c r="I1527" i="16"/>
  <c r="F1619" i="16"/>
  <c r="I1529" i="16"/>
  <c r="F1621" i="16"/>
  <c r="I1531" i="16"/>
  <c r="F1623" i="16"/>
  <c r="I1533" i="16"/>
  <c r="F1625" i="16"/>
  <c r="I1535" i="16"/>
  <c r="F1627" i="16"/>
  <c r="F1725" i="16"/>
  <c r="I1631" i="16"/>
  <c r="I1724" i="16"/>
  <c r="F1506" i="16"/>
  <c r="I1500" i="16"/>
  <c r="F1592" i="16"/>
  <c r="I1481" i="16"/>
  <c r="F1573" i="16"/>
  <c r="I1484" i="16"/>
  <c r="F1576" i="16"/>
  <c r="I1495" i="16"/>
  <c r="F1587" i="16"/>
  <c r="I1497" i="16"/>
  <c r="F1589" i="16"/>
  <c r="I1501" i="16"/>
  <c r="F1593" i="16"/>
  <c r="I1504" i="16"/>
  <c r="F1596" i="16"/>
  <c r="I1480" i="16"/>
  <c r="F1572" i="16"/>
  <c r="I1482" i="16"/>
  <c r="F1574" i="16"/>
  <c r="I1532" i="16"/>
  <c r="F1624" i="16"/>
  <c r="I1505" i="16"/>
  <c r="F1597" i="16"/>
  <c r="I1524" i="16"/>
  <c r="F1616" i="16"/>
  <c r="I1526" i="16"/>
  <c r="F1618" i="16"/>
  <c r="I1528" i="16"/>
  <c r="F1620" i="16"/>
  <c r="I1530" i="16"/>
  <c r="F1622" i="16"/>
  <c r="I1534" i="16"/>
  <c r="F1626" i="16"/>
  <c r="I1518" i="16"/>
  <c r="F1610" i="16"/>
  <c r="F1678" i="16"/>
  <c r="I1586" i="16"/>
  <c r="F1702" i="16"/>
  <c r="F1796" i="16" s="1"/>
  <c r="I1608" i="16"/>
  <c r="I1677" i="16"/>
  <c r="L355" i="1"/>
  <c r="D60" i="15" s="1"/>
  <c r="G389" i="13"/>
  <c r="G109" i="13"/>
  <c r="O356" i="1"/>
  <c r="I1361" i="16"/>
  <c r="F1452" i="16"/>
  <c r="I1363" i="16"/>
  <c r="F1454" i="16"/>
  <c r="I1365" i="16"/>
  <c r="F1456" i="16"/>
  <c r="I1367" i="16"/>
  <c r="F1458" i="16"/>
  <c r="I1371" i="16"/>
  <c r="F1462" i="16"/>
  <c r="I1359" i="16"/>
  <c r="F1450" i="16"/>
  <c r="I1375" i="16"/>
  <c r="F1466" i="16"/>
  <c r="I1362" i="16"/>
  <c r="F1453" i="16"/>
  <c r="I1364" i="16"/>
  <c r="F1455" i="16"/>
  <c r="I1366" i="16"/>
  <c r="F1457" i="16"/>
  <c r="I1368" i="16"/>
  <c r="F1459" i="16"/>
  <c r="I1369" i="16"/>
  <c r="F1460" i="16"/>
  <c r="I1358" i="16"/>
  <c r="F1449" i="16"/>
  <c r="I1448" i="16"/>
  <c r="F1540" i="16"/>
  <c r="F1632" i="16" s="1"/>
  <c r="I1370" i="16"/>
  <c r="F1461" i="16"/>
  <c r="I1372" i="16"/>
  <c r="F1463" i="16"/>
  <c r="I1374" i="16"/>
  <c r="F1465" i="16"/>
  <c r="I1376" i="16"/>
  <c r="F1467" i="16"/>
  <c r="I1430" i="16"/>
  <c r="F1522" i="16"/>
  <c r="F1444" i="16"/>
  <c r="F1523" i="16"/>
  <c r="I1431" i="16"/>
  <c r="I1451" i="16"/>
  <c r="F1543" i="16"/>
  <c r="I1517" i="16"/>
  <c r="F1294" i="16"/>
  <c r="I1204" i="16"/>
  <c r="I1286" i="16"/>
  <c r="J232" i="15" s="1"/>
  <c r="J234" i="15" s="1"/>
  <c r="I1357" i="16"/>
  <c r="F1377" i="16"/>
  <c r="F941" i="16"/>
  <c r="I853" i="16"/>
  <c r="I864" i="16" s="1"/>
  <c r="F864" i="16"/>
  <c r="F884" i="16" s="1"/>
  <c r="F933" i="16" s="1"/>
  <c r="J389" i="13"/>
  <c r="J284" i="13"/>
  <c r="L1049" i="1"/>
  <c r="G948" i="13"/>
  <c r="J948" i="13" s="1"/>
  <c r="K943" i="1"/>
  <c r="N943" i="1" s="1"/>
  <c r="M1041" i="1"/>
  <c r="M1019" i="1"/>
  <c r="K913" i="1"/>
  <c r="N913" i="1" s="1"/>
  <c r="M1051" i="1"/>
  <c r="M1055" i="1"/>
  <c r="M1040" i="1"/>
  <c r="M1048" i="1"/>
  <c r="M1049" i="1"/>
  <c r="M1039" i="1"/>
  <c r="M937" i="1"/>
  <c r="M1020" i="1"/>
  <c r="L1035" i="1"/>
  <c r="G934" i="13"/>
  <c r="L932" i="1"/>
  <c r="K929" i="1"/>
  <c r="L1039" i="1"/>
  <c r="G938" i="13"/>
  <c r="K933" i="1"/>
  <c r="K835" i="1"/>
  <c r="N835" i="1" s="1"/>
  <c r="M941" i="1"/>
  <c r="L953" i="1"/>
  <c r="G957" i="13" s="1"/>
  <c r="L1057" i="1"/>
  <c r="K951" i="1"/>
  <c r="O951" i="1" s="1"/>
  <c r="G955" i="13"/>
  <c r="M1058" i="1"/>
  <c r="J946" i="13"/>
  <c r="L1160" i="1"/>
  <c r="G1058" i="13"/>
  <c r="J1058" i="13" s="1"/>
  <c r="M1037" i="1"/>
  <c r="G833" i="13"/>
  <c r="J833" i="13" s="1"/>
  <c r="L934" i="1"/>
  <c r="L937" i="1" s="1"/>
  <c r="K930" i="1"/>
  <c r="L1036" i="1"/>
  <c r="G935" i="13"/>
  <c r="J935" i="13" s="1"/>
  <c r="K942" i="1"/>
  <c r="N942" i="1" s="1"/>
  <c r="L1048" i="1"/>
  <c r="G947" i="13"/>
  <c r="J947" i="13" s="1"/>
  <c r="K947" i="1"/>
  <c r="L1053" i="1"/>
  <c r="G951" i="13"/>
  <c r="K931" i="1"/>
  <c r="N931" i="1" s="1"/>
  <c r="L1037" i="1"/>
  <c r="G936" i="13"/>
  <c r="J936" i="13" s="1"/>
  <c r="K949" i="1"/>
  <c r="N949" i="1" s="1"/>
  <c r="L1055" i="1"/>
  <c r="G953" i="13"/>
  <c r="J953" i="13" s="1"/>
  <c r="M1042" i="1"/>
  <c r="K944" i="1"/>
  <c r="N944" i="1" s="1"/>
  <c r="L1050" i="1"/>
  <c r="G949" i="13"/>
  <c r="J949" i="13" s="1"/>
  <c r="O600" i="1"/>
  <c r="M1050" i="1"/>
  <c r="K936" i="1"/>
  <c r="N936" i="1" s="1"/>
  <c r="L1042" i="1"/>
  <c r="G941" i="13"/>
  <c r="J941" i="13" s="1"/>
  <c r="L1041" i="1"/>
  <c r="G940" i="13"/>
  <c r="J940" i="13" s="1"/>
  <c r="K935" i="1"/>
  <c r="N935" i="1" s="1"/>
  <c r="M1053" i="1"/>
  <c r="L1044" i="1"/>
  <c r="G943" i="13"/>
  <c r="L940" i="1"/>
  <c r="M1045" i="1"/>
  <c r="M1057" i="1"/>
  <c r="M953" i="1"/>
  <c r="K952" i="1"/>
  <c r="N952" i="1" s="1"/>
  <c r="L1058" i="1"/>
  <c r="G956" i="13"/>
  <c r="L1045" i="1"/>
  <c r="G944" i="13"/>
  <c r="J944" i="13" s="1"/>
  <c r="K939" i="1"/>
  <c r="N939" i="1" s="1"/>
  <c r="M1141" i="1"/>
  <c r="G1052" i="13"/>
  <c r="L1153" i="1"/>
  <c r="M1142" i="1"/>
  <c r="L950" i="1"/>
  <c r="I765" i="16"/>
  <c r="I776" i="16" s="1"/>
  <c r="F776" i="16"/>
  <c r="F796" i="16" s="1"/>
  <c r="F845" i="16" s="1"/>
  <c r="F625" i="16"/>
  <c r="F671" i="16" s="1"/>
  <c r="J120" i="15"/>
  <c r="J123" i="15" s="1"/>
  <c r="J130" i="15" s="1"/>
  <c r="I625" i="16"/>
  <c r="I671" i="16" s="1"/>
  <c r="O732" i="1"/>
  <c r="O635" i="1"/>
  <c r="O740" i="1"/>
  <c r="M642" i="1"/>
  <c r="G837" i="13"/>
  <c r="L834" i="1"/>
  <c r="N620" i="1"/>
  <c r="K622" i="1"/>
  <c r="N622" i="1" s="1"/>
  <c r="O620" i="1"/>
  <c r="M832" i="1"/>
  <c r="M938" i="1" s="1"/>
  <c r="M728" i="1"/>
  <c r="K741" i="1"/>
  <c r="N741" i="1" s="1"/>
  <c r="N739" i="1"/>
  <c r="H85" i="1"/>
  <c r="H86" i="1" s="1"/>
  <c r="O263" i="1"/>
  <c r="O243" i="1"/>
  <c r="O331" i="1"/>
  <c r="K536" i="1"/>
  <c r="N536" i="1" s="1"/>
  <c r="L642" i="1"/>
  <c r="G541" i="13"/>
  <c r="J541" i="13" s="1"/>
  <c r="O701" i="1"/>
  <c r="O730" i="1"/>
  <c r="J640" i="13"/>
  <c r="J641" i="13" s="1"/>
  <c r="I97" i="15" s="1"/>
  <c r="I99" i="15" s="1"/>
  <c r="K632" i="1"/>
  <c r="N632" i="1" s="1"/>
  <c r="G733" i="13"/>
  <c r="J731" i="13"/>
  <c r="J733" i="13" s="1"/>
  <c r="K726" i="1"/>
  <c r="O726" i="1" s="1"/>
  <c r="O727" i="1"/>
  <c r="O739" i="1"/>
  <c r="M847" i="1"/>
  <c r="G850" i="13"/>
  <c r="K846" i="1"/>
  <c r="N846" i="1" s="1"/>
  <c r="G849" i="13"/>
  <c r="L847" i="1"/>
  <c r="G851" i="13" s="1"/>
  <c r="K845" i="1"/>
  <c r="G838" i="13"/>
  <c r="J838" i="13" s="1"/>
  <c r="K833" i="1"/>
  <c r="N833" i="1" s="1"/>
  <c r="L645" i="1"/>
  <c r="G544" i="13"/>
  <c r="J544" i="13" s="1"/>
  <c r="K539" i="1"/>
  <c r="N539" i="1" s="1"/>
  <c r="M651" i="1"/>
  <c r="G548" i="13"/>
  <c r="J548" i="13" s="1"/>
  <c r="L649" i="1"/>
  <c r="K543" i="1"/>
  <c r="N543" i="1" s="1"/>
  <c r="L661" i="1"/>
  <c r="G560" i="13"/>
  <c r="J560" i="13" s="1"/>
  <c r="K555" i="1"/>
  <c r="N555" i="1" s="1"/>
  <c r="L657" i="1"/>
  <c r="G556" i="13"/>
  <c r="J556" i="13" s="1"/>
  <c r="K551" i="1"/>
  <c r="N551" i="1" s="1"/>
  <c r="L694" i="1"/>
  <c r="K588" i="1"/>
  <c r="O588" i="1" s="1"/>
  <c r="G593" i="13"/>
  <c r="J593" i="13" s="1"/>
  <c r="M696" i="1"/>
  <c r="M692" i="1"/>
  <c r="M652" i="1"/>
  <c r="M648" i="1"/>
  <c r="G547" i="13"/>
  <c r="J547" i="13" s="1"/>
  <c r="L648" i="1"/>
  <c r="K542" i="1"/>
  <c r="N542" i="1" s="1"/>
  <c r="L658" i="1"/>
  <c r="G557" i="13"/>
  <c r="J557" i="13" s="1"/>
  <c r="K552" i="1"/>
  <c r="N552" i="1" s="1"/>
  <c r="L656" i="1"/>
  <c r="G555" i="13"/>
  <c r="J555" i="13" s="1"/>
  <c r="K550" i="1"/>
  <c r="N550" i="1" s="1"/>
  <c r="M660" i="1"/>
  <c r="M673" i="1"/>
  <c r="G582" i="13"/>
  <c r="J582" i="13" s="1"/>
  <c r="L683" i="1"/>
  <c r="K577" i="1"/>
  <c r="N577" i="1" s="1"/>
  <c r="L679" i="1"/>
  <c r="G578" i="13"/>
  <c r="J578" i="13" s="1"/>
  <c r="K573" i="1"/>
  <c r="N573" i="1" s="1"/>
  <c r="M678" i="1"/>
  <c r="L691" i="1"/>
  <c r="K585" i="1"/>
  <c r="O585" i="1" s="1"/>
  <c r="G590" i="13"/>
  <c r="J590" i="13" s="1"/>
  <c r="M693" i="1"/>
  <c r="M653" i="1"/>
  <c r="K545" i="1"/>
  <c r="N545" i="1" s="1"/>
  <c r="L651" i="1"/>
  <c r="G550" i="13"/>
  <c r="J550" i="13" s="1"/>
  <c r="M661" i="1"/>
  <c r="G574" i="13"/>
  <c r="J574" i="13" s="1"/>
  <c r="L675" i="1"/>
  <c r="K569" i="1"/>
  <c r="N569" i="1" s="1"/>
  <c r="K567" i="1"/>
  <c r="N567" i="1" s="1"/>
  <c r="L673" i="1"/>
  <c r="G572" i="13"/>
  <c r="J572" i="13" s="1"/>
  <c r="L680" i="1"/>
  <c r="G579" i="13"/>
  <c r="J579" i="13" s="1"/>
  <c r="K574" i="1"/>
  <c r="N574" i="1" s="1"/>
  <c r="M683" i="1"/>
  <c r="L696" i="1"/>
  <c r="G595" i="13"/>
  <c r="J595" i="13" s="1"/>
  <c r="K590" i="1"/>
  <c r="N590" i="1" s="1"/>
  <c r="M650" i="1"/>
  <c r="G563" i="13"/>
  <c r="J563" i="13" s="1"/>
  <c r="L664" i="1"/>
  <c r="K558" i="1"/>
  <c r="N558" i="1" s="1"/>
  <c r="M675" i="1"/>
  <c r="O569" i="1"/>
  <c r="M682" i="1"/>
  <c r="L693" i="1"/>
  <c r="K587" i="1"/>
  <c r="O587" i="1" s="1"/>
  <c r="G592" i="13"/>
  <c r="J592" i="13" s="1"/>
  <c r="M655" i="1"/>
  <c r="M556" i="1"/>
  <c r="M672" i="1"/>
  <c r="M570" i="1"/>
  <c r="M677" i="1"/>
  <c r="M579" i="1"/>
  <c r="L663" i="1"/>
  <c r="K557" i="1"/>
  <c r="G562" i="13"/>
  <c r="L560" i="1"/>
  <c r="L564" i="1"/>
  <c r="L667" i="1"/>
  <c r="G566" i="13"/>
  <c r="K561" i="1"/>
  <c r="O561" i="1" s="1"/>
  <c r="L677" i="1"/>
  <c r="K571" i="1"/>
  <c r="G576" i="13"/>
  <c r="L579" i="1"/>
  <c r="L698" i="1"/>
  <c r="G597" i="13"/>
  <c r="K592" i="1"/>
  <c r="L597" i="1"/>
  <c r="M663" i="1"/>
  <c r="M560" i="1"/>
  <c r="M688" i="1"/>
  <c r="M591" i="1"/>
  <c r="N596" i="1"/>
  <c r="O596" i="1"/>
  <c r="G707" i="13"/>
  <c r="J707" i="13" s="1"/>
  <c r="L808" i="1"/>
  <c r="L914" i="1" s="1"/>
  <c r="K702" i="1"/>
  <c r="K807" i="1"/>
  <c r="N807" i="1" s="1"/>
  <c r="O718" i="1"/>
  <c r="N718" i="1"/>
  <c r="K824" i="1"/>
  <c r="G829" i="13"/>
  <c r="J829" i="13" s="1"/>
  <c r="K828" i="1"/>
  <c r="N828" i="1" s="1"/>
  <c r="N614" i="1"/>
  <c r="N735" i="1"/>
  <c r="K841" i="1"/>
  <c r="G845" i="13"/>
  <c r="G830" i="13"/>
  <c r="J830" i="13" s="1"/>
  <c r="K825" i="1"/>
  <c r="N825" i="1" s="1"/>
  <c r="O731" i="1"/>
  <c r="K838" i="1"/>
  <c r="N838" i="1" s="1"/>
  <c r="G843" i="13"/>
  <c r="J843" i="13" s="1"/>
  <c r="M842" i="1"/>
  <c r="M948" i="1" s="1"/>
  <c r="K736" i="1"/>
  <c r="N736" i="1" s="1"/>
  <c r="M812" i="1"/>
  <c r="M918" i="1" s="1"/>
  <c r="M813" i="1"/>
  <c r="M919" i="1" s="1"/>
  <c r="M816" i="1"/>
  <c r="M922" i="1" s="1"/>
  <c r="L812" i="1"/>
  <c r="L918" i="1" s="1"/>
  <c r="G711" i="13"/>
  <c r="J711" i="13" s="1"/>
  <c r="K706" i="1"/>
  <c r="N706" i="1" s="1"/>
  <c r="M831" i="1"/>
  <c r="M637" i="1"/>
  <c r="G738" i="13"/>
  <c r="K733" i="1"/>
  <c r="L839" i="1"/>
  <c r="L945" i="1" s="1"/>
  <c r="L946" i="1" s="1"/>
  <c r="L734" i="1"/>
  <c r="L742" i="1" s="1"/>
  <c r="K823" i="1"/>
  <c r="G828" i="13"/>
  <c r="L826" i="1"/>
  <c r="E97" i="15"/>
  <c r="D99" i="15"/>
  <c r="E99" i="15" s="1"/>
  <c r="J726" i="13"/>
  <c r="J730" i="13" s="1"/>
  <c r="G730" i="13"/>
  <c r="G832" i="13"/>
  <c r="K827" i="1"/>
  <c r="L831" i="1"/>
  <c r="M738" i="1"/>
  <c r="M811" i="1"/>
  <c r="M917" i="1" s="1"/>
  <c r="M708" i="1"/>
  <c r="G607" i="13"/>
  <c r="J604" i="13"/>
  <c r="J607" i="13" s="1"/>
  <c r="K602" i="1"/>
  <c r="O602" i="1" s="1"/>
  <c r="N599" i="1"/>
  <c r="N603" i="1"/>
  <c r="K606" i="1"/>
  <c r="N606" i="1" s="1"/>
  <c r="G611" i="13"/>
  <c r="J608" i="13"/>
  <c r="J611" i="13" s="1"/>
  <c r="M806" i="1"/>
  <c r="M912" i="1" s="1"/>
  <c r="G712" i="13"/>
  <c r="J712" i="13" s="1"/>
  <c r="L813" i="1"/>
  <c r="L919" i="1" s="1"/>
  <c r="K707" i="1"/>
  <c r="N707" i="1" s="1"/>
  <c r="O177" i="1"/>
  <c r="G534" i="13"/>
  <c r="G535" i="13" s="1"/>
  <c r="F82" i="15" s="1"/>
  <c r="F84" i="15" s="1"/>
  <c r="O522" i="1"/>
  <c r="L491" i="1"/>
  <c r="M644" i="1"/>
  <c r="M649" i="1"/>
  <c r="G552" i="13"/>
  <c r="J552" i="13" s="1"/>
  <c r="L653" i="1"/>
  <c r="K547" i="1"/>
  <c r="N547" i="1" s="1"/>
  <c r="L659" i="1"/>
  <c r="G558" i="13"/>
  <c r="J558" i="13" s="1"/>
  <c r="K553" i="1"/>
  <c r="N553" i="1" s="1"/>
  <c r="M657" i="1"/>
  <c r="G568" i="13"/>
  <c r="J568" i="13" s="1"/>
  <c r="L669" i="1"/>
  <c r="K563" i="1"/>
  <c r="N563" i="1" s="1"/>
  <c r="M669" i="1"/>
  <c r="O563" i="1"/>
  <c r="L682" i="1"/>
  <c r="K576" i="1"/>
  <c r="N576" i="1" s="1"/>
  <c r="G581" i="13"/>
  <c r="J581" i="13" s="1"/>
  <c r="L678" i="1"/>
  <c r="K572" i="1"/>
  <c r="N572" i="1" s="1"/>
  <c r="G577" i="13"/>
  <c r="J577" i="13" s="1"/>
  <c r="M681" i="1"/>
  <c r="L690" i="1"/>
  <c r="K584" i="1"/>
  <c r="O584" i="1" s="1"/>
  <c r="G589" i="13"/>
  <c r="J589" i="13" s="1"/>
  <c r="M694" i="1"/>
  <c r="M690" i="1"/>
  <c r="L644" i="1"/>
  <c r="G543" i="13"/>
  <c r="J543" i="13" s="1"/>
  <c r="K538" i="1"/>
  <c r="N538" i="1" s="1"/>
  <c r="M645" i="1"/>
  <c r="M643" i="1"/>
  <c r="M540" i="1"/>
  <c r="L650" i="1"/>
  <c r="G549" i="13"/>
  <c r="J549" i="13" s="1"/>
  <c r="K544" i="1"/>
  <c r="N544" i="1" s="1"/>
  <c r="L660" i="1"/>
  <c r="G559" i="13"/>
  <c r="J559" i="13" s="1"/>
  <c r="K554" i="1"/>
  <c r="N554" i="1" s="1"/>
  <c r="M658" i="1"/>
  <c r="M656" i="1"/>
  <c r="G573" i="13"/>
  <c r="J573" i="13" s="1"/>
  <c r="L674" i="1"/>
  <c r="K568" i="1"/>
  <c r="N568" i="1" s="1"/>
  <c r="M684" i="1"/>
  <c r="L695" i="1"/>
  <c r="G594" i="13"/>
  <c r="J594" i="13" s="1"/>
  <c r="K589" i="1"/>
  <c r="O589" i="1" s="1"/>
  <c r="M695" i="1"/>
  <c r="L643" i="1"/>
  <c r="G542" i="13"/>
  <c r="K537" i="1"/>
  <c r="O537" i="1" s="1"/>
  <c r="L540" i="1"/>
  <c r="M659" i="1"/>
  <c r="G564" i="13"/>
  <c r="J564" i="13" s="1"/>
  <c r="L665" i="1"/>
  <c r="K559" i="1"/>
  <c r="N559" i="1" s="1"/>
  <c r="M665" i="1"/>
  <c r="M674" i="1"/>
  <c r="L684" i="1"/>
  <c r="G583" i="13"/>
  <c r="J583" i="13" s="1"/>
  <c r="K578" i="1"/>
  <c r="N578" i="1" s="1"/>
  <c r="M679" i="1"/>
  <c r="L692" i="1"/>
  <c r="K586" i="1"/>
  <c r="O586" i="1" s="1"/>
  <c r="G591" i="13"/>
  <c r="J591" i="13" s="1"/>
  <c r="G551" i="13"/>
  <c r="J551" i="13" s="1"/>
  <c r="L652" i="1"/>
  <c r="K546" i="1"/>
  <c r="N546" i="1" s="1"/>
  <c r="M664" i="1"/>
  <c r="G567" i="13"/>
  <c r="J567" i="13" s="1"/>
  <c r="L668" i="1"/>
  <c r="K562" i="1"/>
  <c r="N562" i="1" s="1"/>
  <c r="M668" i="1"/>
  <c r="L681" i="1"/>
  <c r="K575" i="1"/>
  <c r="N575" i="1" s="1"/>
  <c r="G580" i="13"/>
  <c r="J580" i="13" s="1"/>
  <c r="M680" i="1"/>
  <c r="L386" i="1"/>
  <c r="L397" i="1" s="1"/>
  <c r="L689" i="1"/>
  <c r="K583" i="1"/>
  <c r="N583" i="1" s="1"/>
  <c r="G588" i="13"/>
  <c r="J588" i="13" s="1"/>
  <c r="M691" i="1"/>
  <c r="M689" i="1"/>
  <c r="L655" i="1"/>
  <c r="G554" i="13"/>
  <c r="L556" i="1"/>
  <c r="K549" i="1"/>
  <c r="L688" i="1"/>
  <c r="G587" i="13"/>
  <c r="K582" i="1"/>
  <c r="L591" i="1"/>
  <c r="M647" i="1"/>
  <c r="M548" i="1"/>
  <c r="O361" i="1"/>
  <c r="L647" i="1"/>
  <c r="K541" i="1"/>
  <c r="G546" i="13"/>
  <c r="L548" i="1"/>
  <c r="L672" i="1"/>
  <c r="G571" i="13"/>
  <c r="L570" i="1"/>
  <c r="K566" i="1"/>
  <c r="M667" i="1"/>
  <c r="M564" i="1"/>
  <c r="O719" i="1"/>
  <c r="G842" i="13"/>
  <c r="J842" i="13" s="1"/>
  <c r="K837" i="1"/>
  <c r="N837" i="1" s="1"/>
  <c r="O723" i="1"/>
  <c r="M826" i="1"/>
  <c r="J840" i="13"/>
  <c r="N729" i="1"/>
  <c r="O722" i="1"/>
  <c r="K836" i="1"/>
  <c r="N836" i="1" s="1"/>
  <c r="G841" i="13"/>
  <c r="J841" i="13" s="1"/>
  <c r="G640" i="13"/>
  <c r="G641" i="13" s="1"/>
  <c r="F97" i="15" s="1"/>
  <c r="F99" i="15" s="1"/>
  <c r="J739" i="13"/>
  <c r="J742" i="13" s="1"/>
  <c r="G742" i="13"/>
  <c r="O628" i="1"/>
  <c r="K843" i="1"/>
  <c r="N843" i="1" s="1"/>
  <c r="G847" i="13"/>
  <c r="J847" i="13" s="1"/>
  <c r="O630" i="1"/>
  <c r="K710" i="1"/>
  <c r="N710" i="1" s="1"/>
  <c r="L816" i="1"/>
  <c r="L922" i="1" s="1"/>
  <c r="G715" i="13"/>
  <c r="J715" i="13" s="1"/>
  <c r="O601" i="1"/>
  <c r="O603" i="1"/>
  <c r="M815" i="1"/>
  <c r="M921" i="1" s="1"/>
  <c r="M712" i="1"/>
  <c r="O604" i="1"/>
  <c r="G599" i="13"/>
  <c r="J599" i="13" s="1"/>
  <c r="L700" i="1"/>
  <c r="K594" i="1"/>
  <c r="M817" i="1"/>
  <c r="M923" i="1" s="1"/>
  <c r="K830" i="1"/>
  <c r="N830" i="1" s="1"/>
  <c r="G835" i="13"/>
  <c r="J835" i="13" s="1"/>
  <c r="G834" i="13"/>
  <c r="J834" i="13" s="1"/>
  <c r="K829" i="1"/>
  <c r="N829" i="1" s="1"/>
  <c r="O614" i="1"/>
  <c r="J738" i="13"/>
  <c r="N627" i="1"/>
  <c r="O627" i="1"/>
  <c r="J722" i="13"/>
  <c r="J725" i="13" s="1"/>
  <c r="G725" i="13"/>
  <c r="N717" i="1"/>
  <c r="K720" i="1"/>
  <c r="O717" i="1"/>
  <c r="N721" i="1"/>
  <c r="K725" i="1"/>
  <c r="N725" i="1" s="1"/>
  <c r="O729" i="1"/>
  <c r="M840" i="1"/>
  <c r="O735" i="1"/>
  <c r="L844" i="1"/>
  <c r="M607" i="1"/>
  <c r="L811" i="1"/>
  <c r="L917" i="1" s="1"/>
  <c r="G710" i="13"/>
  <c r="L708" i="1"/>
  <c r="K705" i="1"/>
  <c r="O705" i="1" s="1"/>
  <c r="L815" i="1"/>
  <c r="L921" i="1" s="1"/>
  <c r="G714" i="13"/>
  <c r="K709" i="1"/>
  <c r="L712" i="1"/>
  <c r="K711" i="1"/>
  <c r="N711" i="1" s="1"/>
  <c r="L817" i="1"/>
  <c r="L923" i="1" s="1"/>
  <c r="G716" i="13"/>
  <c r="J716" i="13" s="1"/>
  <c r="M804" i="1"/>
  <c r="M703" i="1"/>
  <c r="I540" i="16"/>
  <c r="I586" i="16" s="1"/>
  <c r="J105" i="15"/>
  <c r="J108" i="15" s="1"/>
  <c r="J115" i="15" s="1"/>
  <c r="G180" i="13"/>
  <c r="G191" i="13" s="1"/>
  <c r="G192" i="13" s="1"/>
  <c r="F34" i="15" s="1"/>
  <c r="F36" i="15" s="1"/>
  <c r="O366" i="1"/>
  <c r="O339" i="1"/>
  <c r="K451" i="1"/>
  <c r="N451" i="1" s="1"/>
  <c r="G456" i="13"/>
  <c r="J456" i="13" s="1"/>
  <c r="G460" i="13"/>
  <c r="J460" i="13" s="1"/>
  <c r="K455" i="1"/>
  <c r="N455" i="1" s="1"/>
  <c r="G470" i="13"/>
  <c r="J470" i="13" s="1"/>
  <c r="K465" i="1"/>
  <c r="N465" i="1" s="1"/>
  <c r="K486" i="1"/>
  <c r="K491" i="1" s="1"/>
  <c r="N491" i="1" s="1"/>
  <c r="G491" i="13"/>
  <c r="J491" i="13" s="1"/>
  <c r="O347" i="1"/>
  <c r="O351" i="1"/>
  <c r="O372" i="1"/>
  <c r="O529" i="1"/>
  <c r="K443" i="1"/>
  <c r="N443" i="1" s="1"/>
  <c r="G448" i="13"/>
  <c r="J448" i="13" s="1"/>
  <c r="G481" i="13"/>
  <c r="J481" i="13" s="1"/>
  <c r="K476" i="1"/>
  <c r="N476" i="1" s="1"/>
  <c r="O443" i="1"/>
  <c r="N516" i="1"/>
  <c r="O516" i="1"/>
  <c r="G435" i="13"/>
  <c r="J435" i="13" s="1"/>
  <c r="K430" i="1"/>
  <c r="N430" i="1" s="1"/>
  <c r="G440" i="13"/>
  <c r="J440" i="13" s="1"/>
  <c r="K435" i="1"/>
  <c r="N435" i="1" s="1"/>
  <c r="K460" i="1"/>
  <c r="N460" i="1" s="1"/>
  <c r="G465" i="13"/>
  <c r="J465" i="13" s="1"/>
  <c r="O382" i="1"/>
  <c r="N382" i="1"/>
  <c r="O455" i="1"/>
  <c r="O364" i="1"/>
  <c r="O232" i="1"/>
  <c r="O255" i="1"/>
  <c r="O224" i="1"/>
  <c r="O358" i="1"/>
  <c r="O367" i="1"/>
  <c r="O526" i="1"/>
  <c r="O241" i="1"/>
  <c r="J180" i="13"/>
  <c r="J191" i="13" s="1"/>
  <c r="J192" i="13" s="1"/>
  <c r="I34" i="15" s="1"/>
  <c r="I36" i="15" s="1"/>
  <c r="L266" i="1"/>
  <c r="D46" i="15" s="1"/>
  <c r="E46" i="15" s="1"/>
  <c r="O495" i="1"/>
  <c r="O498" i="1"/>
  <c r="J399" i="13"/>
  <c r="J534" i="13"/>
  <c r="J535" i="13" s="1"/>
  <c r="I82" i="15" s="1"/>
  <c r="I84" i="15" s="1"/>
  <c r="K500" i="1"/>
  <c r="N500" i="1" s="1"/>
  <c r="N497" i="1"/>
  <c r="N494" i="1"/>
  <c r="K496" i="1"/>
  <c r="N488" i="1"/>
  <c r="O490" i="1"/>
  <c r="D84" i="15"/>
  <c r="E84" i="15" s="1"/>
  <c r="E82" i="15"/>
  <c r="G438" i="13"/>
  <c r="J438" i="13" s="1"/>
  <c r="K433" i="1"/>
  <c r="N433" i="1" s="1"/>
  <c r="K441" i="1"/>
  <c r="N441" i="1" s="1"/>
  <c r="G446" i="13"/>
  <c r="J446" i="13" s="1"/>
  <c r="G452" i="13"/>
  <c r="J452" i="13" s="1"/>
  <c r="K447" i="1"/>
  <c r="N447" i="1" s="1"/>
  <c r="G475" i="13"/>
  <c r="J475" i="13" s="1"/>
  <c r="K470" i="1"/>
  <c r="N470" i="1" s="1"/>
  <c r="G471" i="13"/>
  <c r="K466" i="1"/>
  <c r="L473" i="1"/>
  <c r="K482" i="1"/>
  <c r="O482" i="1" s="1"/>
  <c r="G487" i="13"/>
  <c r="J487" i="13" s="1"/>
  <c r="O329" i="1"/>
  <c r="M355" i="1"/>
  <c r="M442" i="1"/>
  <c r="G441" i="13"/>
  <c r="K436" i="1"/>
  <c r="O436" i="1" s="1"/>
  <c r="L442" i="1"/>
  <c r="K446" i="1"/>
  <c r="N446" i="1" s="1"/>
  <c r="G451" i="13"/>
  <c r="J451" i="13" s="1"/>
  <c r="K444" i="1"/>
  <c r="O444" i="1" s="1"/>
  <c r="G449" i="13"/>
  <c r="L450" i="1"/>
  <c r="G467" i="13"/>
  <c r="J467" i="13" s="1"/>
  <c r="K462" i="1"/>
  <c r="N462" i="1" s="1"/>
  <c r="M370" i="1"/>
  <c r="M464" i="1"/>
  <c r="K471" i="1"/>
  <c r="N471" i="1" s="1"/>
  <c r="G476" i="13"/>
  <c r="J476" i="13" s="1"/>
  <c r="K467" i="1"/>
  <c r="N467" i="1" s="1"/>
  <c r="G472" i="13"/>
  <c r="J472" i="13" s="1"/>
  <c r="M473" i="1"/>
  <c r="K479" i="1"/>
  <c r="O479" i="1" s="1"/>
  <c r="G484" i="13"/>
  <c r="J484" i="13" s="1"/>
  <c r="O494" i="1"/>
  <c r="O497" i="1"/>
  <c r="O488" i="1"/>
  <c r="N327" i="1"/>
  <c r="K330" i="1"/>
  <c r="O330" i="1" s="1"/>
  <c r="G436" i="13"/>
  <c r="K431" i="1"/>
  <c r="O431" i="1" s="1"/>
  <c r="L434" i="1"/>
  <c r="K439" i="1"/>
  <c r="N439" i="1" s="1"/>
  <c r="G444" i="13"/>
  <c r="J444" i="13" s="1"/>
  <c r="O349" i="1"/>
  <c r="L370" i="1"/>
  <c r="D61" i="15" s="1"/>
  <c r="E61" i="15" s="1"/>
  <c r="J361" i="13"/>
  <c r="J364" i="13" s="1"/>
  <c r="G364" i="13"/>
  <c r="G473" i="13"/>
  <c r="J473" i="13" s="1"/>
  <c r="K468" i="1"/>
  <c r="N468" i="1" s="1"/>
  <c r="K484" i="1"/>
  <c r="N484" i="1" s="1"/>
  <c r="G489" i="13"/>
  <c r="J489" i="13" s="1"/>
  <c r="G445" i="13"/>
  <c r="J445" i="13" s="1"/>
  <c r="K440" i="1"/>
  <c r="N440" i="1" s="1"/>
  <c r="J352" i="13"/>
  <c r="J354" i="13" s="1"/>
  <c r="G354" i="13"/>
  <c r="N348" i="1"/>
  <c r="K350" i="1"/>
  <c r="N350" i="1" s="1"/>
  <c r="M454" i="1"/>
  <c r="J356" i="13"/>
  <c r="J358" i="13" s="1"/>
  <c r="G358" i="13"/>
  <c r="K481" i="1"/>
  <c r="O481" i="1" s="1"/>
  <c r="G486" i="13"/>
  <c r="J486" i="13" s="1"/>
  <c r="J377" i="13"/>
  <c r="J385" i="13" s="1"/>
  <c r="G385" i="13"/>
  <c r="N373" i="1"/>
  <c r="K381" i="1"/>
  <c r="O381" i="1" s="1"/>
  <c r="M386" i="1"/>
  <c r="O47" i="1"/>
  <c r="O259" i="1"/>
  <c r="K281" i="1"/>
  <c r="N281" i="1" s="1"/>
  <c r="O230" i="1"/>
  <c r="O262" i="1"/>
  <c r="O254" i="1"/>
  <c r="G505" i="13"/>
  <c r="J502" i="13"/>
  <c r="J505" i="13" s="1"/>
  <c r="O394" i="1"/>
  <c r="L501" i="1"/>
  <c r="J499" i="13"/>
  <c r="J501" i="13" s="1"/>
  <c r="G501" i="13"/>
  <c r="J492" i="13"/>
  <c r="O499" i="1"/>
  <c r="M531" i="1"/>
  <c r="O508" i="1"/>
  <c r="N508" i="1"/>
  <c r="K530" i="1"/>
  <c r="O530" i="1" s="1"/>
  <c r="O531" i="1" s="1"/>
  <c r="O333" i="1"/>
  <c r="K437" i="1"/>
  <c r="N437" i="1" s="1"/>
  <c r="G442" i="13"/>
  <c r="J442" i="13" s="1"/>
  <c r="G454" i="13"/>
  <c r="J454" i="13" s="1"/>
  <c r="K449" i="1"/>
  <c r="N449" i="1" s="1"/>
  <c r="G450" i="13"/>
  <c r="J450" i="13" s="1"/>
  <c r="K445" i="1"/>
  <c r="N445" i="1" s="1"/>
  <c r="O341" i="1"/>
  <c r="G462" i="13"/>
  <c r="J462" i="13" s="1"/>
  <c r="K457" i="1"/>
  <c r="N457" i="1" s="1"/>
  <c r="O353" i="1"/>
  <c r="J366" i="13"/>
  <c r="J373" i="13" s="1"/>
  <c r="G373" i="13"/>
  <c r="N362" i="1"/>
  <c r="K369" i="1"/>
  <c r="N369" i="1" s="1"/>
  <c r="O365" i="1"/>
  <c r="K478" i="1"/>
  <c r="O478" i="1" s="1"/>
  <c r="G483" i="13"/>
  <c r="J483" i="13" s="1"/>
  <c r="O380" i="1"/>
  <c r="K432" i="1"/>
  <c r="N432" i="1" s="1"/>
  <c r="G437" i="13"/>
  <c r="J437" i="13" s="1"/>
  <c r="O327" i="1"/>
  <c r="M434" i="1"/>
  <c r="O336" i="1"/>
  <c r="G443" i="13"/>
  <c r="J443" i="13" s="1"/>
  <c r="K438" i="1"/>
  <c r="N438" i="1" s="1"/>
  <c r="N332" i="1"/>
  <c r="K338" i="1"/>
  <c r="N338" i="1" s="1"/>
  <c r="J336" i="13"/>
  <c r="J342" i="13" s="1"/>
  <c r="G342" i="13"/>
  <c r="K448" i="1"/>
  <c r="N448" i="1" s="1"/>
  <c r="G453" i="13"/>
  <c r="J453" i="13" s="1"/>
  <c r="J344" i="13"/>
  <c r="J350" i="13" s="1"/>
  <c r="G350" i="13"/>
  <c r="N340" i="1"/>
  <c r="K346" i="1"/>
  <c r="N346" i="1" s="1"/>
  <c r="O344" i="1"/>
  <c r="O342" i="1"/>
  <c r="M450" i="1"/>
  <c r="O368" i="1"/>
  <c r="K483" i="1"/>
  <c r="O483" i="1" s="1"/>
  <c r="G488" i="13"/>
  <c r="J488" i="13" s="1"/>
  <c r="M501" i="1"/>
  <c r="K395" i="1"/>
  <c r="N395" i="1" s="1"/>
  <c r="N390" i="1"/>
  <c r="G399" i="13"/>
  <c r="O385" i="1"/>
  <c r="O513" i="1"/>
  <c r="J331" i="13"/>
  <c r="J334" i="13" s="1"/>
  <c r="G334" i="13"/>
  <c r="O337" i="1"/>
  <c r="O345" i="1"/>
  <c r="O343" i="1"/>
  <c r="G458" i="13"/>
  <c r="J458" i="13" s="1"/>
  <c r="K453" i="1"/>
  <c r="N453" i="1" s="1"/>
  <c r="K463" i="1"/>
  <c r="N463" i="1" s="1"/>
  <c r="G468" i="13"/>
  <c r="J468" i="13" s="1"/>
  <c r="N357" i="1"/>
  <c r="K360" i="1"/>
  <c r="K461" i="1"/>
  <c r="G466" i="13"/>
  <c r="L464" i="1"/>
  <c r="G477" i="13"/>
  <c r="J477" i="13" s="1"/>
  <c r="K472" i="1"/>
  <c r="N472" i="1" s="1"/>
  <c r="O363" i="1"/>
  <c r="K480" i="1"/>
  <c r="O480" i="1" s="1"/>
  <c r="G485" i="13"/>
  <c r="J485" i="13" s="1"/>
  <c r="O334" i="1"/>
  <c r="G457" i="13"/>
  <c r="K452" i="1"/>
  <c r="O452" i="1" s="1"/>
  <c r="L454" i="1"/>
  <c r="O348" i="1"/>
  <c r="N352" i="1"/>
  <c r="K354" i="1"/>
  <c r="N354" i="1" s="1"/>
  <c r="K456" i="1"/>
  <c r="O456" i="1" s="1"/>
  <c r="G461" i="13"/>
  <c r="L458" i="1"/>
  <c r="M458" i="1"/>
  <c r="O359" i="1"/>
  <c r="K469" i="1"/>
  <c r="N469" i="1" s="1"/>
  <c r="G474" i="13"/>
  <c r="J474" i="13" s="1"/>
  <c r="G482" i="13"/>
  <c r="K477" i="1"/>
  <c r="O477" i="1" s="1"/>
  <c r="L485" i="1"/>
  <c r="O373" i="1"/>
  <c r="M485" i="1"/>
  <c r="N34" i="17"/>
  <c r="Q36" i="17"/>
  <c r="Q37" i="17" s="1"/>
  <c r="H19" i="15" s="1"/>
  <c r="N51" i="17"/>
  <c r="N190" i="17"/>
  <c r="Q27" i="17"/>
  <c r="H16" i="15" s="1"/>
  <c r="N15" i="17"/>
  <c r="M57" i="17"/>
  <c r="G82" i="15"/>
  <c r="G84" i="15" s="1"/>
  <c r="G85" i="15" s="1"/>
  <c r="K312" i="17"/>
  <c r="M249" i="17"/>
  <c r="J250" i="17"/>
  <c r="M250" i="17" s="1"/>
  <c r="M310" i="17"/>
  <c r="J311" i="17"/>
  <c r="Q268" i="17"/>
  <c r="H76" i="15"/>
  <c r="H78" i="15" s="1"/>
  <c r="L250" i="17"/>
  <c r="N249" i="17"/>
  <c r="J268" i="17"/>
  <c r="M268" i="17" s="1"/>
  <c r="M259" i="17"/>
  <c r="J277" i="17"/>
  <c r="M277" i="17" s="1"/>
  <c r="H70" i="15"/>
  <c r="L69" i="17"/>
  <c r="L128" i="17"/>
  <c r="N267" i="17"/>
  <c r="N276" i="17"/>
  <c r="L311" i="17"/>
  <c r="L312" i="17" s="1"/>
  <c r="N310" i="17"/>
  <c r="N217" i="17"/>
  <c r="J149" i="13"/>
  <c r="I30" i="15" s="1"/>
  <c r="G284" i="13"/>
  <c r="K425" i="1"/>
  <c r="N424" i="1"/>
  <c r="N425" i="1" s="1"/>
  <c r="O424" i="1"/>
  <c r="O425" i="1" s="1"/>
  <c r="E69" i="15"/>
  <c r="O268" i="1"/>
  <c r="N268" i="1"/>
  <c r="O235" i="1"/>
  <c r="I85" i="1"/>
  <c r="I86" i="1" s="1"/>
  <c r="O237" i="1"/>
  <c r="O261" i="1"/>
  <c r="O240" i="1"/>
  <c r="O161" i="1"/>
  <c r="O290" i="1"/>
  <c r="O227" i="1"/>
  <c r="O257" i="1"/>
  <c r="O252" i="1"/>
  <c r="N252" i="1"/>
  <c r="J226" i="13"/>
  <c r="J229" i="13" s="1"/>
  <c r="G229" i="13"/>
  <c r="M163" i="1"/>
  <c r="L251" i="1"/>
  <c r="J231" i="13"/>
  <c r="J237" i="13" s="1"/>
  <c r="G237" i="13"/>
  <c r="J251" i="13"/>
  <c r="J253" i="13" s="1"/>
  <c r="G253" i="13"/>
  <c r="O264" i="1"/>
  <c r="O260" i="1"/>
  <c r="K291" i="1"/>
  <c r="N291" i="1" s="1"/>
  <c r="N286" i="1"/>
  <c r="M282" i="1"/>
  <c r="K147" i="1"/>
  <c r="N122" i="1"/>
  <c r="O231" i="1"/>
  <c r="O245" i="1"/>
  <c r="J256" i="13"/>
  <c r="J259" i="13" s="1"/>
  <c r="G259" i="13"/>
  <c r="K162" i="1"/>
  <c r="N162" i="1" s="1"/>
  <c r="N152" i="1"/>
  <c r="N258" i="1"/>
  <c r="K265" i="1"/>
  <c r="N265" i="1" s="1"/>
  <c r="L293" i="1"/>
  <c r="L294" i="1" s="1"/>
  <c r="D49" i="15" s="1"/>
  <c r="O225" i="1"/>
  <c r="M251" i="1"/>
  <c r="G149" i="13"/>
  <c r="O138" i="1"/>
  <c r="J247" i="13"/>
  <c r="J249" i="13" s="1"/>
  <c r="G249" i="13"/>
  <c r="O142" i="1"/>
  <c r="N269" i="1"/>
  <c r="K277" i="1"/>
  <c r="D36" i="15"/>
  <c r="E36" i="15" s="1"/>
  <c r="E34" i="15"/>
  <c r="O56" i="1"/>
  <c r="O39" i="1"/>
  <c r="N223" i="1"/>
  <c r="K226" i="1"/>
  <c r="D30" i="15"/>
  <c r="L163" i="1"/>
  <c r="L218" i="1" s="1"/>
  <c r="O229" i="1"/>
  <c r="O239" i="1"/>
  <c r="O249" i="1"/>
  <c r="O276" i="1"/>
  <c r="O122" i="1"/>
  <c r="N228" i="1"/>
  <c r="K234" i="1"/>
  <c r="N234" i="1" s="1"/>
  <c r="N236" i="1"/>
  <c r="K242" i="1"/>
  <c r="N242" i="1" s="1"/>
  <c r="J239" i="13"/>
  <c r="J245" i="13" s="1"/>
  <c r="G245" i="13"/>
  <c r="O238" i="1"/>
  <c r="O242" i="1"/>
  <c r="N248" i="1"/>
  <c r="K250" i="1"/>
  <c r="N250" i="1" s="1"/>
  <c r="M266" i="1"/>
  <c r="O258" i="1"/>
  <c r="N173" i="1"/>
  <c r="K178" i="1"/>
  <c r="O178" i="1" s="1"/>
  <c r="O269" i="1"/>
  <c r="O233" i="1"/>
  <c r="O130" i="1"/>
  <c r="N253" i="1"/>
  <c r="K256" i="1"/>
  <c r="J261" i="13"/>
  <c r="J268" i="13" s="1"/>
  <c r="G268" i="13"/>
  <c r="G294" i="13"/>
  <c r="O286" i="1"/>
  <c r="O223" i="1"/>
  <c r="N244" i="1"/>
  <c r="K246" i="1"/>
  <c r="N246" i="1" s="1"/>
  <c r="O146" i="1"/>
  <c r="J272" i="13"/>
  <c r="J280" i="13" s="1"/>
  <c r="G280" i="13"/>
  <c r="M189" i="1"/>
  <c r="M190" i="1" s="1"/>
  <c r="O320" i="1"/>
  <c r="O321" i="1" s="1"/>
  <c r="N320" i="1"/>
  <c r="N321" i="1" s="1"/>
  <c r="K321" i="1"/>
  <c r="O187" i="1"/>
  <c r="J294" i="13"/>
  <c r="N64" i="17"/>
  <c r="N60" i="17"/>
  <c r="N46" i="17"/>
  <c r="I68" i="17"/>
  <c r="F69" i="17"/>
  <c r="I69" i="17" s="1"/>
  <c r="O49" i="1"/>
  <c r="N76" i="1"/>
  <c r="O94" i="1"/>
  <c r="J83" i="13"/>
  <c r="E59" i="1"/>
  <c r="E114" i="1" s="1"/>
  <c r="C15" i="15"/>
  <c r="K108" i="1"/>
  <c r="N108" i="1" s="1"/>
  <c r="N28" i="1"/>
  <c r="O40" i="1"/>
  <c r="F84" i="13"/>
  <c r="J19" i="13"/>
  <c r="O84" i="1"/>
  <c r="I59" i="13"/>
  <c r="J49" i="13"/>
  <c r="J79" i="13"/>
  <c r="L74" i="1"/>
  <c r="P28" i="17"/>
  <c r="P70" i="17" s="1"/>
  <c r="N43" i="17"/>
  <c r="N48" i="17"/>
  <c r="Q68" i="17"/>
  <c r="Q69" i="17" s="1"/>
  <c r="H22" i="15" s="1"/>
  <c r="N56" i="17"/>
  <c r="N58" i="17"/>
  <c r="M53" i="17"/>
  <c r="M49" i="17"/>
  <c r="N31" i="17"/>
  <c r="G112" i="13"/>
  <c r="O107" i="1"/>
  <c r="O106" i="1"/>
  <c r="K104" i="1"/>
  <c r="N104" i="1" s="1"/>
  <c r="O102" i="1"/>
  <c r="O97" i="1"/>
  <c r="M83" i="1"/>
  <c r="K57" i="1"/>
  <c r="N57" i="1" s="1"/>
  <c r="K42" i="1"/>
  <c r="N42" i="1" s="1"/>
  <c r="O46" i="1"/>
  <c r="H47" i="16"/>
  <c r="N59" i="17"/>
  <c r="N54" i="17"/>
  <c r="N40" i="17"/>
  <c r="N16" i="17"/>
  <c r="N38" i="17"/>
  <c r="N63" i="17"/>
  <c r="N47" i="17"/>
  <c r="J27" i="13"/>
  <c r="F75" i="13"/>
  <c r="O99" i="1"/>
  <c r="G49" i="13"/>
  <c r="I59" i="1"/>
  <c r="J100" i="13"/>
  <c r="J105" i="13" s="1"/>
  <c r="J113" i="13" s="1"/>
  <c r="J114" i="13" s="1"/>
  <c r="I22" i="15" s="1"/>
  <c r="G105" i="13"/>
  <c r="O45" i="1"/>
  <c r="N45" i="1"/>
  <c r="G43" i="13"/>
  <c r="O30" i="1"/>
  <c r="J58" i="13"/>
  <c r="L83" i="1"/>
  <c r="O110" i="1"/>
  <c r="L112" i="1"/>
  <c r="L113" i="1" s="1"/>
  <c r="D22" i="15" s="1"/>
  <c r="N91" i="1"/>
  <c r="N72" i="1"/>
  <c r="L58" i="1"/>
  <c r="D16" i="15" s="1"/>
  <c r="O21" i="1"/>
  <c r="O51" i="1"/>
  <c r="O37" i="1"/>
  <c r="J43" i="13"/>
  <c r="J35" i="13"/>
  <c r="I84" i="13"/>
  <c r="G79" i="13"/>
  <c r="G19" i="13"/>
  <c r="G96" i="13"/>
  <c r="G99" i="13"/>
  <c r="G91" i="13"/>
  <c r="G83" i="13"/>
  <c r="N53" i="1"/>
  <c r="O53" i="1"/>
  <c r="G35" i="13"/>
  <c r="O50" i="1"/>
  <c r="O32" i="1"/>
  <c r="N32" i="1"/>
  <c r="G58" i="13"/>
  <c r="O88" i="1"/>
  <c r="I47" i="16"/>
  <c r="I92" i="16" s="1"/>
  <c r="H114" i="1"/>
  <c r="G70" i="13"/>
  <c r="G75" i="13" s="1"/>
  <c r="J65" i="13"/>
  <c r="J70" i="13" s="1"/>
  <c r="J75" i="13" s="1"/>
  <c r="N24" i="17"/>
  <c r="N17" i="17"/>
  <c r="K28" i="17"/>
  <c r="K70" i="17" s="1"/>
  <c r="G27" i="13"/>
  <c r="F44" i="13"/>
  <c r="N66" i="17"/>
  <c r="N62" i="17"/>
  <c r="N45" i="17"/>
  <c r="M45" i="17"/>
  <c r="J68" i="17"/>
  <c r="J69" i="17" s="1"/>
  <c r="Q19" i="17"/>
  <c r="H15" i="15" s="1"/>
  <c r="F28" i="17"/>
  <c r="I28" i="17" s="1"/>
  <c r="I19" i="17"/>
  <c r="N21" i="17"/>
  <c r="J36" i="17"/>
  <c r="N25" i="17"/>
  <c r="J19" i="17"/>
  <c r="N14" i="17"/>
  <c r="M14" i="17"/>
  <c r="N23" i="17"/>
  <c r="M23" i="17"/>
  <c r="N18" i="17"/>
  <c r="M18" i="17"/>
  <c r="J27" i="17"/>
  <c r="M27" i="17" s="1"/>
  <c r="L28" i="17"/>
  <c r="N30" i="17"/>
  <c r="N22" i="17"/>
  <c r="F113" i="13"/>
  <c r="F114" i="13" s="1"/>
  <c r="I113" i="13"/>
  <c r="I114" i="13" s="1"/>
  <c r="I75" i="13"/>
  <c r="I44" i="13"/>
  <c r="J39" i="13"/>
  <c r="F59" i="13"/>
  <c r="K24" i="1"/>
  <c r="N24" i="1" s="1"/>
  <c r="M112" i="1"/>
  <c r="G74" i="1"/>
  <c r="J69" i="1"/>
  <c r="N70" i="1"/>
  <c r="K73" i="1"/>
  <c r="O77" i="1"/>
  <c r="G83" i="1"/>
  <c r="J83" i="1" s="1"/>
  <c r="J78" i="1"/>
  <c r="M58" i="1"/>
  <c r="K98" i="1"/>
  <c r="N96" i="1"/>
  <c r="O70" i="1"/>
  <c r="K90" i="1"/>
  <c r="N87" i="1"/>
  <c r="O80" i="1"/>
  <c r="K78" i="1"/>
  <c r="N75" i="1"/>
  <c r="O92" i="1"/>
  <c r="N92" i="1"/>
  <c r="O71" i="1"/>
  <c r="O93" i="1"/>
  <c r="O17" i="1"/>
  <c r="O55" i="1"/>
  <c r="O41" i="1"/>
  <c r="N19" i="1"/>
  <c r="K18" i="1"/>
  <c r="K38" i="1"/>
  <c r="O35" i="1"/>
  <c r="N35" i="1"/>
  <c r="G43" i="1"/>
  <c r="O100" i="1"/>
  <c r="N100" i="1"/>
  <c r="G112" i="1"/>
  <c r="J90" i="1"/>
  <c r="L26" i="1"/>
  <c r="L43" i="1" s="1"/>
  <c r="D15" i="15" s="1"/>
  <c r="K34" i="1"/>
  <c r="N27" i="1"/>
  <c r="M26" i="1"/>
  <c r="O25" i="1"/>
  <c r="K111" i="1"/>
  <c r="N111" i="1" s="1"/>
  <c r="N109" i="1"/>
  <c r="K69" i="1"/>
  <c r="O69" i="1" s="1"/>
  <c r="N60" i="1"/>
  <c r="O101" i="1"/>
  <c r="K95" i="1"/>
  <c r="N95" i="1" s="1"/>
  <c r="O87" i="1"/>
  <c r="K82" i="1"/>
  <c r="N82" i="1" s="1"/>
  <c r="N79" i="1"/>
  <c r="M74" i="1"/>
  <c r="O75" i="1"/>
  <c r="K48" i="1"/>
  <c r="N44" i="1"/>
  <c r="O60" i="1"/>
  <c r="O31" i="1"/>
  <c r="O23" i="1"/>
  <c r="G58" i="1"/>
  <c r="J58" i="1" s="1"/>
  <c r="J48" i="1"/>
  <c r="O19" i="1"/>
  <c r="L85" i="1" l="1"/>
  <c r="L86" i="1" s="1"/>
  <c r="D19" i="15" s="1"/>
  <c r="O162" i="1"/>
  <c r="O108" i="1"/>
  <c r="O836" i="1"/>
  <c r="K1885" i="1"/>
  <c r="N1885" i="1" s="1"/>
  <c r="L1994" i="1"/>
  <c r="G1890" i="13"/>
  <c r="J1890" i="13" s="1"/>
  <c r="L602" i="17"/>
  <c r="M490" i="17"/>
  <c r="N490" i="17"/>
  <c r="J535" i="17"/>
  <c r="M535" i="17" s="1"/>
  <c r="L597" i="17"/>
  <c r="N535" i="17"/>
  <c r="K582" i="17"/>
  <c r="J520" i="17"/>
  <c r="M520" i="17" s="1"/>
  <c r="Q520" i="17"/>
  <c r="J540" i="17"/>
  <c r="M540" i="17" s="1"/>
  <c r="K602" i="17"/>
  <c r="Q540" i="17"/>
  <c r="J553" i="17"/>
  <c r="M553" i="17" s="1"/>
  <c r="L615" i="17"/>
  <c r="K568" i="17"/>
  <c r="J506" i="17"/>
  <c r="M506" i="17" s="1"/>
  <c r="Q506" i="17"/>
  <c r="N484" i="17"/>
  <c r="N434" i="17"/>
  <c r="J435" i="17"/>
  <c r="M434" i="17"/>
  <c r="N442" i="17"/>
  <c r="M442" i="17"/>
  <c r="J453" i="17"/>
  <c r="M453" i="17" s="1"/>
  <c r="M446" i="17"/>
  <c r="G127" i="15"/>
  <c r="G129" i="15" s="1"/>
  <c r="F1861" i="16"/>
  <c r="I1861" i="16" s="1"/>
  <c r="I1766" i="16"/>
  <c r="Q535" i="17"/>
  <c r="K597" i="17"/>
  <c r="N483" i="17"/>
  <c r="K607" i="17"/>
  <c r="Q545" i="17"/>
  <c r="Q600" i="17"/>
  <c r="K662" i="17"/>
  <c r="J600" i="17"/>
  <c r="M600" i="17" s="1"/>
  <c r="L618" i="17"/>
  <c r="K581" i="17"/>
  <c r="Q519" i="17"/>
  <c r="J519" i="17"/>
  <c r="M519" i="17" s="1"/>
  <c r="J546" i="17"/>
  <c r="M546" i="17" s="1"/>
  <c r="K608" i="17"/>
  <c r="Q546" i="17"/>
  <c r="J557" i="17"/>
  <c r="M557" i="17" s="1"/>
  <c r="L619" i="17"/>
  <c r="N557" i="17"/>
  <c r="L582" i="17"/>
  <c r="N520" i="17"/>
  <c r="K611" i="17"/>
  <c r="Q549" i="17"/>
  <c r="N453" i="17"/>
  <c r="L576" i="17"/>
  <c r="K601" i="17"/>
  <c r="Q539" i="17"/>
  <c r="N457" i="17"/>
  <c r="J512" i="17"/>
  <c r="M512" i="17" s="1"/>
  <c r="L574" i="17"/>
  <c r="N512" i="17"/>
  <c r="J528" i="17"/>
  <c r="M528" i="17" s="1"/>
  <c r="L590" i="17"/>
  <c r="N528" i="17"/>
  <c r="N460" i="17"/>
  <c r="Q522" i="17"/>
  <c r="K584" i="17"/>
  <c r="K618" i="17"/>
  <c r="Q556" i="17"/>
  <c r="J556" i="17"/>
  <c r="M556" i="17" s="1"/>
  <c r="K609" i="17"/>
  <c r="Q547" i="17"/>
  <c r="M373" i="17"/>
  <c r="J374" i="17"/>
  <c r="M374" i="17" s="1"/>
  <c r="L617" i="17"/>
  <c r="L612" i="17"/>
  <c r="N472" i="17"/>
  <c r="K564" i="17"/>
  <c r="K507" i="17"/>
  <c r="J502" i="17"/>
  <c r="Q502" i="17"/>
  <c r="J539" i="17"/>
  <c r="M539" i="17" s="1"/>
  <c r="L601" i="17"/>
  <c r="L608" i="17"/>
  <c r="N546" i="17"/>
  <c r="K616" i="17"/>
  <c r="Q554" i="17"/>
  <c r="J554" i="17"/>
  <c r="M554" i="17" s="1"/>
  <c r="L588" i="17"/>
  <c r="L558" i="17"/>
  <c r="K566" i="17"/>
  <c r="Q504" i="17"/>
  <c r="J504" i="17"/>
  <c r="K570" i="17"/>
  <c r="Q508" i="17"/>
  <c r="K515" i="17"/>
  <c r="G136" i="15" s="1"/>
  <c r="Q517" i="17"/>
  <c r="K579" i="17"/>
  <c r="K524" i="17"/>
  <c r="J533" i="17"/>
  <c r="M533" i="17" s="1"/>
  <c r="L595" i="17"/>
  <c r="N449" i="17"/>
  <c r="K588" i="17"/>
  <c r="Q526" i="17"/>
  <c r="J526" i="17"/>
  <c r="L580" i="17"/>
  <c r="Q543" i="17"/>
  <c r="K605" i="17"/>
  <c r="L572" i="17"/>
  <c r="H112" i="15"/>
  <c r="H114" i="15" s="1"/>
  <c r="Q436" i="17"/>
  <c r="Q541" i="17"/>
  <c r="K603" i="17"/>
  <c r="J542" i="17"/>
  <c r="M542" i="17" s="1"/>
  <c r="K604" i="17"/>
  <c r="Q542" i="17"/>
  <c r="L604" i="17"/>
  <c r="Q312" i="17"/>
  <c r="O500" i="1"/>
  <c r="O562" i="1"/>
  <c r="O555" i="1"/>
  <c r="M464" i="17"/>
  <c r="J496" i="17"/>
  <c r="L571" i="17"/>
  <c r="N475" i="17"/>
  <c r="J545" i="17"/>
  <c r="M545" i="17" s="1"/>
  <c r="L607" i="17"/>
  <c r="K594" i="17"/>
  <c r="Q532" i="17"/>
  <c r="J532" i="17"/>
  <c r="N532" i="17" s="1"/>
  <c r="Q555" i="17"/>
  <c r="K617" i="17"/>
  <c r="J555" i="17"/>
  <c r="M555" i="17" s="1"/>
  <c r="L507" i="17"/>
  <c r="L565" i="17"/>
  <c r="L628" i="17"/>
  <c r="G112" i="15"/>
  <c r="G114" i="15" s="1"/>
  <c r="G115" i="15" s="1"/>
  <c r="K436" i="17"/>
  <c r="Q468" i="17"/>
  <c r="Q496" i="17" s="1"/>
  <c r="Q497" i="17" s="1"/>
  <c r="K530" i="17"/>
  <c r="J468" i="17"/>
  <c r="K614" i="17"/>
  <c r="J552" i="17"/>
  <c r="Q552" i="17"/>
  <c r="K575" i="17"/>
  <c r="Q513" i="17"/>
  <c r="J513" i="17"/>
  <c r="M513" i="17" s="1"/>
  <c r="Q557" i="17"/>
  <c r="K619" i="17"/>
  <c r="J508" i="17"/>
  <c r="L570" i="17"/>
  <c r="N508" i="17"/>
  <c r="L515" i="17"/>
  <c r="N538" i="17"/>
  <c r="J543" i="17"/>
  <c r="M543" i="17" s="1"/>
  <c r="L605" i="17"/>
  <c r="K580" i="17"/>
  <c r="J518" i="17"/>
  <c r="M518" i="17" s="1"/>
  <c r="Q518" i="17"/>
  <c r="L436" i="17"/>
  <c r="L581" i="17"/>
  <c r="N519" i="17"/>
  <c r="L454" i="17"/>
  <c r="L498" i="17" s="1"/>
  <c r="L606" i="17"/>
  <c r="J544" i="17"/>
  <c r="M544" i="17" s="1"/>
  <c r="K606" i="17"/>
  <c r="Q544" i="17"/>
  <c r="L613" i="17"/>
  <c r="N551" i="17"/>
  <c r="L585" i="17"/>
  <c r="Q392" i="17"/>
  <c r="H106" i="15"/>
  <c r="H108" i="15" s="1"/>
  <c r="J522" i="17"/>
  <c r="M522" i="17" s="1"/>
  <c r="L584" i="17"/>
  <c r="N522" i="17"/>
  <c r="J517" i="17"/>
  <c r="N517" i="17" s="1"/>
  <c r="L579" i="17"/>
  <c r="L524" i="17"/>
  <c r="Q528" i="17"/>
  <c r="K590" i="17"/>
  <c r="L596" i="17"/>
  <c r="Q445" i="17"/>
  <c r="L738" i="17"/>
  <c r="N486" i="17"/>
  <c r="K573" i="17"/>
  <c r="Q511" i="17"/>
  <c r="J511" i="17"/>
  <c r="M511" i="17" s="1"/>
  <c r="J541" i="17"/>
  <c r="M541" i="17" s="1"/>
  <c r="L603" i="17"/>
  <c r="M455" i="17"/>
  <c r="J462" i="17"/>
  <c r="N469" i="17"/>
  <c r="N465" i="17"/>
  <c r="L573" i="17"/>
  <c r="N511" i="17"/>
  <c r="J536" i="17"/>
  <c r="M536" i="17" s="1"/>
  <c r="K598" i="17"/>
  <c r="Q536" i="17"/>
  <c r="K615" i="17"/>
  <c r="Q553" i="17"/>
  <c r="O1885" i="1"/>
  <c r="M1994" i="1"/>
  <c r="J505" i="17"/>
  <c r="M505" i="17" s="1"/>
  <c r="L567" i="17"/>
  <c r="K595" i="17"/>
  <c r="Q533" i="17"/>
  <c r="J549" i="17"/>
  <c r="M549" i="17" s="1"/>
  <c r="L611" i="17"/>
  <c r="L564" i="17"/>
  <c r="N502" i="17"/>
  <c r="Q505" i="17"/>
  <c r="K567" i="17"/>
  <c r="K571" i="17"/>
  <c r="J509" i="17"/>
  <c r="M509" i="17" s="1"/>
  <c r="Q509" i="17"/>
  <c r="K610" i="17"/>
  <c r="J548" i="17"/>
  <c r="M548" i="17" s="1"/>
  <c r="Q548" i="17"/>
  <c r="M440" i="17"/>
  <c r="J445" i="17"/>
  <c r="L568" i="17"/>
  <c r="N506" i="17"/>
  <c r="N374" i="17"/>
  <c r="I33" i="15"/>
  <c r="O559" i="1"/>
  <c r="J537" i="17"/>
  <c r="M537" i="17" s="1"/>
  <c r="L599" i="17"/>
  <c r="N537" i="17"/>
  <c r="N456" i="17"/>
  <c r="J392" i="17"/>
  <c r="M392" i="17" s="1"/>
  <c r="M391" i="17"/>
  <c r="K612" i="17"/>
  <c r="J550" i="17"/>
  <c r="M550" i="17" s="1"/>
  <c r="Q550" i="17"/>
  <c r="K593" i="17"/>
  <c r="Q531" i="17"/>
  <c r="J531" i="17"/>
  <c r="M531" i="17" s="1"/>
  <c r="L616" i="17"/>
  <c r="N554" i="17"/>
  <c r="Q503" i="17"/>
  <c r="K565" i="17"/>
  <c r="J503" i="17"/>
  <c r="M503" i="17" s="1"/>
  <c r="O1778" i="1"/>
  <c r="K585" i="17"/>
  <c r="Q523" i="17"/>
  <c r="J523" i="17"/>
  <c r="M523" i="17" s="1"/>
  <c r="J547" i="17"/>
  <c r="M547" i="17" s="1"/>
  <c r="L609" i="17"/>
  <c r="L662" i="17"/>
  <c r="N487" i="17"/>
  <c r="L575" i="17"/>
  <c r="N513" i="17"/>
  <c r="N440" i="17"/>
  <c r="N473" i="17"/>
  <c r="K589" i="17"/>
  <c r="J527" i="17"/>
  <c r="M527" i="17" s="1"/>
  <c r="Q527" i="17"/>
  <c r="N461" i="17"/>
  <c r="L598" i="17"/>
  <c r="J534" i="17"/>
  <c r="M534" i="17" s="1"/>
  <c r="K596" i="17"/>
  <c r="Q534" i="17"/>
  <c r="K576" i="17"/>
  <c r="Q514" i="17"/>
  <c r="J514" i="17"/>
  <c r="M514" i="17" s="1"/>
  <c r="Q512" i="17"/>
  <c r="K574" i="17"/>
  <c r="K613" i="17"/>
  <c r="Q551" i="17"/>
  <c r="J551" i="17"/>
  <c r="M551" i="17" s="1"/>
  <c r="G120" i="15"/>
  <c r="G123" i="15" s="1"/>
  <c r="K454" i="17"/>
  <c r="J401" i="17"/>
  <c r="M401" i="17" s="1"/>
  <c r="N491" i="17"/>
  <c r="Q510" i="17"/>
  <c r="K572" i="17"/>
  <c r="J510" i="17"/>
  <c r="M510" i="17" s="1"/>
  <c r="N339" i="17"/>
  <c r="L610" i="17"/>
  <c r="N548" i="17"/>
  <c r="N373" i="17"/>
  <c r="N464" i="17"/>
  <c r="Q453" i="17"/>
  <c r="H121" i="15" s="1"/>
  <c r="K463" i="17"/>
  <c r="K498" i="17" s="1"/>
  <c r="G124" i="15"/>
  <c r="G126" i="15" s="1"/>
  <c r="L593" i="17"/>
  <c r="N531" i="17"/>
  <c r="L583" i="17"/>
  <c r="N521" i="17"/>
  <c r="L589" i="17"/>
  <c r="N527" i="17"/>
  <c r="K583" i="17"/>
  <c r="Q521" i="17"/>
  <c r="J521" i="17"/>
  <c r="F1598" i="16"/>
  <c r="I1866" i="16"/>
  <c r="I1377" i="16"/>
  <c r="J247" i="15" s="1"/>
  <c r="J249" i="15" s="1"/>
  <c r="F1891" i="16"/>
  <c r="I1796" i="16"/>
  <c r="I1678" i="16"/>
  <c r="F1772" i="16"/>
  <c r="I1725" i="16"/>
  <c r="F1819" i="16"/>
  <c r="I1703" i="16"/>
  <c r="F1797" i="16"/>
  <c r="I1924" i="16"/>
  <c r="J165" i="13"/>
  <c r="O468" i="1"/>
  <c r="O835" i="1"/>
  <c r="O433" i="1"/>
  <c r="J390" i="13"/>
  <c r="O632" i="1"/>
  <c r="O622" i="1"/>
  <c r="O913" i="1"/>
  <c r="I1506" i="16"/>
  <c r="I1294" i="16"/>
  <c r="F1385" i="16"/>
  <c r="I1444" i="16"/>
  <c r="J259" i="15" s="1"/>
  <c r="J261" i="15" s="1"/>
  <c r="I1543" i="16"/>
  <c r="F1635" i="16"/>
  <c r="I1702" i="16"/>
  <c r="F1704" i="16"/>
  <c r="I1610" i="16"/>
  <c r="F1720" i="16"/>
  <c r="I1626" i="16"/>
  <c r="F1716" i="16"/>
  <c r="I1622" i="16"/>
  <c r="I1620" i="16"/>
  <c r="F1714" i="16"/>
  <c r="F1712" i="16"/>
  <c r="I1618" i="16"/>
  <c r="I1616" i="16"/>
  <c r="F1710" i="16"/>
  <c r="F1689" i="16"/>
  <c r="I1597" i="16"/>
  <c r="I1624" i="16"/>
  <c r="F1718" i="16"/>
  <c r="F1666" i="16"/>
  <c r="I1574" i="16"/>
  <c r="F1664" i="16"/>
  <c r="I1572" i="16"/>
  <c r="I1596" i="16"/>
  <c r="F1688" i="16"/>
  <c r="F1685" i="16"/>
  <c r="I1593" i="16"/>
  <c r="F1681" i="16"/>
  <c r="I1589" i="16"/>
  <c r="F1679" i="16"/>
  <c r="I1587" i="16"/>
  <c r="F1668" i="16"/>
  <c r="I1576" i="16"/>
  <c r="F1665" i="16"/>
  <c r="I1573" i="16"/>
  <c r="F1684" i="16"/>
  <c r="I1592" i="16"/>
  <c r="F1726" i="16"/>
  <c r="F1820" i="16" s="1"/>
  <c r="I1632" i="16"/>
  <c r="F1670" i="16"/>
  <c r="I1578" i="16"/>
  <c r="I1523" i="16"/>
  <c r="F1615" i="16"/>
  <c r="I1522" i="16"/>
  <c r="F1614" i="16"/>
  <c r="F1721" i="16"/>
  <c r="I1627" i="16"/>
  <c r="F1719" i="16"/>
  <c r="I1625" i="16"/>
  <c r="F1717" i="16"/>
  <c r="I1623" i="16"/>
  <c r="F1715" i="16"/>
  <c r="I1621" i="16"/>
  <c r="F1713" i="16"/>
  <c r="I1619" i="16"/>
  <c r="F1711" i="16"/>
  <c r="I1617" i="16"/>
  <c r="I1612" i="16"/>
  <c r="F1706" i="16"/>
  <c r="F1707" i="16"/>
  <c r="I1613" i="16"/>
  <c r="F1705" i="16"/>
  <c r="I1611" i="16"/>
  <c r="F1686" i="16"/>
  <c r="I1594" i="16"/>
  <c r="I1588" i="16"/>
  <c r="F1680" i="16"/>
  <c r="F1674" i="16"/>
  <c r="I1582" i="16"/>
  <c r="F1673" i="16"/>
  <c r="I1581" i="16"/>
  <c r="F1671" i="16"/>
  <c r="I1579" i="16"/>
  <c r="F1669" i="16"/>
  <c r="I1577" i="16"/>
  <c r="G390" i="13"/>
  <c r="O539" i="1"/>
  <c r="O551" i="1"/>
  <c r="O543" i="1"/>
  <c r="O553" i="1"/>
  <c r="O944" i="1"/>
  <c r="O936" i="1"/>
  <c r="J271" i="15"/>
  <c r="I1540" i="16"/>
  <c r="F1541" i="16"/>
  <c r="I1449" i="16"/>
  <c r="I1460" i="16"/>
  <c r="F1552" i="16"/>
  <c r="F1551" i="16"/>
  <c r="I1459" i="16"/>
  <c r="F1549" i="16"/>
  <c r="I1457" i="16"/>
  <c r="F1547" i="16"/>
  <c r="I1455" i="16"/>
  <c r="F1545" i="16"/>
  <c r="I1453" i="16"/>
  <c r="I1466" i="16"/>
  <c r="F1558" i="16"/>
  <c r="I1450" i="16"/>
  <c r="F1542" i="16"/>
  <c r="I1462" i="16"/>
  <c r="F1554" i="16"/>
  <c r="I1458" i="16"/>
  <c r="F1550" i="16"/>
  <c r="I1456" i="16"/>
  <c r="F1548" i="16"/>
  <c r="I1454" i="16"/>
  <c r="F1546" i="16"/>
  <c r="I1452" i="16"/>
  <c r="F1544" i="16"/>
  <c r="F1536" i="16"/>
  <c r="I1467" i="16"/>
  <c r="F1559" i="16"/>
  <c r="F1557" i="16"/>
  <c r="I1465" i="16"/>
  <c r="F1555" i="16"/>
  <c r="I1463" i="16"/>
  <c r="F1553" i="16"/>
  <c r="I1461" i="16"/>
  <c r="F1468" i="16"/>
  <c r="J165" i="15"/>
  <c r="J168" i="15" s="1"/>
  <c r="J175" i="15" s="1"/>
  <c r="I884" i="16"/>
  <c r="I933" i="16" s="1"/>
  <c r="I941" i="16"/>
  <c r="I952" i="16" s="1"/>
  <c r="F1029" i="16"/>
  <c r="F1117" i="16" s="1"/>
  <c r="F952" i="16"/>
  <c r="F972" i="16" s="1"/>
  <c r="F1021" i="16" s="1"/>
  <c r="J285" i="13"/>
  <c r="J296" i="13" s="1"/>
  <c r="J950" i="13"/>
  <c r="M809" i="1"/>
  <c r="M910" i="1"/>
  <c r="L1029" i="1"/>
  <c r="K923" i="1"/>
  <c r="N923" i="1" s="1"/>
  <c r="G928" i="13"/>
  <c r="J928" i="13" s="1"/>
  <c r="L580" i="1"/>
  <c r="D91" i="15" s="1"/>
  <c r="E91" i="15" s="1"/>
  <c r="O574" i="1"/>
  <c r="O558" i="1"/>
  <c r="O573" i="1"/>
  <c r="O550" i="1"/>
  <c r="M844" i="1"/>
  <c r="K918" i="1"/>
  <c r="N918" i="1" s="1"/>
  <c r="L1024" i="1"/>
  <c r="G923" i="13"/>
  <c r="J923" i="13" s="1"/>
  <c r="M1025" i="1"/>
  <c r="M1044" i="1"/>
  <c r="K1044" i="1" s="1"/>
  <c r="M940" i="1"/>
  <c r="M1248" i="1"/>
  <c r="L1259" i="1"/>
  <c r="G1158" i="13"/>
  <c r="L1151" i="1"/>
  <c r="K1045" i="1"/>
  <c r="N1045" i="1" s="1"/>
  <c r="G1050" i="13"/>
  <c r="J1050" i="13" s="1"/>
  <c r="L1164" i="1"/>
  <c r="G1062" i="13"/>
  <c r="K1058" i="1"/>
  <c r="N1058" i="1" s="1"/>
  <c r="M1059" i="1"/>
  <c r="M1163" i="1"/>
  <c r="M1151" i="1"/>
  <c r="O1045" i="1"/>
  <c r="K938" i="1"/>
  <c r="L1150" i="1"/>
  <c r="G1049" i="13"/>
  <c r="L1046" i="1"/>
  <c r="M1159" i="1"/>
  <c r="K1041" i="1"/>
  <c r="N1041" i="1" s="1"/>
  <c r="L1147" i="1"/>
  <c r="G1046" i="13"/>
  <c r="J1046" i="13" s="1"/>
  <c r="L1148" i="1"/>
  <c r="G1047" i="13"/>
  <c r="J1047" i="13" s="1"/>
  <c r="K1042" i="1"/>
  <c r="N1042" i="1" s="1"/>
  <c r="L1156" i="1"/>
  <c r="G1055" i="13"/>
  <c r="J1055" i="13" s="1"/>
  <c r="K1050" i="1"/>
  <c r="N1050" i="1" s="1"/>
  <c r="L1143" i="1"/>
  <c r="K1037" i="1"/>
  <c r="N1037" i="1" s="1"/>
  <c r="G1042" i="13"/>
  <c r="J1042" i="13" s="1"/>
  <c r="G954" i="13"/>
  <c r="J951" i="13"/>
  <c r="J954" i="13" s="1"/>
  <c r="N947" i="1"/>
  <c r="L1154" i="1"/>
  <c r="G1053" i="13"/>
  <c r="J1053" i="13" s="1"/>
  <c r="K1048" i="1"/>
  <c r="N1048" i="1" s="1"/>
  <c r="N930" i="1"/>
  <c r="O930" i="1"/>
  <c r="M1143" i="1"/>
  <c r="M1144" i="1" s="1"/>
  <c r="L1266" i="1"/>
  <c r="G1164" i="13"/>
  <c r="J1164" i="13" s="1"/>
  <c r="M1164" i="1"/>
  <c r="K1057" i="1"/>
  <c r="L1163" i="1"/>
  <c r="G1061" i="13"/>
  <c r="L1059" i="1"/>
  <c r="G1063" i="13" s="1"/>
  <c r="M1047" i="1"/>
  <c r="M946" i="1"/>
  <c r="K941" i="1"/>
  <c r="O941" i="1" s="1"/>
  <c r="J938" i="13"/>
  <c r="K932" i="1"/>
  <c r="N929" i="1"/>
  <c r="O929" i="1"/>
  <c r="G937" i="13"/>
  <c r="J934" i="13"/>
  <c r="J937" i="13" s="1"/>
  <c r="M1145" i="1"/>
  <c r="M1043" i="1"/>
  <c r="M1155" i="1"/>
  <c r="M1154" i="1"/>
  <c r="M1146" i="1"/>
  <c r="O949" i="1"/>
  <c r="M1157" i="1"/>
  <c r="O935" i="1"/>
  <c r="K1049" i="1"/>
  <c r="N1049" i="1" s="1"/>
  <c r="L1155" i="1"/>
  <c r="G1054" i="13"/>
  <c r="J1054" i="13" s="1"/>
  <c r="L1027" i="1"/>
  <c r="K921" i="1"/>
  <c r="O921" i="1" s="1"/>
  <c r="G926" i="13"/>
  <c r="L924" i="1"/>
  <c r="L1023" i="1"/>
  <c r="G922" i="13"/>
  <c r="K917" i="1"/>
  <c r="L920" i="1"/>
  <c r="L925" i="1" s="1"/>
  <c r="O923" i="1"/>
  <c r="M1029" i="1"/>
  <c r="M924" i="1"/>
  <c r="M1027" i="1"/>
  <c r="K922" i="1"/>
  <c r="N922" i="1" s="1"/>
  <c r="L1028" i="1"/>
  <c r="G927" i="13"/>
  <c r="J927" i="13" s="1"/>
  <c r="L1025" i="1"/>
  <c r="K919" i="1"/>
  <c r="N919" i="1" s="1"/>
  <c r="G924" i="13"/>
  <c r="J924" i="13" s="1"/>
  <c r="M1018" i="1"/>
  <c r="M920" i="1"/>
  <c r="M1023" i="1"/>
  <c r="L1051" i="1"/>
  <c r="K945" i="1"/>
  <c r="M1028" i="1"/>
  <c r="O922" i="1"/>
  <c r="M1024" i="1"/>
  <c r="M1054" i="1"/>
  <c r="K948" i="1"/>
  <c r="N948" i="1" s="1"/>
  <c r="L1020" i="1"/>
  <c r="G919" i="13"/>
  <c r="J919" i="13" s="1"/>
  <c r="K914" i="1"/>
  <c r="J1052" i="13"/>
  <c r="M1038" i="1"/>
  <c r="M1247" i="1"/>
  <c r="O939" i="1"/>
  <c r="G945" i="13"/>
  <c r="J943" i="13"/>
  <c r="J945" i="13" s="1"/>
  <c r="O947" i="1"/>
  <c r="M950" i="1"/>
  <c r="M1156" i="1"/>
  <c r="M1148" i="1"/>
  <c r="L1161" i="1"/>
  <c r="K1055" i="1"/>
  <c r="N1055" i="1" s="1"/>
  <c r="G1059" i="13"/>
  <c r="J1059" i="13" s="1"/>
  <c r="L1159" i="1"/>
  <c r="G1057" i="13"/>
  <c r="K1053" i="1"/>
  <c r="N1053" i="1" s="1"/>
  <c r="L1056" i="1"/>
  <c r="K1036" i="1"/>
  <c r="L1142" i="1"/>
  <c r="G1041" i="13"/>
  <c r="J1041" i="13" s="1"/>
  <c r="L1040" i="1"/>
  <c r="L1043" i="1" s="1"/>
  <c r="G939" i="13"/>
  <c r="J939" i="13" s="1"/>
  <c r="K934" i="1"/>
  <c r="K937" i="1" s="1"/>
  <c r="N937" i="1" s="1"/>
  <c r="O931" i="1"/>
  <c r="G950" i="13"/>
  <c r="O952" i="1"/>
  <c r="N951" i="1"/>
  <c r="K953" i="1"/>
  <c r="N953" i="1" s="1"/>
  <c r="N933" i="1"/>
  <c r="L1145" i="1"/>
  <c r="G1044" i="13"/>
  <c r="K1039" i="1"/>
  <c r="O1039" i="1" s="1"/>
  <c r="L954" i="1"/>
  <c r="L955" i="1" s="1"/>
  <c r="D142" i="15" s="1"/>
  <c r="L1038" i="1"/>
  <c r="L1141" i="1"/>
  <c r="G1040" i="13"/>
  <c r="K1035" i="1"/>
  <c r="M1126" i="1"/>
  <c r="O933" i="1"/>
  <c r="O943" i="1"/>
  <c r="O942" i="1"/>
  <c r="M1161" i="1"/>
  <c r="M1125" i="1"/>
  <c r="K1019" i="1"/>
  <c r="N1019" i="1" s="1"/>
  <c r="M1147" i="1"/>
  <c r="J150" i="15"/>
  <c r="J153" i="15" s="1"/>
  <c r="J160" i="15" s="1"/>
  <c r="I796" i="16"/>
  <c r="I845" i="16" s="1"/>
  <c r="I689" i="16"/>
  <c r="I690" i="16" s="1"/>
  <c r="F690" i="16"/>
  <c r="F710" i="16" s="1"/>
  <c r="F757" i="16" s="1"/>
  <c r="O846" i="1"/>
  <c r="O833" i="1"/>
  <c r="O707" i="1"/>
  <c r="G496" i="13"/>
  <c r="L713" i="1"/>
  <c r="L565" i="1"/>
  <c r="D90" i="15" s="1"/>
  <c r="O568" i="1"/>
  <c r="O552" i="1"/>
  <c r="O544" i="1"/>
  <c r="O536" i="1"/>
  <c r="O462" i="1"/>
  <c r="O453" i="1"/>
  <c r="O491" i="1"/>
  <c r="O369" i="1"/>
  <c r="O451" i="1"/>
  <c r="O838" i="1"/>
  <c r="J844" i="13"/>
  <c r="O583" i="1"/>
  <c r="O538" i="1"/>
  <c r="G746" i="13"/>
  <c r="G747" i="13" s="1"/>
  <c r="F112" i="15" s="1"/>
  <c r="F114" i="15" s="1"/>
  <c r="K636" i="1"/>
  <c r="O636" i="1" s="1"/>
  <c r="O637" i="1" s="1"/>
  <c r="O807" i="1"/>
  <c r="O825" i="1"/>
  <c r="O577" i="1"/>
  <c r="N845" i="1"/>
  <c r="K847" i="1"/>
  <c r="N847" i="1" s="1"/>
  <c r="O845" i="1"/>
  <c r="N726" i="1"/>
  <c r="K728" i="1"/>
  <c r="N728" i="1" s="1"/>
  <c r="G647" i="13"/>
  <c r="J647" i="13" s="1"/>
  <c r="L748" i="1"/>
  <c r="L854" i="1" s="1"/>
  <c r="K642" i="1"/>
  <c r="N642" i="1" s="1"/>
  <c r="O728" i="1"/>
  <c r="M834" i="1"/>
  <c r="O741" i="1"/>
  <c r="K832" i="1"/>
  <c r="O832" i="1" s="1"/>
  <c r="G839" i="13"/>
  <c r="J837" i="13"/>
  <c r="J839" i="13" s="1"/>
  <c r="M748" i="1"/>
  <c r="M854" i="1" s="1"/>
  <c r="D112" i="15"/>
  <c r="L743" i="1"/>
  <c r="K712" i="1"/>
  <c r="N712" i="1" s="1"/>
  <c r="N709" i="1"/>
  <c r="L818" i="1"/>
  <c r="G820" i="13"/>
  <c r="K815" i="1"/>
  <c r="O815" i="1" s="1"/>
  <c r="G816" i="13"/>
  <c r="L814" i="1"/>
  <c r="L819" i="1" s="1"/>
  <c r="K811" i="1"/>
  <c r="L806" i="1"/>
  <c r="L912" i="1" s="1"/>
  <c r="K700" i="1"/>
  <c r="G705" i="13"/>
  <c r="J705" i="13" s="1"/>
  <c r="O843" i="1"/>
  <c r="O566" i="1"/>
  <c r="K570" i="1"/>
  <c r="N566" i="1"/>
  <c r="G575" i="13"/>
  <c r="J571" i="13"/>
  <c r="J575" i="13" s="1"/>
  <c r="N541" i="1"/>
  <c r="K548" i="1"/>
  <c r="N548" i="1" s="1"/>
  <c r="G596" i="13"/>
  <c r="J587" i="13"/>
  <c r="J596" i="13" s="1"/>
  <c r="N549" i="1"/>
  <c r="K556" i="1"/>
  <c r="N556" i="1" s="1"/>
  <c r="G561" i="13"/>
  <c r="J554" i="13"/>
  <c r="J561" i="13" s="1"/>
  <c r="L795" i="1"/>
  <c r="L901" i="1" s="1"/>
  <c r="G694" i="13"/>
  <c r="J694" i="13" s="1"/>
  <c r="K689" i="1"/>
  <c r="N689" i="1" s="1"/>
  <c r="K681" i="1"/>
  <c r="N681" i="1" s="1"/>
  <c r="L787" i="1"/>
  <c r="L893" i="1" s="1"/>
  <c r="G686" i="13"/>
  <c r="J686" i="13" s="1"/>
  <c r="M774" i="1"/>
  <c r="M880" i="1" s="1"/>
  <c r="K668" i="1"/>
  <c r="N668" i="1" s="1"/>
  <c r="L774" i="1"/>
  <c r="L880" i="1" s="1"/>
  <c r="G673" i="13"/>
  <c r="J673" i="13" s="1"/>
  <c r="K684" i="1"/>
  <c r="N684" i="1" s="1"/>
  <c r="L790" i="1"/>
  <c r="L896" i="1" s="1"/>
  <c r="G689" i="13"/>
  <c r="J689" i="13" s="1"/>
  <c r="M780" i="1"/>
  <c r="M886" i="1" s="1"/>
  <c r="M771" i="1"/>
  <c r="M877" i="1" s="1"/>
  <c r="L771" i="1"/>
  <c r="L877" i="1" s="1"/>
  <c r="G670" i="13"/>
  <c r="J670" i="13" s="1"/>
  <c r="K665" i="1"/>
  <c r="N665" i="1" s="1"/>
  <c r="J542" i="13"/>
  <c r="J545" i="13" s="1"/>
  <c r="G545" i="13"/>
  <c r="L801" i="1"/>
  <c r="L907" i="1" s="1"/>
  <c r="G700" i="13"/>
  <c r="J700" i="13" s="1"/>
  <c r="K695" i="1"/>
  <c r="O695" i="1" s="1"/>
  <c r="M790" i="1"/>
  <c r="M896" i="1" s="1"/>
  <c r="K674" i="1"/>
  <c r="N674" i="1" s="1"/>
  <c r="L780" i="1"/>
  <c r="L886" i="1" s="1"/>
  <c r="G679" i="13"/>
  <c r="J679" i="13" s="1"/>
  <c r="K660" i="1"/>
  <c r="N660" i="1" s="1"/>
  <c r="L766" i="1"/>
  <c r="L872" i="1" s="1"/>
  <c r="G665" i="13"/>
  <c r="J665" i="13" s="1"/>
  <c r="M749" i="1"/>
  <c r="M855" i="1" s="1"/>
  <c r="M646" i="1"/>
  <c r="M751" i="1"/>
  <c r="M857" i="1" s="1"/>
  <c r="L796" i="1"/>
  <c r="L902" i="1" s="1"/>
  <c r="G695" i="13"/>
  <c r="J695" i="13" s="1"/>
  <c r="K690" i="1"/>
  <c r="O690" i="1" s="1"/>
  <c r="M787" i="1"/>
  <c r="M893" i="1" s="1"/>
  <c r="K682" i="1"/>
  <c r="N682" i="1" s="1"/>
  <c r="L788" i="1"/>
  <c r="L894" i="1" s="1"/>
  <c r="G687" i="13"/>
  <c r="J687" i="13" s="1"/>
  <c r="M775" i="1"/>
  <c r="M881" i="1" s="1"/>
  <c r="K669" i="1"/>
  <c r="N669" i="1" s="1"/>
  <c r="L775" i="1"/>
  <c r="L881" i="1" s="1"/>
  <c r="G674" i="13"/>
  <c r="J674" i="13" s="1"/>
  <c r="K659" i="1"/>
  <c r="N659" i="1" s="1"/>
  <c r="L765" i="1"/>
  <c r="L871" i="1" s="1"/>
  <c r="G664" i="13"/>
  <c r="J664" i="13" s="1"/>
  <c r="L759" i="1"/>
  <c r="L865" i="1" s="1"/>
  <c r="G658" i="13"/>
  <c r="J658" i="13" s="1"/>
  <c r="K653" i="1"/>
  <c r="N653" i="1" s="1"/>
  <c r="G818" i="13"/>
  <c r="J818" i="13" s="1"/>
  <c r="K813" i="1"/>
  <c r="N813" i="1" s="1"/>
  <c r="J612" i="13"/>
  <c r="O811" i="1"/>
  <c r="M814" i="1"/>
  <c r="N827" i="1"/>
  <c r="K831" i="1"/>
  <c r="N831" i="1" s="1"/>
  <c r="N823" i="1"/>
  <c r="K826" i="1"/>
  <c r="O823" i="1"/>
  <c r="N733" i="1"/>
  <c r="O733" i="1"/>
  <c r="O831" i="1"/>
  <c r="K812" i="1"/>
  <c r="N812" i="1" s="1"/>
  <c r="G817" i="13"/>
  <c r="J817" i="13" s="1"/>
  <c r="O706" i="1"/>
  <c r="K842" i="1"/>
  <c r="N842" i="1" s="1"/>
  <c r="N841" i="1"/>
  <c r="K738" i="1"/>
  <c r="N738" i="1" s="1"/>
  <c r="N824" i="1"/>
  <c r="O824" i="1"/>
  <c r="G813" i="13"/>
  <c r="J813" i="13" s="1"/>
  <c r="K808" i="1"/>
  <c r="M598" i="1"/>
  <c r="M697" i="1"/>
  <c r="M794" i="1"/>
  <c r="M900" i="1" s="1"/>
  <c r="M666" i="1"/>
  <c r="M769" i="1"/>
  <c r="M875" i="1" s="1"/>
  <c r="N592" i="1"/>
  <c r="K597" i="1"/>
  <c r="O592" i="1"/>
  <c r="G703" i="13"/>
  <c r="L804" i="1"/>
  <c r="L910" i="1" s="1"/>
  <c r="K698" i="1"/>
  <c r="L703" i="1"/>
  <c r="G584" i="13"/>
  <c r="J576" i="13"/>
  <c r="J584" i="13" s="1"/>
  <c r="K677" i="1"/>
  <c r="L783" i="1"/>
  <c r="L889" i="1" s="1"/>
  <c r="G682" i="13"/>
  <c r="L685" i="1"/>
  <c r="G569" i="13"/>
  <c r="J566" i="13"/>
  <c r="J569" i="13" s="1"/>
  <c r="G565" i="13"/>
  <c r="J562" i="13"/>
  <c r="J565" i="13" s="1"/>
  <c r="L769" i="1"/>
  <c r="L875" i="1" s="1"/>
  <c r="G668" i="13"/>
  <c r="K663" i="1"/>
  <c r="L666" i="1"/>
  <c r="M685" i="1"/>
  <c r="M783" i="1"/>
  <c r="M889" i="1" s="1"/>
  <c r="O677" i="1"/>
  <c r="M676" i="1"/>
  <c r="M778" i="1"/>
  <c r="M884" i="1" s="1"/>
  <c r="L799" i="1"/>
  <c r="L905" i="1" s="1"/>
  <c r="G698" i="13"/>
  <c r="J698" i="13" s="1"/>
  <c r="K693" i="1"/>
  <c r="O693" i="1" s="1"/>
  <c r="M788" i="1"/>
  <c r="M894" i="1" s="1"/>
  <c r="M781" i="1"/>
  <c r="M887" i="1" s="1"/>
  <c r="K664" i="1"/>
  <c r="N664" i="1" s="1"/>
  <c r="L770" i="1"/>
  <c r="L876" i="1" s="1"/>
  <c r="G669" i="13"/>
  <c r="J669" i="13" s="1"/>
  <c r="G701" i="13"/>
  <c r="J701" i="13" s="1"/>
  <c r="L802" i="1"/>
  <c r="L908" i="1" s="1"/>
  <c r="K696" i="1"/>
  <c r="N696" i="1" s="1"/>
  <c r="M789" i="1"/>
  <c r="M895" i="1" s="1"/>
  <c r="K675" i="1"/>
  <c r="N675" i="1" s="1"/>
  <c r="L781" i="1"/>
  <c r="L887" i="1" s="1"/>
  <c r="G680" i="13"/>
  <c r="J680" i="13" s="1"/>
  <c r="M759" i="1"/>
  <c r="M865" i="1" s="1"/>
  <c r="M799" i="1"/>
  <c r="M905" i="1" s="1"/>
  <c r="O572" i="1"/>
  <c r="K679" i="1"/>
  <c r="N679" i="1" s="1"/>
  <c r="L785" i="1"/>
  <c r="L891" i="1" s="1"/>
  <c r="G684" i="13"/>
  <c r="J684" i="13" s="1"/>
  <c r="K683" i="1"/>
  <c r="N683" i="1" s="1"/>
  <c r="L789" i="1"/>
  <c r="L895" i="1" s="1"/>
  <c r="G688" i="13"/>
  <c r="J688" i="13" s="1"/>
  <c r="O567" i="1"/>
  <c r="O554" i="1"/>
  <c r="K656" i="1"/>
  <c r="N656" i="1" s="1"/>
  <c r="L762" i="1"/>
  <c r="L868" i="1" s="1"/>
  <c r="G661" i="13"/>
  <c r="J661" i="13" s="1"/>
  <c r="M754" i="1"/>
  <c r="M860" i="1" s="1"/>
  <c r="M758" i="1"/>
  <c r="M864" i="1" s="1"/>
  <c r="M798" i="1"/>
  <c r="M904" i="1" s="1"/>
  <c r="M802" i="1"/>
  <c r="M908" i="1" s="1"/>
  <c r="L763" i="1"/>
  <c r="L869" i="1" s="1"/>
  <c r="G662" i="13"/>
  <c r="J662" i="13" s="1"/>
  <c r="K657" i="1"/>
  <c r="N657" i="1" s="1"/>
  <c r="M757" i="1"/>
  <c r="M863" i="1" s="1"/>
  <c r="J220" i="13"/>
  <c r="L492" i="1"/>
  <c r="L503" i="1" s="1"/>
  <c r="L504" i="1" s="1"/>
  <c r="D79" i="15" s="1"/>
  <c r="D81" i="15" s="1"/>
  <c r="E81" i="15" s="1"/>
  <c r="J496" i="13"/>
  <c r="J401" i="13"/>
  <c r="J402" i="13" s="1"/>
  <c r="O476" i="1"/>
  <c r="O435" i="1"/>
  <c r="G822" i="13"/>
  <c r="J822" i="13" s="1"/>
  <c r="K817" i="1"/>
  <c r="N817" i="1" s="1"/>
  <c r="G717" i="13"/>
  <c r="J714" i="13"/>
  <c r="J717" i="13" s="1"/>
  <c r="K708" i="1"/>
  <c r="N705" i="1"/>
  <c r="G713" i="13"/>
  <c r="G718" i="13" s="1"/>
  <c r="J710" i="13"/>
  <c r="J713" i="13" s="1"/>
  <c r="J718" i="13" s="1"/>
  <c r="N720" i="1"/>
  <c r="O720" i="1"/>
  <c r="O725" i="1"/>
  <c r="O711" i="1"/>
  <c r="N594" i="1"/>
  <c r="O594" i="1"/>
  <c r="O709" i="1"/>
  <c r="M818" i="1"/>
  <c r="K816" i="1"/>
  <c r="N816" i="1" s="1"/>
  <c r="G821" i="13"/>
  <c r="J821" i="13" s="1"/>
  <c r="O837" i="1"/>
  <c r="K734" i="1"/>
  <c r="G844" i="13"/>
  <c r="M773" i="1"/>
  <c r="M879" i="1" s="1"/>
  <c r="M670" i="1"/>
  <c r="L778" i="1"/>
  <c r="L884" i="1" s="1"/>
  <c r="G677" i="13"/>
  <c r="L676" i="1"/>
  <c r="K672" i="1"/>
  <c r="J546" i="13"/>
  <c r="J553" i="13" s="1"/>
  <c r="G553" i="13"/>
  <c r="L753" i="1"/>
  <c r="L859" i="1" s="1"/>
  <c r="K647" i="1"/>
  <c r="O647" i="1" s="1"/>
  <c r="G652" i="13"/>
  <c r="L654" i="1"/>
  <c r="O541" i="1"/>
  <c r="M753" i="1"/>
  <c r="M859" i="1" s="1"/>
  <c r="M654" i="1"/>
  <c r="N582" i="1"/>
  <c r="K591" i="1"/>
  <c r="L794" i="1"/>
  <c r="L900" i="1" s="1"/>
  <c r="G693" i="13"/>
  <c r="K688" i="1"/>
  <c r="O688" i="1" s="1"/>
  <c r="L697" i="1"/>
  <c r="K655" i="1"/>
  <c r="O655" i="1" s="1"/>
  <c r="L761" i="1"/>
  <c r="L867" i="1" s="1"/>
  <c r="G660" i="13"/>
  <c r="L662" i="1"/>
  <c r="M795" i="1"/>
  <c r="M901" i="1" s="1"/>
  <c r="M797" i="1"/>
  <c r="M903" i="1" s="1"/>
  <c r="M786" i="1"/>
  <c r="M892" i="1" s="1"/>
  <c r="M770" i="1"/>
  <c r="M876" i="1" s="1"/>
  <c r="L758" i="1"/>
  <c r="L864" i="1" s="1"/>
  <c r="G657" i="13"/>
  <c r="J657" i="13" s="1"/>
  <c r="K652" i="1"/>
  <c r="N652" i="1" s="1"/>
  <c r="L798" i="1"/>
  <c r="L904" i="1" s="1"/>
  <c r="G697" i="13"/>
  <c r="J697" i="13" s="1"/>
  <c r="K692" i="1"/>
  <c r="O692" i="1" s="1"/>
  <c r="M785" i="1"/>
  <c r="M891" i="1" s="1"/>
  <c r="M765" i="1"/>
  <c r="M871" i="1" s="1"/>
  <c r="N537" i="1"/>
  <c r="K540" i="1"/>
  <c r="O540" i="1" s="1"/>
  <c r="G648" i="13"/>
  <c r="L749" i="1"/>
  <c r="L855" i="1" s="1"/>
  <c r="K643" i="1"/>
  <c r="L646" i="1"/>
  <c r="M801" i="1"/>
  <c r="M907" i="1" s="1"/>
  <c r="O578" i="1"/>
  <c r="M762" i="1"/>
  <c r="M868" i="1" s="1"/>
  <c r="M764" i="1"/>
  <c r="M870" i="1" s="1"/>
  <c r="L756" i="1"/>
  <c r="L862" i="1" s="1"/>
  <c r="G655" i="13"/>
  <c r="J655" i="13" s="1"/>
  <c r="K650" i="1"/>
  <c r="N650" i="1" s="1"/>
  <c r="M565" i="1"/>
  <c r="L750" i="1"/>
  <c r="L856" i="1" s="1"/>
  <c r="G649" i="13"/>
  <c r="J649" i="13" s="1"/>
  <c r="K644" i="1"/>
  <c r="N644" i="1" s="1"/>
  <c r="M796" i="1"/>
  <c r="M902" i="1" s="1"/>
  <c r="M800" i="1"/>
  <c r="M906" i="1" s="1"/>
  <c r="O575" i="1"/>
  <c r="K678" i="1"/>
  <c r="N678" i="1" s="1"/>
  <c r="L784" i="1"/>
  <c r="L890" i="1" s="1"/>
  <c r="G683" i="13"/>
  <c r="J683" i="13" s="1"/>
  <c r="M763" i="1"/>
  <c r="M869" i="1" s="1"/>
  <c r="M755" i="1"/>
  <c r="M861" i="1" s="1"/>
  <c r="M750" i="1"/>
  <c r="M856" i="1" s="1"/>
  <c r="O644" i="1"/>
  <c r="N602" i="1"/>
  <c r="K607" i="1"/>
  <c r="N607" i="1" s="1"/>
  <c r="G612" i="13"/>
  <c r="M713" i="1"/>
  <c r="O841" i="1"/>
  <c r="M742" i="1"/>
  <c r="G836" i="13"/>
  <c r="J832" i="13"/>
  <c r="J836" i="13" s="1"/>
  <c r="J746" i="13"/>
  <c r="J747" i="13" s="1"/>
  <c r="I112" i="15" s="1"/>
  <c r="I114" i="15" s="1"/>
  <c r="G831" i="13"/>
  <c r="J828" i="13"/>
  <c r="J831" i="13" s="1"/>
  <c r="K839" i="1"/>
  <c r="K840" i="1" s="1"/>
  <c r="N840" i="1" s="1"/>
  <c r="L840" i="1"/>
  <c r="L848" i="1" s="1"/>
  <c r="O827" i="1"/>
  <c r="O710" i="1"/>
  <c r="O606" i="1"/>
  <c r="O736" i="1"/>
  <c r="O830" i="1"/>
  <c r="G848" i="13"/>
  <c r="J845" i="13"/>
  <c r="J848" i="13" s="1"/>
  <c r="O828" i="1"/>
  <c r="O829" i="1"/>
  <c r="N702" i="1"/>
  <c r="O702" i="1"/>
  <c r="O582" i="1"/>
  <c r="L598" i="1"/>
  <c r="L609" i="1" s="1"/>
  <c r="L610" i="1" s="1"/>
  <c r="D94" i="15" s="1"/>
  <c r="G602" i="13"/>
  <c r="J597" i="13"/>
  <c r="J602" i="13" s="1"/>
  <c r="O571" i="1"/>
  <c r="K579" i="1"/>
  <c r="N579" i="1" s="1"/>
  <c r="N571" i="1"/>
  <c r="K564" i="1"/>
  <c r="N564" i="1" s="1"/>
  <c r="N561" i="1"/>
  <c r="K667" i="1"/>
  <c r="L773" i="1"/>
  <c r="L879" i="1" s="1"/>
  <c r="G672" i="13"/>
  <c r="L670" i="1"/>
  <c r="O557" i="1"/>
  <c r="K560" i="1"/>
  <c r="N560" i="1" s="1"/>
  <c r="N557" i="1"/>
  <c r="M580" i="1"/>
  <c r="O549" i="1"/>
  <c r="M761" i="1"/>
  <c r="M867" i="1" s="1"/>
  <c r="M662" i="1"/>
  <c r="O576" i="1"/>
  <c r="M756" i="1"/>
  <c r="M862" i="1" s="1"/>
  <c r="K680" i="1"/>
  <c r="N680" i="1" s="1"/>
  <c r="L786" i="1"/>
  <c r="L892" i="1" s="1"/>
  <c r="G685" i="13"/>
  <c r="J685" i="13" s="1"/>
  <c r="L779" i="1"/>
  <c r="L885" i="1" s="1"/>
  <c r="G678" i="13"/>
  <c r="J678" i="13" s="1"/>
  <c r="K673" i="1"/>
  <c r="N673" i="1" s="1"/>
  <c r="M767" i="1"/>
  <c r="M873" i="1" s="1"/>
  <c r="L757" i="1"/>
  <c r="L863" i="1" s="1"/>
  <c r="G656" i="13"/>
  <c r="J656" i="13" s="1"/>
  <c r="K651" i="1"/>
  <c r="N651" i="1" s="1"/>
  <c r="O547" i="1"/>
  <c r="L797" i="1"/>
  <c r="L903" i="1" s="1"/>
  <c r="G696" i="13"/>
  <c r="J696" i="13" s="1"/>
  <c r="K691" i="1"/>
  <c r="O691" i="1" s="1"/>
  <c r="M784" i="1"/>
  <c r="M890" i="1" s="1"/>
  <c r="M779" i="1"/>
  <c r="M885" i="1" s="1"/>
  <c r="M766" i="1"/>
  <c r="M872" i="1" s="1"/>
  <c r="L764" i="1"/>
  <c r="L870" i="1" s="1"/>
  <c r="G663" i="13"/>
  <c r="J663" i="13" s="1"/>
  <c r="K658" i="1"/>
  <c r="N658" i="1" s="1"/>
  <c r="G653" i="13"/>
  <c r="J653" i="13" s="1"/>
  <c r="L754" i="1"/>
  <c r="L860" i="1" s="1"/>
  <c r="K648" i="1"/>
  <c r="N648" i="1" s="1"/>
  <c r="O542" i="1"/>
  <c r="O546" i="1"/>
  <c r="O590" i="1"/>
  <c r="L800" i="1"/>
  <c r="L906" i="1" s="1"/>
  <c r="G699" i="13"/>
  <c r="J699" i="13" s="1"/>
  <c r="K694" i="1"/>
  <c r="O694" i="1" s="1"/>
  <c r="L767" i="1"/>
  <c r="L873" i="1" s="1"/>
  <c r="G666" i="13"/>
  <c r="J666" i="13" s="1"/>
  <c r="K661" i="1"/>
  <c r="N661" i="1" s="1"/>
  <c r="L755" i="1"/>
  <c r="L861" i="1" s="1"/>
  <c r="G654" i="13"/>
  <c r="J654" i="13" s="1"/>
  <c r="K649" i="1"/>
  <c r="N649" i="1" s="1"/>
  <c r="O545" i="1"/>
  <c r="L751" i="1"/>
  <c r="L857" i="1" s="1"/>
  <c r="G650" i="13"/>
  <c r="J650" i="13" s="1"/>
  <c r="K645" i="1"/>
  <c r="N645" i="1" s="1"/>
  <c r="O395" i="1"/>
  <c r="O460" i="1"/>
  <c r="I114" i="1"/>
  <c r="O467" i="1"/>
  <c r="O446" i="1"/>
  <c r="O465" i="1"/>
  <c r="O430" i="1"/>
  <c r="N486" i="1"/>
  <c r="O486" i="1"/>
  <c r="I40" i="15"/>
  <c r="G285" i="13"/>
  <c r="G296" i="13" s="1"/>
  <c r="G297" i="13" s="1"/>
  <c r="F49" i="15" s="1"/>
  <c r="F51" i="15" s="1"/>
  <c r="O350" i="1"/>
  <c r="O471" i="1"/>
  <c r="J506" i="13"/>
  <c r="O449" i="1"/>
  <c r="O346" i="1"/>
  <c r="O469" i="1"/>
  <c r="J359" i="13"/>
  <c r="G401" i="13"/>
  <c r="G402" i="13" s="1"/>
  <c r="I60" i="15"/>
  <c r="J482" i="13"/>
  <c r="J490" i="13" s="1"/>
  <c r="G490" i="13"/>
  <c r="J461" i="13"/>
  <c r="J463" i="13" s="1"/>
  <c r="G463" i="13"/>
  <c r="J457" i="13"/>
  <c r="J459" i="13" s="1"/>
  <c r="G459" i="13"/>
  <c r="J466" i="13"/>
  <c r="J469" i="13" s="1"/>
  <c r="G469" i="13"/>
  <c r="N360" i="1"/>
  <c r="K370" i="1"/>
  <c r="N370" i="1" s="1"/>
  <c r="M459" i="1"/>
  <c r="O432" i="1"/>
  <c r="M397" i="1"/>
  <c r="O354" i="1"/>
  <c r="J374" i="13"/>
  <c r="I61" i="15" s="1"/>
  <c r="L459" i="1"/>
  <c r="J436" i="13"/>
  <c r="J439" i="13" s="1"/>
  <c r="G439" i="13"/>
  <c r="M474" i="1"/>
  <c r="O360" i="1"/>
  <c r="O448" i="1"/>
  <c r="J449" i="13"/>
  <c r="J455" i="13" s="1"/>
  <c r="G455" i="13"/>
  <c r="J441" i="13"/>
  <c r="J447" i="13" s="1"/>
  <c r="G447" i="13"/>
  <c r="E60" i="15"/>
  <c r="D63" i="15"/>
  <c r="N466" i="1"/>
  <c r="K473" i="1"/>
  <c r="N473" i="1" s="1"/>
  <c r="O457" i="1"/>
  <c r="O439" i="1"/>
  <c r="K501" i="1"/>
  <c r="N501" i="1" s="1"/>
  <c r="N496" i="1"/>
  <c r="O281" i="1"/>
  <c r="M492" i="1"/>
  <c r="N477" i="1"/>
  <c r="K485" i="1"/>
  <c r="D64" i="15"/>
  <c r="L398" i="1"/>
  <c r="O470" i="1"/>
  <c r="N456" i="1"/>
  <c r="K458" i="1"/>
  <c r="N458" i="1" s="1"/>
  <c r="N452" i="1"/>
  <c r="K454" i="1"/>
  <c r="N454" i="1" s="1"/>
  <c r="N461" i="1"/>
  <c r="K464" i="1"/>
  <c r="O496" i="1"/>
  <c r="G359" i="13"/>
  <c r="O338" i="1"/>
  <c r="N530" i="1"/>
  <c r="N531" i="1" s="1"/>
  <c r="K531" i="1"/>
  <c r="G506" i="13"/>
  <c r="N381" i="1"/>
  <c r="K386" i="1"/>
  <c r="O386" i="1" s="1"/>
  <c r="O463" i="1"/>
  <c r="O438" i="1"/>
  <c r="G374" i="13"/>
  <c r="F61" i="15" s="1"/>
  <c r="O447" i="1"/>
  <c r="O441" i="1"/>
  <c r="N431" i="1"/>
  <c r="K434" i="1"/>
  <c r="K355" i="1"/>
  <c r="N330" i="1"/>
  <c r="O466" i="1"/>
  <c r="O472" i="1"/>
  <c r="O461" i="1"/>
  <c r="N444" i="1"/>
  <c r="K450" i="1"/>
  <c r="N450" i="1" s="1"/>
  <c r="N436" i="1"/>
  <c r="K442" i="1"/>
  <c r="N442" i="1" s="1"/>
  <c r="L371" i="1"/>
  <c r="O440" i="1"/>
  <c r="M371" i="1"/>
  <c r="O484" i="1"/>
  <c r="L474" i="1"/>
  <c r="D76" i="15" s="1"/>
  <c r="E76" i="15" s="1"/>
  <c r="J471" i="13"/>
  <c r="J478" i="13" s="1"/>
  <c r="G478" i="13"/>
  <c r="O445" i="1"/>
  <c r="O437" i="1"/>
  <c r="N268" i="17"/>
  <c r="N250" i="17"/>
  <c r="L129" i="17"/>
  <c r="N128" i="17"/>
  <c r="N277" i="17"/>
  <c r="H85" i="15"/>
  <c r="N311" i="17"/>
  <c r="J312" i="17"/>
  <c r="M312" i="17" s="1"/>
  <c r="M311" i="17"/>
  <c r="G269" i="13"/>
  <c r="F46" i="15" s="1"/>
  <c r="O234" i="1"/>
  <c r="N226" i="1"/>
  <c r="K251" i="1"/>
  <c r="O251" i="1" s="1"/>
  <c r="N277" i="1"/>
  <c r="K282" i="1"/>
  <c r="O282" i="1" s="1"/>
  <c r="F30" i="15"/>
  <c r="F33" i="15" s="1"/>
  <c r="F40" i="15" s="1"/>
  <c r="G165" i="13"/>
  <c r="G220" i="13" s="1"/>
  <c r="M267" i="1"/>
  <c r="D51" i="15"/>
  <c r="E51" i="15" s="1"/>
  <c r="E49" i="15"/>
  <c r="M293" i="1"/>
  <c r="O265" i="1"/>
  <c r="M218" i="1"/>
  <c r="G254" i="13"/>
  <c r="O246" i="1"/>
  <c r="N256" i="1"/>
  <c r="K266" i="1"/>
  <c r="N266" i="1" s="1"/>
  <c r="K189" i="1"/>
  <c r="N178" i="1"/>
  <c r="O256" i="1"/>
  <c r="O250" i="1"/>
  <c r="D33" i="15"/>
  <c r="E30" i="15"/>
  <c r="O226" i="1"/>
  <c r="O291" i="1"/>
  <c r="J269" i="13"/>
  <c r="I46" i="15" s="1"/>
  <c r="N147" i="1"/>
  <c r="K163" i="1"/>
  <c r="O277" i="1"/>
  <c r="D45" i="15"/>
  <c r="L267" i="1"/>
  <c r="L322" i="1" s="1"/>
  <c r="O147" i="1"/>
  <c r="J254" i="13"/>
  <c r="J84" i="13"/>
  <c r="J86" i="13" s="1"/>
  <c r="J87" i="13" s="1"/>
  <c r="I19" i="15" s="1"/>
  <c r="I60" i="13"/>
  <c r="O42" i="1"/>
  <c r="F86" i="13"/>
  <c r="F87" i="13" s="1"/>
  <c r="J59" i="13"/>
  <c r="I16" i="15" s="1"/>
  <c r="O24" i="1"/>
  <c r="K26" i="1"/>
  <c r="N26" i="1" s="1"/>
  <c r="O104" i="1"/>
  <c r="O82" i="1"/>
  <c r="O57" i="1"/>
  <c r="F60" i="13"/>
  <c r="J44" i="13"/>
  <c r="I15" i="15" s="1"/>
  <c r="I86" i="13"/>
  <c r="I87" i="13" s="1"/>
  <c r="I115" i="13" s="1"/>
  <c r="G44" i="13"/>
  <c r="F15" i="15" s="1"/>
  <c r="G59" i="13"/>
  <c r="F16" i="15" s="1"/>
  <c r="G113" i="13"/>
  <c r="G114" i="13" s="1"/>
  <c r="F22" i="15" s="1"/>
  <c r="G84" i="13"/>
  <c r="G86" i="13" s="1"/>
  <c r="G87" i="13" s="1"/>
  <c r="F19" i="15" s="1"/>
  <c r="Q28" i="17"/>
  <c r="Q70" i="17" s="1"/>
  <c r="L59" i="1"/>
  <c r="L114" i="1" s="1"/>
  <c r="M68" i="17"/>
  <c r="N68" i="17"/>
  <c r="F70" i="17"/>
  <c r="I70" i="17" s="1"/>
  <c r="J28" i="17"/>
  <c r="M28" i="17" s="1"/>
  <c r="M19" i="17"/>
  <c r="N19" i="17"/>
  <c r="N27" i="17"/>
  <c r="L70" i="17"/>
  <c r="M36" i="17"/>
  <c r="J37" i="17"/>
  <c r="N36" i="17"/>
  <c r="M113" i="1"/>
  <c r="K58" i="1"/>
  <c r="N58" i="1" s="1"/>
  <c r="N48" i="1"/>
  <c r="N34" i="1"/>
  <c r="O34" i="1"/>
  <c r="N18" i="1"/>
  <c r="M43" i="1"/>
  <c r="K112" i="1"/>
  <c r="N90" i="1"/>
  <c r="O48" i="1"/>
  <c r="M85" i="1"/>
  <c r="N98" i="1"/>
  <c r="O98" i="1"/>
  <c r="N38" i="1"/>
  <c r="O38" i="1"/>
  <c r="O18" i="1"/>
  <c r="K83" i="1"/>
  <c r="N78" i="1"/>
  <c r="O78" i="1"/>
  <c r="O95" i="1"/>
  <c r="G85" i="1"/>
  <c r="J74" i="1"/>
  <c r="K74" i="1"/>
  <c r="O74" i="1" s="1"/>
  <c r="N69" i="1"/>
  <c r="G113" i="1"/>
  <c r="J112" i="1"/>
  <c r="J113" i="1" s="1"/>
  <c r="J43" i="1"/>
  <c r="G59" i="1"/>
  <c r="O111" i="1"/>
  <c r="N73" i="1"/>
  <c r="O73" i="1"/>
  <c r="O90" i="1"/>
  <c r="O682" i="1" l="1"/>
  <c r="O684" i="1"/>
  <c r="H127" i="15"/>
  <c r="H129" i="15" s="1"/>
  <c r="M960" i="1"/>
  <c r="K674" i="17"/>
  <c r="J612" i="17"/>
  <c r="M612" i="17" s="1"/>
  <c r="Q612" i="17"/>
  <c r="L629" i="17"/>
  <c r="L665" i="17"/>
  <c r="L634" i="17"/>
  <c r="L559" i="17"/>
  <c r="J583" i="17"/>
  <c r="K645" i="17"/>
  <c r="Q583" i="17"/>
  <c r="L645" i="17"/>
  <c r="N583" i="17"/>
  <c r="K634" i="17"/>
  <c r="Q572" i="17"/>
  <c r="J572" i="17"/>
  <c r="M572" i="17" s="1"/>
  <c r="K675" i="17"/>
  <c r="Q613" i="17"/>
  <c r="J613" i="17"/>
  <c r="M613" i="17" s="1"/>
  <c r="N600" i="17"/>
  <c r="K655" i="17"/>
  <c r="Q593" i="17"/>
  <c r="J593" i="17"/>
  <c r="M593" i="17" s="1"/>
  <c r="L661" i="17"/>
  <c r="N599" i="17"/>
  <c r="J599" i="17"/>
  <c r="M599" i="17" s="1"/>
  <c r="L630" i="17"/>
  <c r="K633" i="17"/>
  <c r="Q571" i="17"/>
  <c r="J571" i="17"/>
  <c r="M571" i="17" s="1"/>
  <c r="L626" i="17"/>
  <c r="L569" i="17"/>
  <c r="K677" i="17"/>
  <c r="J615" i="17"/>
  <c r="M615" i="17" s="1"/>
  <c r="Q615" i="17"/>
  <c r="N462" i="17"/>
  <c r="M462" i="17"/>
  <c r="N534" i="17"/>
  <c r="L675" i="17"/>
  <c r="N544" i="17"/>
  <c r="L577" i="17"/>
  <c r="L632" i="17"/>
  <c r="M552" i="17"/>
  <c r="N552" i="17"/>
  <c r="L690" i="17"/>
  <c r="N496" i="17"/>
  <c r="J497" i="17"/>
  <c r="M496" i="17"/>
  <c r="K665" i="17"/>
  <c r="Q603" i="17"/>
  <c r="J603" i="17"/>
  <c r="M603" i="17" s="1"/>
  <c r="H115" i="15"/>
  <c r="K667" i="17"/>
  <c r="Q605" i="17"/>
  <c r="J605" i="17"/>
  <c r="M605" i="17" s="1"/>
  <c r="N392" i="17"/>
  <c r="K650" i="17"/>
  <c r="J588" i="17"/>
  <c r="K620" i="17"/>
  <c r="K621" i="17" s="1"/>
  <c r="G157" i="15" s="1"/>
  <c r="G159" i="15" s="1"/>
  <c r="Q588" i="17"/>
  <c r="L650" i="17"/>
  <c r="L620" i="17"/>
  <c r="L621" i="17" s="1"/>
  <c r="Q564" i="17"/>
  <c r="K626" i="17"/>
  <c r="J564" i="17"/>
  <c r="N564" i="17" s="1"/>
  <c r="K569" i="17"/>
  <c r="N555" i="17"/>
  <c r="K680" i="17"/>
  <c r="Q618" i="17"/>
  <c r="J618" i="17"/>
  <c r="M618" i="17" s="1"/>
  <c r="L636" i="17"/>
  <c r="K663" i="17"/>
  <c r="J601" i="17"/>
  <c r="M601" i="17" s="1"/>
  <c r="Q601" i="17"/>
  <c r="Q608" i="17"/>
  <c r="K670" i="17"/>
  <c r="J608" i="17"/>
  <c r="M608" i="17" s="1"/>
  <c r="Q581" i="17"/>
  <c r="K643" i="17"/>
  <c r="J581" i="17"/>
  <c r="M581" i="17" s="1"/>
  <c r="K724" i="17"/>
  <c r="Q662" i="17"/>
  <c r="J662" i="17"/>
  <c r="M662" i="17" s="1"/>
  <c r="N435" i="17"/>
  <c r="M435" i="17"/>
  <c r="J436" i="17"/>
  <c r="M436" i="17" s="1"/>
  <c r="Q524" i="17"/>
  <c r="L659" i="17"/>
  <c r="N540" i="17"/>
  <c r="K1994" i="1"/>
  <c r="N1994" i="1" s="1"/>
  <c r="L2103" i="1"/>
  <c r="G1999" i="13"/>
  <c r="J1999" i="13" s="1"/>
  <c r="K658" i="17"/>
  <c r="Q596" i="17"/>
  <c r="J596" i="17"/>
  <c r="M596" i="17" s="1"/>
  <c r="Q585" i="17"/>
  <c r="K647" i="17"/>
  <c r="J585" i="17"/>
  <c r="M585" i="17" s="1"/>
  <c r="K635" i="17"/>
  <c r="Q573" i="17"/>
  <c r="J573" i="17"/>
  <c r="M573" i="17" s="1"/>
  <c r="L516" i="17"/>
  <c r="L669" i="17"/>
  <c r="Q558" i="17"/>
  <c r="Q559" i="17" s="1"/>
  <c r="Q616" i="17"/>
  <c r="K678" i="17"/>
  <c r="J616" i="17"/>
  <c r="M616" i="17" s="1"/>
  <c r="L674" i="17"/>
  <c r="N612" i="17"/>
  <c r="F1628" i="16"/>
  <c r="N610" i="17"/>
  <c r="L672" i="17"/>
  <c r="G130" i="15"/>
  <c r="K636" i="17"/>
  <c r="Q574" i="17"/>
  <c r="J574" i="17"/>
  <c r="M574" i="17" s="1"/>
  <c r="K638" i="17"/>
  <c r="Q576" i="17"/>
  <c r="J576" i="17"/>
  <c r="M576" i="17" s="1"/>
  <c r="N536" i="17"/>
  <c r="N662" i="17"/>
  <c r="L724" i="17"/>
  <c r="L678" i="17"/>
  <c r="N616" i="17"/>
  <c r="J463" i="17"/>
  <c r="M445" i="17"/>
  <c r="J454" i="17"/>
  <c r="M454" i="17" s="1"/>
  <c r="Q610" i="17"/>
  <c r="K672" i="17"/>
  <c r="J610" i="17"/>
  <c r="M610" i="17" s="1"/>
  <c r="K629" i="17"/>
  <c r="Q567" i="17"/>
  <c r="J567" i="17"/>
  <c r="M567" i="17" s="1"/>
  <c r="N549" i="17"/>
  <c r="K657" i="17"/>
  <c r="J595" i="17"/>
  <c r="M595" i="17" s="1"/>
  <c r="Q595" i="17"/>
  <c r="M2103" i="1"/>
  <c r="O1994" i="1"/>
  <c r="L635" i="17"/>
  <c r="N573" i="17"/>
  <c r="L658" i="17"/>
  <c r="L525" i="17"/>
  <c r="L646" i="17"/>
  <c r="N523" i="17"/>
  <c r="L668" i="17"/>
  <c r="L643" i="17"/>
  <c r="N581" i="17"/>
  <c r="K642" i="17"/>
  <c r="J580" i="17"/>
  <c r="M580" i="17" s="1"/>
  <c r="Q580" i="17"/>
  <c r="M508" i="17"/>
  <c r="J515" i="17"/>
  <c r="M515" i="17" s="1"/>
  <c r="K676" i="17"/>
  <c r="Q614" i="17"/>
  <c r="J614" i="17"/>
  <c r="N503" i="17"/>
  <c r="K679" i="17"/>
  <c r="J617" i="17"/>
  <c r="M617" i="17" s="1"/>
  <c r="Q617" i="17"/>
  <c r="K656" i="17"/>
  <c r="Q594" i="17"/>
  <c r="J594" i="17"/>
  <c r="N594" i="17" s="1"/>
  <c r="M526" i="17"/>
  <c r="K525" i="17"/>
  <c r="G139" i="15"/>
  <c r="G141" i="15" s="1"/>
  <c r="K628" i="17"/>
  <c r="Q566" i="17"/>
  <c r="J566" i="17"/>
  <c r="L670" i="17"/>
  <c r="N608" i="17"/>
  <c r="Q507" i="17"/>
  <c r="L679" i="17"/>
  <c r="N617" i="17"/>
  <c r="K671" i="17"/>
  <c r="J609" i="17"/>
  <c r="M609" i="17" s="1"/>
  <c r="Q609" i="17"/>
  <c r="Q584" i="17"/>
  <c r="K646" i="17"/>
  <c r="J584" i="17"/>
  <c r="M584" i="17" s="1"/>
  <c r="L652" i="17"/>
  <c r="N514" i="17"/>
  <c r="K673" i="17"/>
  <c r="Q611" i="17"/>
  <c r="J611" i="17"/>
  <c r="M611" i="17" s="1"/>
  <c r="L681" i="17"/>
  <c r="N556" i="17"/>
  <c r="K659" i="17"/>
  <c r="Q597" i="17"/>
  <c r="J597" i="17"/>
  <c r="M597" i="17" s="1"/>
  <c r="K630" i="17"/>
  <c r="Q568" i="17"/>
  <c r="J568" i="17"/>
  <c r="M568" i="17" s="1"/>
  <c r="L664" i="17"/>
  <c r="L960" i="1"/>
  <c r="G859" i="13"/>
  <c r="J859" i="13" s="1"/>
  <c r="K854" i="1"/>
  <c r="N854" i="1" s="1"/>
  <c r="L671" i="17"/>
  <c r="N609" i="17"/>
  <c r="H120" i="15"/>
  <c r="H123" i="15" s="1"/>
  <c r="H130" i="15" s="1"/>
  <c r="Q454" i="17"/>
  <c r="Q498" i="17" s="1"/>
  <c r="M517" i="17"/>
  <c r="J524" i="17"/>
  <c r="M524" i="17" s="1"/>
  <c r="L667" i="17"/>
  <c r="K592" i="17"/>
  <c r="Q530" i="17"/>
  <c r="J530" i="17"/>
  <c r="J558" i="17" s="1"/>
  <c r="N571" i="17"/>
  <c r="L633" i="17"/>
  <c r="L666" i="17"/>
  <c r="N604" i="17"/>
  <c r="N580" i="17"/>
  <c r="L642" i="17"/>
  <c r="L657" i="17"/>
  <c r="N595" i="17"/>
  <c r="M504" i="17"/>
  <c r="N504" i="17"/>
  <c r="L663" i="17"/>
  <c r="N601" i="17"/>
  <c r="K516" i="17"/>
  <c r="G135" i="15"/>
  <c r="G138" i="15" s="1"/>
  <c r="L644" i="17"/>
  <c r="N582" i="17"/>
  <c r="K669" i="17"/>
  <c r="Q607" i="17"/>
  <c r="J607" i="17"/>
  <c r="M607" i="17" s="1"/>
  <c r="L677" i="17"/>
  <c r="K844" i="1"/>
  <c r="N844" i="1" s="1"/>
  <c r="O1041" i="1"/>
  <c r="I1536" i="16"/>
  <c r="J274" i="15" s="1"/>
  <c r="J276" i="15" s="1"/>
  <c r="L651" i="17"/>
  <c r="L655" i="17"/>
  <c r="N593" i="17"/>
  <c r="L660" i="17"/>
  <c r="N598" i="17"/>
  <c r="K651" i="17"/>
  <c r="Q589" i="17"/>
  <c r="J589" i="17"/>
  <c r="M589" i="17" s="1"/>
  <c r="L637" i="17"/>
  <c r="N547" i="17"/>
  <c r="K627" i="17"/>
  <c r="J565" i="17"/>
  <c r="M565" i="17" s="1"/>
  <c r="Q565" i="17"/>
  <c r="Q569" i="17" s="1"/>
  <c r="Q515" i="17"/>
  <c r="H136" i="15" s="1"/>
  <c r="L673" i="17"/>
  <c r="N611" i="17"/>
  <c r="N505" i="17"/>
  <c r="J598" i="17"/>
  <c r="M598" i="17" s="1"/>
  <c r="K660" i="17"/>
  <c r="Q598" i="17"/>
  <c r="N541" i="17"/>
  <c r="L800" i="17"/>
  <c r="Q590" i="17"/>
  <c r="K652" i="17"/>
  <c r="J590" i="17"/>
  <c r="M590" i="17" s="1"/>
  <c r="L641" i="17"/>
  <c r="L586" i="17"/>
  <c r="N579" i="17"/>
  <c r="L647" i="17"/>
  <c r="N585" i="17"/>
  <c r="J606" i="17"/>
  <c r="M606" i="17" s="1"/>
  <c r="K668" i="17"/>
  <c r="Q606" i="17"/>
  <c r="N445" i="17"/>
  <c r="N436" i="17"/>
  <c r="N543" i="17"/>
  <c r="N515" i="17"/>
  <c r="K681" i="17"/>
  <c r="Q619" i="17"/>
  <c r="J619" i="17"/>
  <c r="M619" i="17" s="1"/>
  <c r="K637" i="17"/>
  <c r="J575" i="17"/>
  <c r="M575" i="17" s="1"/>
  <c r="Q575" i="17"/>
  <c r="L627" i="17"/>
  <c r="N545" i="17"/>
  <c r="N509" i="17"/>
  <c r="N542" i="17"/>
  <c r="K666" i="17"/>
  <c r="J604" i="17"/>
  <c r="M604" i="17" s="1"/>
  <c r="Q604" i="17"/>
  <c r="N510" i="17"/>
  <c r="N518" i="17"/>
  <c r="K558" i="17"/>
  <c r="K559" i="17" s="1"/>
  <c r="N533" i="17"/>
  <c r="Q579" i="17"/>
  <c r="K641" i="17"/>
  <c r="K586" i="17"/>
  <c r="K587" i="17" s="1"/>
  <c r="G154" i="15" s="1"/>
  <c r="G156" i="15" s="1"/>
  <c r="J579" i="17"/>
  <c r="K632" i="17"/>
  <c r="J570" i="17"/>
  <c r="N570" i="17" s="1"/>
  <c r="K577" i="17"/>
  <c r="G151" i="15" s="1"/>
  <c r="Q570" i="17"/>
  <c r="Q577" i="17" s="1"/>
  <c r="H151" i="15" s="1"/>
  <c r="N526" i="17"/>
  <c r="N539" i="17"/>
  <c r="J507" i="17"/>
  <c r="M502" i="17"/>
  <c r="N550" i="17"/>
  <c r="L638" i="17"/>
  <c r="N576" i="17"/>
  <c r="L680" i="17"/>
  <c r="N618" i="17"/>
  <c r="N553" i="17"/>
  <c r="Q602" i="17"/>
  <c r="K664" i="17"/>
  <c r="J602" i="17"/>
  <c r="M602" i="17" s="1"/>
  <c r="Q582" i="17"/>
  <c r="K644" i="17"/>
  <c r="J582" i="17"/>
  <c r="M582" i="17" s="1"/>
  <c r="N401" i="17"/>
  <c r="I1669" i="16"/>
  <c r="F1763" i="16"/>
  <c r="I1671" i="16"/>
  <c r="F1765" i="16"/>
  <c r="I1673" i="16"/>
  <c r="F1767" i="16"/>
  <c r="I1674" i="16"/>
  <c r="F1768" i="16"/>
  <c r="I1686" i="16"/>
  <c r="F1780" i="16"/>
  <c r="I1705" i="16"/>
  <c r="F1799" i="16"/>
  <c r="F1894" i="16" s="1"/>
  <c r="I1894" i="16" s="1"/>
  <c r="I1707" i="16"/>
  <c r="F1801" i="16"/>
  <c r="F1896" i="16" s="1"/>
  <c r="I1896" i="16" s="1"/>
  <c r="I1711" i="16"/>
  <c r="F1805" i="16"/>
  <c r="I1713" i="16"/>
  <c r="F1807" i="16"/>
  <c r="I1715" i="16"/>
  <c r="F1809" i="16"/>
  <c r="I1717" i="16"/>
  <c r="F1811" i="16"/>
  <c r="I1719" i="16"/>
  <c r="F1813" i="16"/>
  <c r="I1721" i="16"/>
  <c r="F1815" i="16"/>
  <c r="I1670" i="16"/>
  <c r="F1764" i="16"/>
  <c r="F1926" i="16"/>
  <c r="I1926" i="16" s="1"/>
  <c r="I1820" i="16"/>
  <c r="I1684" i="16"/>
  <c r="F1778" i="16"/>
  <c r="I1665" i="16"/>
  <c r="F1759" i="16"/>
  <c r="I1668" i="16"/>
  <c r="F1762" i="16"/>
  <c r="I1679" i="16"/>
  <c r="F1773" i="16"/>
  <c r="I1681" i="16"/>
  <c r="F1775" i="16"/>
  <c r="I1685" i="16"/>
  <c r="F1779" i="16"/>
  <c r="I1664" i="16"/>
  <c r="F1758" i="16"/>
  <c r="I1666" i="16"/>
  <c r="F1760" i="16"/>
  <c r="I1689" i="16"/>
  <c r="F1783" i="16"/>
  <c r="I1712" i="16"/>
  <c r="F1806" i="16"/>
  <c r="I1716" i="16"/>
  <c r="F1810" i="16"/>
  <c r="I1720" i="16"/>
  <c r="F1814" i="16"/>
  <c r="I1704" i="16"/>
  <c r="F1798" i="16"/>
  <c r="F1893" i="16" s="1"/>
  <c r="I1893" i="16" s="1"/>
  <c r="I1680" i="16"/>
  <c r="F1774" i="16"/>
  <c r="I1706" i="16"/>
  <c r="F1800" i="16"/>
  <c r="I1688" i="16"/>
  <c r="F1782" i="16"/>
  <c r="I1718" i="16"/>
  <c r="F1812" i="16"/>
  <c r="I1710" i="16"/>
  <c r="F1804" i="16"/>
  <c r="I1714" i="16"/>
  <c r="F1808" i="16"/>
  <c r="F1892" i="16"/>
  <c r="I1892" i="16" s="1"/>
  <c r="I1797" i="16"/>
  <c r="F1925" i="16"/>
  <c r="I1819" i="16"/>
  <c r="I1772" i="16"/>
  <c r="F1867" i="16"/>
  <c r="I1891" i="16"/>
  <c r="O1050" i="1"/>
  <c r="O1058" i="1"/>
  <c r="O1037" i="1"/>
  <c r="I1468" i="16"/>
  <c r="J262" i="15" s="1"/>
  <c r="J264" i="15" s="1"/>
  <c r="I1598" i="16"/>
  <c r="J286" i="15" s="1"/>
  <c r="F1476" i="16"/>
  <c r="I1385" i="16"/>
  <c r="I1553" i="16"/>
  <c r="F1645" i="16"/>
  <c r="I1555" i="16"/>
  <c r="F1647" i="16"/>
  <c r="I1557" i="16"/>
  <c r="F1649" i="16"/>
  <c r="I1544" i="16"/>
  <c r="F1636" i="16"/>
  <c r="I1546" i="16"/>
  <c r="F1638" i="16"/>
  <c r="I1548" i="16"/>
  <c r="F1640" i="16"/>
  <c r="I1550" i="16"/>
  <c r="F1642" i="16"/>
  <c r="I1554" i="16"/>
  <c r="F1646" i="16"/>
  <c r="I1542" i="16"/>
  <c r="F1634" i="16"/>
  <c r="I1558" i="16"/>
  <c r="F1650" i="16"/>
  <c r="I1552" i="16"/>
  <c r="F1644" i="16"/>
  <c r="F1690" i="16"/>
  <c r="F1729" i="16"/>
  <c r="I1635" i="16"/>
  <c r="I1559" i="16"/>
  <c r="F1651" i="16"/>
  <c r="I1545" i="16"/>
  <c r="F1637" i="16"/>
  <c r="I1547" i="16"/>
  <c r="F1639" i="16"/>
  <c r="I1549" i="16"/>
  <c r="F1641" i="16"/>
  <c r="I1551" i="16"/>
  <c r="F1643" i="16"/>
  <c r="I1541" i="16"/>
  <c r="F1633" i="16"/>
  <c r="F1708" i="16"/>
  <c r="I1614" i="16"/>
  <c r="F1709" i="16"/>
  <c r="I1615" i="16"/>
  <c r="I1628" i="16" s="1"/>
  <c r="J289" i="15" s="1"/>
  <c r="J291" i="15" s="1"/>
  <c r="I1726" i="16"/>
  <c r="O442" i="1"/>
  <c r="K637" i="1"/>
  <c r="M848" i="1"/>
  <c r="J497" i="13"/>
  <c r="J508" i="13" s="1"/>
  <c r="J509" i="13" s="1"/>
  <c r="I79" i="15" s="1"/>
  <c r="I81" i="15" s="1"/>
  <c r="O650" i="1"/>
  <c r="O664" i="1"/>
  <c r="O681" i="1"/>
  <c r="O1019" i="1"/>
  <c r="O1055" i="1"/>
  <c r="O1048" i="1"/>
  <c r="O1049" i="1"/>
  <c r="O919" i="1"/>
  <c r="F1560" i="16"/>
  <c r="I1029" i="16"/>
  <c r="I1040" i="16" s="1"/>
  <c r="F1207" i="16"/>
  <c r="F1040" i="16"/>
  <c r="F1060" i="16" s="1"/>
  <c r="F1109" i="16" s="1"/>
  <c r="J180" i="15"/>
  <c r="J183" i="15" s="1"/>
  <c r="J190" i="15" s="1"/>
  <c r="I972" i="16"/>
  <c r="I1021" i="16" s="1"/>
  <c r="G942" i="13"/>
  <c r="G958" i="13" s="1"/>
  <c r="G959" i="13" s="1"/>
  <c r="F142" i="15" s="1"/>
  <c r="F144" i="15" s="1"/>
  <c r="G1056" i="13"/>
  <c r="M915" i="1"/>
  <c r="M1016" i="1"/>
  <c r="L963" i="1"/>
  <c r="G862" i="13"/>
  <c r="J862" i="13" s="1"/>
  <c r="K857" i="1"/>
  <c r="N857" i="1" s="1"/>
  <c r="K861" i="1"/>
  <c r="N861" i="1" s="1"/>
  <c r="L967" i="1"/>
  <c r="G866" i="13"/>
  <c r="J866" i="13" s="1"/>
  <c r="L1012" i="1"/>
  <c r="G911" i="13"/>
  <c r="J911" i="13" s="1"/>
  <c r="K906" i="1"/>
  <c r="M978" i="1"/>
  <c r="M996" i="1"/>
  <c r="M979" i="1"/>
  <c r="M968" i="1"/>
  <c r="O861" i="1"/>
  <c r="M967" i="1"/>
  <c r="M1012" i="1"/>
  <c r="O906" i="1"/>
  <c r="K856" i="1"/>
  <c r="N856" i="1" s="1"/>
  <c r="L962" i="1"/>
  <c r="G861" i="13"/>
  <c r="J861" i="13" s="1"/>
  <c r="M976" i="1"/>
  <c r="M974" i="1"/>
  <c r="M1013" i="1"/>
  <c r="M997" i="1"/>
  <c r="L970" i="1"/>
  <c r="K864" i="1"/>
  <c r="N864" i="1" s="1"/>
  <c r="G869" i="13"/>
  <c r="J869" i="13" s="1"/>
  <c r="M878" i="1"/>
  <c r="M982" i="1"/>
  <c r="M1009" i="1"/>
  <c r="M1007" i="1"/>
  <c r="L1006" i="1"/>
  <c r="G905" i="13"/>
  <c r="K900" i="1"/>
  <c r="O900" i="1" s="1"/>
  <c r="L909" i="1"/>
  <c r="K859" i="1"/>
  <c r="O859" i="1" s="1"/>
  <c r="L965" i="1"/>
  <c r="G864" i="13"/>
  <c r="L866" i="1"/>
  <c r="L990" i="1"/>
  <c r="G889" i="13"/>
  <c r="K884" i="1"/>
  <c r="L888" i="1"/>
  <c r="M985" i="1"/>
  <c r="M882" i="1"/>
  <c r="M969" i="1"/>
  <c r="M1014" i="1"/>
  <c r="M970" i="1"/>
  <c r="L1001" i="1"/>
  <c r="G900" i="13"/>
  <c r="J900" i="13" s="1"/>
  <c r="K895" i="1"/>
  <c r="N895" i="1" s="1"/>
  <c r="M1011" i="1"/>
  <c r="L982" i="1"/>
  <c r="G881" i="13"/>
  <c r="J881" i="13" s="1"/>
  <c r="K876" i="1"/>
  <c r="N876" i="1" s="1"/>
  <c r="M993" i="1"/>
  <c r="M1000" i="1"/>
  <c r="M990" i="1"/>
  <c r="M888" i="1"/>
  <c r="L878" i="1"/>
  <c r="L981" i="1"/>
  <c r="G880" i="13"/>
  <c r="K875" i="1"/>
  <c r="M981" i="1"/>
  <c r="O875" i="1"/>
  <c r="M1006" i="1"/>
  <c r="M909" i="1"/>
  <c r="K881" i="1"/>
  <c r="N881" i="1" s="1"/>
  <c r="L987" i="1"/>
  <c r="G886" i="13"/>
  <c r="J886" i="13" s="1"/>
  <c r="M987" i="1"/>
  <c r="O881" i="1"/>
  <c r="G899" i="13"/>
  <c r="J899" i="13" s="1"/>
  <c r="L1000" i="1"/>
  <c r="K894" i="1"/>
  <c r="N894" i="1" s="1"/>
  <c r="L1008" i="1"/>
  <c r="G907" i="13"/>
  <c r="J907" i="13" s="1"/>
  <c r="K902" i="1"/>
  <c r="O902" i="1" s="1"/>
  <c r="G891" i="13"/>
  <c r="J891" i="13" s="1"/>
  <c r="L992" i="1"/>
  <c r="K886" i="1"/>
  <c r="N886" i="1" s="1"/>
  <c r="L1013" i="1"/>
  <c r="G912" i="13"/>
  <c r="J912" i="13" s="1"/>
  <c r="K907" i="1"/>
  <c r="O907" i="1" s="1"/>
  <c r="M983" i="1"/>
  <c r="L986" i="1"/>
  <c r="K880" i="1"/>
  <c r="N880" i="1" s="1"/>
  <c r="G885" i="13"/>
  <c r="J885" i="13" s="1"/>
  <c r="O880" i="1"/>
  <c r="M986" i="1"/>
  <c r="G898" i="13"/>
  <c r="J898" i="13" s="1"/>
  <c r="L999" i="1"/>
  <c r="K893" i="1"/>
  <c r="N893" i="1" s="1"/>
  <c r="L1007" i="1"/>
  <c r="K901" i="1"/>
  <c r="N901" i="1" s="1"/>
  <c r="G906" i="13"/>
  <c r="J906" i="13" s="1"/>
  <c r="K912" i="1"/>
  <c r="L1018" i="1"/>
  <c r="G917" i="13"/>
  <c r="J917" i="13" s="1"/>
  <c r="M1253" i="1"/>
  <c r="G1043" i="13"/>
  <c r="J1040" i="13"/>
  <c r="J1043" i="13" s="1"/>
  <c r="J1044" i="13"/>
  <c r="N934" i="1"/>
  <c r="O934" i="1"/>
  <c r="L1146" i="1"/>
  <c r="L1149" i="1" s="1"/>
  <c r="G1045" i="13"/>
  <c r="J1045" i="13" s="1"/>
  <c r="K1040" i="1"/>
  <c r="K1043" i="1" s="1"/>
  <c r="N1043" i="1" s="1"/>
  <c r="L1248" i="1"/>
  <c r="K1142" i="1"/>
  <c r="G1147" i="13"/>
  <c r="J1147" i="13" s="1"/>
  <c r="J1057" i="13"/>
  <c r="J1060" i="13" s="1"/>
  <c r="G1060" i="13"/>
  <c r="K1161" i="1"/>
  <c r="N1161" i="1" s="1"/>
  <c r="L1267" i="1"/>
  <c r="G1165" i="13"/>
  <c r="J1165" i="13" s="1"/>
  <c r="M1254" i="1"/>
  <c r="M1262" i="1"/>
  <c r="O953" i="1"/>
  <c r="M1160" i="1"/>
  <c r="M1162" i="1" s="1"/>
  <c r="K1054" i="1"/>
  <c r="O1054" i="1" s="1"/>
  <c r="M1130" i="1"/>
  <c r="M1134" i="1"/>
  <c r="K1051" i="1"/>
  <c r="L1157" i="1"/>
  <c r="L1158" i="1" s="1"/>
  <c r="L1052" i="1"/>
  <c r="L1060" i="1" s="1"/>
  <c r="L1061" i="1" s="1"/>
  <c r="D157" i="15" s="1"/>
  <c r="M1026" i="1"/>
  <c r="M1129" i="1"/>
  <c r="L1131" i="1"/>
  <c r="G1030" i="13"/>
  <c r="J1030" i="13" s="1"/>
  <c r="K1025" i="1"/>
  <c r="N1025" i="1" s="1"/>
  <c r="K1028" i="1"/>
  <c r="N1028" i="1" s="1"/>
  <c r="L1134" i="1"/>
  <c r="G1033" i="13"/>
  <c r="J1033" i="13" s="1"/>
  <c r="N917" i="1"/>
  <c r="K920" i="1"/>
  <c r="O920" i="1" s="1"/>
  <c r="L1129" i="1"/>
  <c r="G1028" i="13"/>
  <c r="K1023" i="1"/>
  <c r="L1026" i="1"/>
  <c r="G929" i="13"/>
  <c r="J926" i="13"/>
  <c r="J929" i="13" s="1"/>
  <c r="L1133" i="1"/>
  <c r="G1032" i="13"/>
  <c r="K1027" i="1"/>
  <c r="O1027" i="1" s="1"/>
  <c r="L1030" i="1"/>
  <c r="L1261" i="1"/>
  <c r="G1160" i="13"/>
  <c r="J1160" i="13" s="1"/>
  <c r="K1155" i="1"/>
  <c r="N1155" i="1" s="1"/>
  <c r="M1263" i="1"/>
  <c r="M1149" i="1"/>
  <c r="M1251" i="1"/>
  <c r="N932" i="1"/>
  <c r="O932" i="1"/>
  <c r="M1153" i="1"/>
  <c r="M1052" i="1"/>
  <c r="K1047" i="1"/>
  <c r="K1059" i="1"/>
  <c r="N1059" i="1" s="1"/>
  <c r="N1057" i="1"/>
  <c r="M1270" i="1"/>
  <c r="L1162" i="1"/>
  <c r="M1249" i="1"/>
  <c r="K1143" i="1"/>
  <c r="N1143" i="1" s="1"/>
  <c r="L1249" i="1"/>
  <c r="G1148" i="13"/>
  <c r="J1148" i="13" s="1"/>
  <c r="K1148" i="1"/>
  <c r="N1148" i="1" s="1"/>
  <c r="L1254" i="1"/>
  <c r="G1153" i="13"/>
  <c r="J1153" i="13" s="1"/>
  <c r="L1253" i="1"/>
  <c r="G1152" i="13"/>
  <c r="J1152" i="13" s="1"/>
  <c r="K1147" i="1"/>
  <c r="N1147" i="1" s="1"/>
  <c r="M1056" i="1"/>
  <c r="M1265" i="1"/>
  <c r="L1256" i="1"/>
  <c r="G1155" i="13"/>
  <c r="L1152" i="1"/>
  <c r="O1057" i="1"/>
  <c r="O1059" i="1"/>
  <c r="K1151" i="1"/>
  <c r="N1151" i="1" s="1"/>
  <c r="L1257" i="1"/>
  <c r="G1156" i="13"/>
  <c r="J1156" i="13" s="1"/>
  <c r="L1365" i="1"/>
  <c r="G1264" i="13"/>
  <c r="I64" i="15"/>
  <c r="I66" i="15" s="1"/>
  <c r="L979" i="1"/>
  <c r="K873" i="1"/>
  <c r="N873" i="1" s="1"/>
  <c r="G878" i="13"/>
  <c r="J878" i="13" s="1"/>
  <c r="G865" i="13"/>
  <c r="J865" i="13" s="1"/>
  <c r="L966" i="1"/>
  <c r="K870" i="1"/>
  <c r="N870" i="1" s="1"/>
  <c r="L976" i="1"/>
  <c r="G875" i="13"/>
  <c r="J875" i="13" s="1"/>
  <c r="M991" i="1"/>
  <c r="L1009" i="1"/>
  <c r="G908" i="13"/>
  <c r="J908" i="13" s="1"/>
  <c r="K903" i="1"/>
  <c r="O903" i="1" s="1"/>
  <c r="L969" i="1"/>
  <c r="G868" i="13"/>
  <c r="J868" i="13" s="1"/>
  <c r="K863" i="1"/>
  <c r="N863" i="1" s="1"/>
  <c r="L991" i="1"/>
  <c r="G890" i="13"/>
  <c r="J890" i="13" s="1"/>
  <c r="K885" i="1"/>
  <c r="N885" i="1" s="1"/>
  <c r="K892" i="1"/>
  <c r="N892" i="1" s="1"/>
  <c r="L998" i="1"/>
  <c r="G897" i="13"/>
  <c r="J897" i="13" s="1"/>
  <c r="M874" i="1"/>
  <c r="M973" i="1"/>
  <c r="K879" i="1"/>
  <c r="O879" i="1" s="1"/>
  <c r="L985" i="1"/>
  <c r="G884" i="13"/>
  <c r="L882" i="1"/>
  <c r="N636" i="1"/>
  <c r="N637" i="1" s="1"/>
  <c r="M962" i="1"/>
  <c r="M975" i="1"/>
  <c r="K890" i="1"/>
  <c r="N890" i="1" s="1"/>
  <c r="L996" i="1"/>
  <c r="G895" i="13"/>
  <c r="J895" i="13" s="1"/>
  <c r="M1008" i="1"/>
  <c r="L968" i="1"/>
  <c r="G867" i="13"/>
  <c r="J867" i="13" s="1"/>
  <c r="K862" i="1"/>
  <c r="N862" i="1" s="1"/>
  <c r="O656" i="1"/>
  <c r="L961" i="1"/>
  <c r="G860" i="13"/>
  <c r="K855" i="1"/>
  <c r="O855" i="1" s="1"/>
  <c r="L858" i="1"/>
  <c r="M977" i="1"/>
  <c r="L1010" i="1"/>
  <c r="G909" i="13"/>
  <c r="J909" i="13" s="1"/>
  <c r="K904" i="1"/>
  <c r="O904" i="1" s="1"/>
  <c r="M998" i="1"/>
  <c r="O689" i="1"/>
  <c r="L874" i="1"/>
  <c r="L973" i="1"/>
  <c r="K867" i="1"/>
  <c r="O867" i="1" s="1"/>
  <c r="G872" i="13"/>
  <c r="M965" i="1"/>
  <c r="M866" i="1"/>
  <c r="L975" i="1"/>
  <c r="K869" i="1"/>
  <c r="N869" i="1" s="1"/>
  <c r="G874" i="13"/>
  <c r="J874" i="13" s="1"/>
  <c r="M1010" i="1"/>
  <c r="K860" i="1"/>
  <c r="N860" i="1" s="1"/>
  <c r="M966" i="1"/>
  <c r="O860" i="1"/>
  <c r="K868" i="1"/>
  <c r="N868" i="1" s="1"/>
  <c r="L974" i="1"/>
  <c r="G873" i="13"/>
  <c r="J873" i="13" s="1"/>
  <c r="L997" i="1"/>
  <c r="G896" i="13"/>
  <c r="J896" i="13" s="1"/>
  <c r="K891" i="1"/>
  <c r="N891" i="1" s="1"/>
  <c r="M971" i="1"/>
  <c r="L993" i="1"/>
  <c r="G892" i="13"/>
  <c r="J892" i="13" s="1"/>
  <c r="K887" i="1"/>
  <c r="N887" i="1" s="1"/>
  <c r="M1001" i="1"/>
  <c r="L1014" i="1"/>
  <c r="G913" i="13"/>
  <c r="J913" i="13" s="1"/>
  <c r="K908" i="1"/>
  <c r="N908" i="1" s="1"/>
  <c r="L1011" i="1"/>
  <c r="G910" i="13"/>
  <c r="J910" i="13" s="1"/>
  <c r="K905" i="1"/>
  <c r="O905" i="1" s="1"/>
  <c r="M995" i="1"/>
  <c r="M897" i="1"/>
  <c r="L995" i="1"/>
  <c r="G894" i="13"/>
  <c r="K889" i="1"/>
  <c r="L897" i="1"/>
  <c r="G915" i="13"/>
  <c r="L1016" i="1"/>
  <c r="K910" i="1"/>
  <c r="L915" i="1"/>
  <c r="K865" i="1"/>
  <c r="N865" i="1" s="1"/>
  <c r="L971" i="1"/>
  <c r="G870" i="13"/>
  <c r="J870" i="13" s="1"/>
  <c r="L977" i="1"/>
  <c r="K871" i="1"/>
  <c r="N871" i="1" s="1"/>
  <c r="G876" i="13"/>
  <c r="J876" i="13" s="1"/>
  <c r="M999" i="1"/>
  <c r="O893" i="1"/>
  <c r="M963" i="1"/>
  <c r="M858" i="1"/>
  <c r="M961" i="1"/>
  <c r="K872" i="1"/>
  <c r="N872" i="1" s="1"/>
  <c r="L978" i="1"/>
  <c r="G877" i="13"/>
  <c r="J877" i="13" s="1"/>
  <c r="M1002" i="1"/>
  <c r="L983" i="1"/>
  <c r="G882" i="13"/>
  <c r="J882" i="13" s="1"/>
  <c r="K877" i="1"/>
  <c r="N877" i="1" s="1"/>
  <c r="M992" i="1"/>
  <c r="O886" i="1"/>
  <c r="L1002" i="1"/>
  <c r="G901" i="13"/>
  <c r="J901" i="13" s="1"/>
  <c r="K896" i="1"/>
  <c r="N896" i="1" s="1"/>
  <c r="L581" i="1"/>
  <c r="L638" i="1" s="1"/>
  <c r="O712" i="1"/>
  <c r="M1231" i="1"/>
  <c r="K1125" i="1"/>
  <c r="N1125" i="1" s="1"/>
  <c r="M1267" i="1"/>
  <c r="M1232" i="1"/>
  <c r="N1035" i="1"/>
  <c r="K1038" i="1"/>
  <c r="O1035" i="1"/>
  <c r="K1141" i="1"/>
  <c r="L1247" i="1"/>
  <c r="G1146" i="13"/>
  <c r="L1144" i="1"/>
  <c r="D144" i="15"/>
  <c r="E144" i="15" s="1"/>
  <c r="E142" i="15"/>
  <c r="N1039" i="1"/>
  <c r="L1251" i="1"/>
  <c r="G1150" i="13"/>
  <c r="K1145" i="1"/>
  <c r="M954" i="1"/>
  <c r="M955" i="1" s="1"/>
  <c r="N1036" i="1"/>
  <c r="O1036" i="1"/>
  <c r="K1159" i="1"/>
  <c r="L1265" i="1"/>
  <c r="G1163" i="13"/>
  <c r="O1042" i="1"/>
  <c r="M1353" i="1"/>
  <c r="J1056" i="13"/>
  <c r="N914" i="1"/>
  <c r="O914" i="1"/>
  <c r="K1020" i="1"/>
  <c r="L1126" i="1"/>
  <c r="G1025" i="13"/>
  <c r="J1025" i="13" s="1"/>
  <c r="O948" i="1"/>
  <c r="O918" i="1"/>
  <c r="N945" i="1"/>
  <c r="O945" i="1"/>
  <c r="O917" i="1"/>
  <c r="M925" i="1"/>
  <c r="M1124" i="1"/>
  <c r="M1030" i="1"/>
  <c r="M1133" i="1"/>
  <c r="M1135" i="1"/>
  <c r="G925" i="13"/>
  <c r="J922" i="13"/>
  <c r="J925" i="13" s="1"/>
  <c r="N921" i="1"/>
  <c r="K924" i="1"/>
  <c r="N924" i="1" s="1"/>
  <c r="M1252" i="1"/>
  <c r="M1260" i="1"/>
  <c r="M1261" i="1"/>
  <c r="O937" i="1"/>
  <c r="J942" i="13"/>
  <c r="J958" i="13" s="1"/>
  <c r="J959" i="13" s="1"/>
  <c r="I142" i="15" s="1"/>
  <c r="I144" i="15" s="1"/>
  <c r="N941" i="1"/>
  <c r="K946" i="1"/>
  <c r="N946" i="1" s="1"/>
  <c r="L1165" i="1"/>
  <c r="G1169" i="13" s="1"/>
  <c r="L1269" i="1"/>
  <c r="G1167" i="13"/>
  <c r="K1163" i="1"/>
  <c r="L1268" i="1"/>
  <c r="L1372" i="1"/>
  <c r="G1270" i="13"/>
  <c r="J1270" i="13" s="1"/>
  <c r="K1154" i="1"/>
  <c r="N1154" i="1" s="1"/>
  <c r="L1260" i="1"/>
  <c r="G1159" i="13"/>
  <c r="J1159" i="13" s="1"/>
  <c r="K950" i="1"/>
  <c r="N950" i="1" s="1"/>
  <c r="K1156" i="1"/>
  <c r="N1156" i="1" s="1"/>
  <c r="L1262" i="1"/>
  <c r="G1161" i="13"/>
  <c r="J1161" i="13" s="1"/>
  <c r="O1053" i="1"/>
  <c r="K1046" i="1"/>
  <c r="N1046" i="1" s="1"/>
  <c r="N1044" i="1"/>
  <c r="G1051" i="13"/>
  <c r="J1049" i="13"/>
  <c r="J1051" i="13" s="1"/>
  <c r="N938" i="1"/>
  <c r="K940" i="1"/>
  <c r="N940" i="1" s="1"/>
  <c r="M1257" i="1"/>
  <c r="O1151" i="1"/>
  <c r="M1165" i="1"/>
  <c r="M1269" i="1"/>
  <c r="O1163" i="1"/>
  <c r="K1164" i="1"/>
  <c r="N1164" i="1" s="1"/>
  <c r="L1270" i="1"/>
  <c r="G1168" i="13"/>
  <c r="J1158" i="13"/>
  <c r="M1354" i="1"/>
  <c r="O938" i="1"/>
  <c r="M1150" i="1"/>
  <c r="M1046" i="1"/>
  <c r="O1044" i="1"/>
  <c r="M1131" i="1"/>
  <c r="K1024" i="1"/>
  <c r="N1024" i="1" s="1"/>
  <c r="L1130" i="1"/>
  <c r="G1029" i="13"/>
  <c r="J1029" i="13" s="1"/>
  <c r="L1135" i="1"/>
  <c r="G1034" i="13"/>
  <c r="J1034" i="13" s="1"/>
  <c r="K1029" i="1"/>
  <c r="N1029" i="1" s="1"/>
  <c r="I710" i="16"/>
  <c r="I757" i="16" s="1"/>
  <c r="J135" i="15"/>
  <c r="J138" i="15" s="1"/>
  <c r="J145" i="15" s="1"/>
  <c r="O678" i="1"/>
  <c r="G497" i="13"/>
  <c r="G508" i="13" s="1"/>
  <c r="G509" i="13" s="1"/>
  <c r="F79" i="15" s="1"/>
  <c r="F81" i="15" s="1"/>
  <c r="O812" i="1"/>
  <c r="O738" i="1"/>
  <c r="O665" i="1"/>
  <c r="O674" i="1"/>
  <c r="O668" i="1"/>
  <c r="O548" i="1"/>
  <c r="G585" i="13"/>
  <c r="F91" i="15" s="1"/>
  <c r="O817" i="1"/>
  <c r="G852" i="13"/>
  <c r="G853" i="13" s="1"/>
  <c r="F127" i="15" s="1"/>
  <c r="F129" i="15" s="1"/>
  <c r="O675" i="1"/>
  <c r="F64" i="15"/>
  <c r="F66" i="15" s="1"/>
  <c r="O673" i="1"/>
  <c r="L671" i="1"/>
  <c r="D105" i="15" s="1"/>
  <c r="O659" i="1"/>
  <c r="O679" i="1"/>
  <c r="O680" i="1"/>
  <c r="O651" i="1"/>
  <c r="O642" i="1"/>
  <c r="K834" i="1"/>
  <c r="N834" i="1" s="1"/>
  <c r="N832" i="1"/>
  <c r="K748" i="1"/>
  <c r="N748" i="1" s="1"/>
  <c r="G753" i="13"/>
  <c r="J753" i="13" s="1"/>
  <c r="O847" i="1"/>
  <c r="L849" i="1"/>
  <c r="D127" i="15"/>
  <c r="G772" i="13"/>
  <c r="J772" i="13" s="1"/>
  <c r="K767" i="1"/>
  <c r="N767" i="1" s="1"/>
  <c r="G759" i="13"/>
  <c r="J759" i="13" s="1"/>
  <c r="K754" i="1"/>
  <c r="N754" i="1" s="1"/>
  <c r="K764" i="1"/>
  <c r="N764" i="1" s="1"/>
  <c r="G769" i="13"/>
  <c r="J769" i="13" s="1"/>
  <c r="O661" i="1"/>
  <c r="K779" i="1"/>
  <c r="N779" i="1" s="1"/>
  <c r="G784" i="13"/>
  <c r="J784" i="13" s="1"/>
  <c r="G791" i="13"/>
  <c r="J791" i="13" s="1"/>
  <c r="K786" i="1"/>
  <c r="N786" i="1" s="1"/>
  <c r="G675" i="13"/>
  <c r="J672" i="13"/>
  <c r="J675" i="13" s="1"/>
  <c r="K670" i="1"/>
  <c r="N670" i="1" s="1"/>
  <c r="N667" i="1"/>
  <c r="E94" i="15"/>
  <c r="D96" i="15"/>
  <c r="E96" i="15" s="1"/>
  <c r="N839" i="1"/>
  <c r="O839" i="1"/>
  <c r="M743" i="1"/>
  <c r="G789" i="13"/>
  <c r="J789" i="13" s="1"/>
  <c r="K784" i="1"/>
  <c r="N784" i="1" s="1"/>
  <c r="G761" i="13"/>
  <c r="J761" i="13" s="1"/>
  <c r="K756" i="1"/>
  <c r="N756" i="1" s="1"/>
  <c r="O658" i="1"/>
  <c r="K749" i="1"/>
  <c r="O749" i="1" s="1"/>
  <c r="G754" i="13"/>
  <c r="L752" i="1"/>
  <c r="N540" i="1"/>
  <c r="K565" i="1"/>
  <c r="K798" i="1"/>
  <c r="O798" i="1" s="1"/>
  <c r="G803" i="13"/>
  <c r="J803" i="13" s="1"/>
  <c r="L768" i="1"/>
  <c r="G766" i="13"/>
  <c r="K761" i="1"/>
  <c r="J693" i="13"/>
  <c r="J702" i="13" s="1"/>
  <c r="G702" i="13"/>
  <c r="N591" i="1"/>
  <c r="K598" i="1"/>
  <c r="O598" i="1" s="1"/>
  <c r="M760" i="1"/>
  <c r="N647" i="1"/>
  <c r="K654" i="1"/>
  <c r="N654" i="1" s="1"/>
  <c r="N672" i="1"/>
  <c r="K676" i="1"/>
  <c r="O676" i="1" s="1"/>
  <c r="J677" i="13"/>
  <c r="J681" i="13" s="1"/>
  <c r="G681" i="13"/>
  <c r="M776" i="1"/>
  <c r="N734" i="1"/>
  <c r="O734" i="1"/>
  <c r="K742" i="1"/>
  <c r="O840" i="1"/>
  <c r="N708" i="1"/>
  <c r="K713" i="1"/>
  <c r="N713" i="1" s="1"/>
  <c r="G768" i="13"/>
  <c r="J768" i="13" s="1"/>
  <c r="K763" i="1"/>
  <c r="N763" i="1" s="1"/>
  <c r="K762" i="1"/>
  <c r="N762" i="1" s="1"/>
  <c r="G767" i="13"/>
  <c r="J767" i="13" s="1"/>
  <c r="K785" i="1"/>
  <c r="N785" i="1" s="1"/>
  <c r="G790" i="13"/>
  <c r="J790" i="13" s="1"/>
  <c r="K781" i="1"/>
  <c r="N781" i="1" s="1"/>
  <c r="G786" i="13"/>
  <c r="J786" i="13" s="1"/>
  <c r="O683" i="1"/>
  <c r="G775" i="13"/>
  <c r="J775" i="13" s="1"/>
  <c r="K770" i="1"/>
  <c r="N770" i="1" s="1"/>
  <c r="K799" i="1"/>
  <c r="O799" i="1" s="1"/>
  <c r="G804" i="13"/>
  <c r="J804" i="13" s="1"/>
  <c r="O672" i="1"/>
  <c r="M686" i="1"/>
  <c r="M791" i="1"/>
  <c r="G671" i="13"/>
  <c r="J668" i="13"/>
  <c r="J671" i="13" s="1"/>
  <c r="G788" i="13"/>
  <c r="K783" i="1"/>
  <c r="L791" i="1"/>
  <c r="L704" i="1"/>
  <c r="L715" i="1" s="1"/>
  <c r="K804" i="1"/>
  <c r="G809" i="13"/>
  <c r="L809" i="1"/>
  <c r="M772" i="1"/>
  <c r="M609" i="1"/>
  <c r="M610" i="1" s="1"/>
  <c r="O844" i="1"/>
  <c r="K759" i="1"/>
  <c r="N759" i="1" s="1"/>
  <c r="G764" i="13"/>
  <c r="J764" i="13" s="1"/>
  <c r="G770" i="13"/>
  <c r="J770" i="13" s="1"/>
  <c r="K765" i="1"/>
  <c r="N765" i="1" s="1"/>
  <c r="G793" i="13"/>
  <c r="J793" i="13" s="1"/>
  <c r="K788" i="1"/>
  <c r="N788" i="1" s="1"/>
  <c r="K796" i="1"/>
  <c r="O796" i="1" s="1"/>
  <c r="G801" i="13"/>
  <c r="J801" i="13" s="1"/>
  <c r="M671" i="1"/>
  <c r="K780" i="1"/>
  <c r="N780" i="1" s="1"/>
  <c r="G785" i="13"/>
  <c r="J785" i="13" s="1"/>
  <c r="K801" i="1"/>
  <c r="O801" i="1" s="1"/>
  <c r="G806" i="13"/>
  <c r="J806" i="13" s="1"/>
  <c r="J570" i="13"/>
  <c r="K774" i="1"/>
  <c r="N774" i="1" s="1"/>
  <c r="G779" i="13"/>
  <c r="J779" i="13" s="1"/>
  <c r="J603" i="13"/>
  <c r="J614" i="13" s="1"/>
  <c r="J615" i="13" s="1"/>
  <c r="I94" i="15" s="1"/>
  <c r="I96" i="15" s="1"/>
  <c r="E90" i="15"/>
  <c r="D93" i="15"/>
  <c r="K580" i="1"/>
  <c r="N580" i="1" s="1"/>
  <c r="N570" i="1"/>
  <c r="O564" i="1"/>
  <c r="M849" i="1"/>
  <c r="N700" i="1"/>
  <c r="O700" i="1"/>
  <c r="N811" i="1"/>
  <c r="K814" i="1"/>
  <c r="O814" i="1" s="1"/>
  <c r="G819" i="13"/>
  <c r="J816" i="13"/>
  <c r="J819" i="13" s="1"/>
  <c r="G823" i="13"/>
  <c r="J820" i="13"/>
  <c r="J823" i="13" s="1"/>
  <c r="K751" i="1"/>
  <c r="N751" i="1" s="1"/>
  <c r="G756" i="13"/>
  <c r="J756" i="13" s="1"/>
  <c r="K755" i="1"/>
  <c r="N755" i="1" s="1"/>
  <c r="G760" i="13"/>
  <c r="J760" i="13" s="1"/>
  <c r="K800" i="1"/>
  <c r="O800" i="1" s="1"/>
  <c r="G805" i="13"/>
  <c r="J805" i="13" s="1"/>
  <c r="O660" i="1"/>
  <c r="G802" i="13"/>
  <c r="J802" i="13" s="1"/>
  <c r="K797" i="1"/>
  <c r="O797" i="1" s="1"/>
  <c r="K757" i="1"/>
  <c r="N757" i="1" s="1"/>
  <c r="G762" i="13"/>
  <c r="J762" i="13" s="1"/>
  <c r="M768" i="1"/>
  <c r="O570" i="1"/>
  <c r="O579" i="1"/>
  <c r="L776" i="1"/>
  <c r="G778" i="13"/>
  <c r="K773" i="1"/>
  <c r="O560" i="1"/>
  <c r="O813" i="1"/>
  <c r="J852" i="13"/>
  <c r="J853" i="13" s="1"/>
  <c r="I127" i="15" s="1"/>
  <c r="I129" i="15" s="1"/>
  <c r="O708" i="1"/>
  <c r="O649" i="1"/>
  <c r="O657" i="1"/>
  <c r="G755" i="13"/>
  <c r="J755" i="13" s="1"/>
  <c r="K750" i="1"/>
  <c r="N750" i="1" s="1"/>
  <c r="M581" i="1"/>
  <c r="N643" i="1"/>
  <c r="K646" i="1"/>
  <c r="J648" i="13"/>
  <c r="J651" i="13" s="1"/>
  <c r="G651" i="13"/>
  <c r="G763" i="13"/>
  <c r="J763" i="13" s="1"/>
  <c r="K758" i="1"/>
  <c r="N758" i="1" s="1"/>
  <c r="G667" i="13"/>
  <c r="J660" i="13"/>
  <c r="J667" i="13" s="1"/>
  <c r="N655" i="1"/>
  <c r="K662" i="1"/>
  <c r="N662" i="1" s="1"/>
  <c r="N688" i="1"/>
  <c r="K697" i="1"/>
  <c r="O697" i="1" s="1"/>
  <c r="G799" i="13"/>
  <c r="K794" i="1"/>
  <c r="O794" i="1" s="1"/>
  <c r="L803" i="1"/>
  <c r="G659" i="13"/>
  <c r="J652" i="13"/>
  <c r="J659" i="13" s="1"/>
  <c r="G758" i="13"/>
  <c r="K753" i="1"/>
  <c r="O753" i="1" s="1"/>
  <c r="L760" i="1"/>
  <c r="L686" i="1"/>
  <c r="D106" i="15" s="1"/>
  <c r="E106" i="15" s="1"/>
  <c r="G783" i="13"/>
  <c r="K778" i="1"/>
  <c r="O778" i="1" s="1"/>
  <c r="L782" i="1"/>
  <c r="O667" i="1"/>
  <c r="O757" i="1"/>
  <c r="O696" i="1"/>
  <c r="O652" i="1"/>
  <c r="O648" i="1"/>
  <c r="K789" i="1"/>
  <c r="N789" i="1" s="1"/>
  <c r="G794" i="13"/>
  <c r="J794" i="13" s="1"/>
  <c r="O653" i="1"/>
  <c r="K802" i="1"/>
  <c r="N802" i="1" s="1"/>
  <c r="G807" i="13"/>
  <c r="J807" i="13" s="1"/>
  <c r="O781" i="1"/>
  <c r="O556" i="1"/>
  <c r="M782" i="1"/>
  <c r="N663" i="1"/>
  <c r="K666" i="1"/>
  <c r="N666" i="1" s="1"/>
  <c r="K769" i="1"/>
  <c r="G774" i="13"/>
  <c r="L772" i="1"/>
  <c r="J682" i="13"/>
  <c r="J690" i="13" s="1"/>
  <c r="G690" i="13"/>
  <c r="N677" i="1"/>
  <c r="K685" i="1"/>
  <c r="N685" i="1" s="1"/>
  <c r="N698" i="1"/>
  <c r="K703" i="1"/>
  <c r="O698" i="1"/>
  <c r="J703" i="13"/>
  <c r="J708" i="13" s="1"/>
  <c r="G708" i="13"/>
  <c r="N597" i="1"/>
  <c r="O597" i="1"/>
  <c r="O663" i="1"/>
  <c r="O666" i="1"/>
  <c r="M803" i="1"/>
  <c r="O591" i="1"/>
  <c r="N808" i="1"/>
  <c r="O808" i="1"/>
  <c r="O842" i="1"/>
  <c r="O816" i="1"/>
  <c r="N826" i="1"/>
  <c r="M819" i="1"/>
  <c r="G780" i="13"/>
  <c r="J780" i="13" s="1"/>
  <c r="K775" i="1"/>
  <c r="N775" i="1" s="1"/>
  <c r="O669" i="1"/>
  <c r="O645" i="1"/>
  <c r="O643" i="1"/>
  <c r="M752" i="1"/>
  <c r="K766" i="1"/>
  <c r="N766" i="1" s="1"/>
  <c r="G771" i="13"/>
  <c r="J771" i="13" s="1"/>
  <c r="G570" i="13"/>
  <c r="G776" i="13"/>
  <c r="J776" i="13" s="1"/>
  <c r="K771" i="1"/>
  <c r="N771" i="1" s="1"/>
  <c r="K790" i="1"/>
  <c r="N790" i="1" s="1"/>
  <c r="G795" i="13"/>
  <c r="J795" i="13" s="1"/>
  <c r="K787" i="1"/>
  <c r="N787" i="1" s="1"/>
  <c r="G792" i="13"/>
  <c r="J792" i="13" s="1"/>
  <c r="G800" i="13"/>
  <c r="J800" i="13" s="1"/>
  <c r="K795" i="1"/>
  <c r="N795" i="1" s="1"/>
  <c r="G603" i="13"/>
  <c r="G614" i="13" s="1"/>
  <c r="G615" i="13" s="1"/>
  <c r="F94" i="15" s="1"/>
  <c r="F96" i="15" s="1"/>
  <c r="J585" i="13"/>
  <c r="I91" i="15" s="1"/>
  <c r="O826" i="1"/>
  <c r="K806" i="1"/>
  <c r="G811" i="13"/>
  <c r="J811" i="13" s="1"/>
  <c r="O607" i="1"/>
  <c r="N815" i="1"/>
  <c r="K818" i="1"/>
  <c r="N818" i="1" s="1"/>
  <c r="M704" i="1"/>
  <c r="M715" i="1" s="1"/>
  <c r="D114" i="15"/>
  <c r="E114" i="15" s="1"/>
  <c r="E112" i="15"/>
  <c r="E79" i="15"/>
  <c r="L426" i="1"/>
  <c r="O450" i="1"/>
  <c r="M475" i="1"/>
  <c r="G479" i="13"/>
  <c r="F76" i="15" s="1"/>
  <c r="O355" i="1"/>
  <c r="K371" i="1"/>
  <c r="N355" i="1"/>
  <c r="N464" i="1"/>
  <c r="K474" i="1"/>
  <c r="N474" i="1" s="1"/>
  <c r="O458" i="1"/>
  <c r="N485" i="1"/>
  <c r="K492" i="1"/>
  <c r="M503" i="1"/>
  <c r="E63" i="15"/>
  <c r="O464" i="1"/>
  <c r="O473" i="1"/>
  <c r="J375" i="13"/>
  <c r="J430" i="13" s="1"/>
  <c r="O370" i="1"/>
  <c r="N434" i="1"/>
  <c r="K459" i="1"/>
  <c r="O454" i="1"/>
  <c r="N386" i="1"/>
  <c r="K397" i="1"/>
  <c r="O397" i="1" s="1"/>
  <c r="O398" i="1" s="1"/>
  <c r="F60" i="15"/>
  <c r="F63" i="15" s="1"/>
  <c r="G375" i="13"/>
  <c r="G430" i="13" s="1"/>
  <c r="D66" i="15"/>
  <c r="E66" i="15" s="1"/>
  <c r="E64" i="15"/>
  <c r="O485" i="1"/>
  <c r="G464" i="13"/>
  <c r="L475" i="1"/>
  <c r="L532" i="1" s="1"/>
  <c r="D75" i="15"/>
  <c r="M398" i="1"/>
  <c r="M426" i="1" s="1"/>
  <c r="O434" i="1"/>
  <c r="O501" i="1"/>
  <c r="J479" i="13"/>
  <c r="I76" i="15" s="1"/>
  <c r="J464" i="13"/>
  <c r="I63" i="15"/>
  <c r="L130" i="17"/>
  <c r="N130" i="17" s="1"/>
  <c r="N129" i="17"/>
  <c r="N312" i="17"/>
  <c r="O266" i="1"/>
  <c r="D48" i="15"/>
  <c r="E45" i="15"/>
  <c r="N163" i="1"/>
  <c r="D40" i="15"/>
  <c r="E40" i="15" s="1"/>
  <c r="E33" i="15"/>
  <c r="O189" i="1"/>
  <c r="O190" i="1" s="1"/>
  <c r="K190" i="1"/>
  <c r="K218" i="1" s="1"/>
  <c r="N189" i="1"/>
  <c r="N190" i="1" s="1"/>
  <c r="J297" i="13"/>
  <c r="I49" i="15"/>
  <c r="I51" i="15" s="1"/>
  <c r="O163" i="1"/>
  <c r="M294" i="1"/>
  <c r="M322" i="1" s="1"/>
  <c r="J270" i="13"/>
  <c r="I45" i="15"/>
  <c r="I48" i="15" s="1"/>
  <c r="F45" i="15"/>
  <c r="F48" i="15" s="1"/>
  <c r="F55" i="15" s="1"/>
  <c r="G270" i="13"/>
  <c r="G325" i="13" s="1"/>
  <c r="N282" i="1"/>
  <c r="K293" i="1"/>
  <c r="N251" i="1"/>
  <c r="K267" i="1"/>
  <c r="F115" i="13"/>
  <c r="K43" i="1"/>
  <c r="K59" i="1" s="1"/>
  <c r="O26" i="1"/>
  <c r="J60" i="13"/>
  <c r="J115" i="13" s="1"/>
  <c r="G60" i="13"/>
  <c r="G115" i="13" s="1"/>
  <c r="N28" i="17"/>
  <c r="O58" i="1"/>
  <c r="N69" i="17"/>
  <c r="M69" i="17"/>
  <c r="M37" i="17"/>
  <c r="J70" i="17"/>
  <c r="M70" i="17" s="1"/>
  <c r="N37" i="17"/>
  <c r="G86" i="1"/>
  <c r="G114" i="1" s="1"/>
  <c r="J114" i="1" s="1"/>
  <c r="J85" i="1"/>
  <c r="J86" i="1" s="1"/>
  <c r="N112" i="1"/>
  <c r="N113" i="1" s="1"/>
  <c r="K113" i="1"/>
  <c r="O112" i="1"/>
  <c r="O113" i="1" s="1"/>
  <c r="K85" i="1"/>
  <c r="N74" i="1"/>
  <c r="J59" i="1"/>
  <c r="N83" i="1"/>
  <c r="O83" i="1"/>
  <c r="M86" i="1"/>
  <c r="M59" i="1"/>
  <c r="O834" i="1" l="1"/>
  <c r="M558" i="17"/>
  <c r="J559" i="17"/>
  <c r="N558" i="17"/>
  <c r="G145" i="15"/>
  <c r="J668" i="17"/>
  <c r="M668" i="17" s="1"/>
  <c r="K730" i="17"/>
  <c r="Q668" i="17"/>
  <c r="Q652" i="17"/>
  <c r="K714" i="17"/>
  <c r="J652" i="17"/>
  <c r="M652" i="17" s="1"/>
  <c r="H150" i="15"/>
  <c r="Q578" i="17"/>
  <c r="Q651" i="17"/>
  <c r="K713" i="17"/>
  <c r="J651" i="17"/>
  <c r="M651" i="17" s="1"/>
  <c r="L739" i="17"/>
  <c r="H142" i="15"/>
  <c r="H144" i="15" s="1"/>
  <c r="Q670" i="17"/>
  <c r="K732" i="17"/>
  <c r="J670" i="17"/>
  <c r="M670" i="17" s="1"/>
  <c r="N568" i="17"/>
  <c r="L723" i="17"/>
  <c r="J661" i="17"/>
  <c r="M661" i="17" s="1"/>
  <c r="L707" i="17"/>
  <c r="M1066" i="1"/>
  <c r="M1172" i="1" s="1"/>
  <c r="O892" i="1"/>
  <c r="K726" i="17"/>
  <c r="Q664" i="17"/>
  <c r="J664" i="17"/>
  <c r="M664" i="17" s="1"/>
  <c r="L742" i="17"/>
  <c r="H153" i="15"/>
  <c r="M579" i="17"/>
  <c r="J586" i="17"/>
  <c r="M586" i="17" s="1"/>
  <c r="L587" i="17"/>
  <c r="N586" i="17"/>
  <c r="N575" i="17"/>
  <c r="L713" i="17"/>
  <c r="L706" i="17"/>
  <c r="L725" i="17"/>
  <c r="L719" i="17"/>
  <c r="N657" i="17"/>
  <c r="L728" i="17"/>
  <c r="L1066" i="1"/>
  <c r="G965" i="13"/>
  <c r="J965" i="13" s="1"/>
  <c r="K960" i="1"/>
  <c r="N960" i="1" s="1"/>
  <c r="K721" i="17"/>
  <c r="J659" i="17"/>
  <c r="M659" i="17" s="1"/>
  <c r="Q659" i="17"/>
  <c r="N590" i="17"/>
  <c r="L732" i="17"/>
  <c r="N670" i="17"/>
  <c r="L705" i="17"/>
  <c r="N584" i="17"/>
  <c r="N596" i="17"/>
  <c r="K719" i="17"/>
  <c r="Q657" i="17"/>
  <c r="J657" i="17"/>
  <c r="M657" i="17" s="1"/>
  <c r="K691" i="17"/>
  <c r="Q629" i="17"/>
  <c r="J629" i="17"/>
  <c r="M629" i="17" s="1"/>
  <c r="L740" i="17"/>
  <c r="N607" i="17"/>
  <c r="N454" i="17"/>
  <c r="Q525" i="17"/>
  <c r="Q560" i="17" s="1"/>
  <c r="H139" i="15"/>
  <c r="H141" i="15" s="1"/>
  <c r="Q643" i="17"/>
  <c r="K705" i="17"/>
  <c r="J643" i="17"/>
  <c r="M643" i="17" s="1"/>
  <c r="N574" i="17"/>
  <c r="K742" i="17"/>
  <c r="Q680" i="17"/>
  <c r="J680" i="17"/>
  <c r="M680" i="17" s="1"/>
  <c r="K631" i="17"/>
  <c r="K688" i="17"/>
  <c r="Q626" i="17"/>
  <c r="J626" i="17"/>
  <c r="L712" i="17"/>
  <c r="L682" i="17"/>
  <c r="L683" i="17" s="1"/>
  <c r="M588" i="17"/>
  <c r="K739" i="17"/>
  <c r="Q677" i="17"/>
  <c r="J677" i="17"/>
  <c r="M677" i="17" s="1"/>
  <c r="L692" i="17"/>
  <c r="Q586" i="17"/>
  <c r="Q587" i="17" s="1"/>
  <c r="H154" i="15" s="1"/>
  <c r="H156" i="15" s="1"/>
  <c r="L560" i="17"/>
  <c r="N559" i="17"/>
  <c r="L727" i="17"/>
  <c r="L729" i="17"/>
  <c r="Q646" i="17"/>
  <c r="K708" i="17"/>
  <c r="J646" i="17"/>
  <c r="M646" i="17" s="1"/>
  <c r="Q628" i="17"/>
  <c r="K690" i="17"/>
  <c r="J628" i="17"/>
  <c r="L697" i="17"/>
  <c r="L736" i="17"/>
  <c r="Q635" i="17"/>
  <c r="K697" i="17"/>
  <c r="J635" i="17"/>
  <c r="M635" i="17" s="1"/>
  <c r="L721" i="17"/>
  <c r="N659" i="17"/>
  <c r="N603" i="17"/>
  <c r="O785" i="1"/>
  <c r="O767" i="1"/>
  <c r="O864" i="1"/>
  <c r="K706" i="17"/>
  <c r="Q644" i="17"/>
  <c r="J644" i="17"/>
  <c r="M644" i="17" s="1"/>
  <c r="M507" i="17"/>
  <c r="J516" i="17"/>
  <c r="M516" i="17" s="1"/>
  <c r="K560" i="17"/>
  <c r="G142" i="15"/>
  <c r="G144" i="15" s="1"/>
  <c r="K743" i="17"/>
  <c r="J681" i="17"/>
  <c r="M681" i="17" s="1"/>
  <c r="Q681" i="17"/>
  <c r="L648" i="17"/>
  <c r="L703" i="17"/>
  <c r="K722" i="17"/>
  <c r="Q660" i="17"/>
  <c r="J660" i="17"/>
  <c r="M660" i="17" s="1"/>
  <c r="L735" i="17"/>
  <c r="N673" i="17"/>
  <c r="K689" i="17"/>
  <c r="Q627" i="17"/>
  <c r="J627" i="17"/>
  <c r="M627" i="17" s="1"/>
  <c r="L722" i="17"/>
  <c r="N660" i="17"/>
  <c r="N589" i="17"/>
  <c r="L704" i="17"/>
  <c r="L695" i="17"/>
  <c r="K654" i="17"/>
  <c r="Q592" i="17"/>
  <c r="Q620" i="17" s="1"/>
  <c r="J592" i="17"/>
  <c r="J620" i="17" s="1"/>
  <c r="L733" i="17"/>
  <c r="N671" i="17"/>
  <c r="L726" i="17"/>
  <c r="Q630" i="17"/>
  <c r="K692" i="17"/>
  <c r="J630" i="17"/>
  <c r="M630" i="17" s="1"/>
  <c r="L714" i="17"/>
  <c r="N652" i="17"/>
  <c r="L741" i="17"/>
  <c r="N679" i="17"/>
  <c r="M566" i="17"/>
  <c r="N566" i="17"/>
  <c r="K741" i="17"/>
  <c r="Q679" i="17"/>
  <c r="J679" i="17"/>
  <c r="M679" i="17" s="1"/>
  <c r="J676" i="17"/>
  <c r="K738" i="17"/>
  <c r="Q676" i="17"/>
  <c r="N606" i="17"/>
  <c r="L708" i="17"/>
  <c r="N646" i="17"/>
  <c r="N658" i="17"/>
  <c r="L720" i="17"/>
  <c r="M2212" i="1"/>
  <c r="N724" i="17"/>
  <c r="L786" i="17"/>
  <c r="K698" i="17"/>
  <c r="Q636" i="17"/>
  <c r="J636" i="17"/>
  <c r="M636" i="17" s="1"/>
  <c r="Q678" i="17"/>
  <c r="K740" i="17"/>
  <c r="J678" i="17"/>
  <c r="M678" i="17" s="1"/>
  <c r="L731" i="17"/>
  <c r="K709" i="17"/>
  <c r="Q647" i="17"/>
  <c r="J647" i="17"/>
  <c r="M647" i="17" s="1"/>
  <c r="K720" i="17"/>
  <c r="Q658" i="17"/>
  <c r="J658" i="17"/>
  <c r="M658" i="17" s="1"/>
  <c r="L698" i="17"/>
  <c r="K712" i="17"/>
  <c r="Q650" i="17"/>
  <c r="J650" i="17"/>
  <c r="N650" i="17" s="1"/>
  <c r="K729" i="17"/>
  <c r="J667" i="17"/>
  <c r="M667" i="17" s="1"/>
  <c r="Q667" i="17"/>
  <c r="K727" i="17"/>
  <c r="Q665" i="17"/>
  <c r="J665" i="17"/>
  <c r="M665" i="17" s="1"/>
  <c r="N613" i="17"/>
  <c r="K696" i="17"/>
  <c r="Q634" i="17"/>
  <c r="J634" i="17"/>
  <c r="M634" i="17" s="1"/>
  <c r="J645" i="17"/>
  <c r="K707" i="17"/>
  <c r="Q645" i="17"/>
  <c r="N572" i="17"/>
  <c r="N567" i="17"/>
  <c r="Q674" i="17"/>
  <c r="K736" i="17"/>
  <c r="J674" i="17"/>
  <c r="M674" i="17" s="1"/>
  <c r="K694" i="17"/>
  <c r="K639" i="17"/>
  <c r="G166" i="15" s="1"/>
  <c r="Q632" i="17"/>
  <c r="J632" i="17"/>
  <c r="L689" i="17"/>
  <c r="N627" i="17"/>
  <c r="L699" i="17"/>
  <c r="N637" i="17"/>
  <c r="L717" i="17"/>
  <c r="L743" i="17"/>
  <c r="N681" i="17"/>
  <c r="K733" i="17"/>
  <c r="Q671" i="17"/>
  <c r="J671" i="17"/>
  <c r="M671" i="17" s="1"/>
  <c r="N614" i="17"/>
  <c r="M614" i="17"/>
  <c r="L734" i="17"/>
  <c r="N516" i="17"/>
  <c r="K2103" i="1"/>
  <c r="N2103" i="1" s="1"/>
  <c r="L2212" i="1"/>
  <c r="G2108" i="13"/>
  <c r="J2108" i="13" s="1"/>
  <c r="K725" i="17"/>
  <c r="Q663" i="17"/>
  <c r="J663" i="17"/>
  <c r="M663" i="17" s="1"/>
  <c r="M564" i="17"/>
  <c r="J569" i="17"/>
  <c r="N569" i="17" s="1"/>
  <c r="N497" i="17"/>
  <c r="J498" i="17"/>
  <c r="M497" i="17"/>
  <c r="N577" i="17"/>
  <c r="L688" i="17"/>
  <c r="L631" i="17"/>
  <c r="N626" i="17"/>
  <c r="L700" i="17"/>
  <c r="M570" i="17"/>
  <c r="J577" i="17"/>
  <c r="M577" i="17" s="1"/>
  <c r="Q641" i="17"/>
  <c r="K703" i="17"/>
  <c r="K648" i="17"/>
  <c r="K649" i="17" s="1"/>
  <c r="G169" i="15" s="1"/>
  <c r="G171" i="15" s="1"/>
  <c r="J641" i="17"/>
  <c r="K728" i="17"/>
  <c r="Q666" i="17"/>
  <c r="J666" i="17"/>
  <c r="M666" i="17" s="1"/>
  <c r="N565" i="17"/>
  <c r="K699" i="17"/>
  <c r="Q637" i="17"/>
  <c r="J637" i="17"/>
  <c r="M637" i="17" s="1"/>
  <c r="L709" i="17"/>
  <c r="L862" i="17"/>
  <c r="J525" i="17"/>
  <c r="M525" i="17" s="1"/>
  <c r="N615" i="17"/>
  <c r="K731" i="17"/>
  <c r="J669" i="17"/>
  <c r="M669" i="17" s="1"/>
  <c r="Q669" i="17"/>
  <c r="N605" i="17"/>
  <c r="N602" i="17"/>
  <c r="N619" i="17"/>
  <c r="K735" i="17"/>
  <c r="J673" i="17"/>
  <c r="M673" i="17" s="1"/>
  <c r="Q673" i="17"/>
  <c r="Q516" i="17"/>
  <c r="H135" i="15"/>
  <c r="H138" i="15" s="1"/>
  <c r="H145" i="15" s="1"/>
  <c r="J656" i="17"/>
  <c r="N656" i="17" s="1"/>
  <c r="K718" i="17"/>
  <c r="Q656" i="17"/>
  <c r="K704" i="17"/>
  <c r="Q642" i="17"/>
  <c r="J642" i="17"/>
  <c r="M642" i="17" s="1"/>
  <c r="L730" i="17"/>
  <c r="N668" i="17"/>
  <c r="N524" i="17"/>
  <c r="Q672" i="17"/>
  <c r="K734" i="17"/>
  <c r="J672" i="17"/>
  <c r="M672" i="17" s="1"/>
  <c r="M463" i="17"/>
  <c r="N463" i="17"/>
  <c r="K700" i="17"/>
  <c r="J638" i="17"/>
  <c r="M638" i="17" s="1"/>
  <c r="Q638" i="17"/>
  <c r="N507" i="17"/>
  <c r="N597" i="17"/>
  <c r="K786" i="17"/>
  <c r="Q724" i="17"/>
  <c r="J724" i="17"/>
  <c r="M724" i="17" s="1"/>
  <c r="G150" i="15"/>
  <c r="G153" i="15" s="1"/>
  <c r="G160" i="15" s="1"/>
  <c r="K578" i="17"/>
  <c r="K622" i="17" s="1"/>
  <c r="N588" i="17"/>
  <c r="L752" i="17"/>
  <c r="L639" i="17"/>
  <c r="L694" i="17"/>
  <c r="N632" i="17"/>
  <c r="L737" i="17"/>
  <c r="L578" i="17"/>
  <c r="L622" i="17" s="1"/>
  <c r="K695" i="17"/>
  <c r="Q633" i="17"/>
  <c r="J633" i="17"/>
  <c r="M633" i="17" s="1"/>
  <c r="K717" i="17"/>
  <c r="J655" i="17"/>
  <c r="M655" i="17" s="1"/>
  <c r="Q655" i="17"/>
  <c r="K737" i="17"/>
  <c r="J675" i="17"/>
  <c r="M675" i="17" s="1"/>
  <c r="Q675" i="17"/>
  <c r="J587" i="17"/>
  <c r="M587" i="17" s="1"/>
  <c r="L696" i="17"/>
  <c r="N634" i="17"/>
  <c r="L691" i="17"/>
  <c r="N629" i="17"/>
  <c r="O854" i="1"/>
  <c r="I1560" i="16"/>
  <c r="J277" i="15" s="1"/>
  <c r="J279" i="15" s="1"/>
  <c r="I1690" i="16"/>
  <c r="J301" i="15" s="1"/>
  <c r="I1709" i="16"/>
  <c r="F1803" i="16"/>
  <c r="I1708" i="16"/>
  <c r="I1722" i="16" s="1"/>
  <c r="J304" i="15" s="1"/>
  <c r="J306" i="15" s="1"/>
  <c r="F1802" i="16"/>
  <c r="I1729" i="16"/>
  <c r="F1823" i="16"/>
  <c r="I1867" i="16"/>
  <c r="I1925" i="16"/>
  <c r="F1914" i="16"/>
  <c r="I1914" i="16" s="1"/>
  <c r="I1808" i="16"/>
  <c r="F1904" i="16"/>
  <c r="I1904" i="16" s="1"/>
  <c r="I1804" i="16"/>
  <c r="F1918" i="16"/>
  <c r="I1918" i="16" s="1"/>
  <c r="I1812" i="16"/>
  <c r="I1782" i="16"/>
  <c r="F1877" i="16"/>
  <c r="I1877" i="16" s="1"/>
  <c r="F1900" i="16"/>
  <c r="I1900" i="16" s="1"/>
  <c r="I1800" i="16"/>
  <c r="I1774" i="16"/>
  <c r="F1869" i="16"/>
  <c r="I1869" i="16" s="1"/>
  <c r="F1898" i="16"/>
  <c r="I1798" i="16"/>
  <c r="F1920" i="16"/>
  <c r="I1920" i="16" s="1"/>
  <c r="I1814" i="16"/>
  <c r="F1916" i="16"/>
  <c r="I1916" i="16" s="1"/>
  <c r="I1810" i="16"/>
  <c r="F1906" i="16"/>
  <c r="I1906" i="16" s="1"/>
  <c r="I1806" i="16"/>
  <c r="F1878" i="16"/>
  <c r="I1878" i="16" s="1"/>
  <c r="I1783" i="16"/>
  <c r="F1854" i="16"/>
  <c r="I1854" i="16" s="1"/>
  <c r="I1760" i="16"/>
  <c r="F1852" i="16"/>
  <c r="I1852" i="16" s="1"/>
  <c r="I1758" i="16"/>
  <c r="F1874" i="16"/>
  <c r="I1874" i="16" s="1"/>
  <c r="I1779" i="16"/>
  <c r="F1870" i="16"/>
  <c r="I1870" i="16" s="1"/>
  <c r="I1775" i="16"/>
  <c r="F1868" i="16"/>
  <c r="I1868" i="16" s="1"/>
  <c r="I1773" i="16"/>
  <c r="F1856" i="16"/>
  <c r="I1856" i="16" s="1"/>
  <c r="I1762" i="16"/>
  <c r="F1853" i="16"/>
  <c r="I1853" i="16" s="1"/>
  <c r="I1759" i="16"/>
  <c r="I1778" i="16"/>
  <c r="F1873" i="16"/>
  <c r="I1873" i="16" s="1"/>
  <c r="F1858" i="16"/>
  <c r="I1858" i="16" s="1"/>
  <c r="I1764" i="16"/>
  <c r="I1815" i="16"/>
  <c r="F1921" i="16"/>
  <c r="I1921" i="16" s="1"/>
  <c r="F1919" i="16"/>
  <c r="I1919" i="16" s="1"/>
  <c r="I1813" i="16"/>
  <c r="F1917" i="16"/>
  <c r="I1917" i="16" s="1"/>
  <c r="I1811" i="16"/>
  <c r="F1915" i="16"/>
  <c r="I1915" i="16" s="1"/>
  <c r="I1809" i="16"/>
  <c r="F1913" i="16"/>
  <c r="I1913" i="16" s="1"/>
  <c r="I1807" i="16"/>
  <c r="F1905" i="16"/>
  <c r="I1905" i="16" s="1"/>
  <c r="I1805" i="16"/>
  <c r="F1901" i="16"/>
  <c r="I1901" i="16" s="1"/>
  <c r="I1801" i="16"/>
  <c r="F1899" i="16"/>
  <c r="I1899" i="16" s="1"/>
  <c r="I1799" i="16"/>
  <c r="I1780" i="16"/>
  <c r="F1875" i="16"/>
  <c r="I1875" i="16" s="1"/>
  <c r="F1863" i="16"/>
  <c r="I1863" i="16" s="1"/>
  <c r="I1768" i="16"/>
  <c r="F1862" i="16"/>
  <c r="I1862" i="16" s="1"/>
  <c r="I1767" i="16"/>
  <c r="F1859" i="16"/>
  <c r="I1859" i="16" s="1"/>
  <c r="I1765" i="16"/>
  <c r="F1857" i="16"/>
  <c r="I1857" i="16" s="1"/>
  <c r="I1763" i="16"/>
  <c r="F1784" i="16"/>
  <c r="F70" i="15"/>
  <c r="O770" i="1"/>
  <c r="O765" i="1"/>
  <c r="M687" i="1"/>
  <c r="J930" i="13"/>
  <c r="O857" i="1"/>
  <c r="F1722" i="16"/>
  <c r="F1568" i="16"/>
  <c r="I1476" i="16"/>
  <c r="I1633" i="16"/>
  <c r="F1727" i="16"/>
  <c r="F1821" i="16" s="1"/>
  <c r="F1737" i="16"/>
  <c r="I1643" i="16"/>
  <c r="F1735" i="16"/>
  <c r="I1641" i="16"/>
  <c r="F1733" i="16"/>
  <c r="I1639" i="16"/>
  <c r="F1731" i="16"/>
  <c r="I1637" i="16"/>
  <c r="F1745" i="16"/>
  <c r="I1651" i="16"/>
  <c r="F1652" i="16"/>
  <c r="F1738" i="16"/>
  <c r="I1644" i="16"/>
  <c r="F1744" i="16"/>
  <c r="I1650" i="16"/>
  <c r="F1728" i="16"/>
  <c r="I1634" i="16"/>
  <c r="F1740" i="16"/>
  <c r="I1646" i="16"/>
  <c r="F1736" i="16"/>
  <c r="I1642" i="16"/>
  <c r="F1734" i="16"/>
  <c r="I1640" i="16"/>
  <c r="F1732" i="16"/>
  <c r="I1638" i="16"/>
  <c r="F1730" i="16"/>
  <c r="I1636" i="16"/>
  <c r="F1743" i="16"/>
  <c r="I1649" i="16"/>
  <c r="F1741" i="16"/>
  <c r="I1647" i="16"/>
  <c r="F1739" i="16"/>
  <c r="I1645" i="16"/>
  <c r="O1043" i="1"/>
  <c r="O1155" i="1"/>
  <c r="G930" i="13"/>
  <c r="O1161" i="1"/>
  <c r="O895" i="1"/>
  <c r="O856" i="1"/>
  <c r="O474" i="1"/>
  <c r="O869" i="1"/>
  <c r="O1164" i="1"/>
  <c r="I70" i="15"/>
  <c r="O940" i="1"/>
  <c r="O891" i="1"/>
  <c r="O870" i="1"/>
  <c r="O863" i="1"/>
  <c r="I1207" i="16"/>
  <c r="I1218" i="16" s="1"/>
  <c r="F1297" i="16"/>
  <c r="F1388" i="16" s="1"/>
  <c r="F1218" i="16"/>
  <c r="F1240" i="16" s="1"/>
  <c r="F1289" i="16" s="1"/>
  <c r="I1117" i="16"/>
  <c r="I1128" i="16" s="1"/>
  <c r="F1128" i="16"/>
  <c r="F1150" i="16" s="1"/>
  <c r="F1199" i="16" s="1"/>
  <c r="J195" i="15"/>
  <c r="J198" i="15" s="1"/>
  <c r="J205" i="15" s="1"/>
  <c r="I1060" i="16"/>
  <c r="I1109" i="16" s="1"/>
  <c r="J1162" i="13"/>
  <c r="D159" i="15"/>
  <c r="E159" i="15" s="1"/>
  <c r="E157" i="15"/>
  <c r="M1074" i="1"/>
  <c r="M1085" i="1"/>
  <c r="O890" i="1"/>
  <c r="M1084" i="1"/>
  <c r="L1118" i="1"/>
  <c r="G1017" i="13"/>
  <c r="J1017" i="13" s="1"/>
  <c r="K1012" i="1"/>
  <c r="O1012" i="1" s="1"/>
  <c r="K967" i="1"/>
  <c r="N967" i="1" s="1"/>
  <c r="L1073" i="1"/>
  <c r="G972" i="13"/>
  <c r="J972" i="13" s="1"/>
  <c r="L1069" i="1"/>
  <c r="G968" i="13"/>
  <c r="J968" i="13" s="1"/>
  <c r="K963" i="1"/>
  <c r="N963" i="1" s="1"/>
  <c r="M1021" i="1"/>
  <c r="M1122" i="1"/>
  <c r="L1241" i="1"/>
  <c r="K1135" i="1"/>
  <c r="N1135" i="1" s="1"/>
  <c r="G1140" i="13"/>
  <c r="J1140" i="13" s="1"/>
  <c r="K1130" i="1"/>
  <c r="N1130" i="1" s="1"/>
  <c r="L1236" i="1"/>
  <c r="G1135" i="13"/>
  <c r="J1135" i="13" s="1"/>
  <c r="M1237" i="1"/>
  <c r="M1152" i="1"/>
  <c r="M1256" i="1"/>
  <c r="K1256" i="1" s="1"/>
  <c r="K1270" i="1"/>
  <c r="N1270" i="1" s="1"/>
  <c r="L1376" i="1"/>
  <c r="G1274" i="13"/>
  <c r="M1363" i="1"/>
  <c r="M1367" i="1"/>
  <c r="O1154" i="1"/>
  <c r="M1241" i="1"/>
  <c r="M1230" i="1"/>
  <c r="N1020" i="1"/>
  <c r="O1020" i="1"/>
  <c r="M1460" i="1"/>
  <c r="M1567" i="1" s="1"/>
  <c r="K1265" i="1"/>
  <c r="L1371" i="1"/>
  <c r="G1269" i="13"/>
  <c r="N1145" i="1"/>
  <c r="L1357" i="1"/>
  <c r="G1256" i="13"/>
  <c r="K1251" i="1"/>
  <c r="O1251" i="1" s="1"/>
  <c r="G1149" i="13"/>
  <c r="J1146" i="13"/>
  <c r="J1149" i="13" s="1"/>
  <c r="K1144" i="1"/>
  <c r="N1141" i="1"/>
  <c r="O1141" i="1"/>
  <c r="N1038" i="1"/>
  <c r="M1338" i="1"/>
  <c r="M1373" i="1"/>
  <c r="O1125" i="1"/>
  <c r="K983" i="1"/>
  <c r="N983" i="1" s="1"/>
  <c r="L1089" i="1"/>
  <c r="G988" i="13"/>
  <c r="J988" i="13" s="1"/>
  <c r="M1108" i="1"/>
  <c r="K978" i="1"/>
  <c r="N978" i="1" s="1"/>
  <c r="L1084" i="1"/>
  <c r="G983" i="13"/>
  <c r="J983" i="13" s="1"/>
  <c r="M883" i="1"/>
  <c r="M1105" i="1"/>
  <c r="N910" i="1"/>
  <c r="K915" i="1"/>
  <c r="G920" i="13"/>
  <c r="J915" i="13"/>
  <c r="J920" i="13" s="1"/>
  <c r="N889" i="1"/>
  <c r="K897" i="1"/>
  <c r="N897" i="1" s="1"/>
  <c r="L1101" i="1"/>
  <c r="G1000" i="13"/>
  <c r="K995" i="1"/>
  <c r="O995" i="1" s="1"/>
  <c r="L1003" i="1"/>
  <c r="L1117" i="1"/>
  <c r="G1016" i="13"/>
  <c r="J1016" i="13" s="1"/>
  <c r="K1011" i="1"/>
  <c r="O1011" i="1" s="1"/>
  <c r="L1099" i="1"/>
  <c r="G998" i="13"/>
  <c r="J998" i="13" s="1"/>
  <c r="K993" i="1"/>
  <c r="N993" i="1" s="1"/>
  <c r="O865" i="1"/>
  <c r="M1072" i="1"/>
  <c r="L1081" i="1"/>
  <c r="K975" i="1"/>
  <c r="N975" i="1" s="1"/>
  <c r="G980" i="13"/>
  <c r="J980" i="13" s="1"/>
  <c r="G879" i="13"/>
  <c r="J872" i="13"/>
  <c r="J879" i="13" s="1"/>
  <c r="L980" i="1"/>
  <c r="L1079" i="1"/>
  <c r="K973" i="1"/>
  <c r="O973" i="1" s="1"/>
  <c r="G978" i="13"/>
  <c r="M1104" i="1"/>
  <c r="M1083" i="1"/>
  <c r="J860" i="13"/>
  <c r="J863" i="13" s="1"/>
  <c r="G863" i="13"/>
  <c r="K985" i="1"/>
  <c r="L1091" i="1"/>
  <c r="G990" i="13"/>
  <c r="L988" i="1"/>
  <c r="K998" i="1"/>
  <c r="N998" i="1" s="1"/>
  <c r="L1104" i="1"/>
  <c r="G1003" i="13"/>
  <c r="J1003" i="13" s="1"/>
  <c r="L1097" i="1"/>
  <c r="G996" i="13"/>
  <c r="J996" i="13" s="1"/>
  <c r="K991" i="1"/>
  <c r="N991" i="1" s="1"/>
  <c r="K1009" i="1"/>
  <c r="L1115" i="1"/>
  <c r="G1014" i="13"/>
  <c r="J1014" i="13" s="1"/>
  <c r="M1097" i="1"/>
  <c r="K976" i="1"/>
  <c r="N976" i="1" s="1"/>
  <c r="L1082" i="1"/>
  <c r="G981" i="13"/>
  <c r="J981" i="13" s="1"/>
  <c r="K966" i="1"/>
  <c r="N966" i="1" s="1"/>
  <c r="L1072" i="1"/>
  <c r="G971" i="13"/>
  <c r="J971" i="13" s="1"/>
  <c r="L1085" i="1"/>
  <c r="K979" i="1"/>
  <c r="N979" i="1" s="1"/>
  <c r="G984" i="13"/>
  <c r="J984" i="13" s="1"/>
  <c r="G1370" i="13"/>
  <c r="L1472" i="1"/>
  <c r="L1579" i="1" s="1"/>
  <c r="L1363" i="1"/>
  <c r="G1262" i="13"/>
  <c r="J1262" i="13" s="1"/>
  <c r="K1257" i="1"/>
  <c r="N1257" i="1" s="1"/>
  <c r="G1157" i="13"/>
  <c r="J1155" i="13"/>
  <c r="J1157" i="13" s="1"/>
  <c r="M1371" i="1"/>
  <c r="K1253" i="1"/>
  <c r="N1253" i="1" s="1"/>
  <c r="L1359" i="1"/>
  <c r="G1258" i="13"/>
  <c r="J1258" i="13" s="1"/>
  <c r="K1254" i="1"/>
  <c r="N1254" i="1" s="1"/>
  <c r="L1360" i="1"/>
  <c r="G1259" i="13"/>
  <c r="J1259" i="13" s="1"/>
  <c r="M1355" i="1"/>
  <c r="K1052" i="1"/>
  <c r="N1052" i="1" s="1"/>
  <c r="N1047" i="1"/>
  <c r="O1145" i="1"/>
  <c r="G1035" i="13"/>
  <c r="J1032" i="13"/>
  <c r="J1035" i="13" s="1"/>
  <c r="L1031" i="1"/>
  <c r="G1031" i="13"/>
  <c r="J1028" i="13"/>
  <c r="J1031" i="13" s="1"/>
  <c r="K925" i="1"/>
  <c r="N925" i="1" s="1"/>
  <c r="N920" i="1"/>
  <c r="O924" i="1"/>
  <c r="K1134" i="1"/>
  <c r="N1134" i="1" s="1"/>
  <c r="L1240" i="1"/>
  <c r="G1139" i="13"/>
  <c r="J1139" i="13" s="1"/>
  <c r="L1237" i="1"/>
  <c r="K1131" i="1"/>
  <c r="N1131" i="1" s="1"/>
  <c r="G1136" i="13"/>
  <c r="J1136" i="13" s="1"/>
  <c r="M1132" i="1"/>
  <c r="M1235" i="1"/>
  <c r="N1051" i="1"/>
  <c r="O1051" i="1"/>
  <c r="M1240" i="1"/>
  <c r="M1236" i="1"/>
  <c r="O1038" i="1"/>
  <c r="M1368" i="1"/>
  <c r="M1360" i="1"/>
  <c r="K1267" i="1"/>
  <c r="N1267" i="1" s="1"/>
  <c r="L1373" i="1"/>
  <c r="G1271" i="13"/>
  <c r="J1271" i="13" s="1"/>
  <c r="K1248" i="1"/>
  <c r="L1354" i="1"/>
  <c r="G1253" i="13"/>
  <c r="J1253" i="13" s="1"/>
  <c r="J1048" i="13"/>
  <c r="J1064" i="13" s="1"/>
  <c r="J1065" i="13" s="1"/>
  <c r="I157" i="15" s="1"/>
  <c r="I159" i="15" s="1"/>
  <c r="O1147" i="1"/>
  <c r="K1018" i="1"/>
  <c r="L1124" i="1"/>
  <c r="G1023" i="13"/>
  <c r="J1023" i="13" s="1"/>
  <c r="K1007" i="1"/>
  <c r="N1007" i="1" s="1"/>
  <c r="L1113" i="1"/>
  <c r="G1012" i="13"/>
  <c r="J1012" i="13" s="1"/>
  <c r="L1105" i="1"/>
  <c r="G1004" i="13"/>
  <c r="J1004" i="13" s="1"/>
  <c r="K999" i="1"/>
  <c r="N999" i="1" s="1"/>
  <c r="M1092" i="1"/>
  <c r="L1092" i="1"/>
  <c r="G991" i="13"/>
  <c r="J991" i="13" s="1"/>
  <c r="K986" i="1"/>
  <c r="N986" i="1" s="1"/>
  <c r="M1089" i="1"/>
  <c r="M1093" i="1"/>
  <c r="K987" i="1"/>
  <c r="N987" i="1" s="1"/>
  <c r="L1093" i="1"/>
  <c r="G992" i="13"/>
  <c r="J992" i="13" s="1"/>
  <c r="M1015" i="1"/>
  <c r="M1112" i="1"/>
  <c r="M1087" i="1"/>
  <c r="M984" i="1"/>
  <c r="G883" i="13"/>
  <c r="J880" i="13"/>
  <c r="J883" i="13" s="1"/>
  <c r="M898" i="1"/>
  <c r="O894" i="1"/>
  <c r="O887" i="1"/>
  <c r="K982" i="1"/>
  <c r="N982" i="1" s="1"/>
  <c r="L1088" i="1"/>
  <c r="G987" i="13"/>
  <c r="J987" i="13" s="1"/>
  <c r="M1117" i="1"/>
  <c r="M1076" i="1"/>
  <c r="M1120" i="1"/>
  <c r="M1091" i="1"/>
  <c r="M988" i="1"/>
  <c r="K888" i="1"/>
  <c r="N884" i="1"/>
  <c r="L1096" i="1"/>
  <c r="G995" i="13"/>
  <c r="L994" i="1"/>
  <c r="K990" i="1"/>
  <c r="O990" i="1" s="1"/>
  <c r="G871" i="13"/>
  <c r="J864" i="13"/>
  <c r="J871" i="13" s="1"/>
  <c r="N859" i="1"/>
  <c r="K866" i="1"/>
  <c r="N866" i="1" s="1"/>
  <c r="N900" i="1"/>
  <c r="K909" i="1"/>
  <c r="N909" i="1" s="1"/>
  <c r="L1112" i="1"/>
  <c r="K1006" i="1"/>
  <c r="O1006" i="1" s="1"/>
  <c r="G1011" i="13"/>
  <c r="L1015" i="1"/>
  <c r="M1113" i="1"/>
  <c r="M1115" i="1"/>
  <c r="O1009" i="1"/>
  <c r="M1088" i="1"/>
  <c r="L1076" i="1"/>
  <c r="G975" i="13"/>
  <c r="J975" i="13" s="1"/>
  <c r="K970" i="1"/>
  <c r="N970" i="1" s="1"/>
  <c r="M1119" i="1"/>
  <c r="O868" i="1"/>
  <c r="K962" i="1"/>
  <c r="N962" i="1" s="1"/>
  <c r="L1068" i="1"/>
  <c r="G967" i="13"/>
  <c r="J967" i="13" s="1"/>
  <c r="O967" i="1"/>
  <c r="M1073" i="1"/>
  <c r="O1025" i="1"/>
  <c r="O1046" i="1"/>
  <c r="M1461" i="1"/>
  <c r="M1568" i="1" s="1"/>
  <c r="G1162" i="13"/>
  <c r="M1375" i="1"/>
  <c r="M1271" i="1"/>
  <c r="K1262" i="1"/>
  <c r="N1262" i="1" s="1"/>
  <c r="L1368" i="1"/>
  <c r="G1267" i="13"/>
  <c r="J1267" i="13" s="1"/>
  <c r="K1260" i="1"/>
  <c r="N1260" i="1" s="1"/>
  <c r="L1366" i="1"/>
  <c r="G1265" i="13"/>
  <c r="J1265" i="13" s="1"/>
  <c r="G1376" i="13"/>
  <c r="J1376" i="13" s="1"/>
  <c r="L1479" i="1"/>
  <c r="L1586" i="1" s="1"/>
  <c r="N1163" i="1"/>
  <c r="K1165" i="1"/>
  <c r="N1165" i="1" s="1"/>
  <c r="L1271" i="1"/>
  <c r="G1275" i="13" s="1"/>
  <c r="L1375" i="1"/>
  <c r="G1273" i="13"/>
  <c r="K1269" i="1"/>
  <c r="O946" i="1"/>
  <c r="M1366" i="1"/>
  <c r="M1358" i="1"/>
  <c r="O1029" i="1"/>
  <c r="M1136" i="1"/>
  <c r="M1239" i="1"/>
  <c r="K1126" i="1"/>
  <c r="L1232" i="1"/>
  <c r="G1131" i="13"/>
  <c r="J1131" i="13" s="1"/>
  <c r="M1250" i="1"/>
  <c r="O950" i="1"/>
  <c r="G1166" i="13"/>
  <c r="J1163" i="13"/>
  <c r="J1166" i="13" s="1"/>
  <c r="N1159" i="1"/>
  <c r="J1150" i="13"/>
  <c r="L1166" i="1"/>
  <c r="L1167" i="1" s="1"/>
  <c r="D172" i="15" s="1"/>
  <c r="L1353" i="1"/>
  <c r="G1252" i="13"/>
  <c r="K1247" i="1"/>
  <c r="L1250" i="1"/>
  <c r="M1337" i="1"/>
  <c r="K1231" i="1"/>
  <c r="N1231" i="1" s="1"/>
  <c r="K1002" i="1"/>
  <c r="N1002" i="1" s="1"/>
  <c r="L1108" i="1"/>
  <c r="G1007" i="13"/>
  <c r="J1007" i="13" s="1"/>
  <c r="M1098" i="1"/>
  <c r="O896" i="1"/>
  <c r="M964" i="1"/>
  <c r="M1067" i="1"/>
  <c r="M1069" i="1"/>
  <c r="L1083" i="1"/>
  <c r="K977" i="1"/>
  <c r="N977" i="1" s="1"/>
  <c r="G982" i="13"/>
  <c r="J982" i="13" s="1"/>
  <c r="K971" i="1"/>
  <c r="N971" i="1" s="1"/>
  <c r="L1077" i="1"/>
  <c r="G976" i="13"/>
  <c r="J976" i="13" s="1"/>
  <c r="L1122" i="1"/>
  <c r="G1021" i="13"/>
  <c r="K1016" i="1"/>
  <c r="L1021" i="1"/>
  <c r="G902" i="13"/>
  <c r="J894" i="13"/>
  <c r="J902" i="13" s="1"/>
  <c r="O889" i="1"/>
  <c r="M1101" i="1"/>
  <c r="M1003" i="1"/>
  <c r="L1120" i="1"/>
  <c r="G1019" i="13"/>
  <c r="J1019" i="13" s="1"/>
  <c r="K1014" i="1"/>
  <c r="N1014" i="1" s="1"/>
  <c r="M1107" i="1"/>
  <c r="M1077" i="1"/>
  <c r="L1103" i="1"/>
  <c r="G1002" i="13"/>
  <c r="J1002" i="13" s="1"/>
  <c r="K997" i="1"/>
  <c r="N997" i="1" s="1"/>
  <c r="K974" i="1"/>
  <c r="N974" i="1" s="1"/>
  <c r="L1080" i="1"/>
  <c r="G979" i="13"/>
  <c r="J979" i="13" s="1"/>
  <c r="M1116" i="1"/>
  <c r="O866" i="1"/>
  <c r="M972" i="1"/>
  <c r="M1071" i="1"/>
  <c r="N867" i="1"/>
  <c r="K874" i="1"/>
  <c r="N874" i="1" s="1"/>
  <c r="L1116" i="1"/>
  <c r="G1015" i="13"/>
  <c r="J1015" i="13" s="1"/>
  <c r="K1010" i="1"/>
  <c r="O1010" i="1" s="1"/>
  <c r="O871" i="1"/>
  <c r="N855" i="1"/>
  <c r="K858" i="1"/>
  <c r="L1067" i="1"/>
  <c r="G966" i="13"/>
  <c r="K961" i="1"/>
  <c r="L964" i="1"/>
  <c r="L1074" i="1"/>
  <c r="K968" i="1"/>
  <c r="N968" i="1" s="1"/>
  <c r="G973" i="13"/>
  <c r="J973" i="13" s="1"/>
  <c r="M1114" i="1"/>
  <c r="K996" i="1"/>
  <c r="N996" i="1" s="1"/>
  <c r="L1102" i="1"/>
  <c r="G1001" i="13"/>
  <c r="J1001" i="13" s="1"/>
  <c r="M1081" i="1"/>
  <c r="M1068" i="1"/>
  <c r="G887" i="13"/>
  <c r="J884" i="13"/>
  <c r="J887" i="13" s="1"/>
  <c r="K882" i="1"/>
  <c r="N882" i="1" s="1"/>
  <c r="N879" i="1"/>
  <c r="M980" i="1"/>
  <c r="M1079" i="1"/>
  <c r="K969" i="1"/>
  <c r="N969" i="1" s="1"/>
  <c r="L1075" i="1"/>
  <c r="G974" i="13"/>
  <c r="J974" i="13" s="1"/>
  <c r="O885" i="1"/>
  <c r="J1264" i="13"/>
  <c r="K1150" i="1"/>
  <c r="O1150" i="1" s="1"/>
  <c r="L1362" i="1"/>
  <c r="G1261" i="13"/>
  <c r="L1258" i="1"/>
  <c r="O1159" i="1"/>
  <c r="K1249" i="1"/>
  <c r="N1249" i="1" s="1"/>
  <c r="L1355" i="1"/>
  <c r="G1254" i="13"/>
  <c r="J1254" i="13" s="1"/>
  <c r="O1143" i="1"/>
  <c r="M1376" i="1"/>
  <c r="O1047" i="1"/>
  <c r="M1158" i="1"/>
  <c r="M1259" i="1"/>
  <c r="K1153" i="1"/>
  <c r="K954" i="1"/>
  <c r="M1357" i="1"/>
  <c r="M1255" i="1"/>
  <c r="M1369" i="1"/>
  <c r="L1367" i="1"/>
  <c r="G1266" i="13"/>
  <c r="J1266" i="13" s="1"/>
  <c r="K1261" i="1"/>
  <c r="N1261" i="1" s="1"/>
  <c r="N1027" i="1"/>
  <c r="K1030" i="1"/>
  <c r="N1030" i="1" s="1"/>
  <c r="L1136" i="1"/>
  <c r="L1239" i="1"/>
  <c r="K1133" i="1"/>
  <c r="G1138" i="13"/>
  <c r="N1023" i="1"/>
  <c r="K1026" i="1"/>
  <c r="O1026" i="1" s="1"/>
  <c r="L1235" i="1"/>
  <c r="K1129" i="1"/>
  <c r="G1134" i="13"/>
  <c r="L1132" i="1"/>
  <c r="O1023" i="1"/>
  <c r="M1031" i="1"/>
  <c r="L1263" i="1"/>
  <c r="K1157" i="1"/>
  <c r="O1028" i="1"/>
  <c r="O1024" i="1"/>
  <c r="K1056" i="1"/>
  <c r="N1056" i="1" s="1"/>
  <c r="N1054" i="1"/>
  <c r="M1266" i="1"/>
  <c r="K1160" i="1"/>
  <c r="N1160" i="1" s="1"/>
  <c r="M1060" i="1"/>
  <c r="O1156" i="1"/>
  <c r="O1148" i="1"/>
  <c r="N1142" i="1"/>
  <c r="O1142" i="1"/>
  <c r="N1040" i="1"/>
  <c r="O1040" i="1"/>
  <c r="K1146" i="1"/>
  <c r="K1149" i="1" s="1"/>
  <c r="L1252" i="1"/>
  <c r="G1151" i="13"/>
  <c r="J1151" i="13" s="1"/>
  <c r="G1048" i="13"/>
  <c r="G1064" i="13" s="1"/>
  <c r="G1065" i="13" s="1"/>
  <c r="F157" i="15" s="1"/>
  <c r="F159" i="15" s="1"/>
  <c r="M1359" i="1"/>
  <c r="N912" i="1"/>
  <c r="O912" i="1"/>
  <c r="O877" i="1"/>
  <c r="L1119" i="1"/>
  <c r="G1018" i="13"/>
  <c r="J1018" i="13" s="1"/>
  <c r="K1013" i="1"/>
  <c r="O1013" i="1" s="1"/>
  <c r="L1098" i="1"/>
  <c r="G997" i="13"/>
  <c r="J997" i="13" s="1"/>
  <c r="K992" i="1"/>
  <c r="N992" i="1" s="1"/>
  <c r="K1008" i="1"/>
  <c r="O1008" i="1" s="1"/>
  <c r="L1114" i="1"/>
  <c r="G1013" i="13"/>
  <c r="J1013" i="13" s="1"/>
  <c r="G1005" i="13"/>
  <c r="J1005" i="13" s="1"/>
  <c r="L1106" i="1"/>
  <c r="K1000" i="1"/>
  <c r="N1000" i="1" s="1"/>
  <c r="M916" i="1"/>
  <c r="N875" i="1"/>
  <c r="K878" i="1"/>
  <c r="N878" i="1" s="1"/>
  <c r="L1087" i="1"/>
  <c r="G986" i="13"/>
  <c r="K981" i="1"/>
  <c r="O981" i="1" s="1"/>
  <c r="L984" i="1"/>
  <c r="O884" i="1"/>
  <c r="M1096" i="1"/>
  <c r="M994" i="1"/>
  <c r="M1106" i="1"/>
  <c r="O1000" i="1"/>
  <c r="M1099" i="1"/>
  <c r="L1107" i="1"/>
  <c r="G1006" i="13"/>
  <c r="J1006" i="13" s="1"/>
  <c r="K1001" i="1"/>
  <c r="N1001" i="1" s="1"/>
  <c r="O908" i="1"/>
  <c r="M1075" i="1"/>
  <c r="L898" i="1"/>
  <c r="D136" i="15" s="1"/>
  <c r="E136" i="15" s="1"/>
  <c r="G893" i="13"/>
  <c r="J889" i="13"/>
  <c r="J893" i="13" s="1"/>
  <c r="L883" i="1"/>
  <c r="K965" i="1"/>
  <c r="L1071" i="1"/>
  <c r="G970" i="13"/>
  <c r="L972" i="1"/>
  <c r="L916" i="1"/>
  <c r="L927" i="1" s="1"/>
  <c r="L928" i="1" s="1"/>
  <c r="D139" i="15" s="1"/>
  <c r="J905" i="13"/>
  <c r="J914" i="13" s="1"/>
  <c r="G914" i="13"/>
  <c r="O901" i="1"/>
  <c r="O876" i="1"/>
  <c r="M1103" i="1"/>
  <c r="M1080" i="1"/>
  <c r="M1082" i="1"/>
  <c r="M1118" i="1"/>
  <c r="O862" i="1"/>
  <c r="O873" i="1"/>
  <c r="M1102" i="1"/>
  <c r="O872" i="1"/>
  <c r="O910" i="1"/>
  <c r="O915" i="1"/>
  <c r="O780" i="1"/>
  <c r="M638" i="1"/>
  <c r="K848" i="1"/>
  <c r="K849" i="1" s="1"/>
  <c r="L792" i="1"/>
  <c r="D121" i="15" s="1"/>
  <c r="E121" i="15" s="1"/>
  <c r="O786" i="1"/>
  <c r="O764" i="1"/>
  <c r="L810" i="1"/>
  <c r="L821" i="1" s="1"/>
  <c r="D124" i="15" s="1"/>
  <c r="L687" i="1"/>
  <c r="O662" i="1"/>
  <c r="O748" i="1"/>
  <c r="N806" i="1"/>
  <c r="O806" i="1"/>
  <c r="F90" i="15"/>
  <c r="F93" i="15" s="1"/>
  <c r="F100" i="15" s="1"/>
  <c r="G586" i="13"/>
  <c r="G642" i="13" s="1"/>
  <c r="O787" i="1"/>
  <c r="M810" i="1"/>
  <c r="M821" i="1" s="1"/>
  <c r="N703" i="1"/>
  <c r="O703" i="1"/>
  <c r="K772" i="1"/>
  <c r="N772" i="1" s="1"/>
  <c r="N769" i="1"/>
  <c r="G787" i="13"/>
  <c r="J783" i="13"/>
  <c r="J787" i="13" s="1"/>
  <c r="G765" i="13"/>
  <c r="J758" i="13"/>
  <c r="J765" i="13" s="1"/>
  <c r="L822" i="1"/>
  <c r="G808" i="13"/>
  <c r="J799" i="13"/>
  <c r="J808" i="13" s="1"/>
  <c r="G676" i="13"/>
  <c r="O646" i="1"/>
  <c r="N646" i="1"/>
  <c r="K671" i="1"/>
  <c r="K776" i="1"/>
  <c r="N776" i="1" s="1"/>
  <c r="N773" i="1"/>
  <c r="G824" i="13"/>
  <c r="E93" i="15"/>
  <c r="D100" i="15"/>
  <c r="E100" i="15" s="1"/>
  <c r="O775" i="1"/>
  <c r="G814" i="13"/>
  <c r="J809" i="13"/>
  <c r="J814" i="13" s="1"/>
  <c r="L716" i="1"/>
  <c r="D109" i="15"/>
  <c r="N783" i="1"/>
  <c r="K791" i="1"/>
  <c r="N791" i="1" s="1"/>
  <c r="O783" i="1"/>
  <c r="O759" i="1"/>
  <c r="O758" i="1"/>
  <c r="O818" i="1"/>
  <c r="G691" i="13"/>
  <c r="F106" i="15" s="1"/>
  <c r="N676" i="1"/>
  <c r="K686" i="1"/>
  <c r="N686" i="1" s="1"/>
  <c r="N598" i="1"/>
  <c r="K609" i="1"/>
  <c r="N761" i="1"/>
  <c r="K768" i="1"/>
  <c r="N768" i="1" s="1"/>
  <c r="J754" i="13"/>
  <c r="J757" i="13" s="1"/>
  <c r="G757" i="13"/>
  <c r="O762" i="1"/>
  <c r="O763" i="1"/>
  <c r="O750" i="1"/>
  <c r="M716" i="1"/>
  <c r="M744" i="1" s="1"/>
  <c r="O784" i="1"/>
  <c r="D129" i="15"/>
  <c r="E129" i="15" s="1"/>
  <c r="E127" i="15"/>
  <c r="O774" i="1"/>
  <c r="O771" i="1"/>
  <c r="O790" i="1"/>
  <c r="M777" i="1"/>
  <c r="G709" i="13"/>
  <c r="G720" i="13" s="1"/>
  <c r="G721" i="13" s="1"/>
  <c r="F109" i="15" s="1"/>
  <c r="F111" i="15" s="1"/>
  <c r="G777" i="13"/>
  <c r="J774" i="13"/>
  <c r="J777" i="13" s="1"/>
  <c r="O685" i="1"/>
  <c r="M792" i="1"/>
  <c r="O788" i="1"/>
  <c r="O789" i="1"/>
  <c r="K782" i="1"/>
  <c r="N778" i="1"/>
  <c r="N753" i="1"/>
  <c r="K760" i="1"/>
  <c r="N760" i="1" s="1"/>
  <c r="O654" i="1"/>
  <c r="K803" i="1"/>
  <c r="N794" i="1"/>
  <c r="N697" i="1"/>
  <c r="K704" i="1"/>
  <c r="O795" i="1"/>
  <c r="J676" i="13"/>
  <c r="G781" i="13"/>
  <c r="J778" i="13"/>
  <c r="J781" i="13" s="1"/>
  <c r="O761" i="1"/>
  <c r="O756" i="1"/>
  <c r="O779" i="1"/>
  <c r="J824" i="13"/>
  <c r="N814" i="1"/>
  <c r="K819" i="1"/>
  <c r="N819" i="1" s="1"/>
  <c r="I90" i="15"/>
  <c r="I93" i="15" s="1"/>
  <c r="I100" i="15" s="1"/>
  <c r="J586" i="13"/>
  <c r="J642" i="13" s="1"/>
  <c r="O751" i="1"/>
  <c r="O769" i="1"/>
  <c r="N804" i="1"/>
  <c r="K809" i="1"/>
  <c r="O804" i="1"/>
  <c r="G796" i="13"/>
  <c r="J788" i="13"/>
  <c r="J796" i="13" s="1"/>
  <c r="O754" i="1"/>
  <c r="O802" i="1"/>
  <c r="K743" i="1"/>
  <c r="N742" i="1"/>
  <c r="N743" i="1" s="1"/>
  <c r="O773" i="1"/>
  <c r="O670" i="1"/>
  <c r="J691" i="13"/>
  <c r="I106" i="15" s="1"/>
  <c r="O760" i="1"/>
  <c r="J709" i="13"/>
  <c r="J720" i="13" s="1"/>
  <c r="J721" i="13" s="1"/>
  <c r="I109" i="15" s="1"/>
  <c r="I111" i="15" s="1"/>
  <c r="G773" i="13"/>
  <c r="J766" i="13"/>
  <c r="J773" i="13" s="1"/>
  <c r="O565" i="1"/>
  <c r="N565" i="1"/>
  <c r="K581" i="1"/>
  <c r="L777" i="1"/>
  <c r="N749" i="1"/>
  <c r="K752" i="1"/>
  <c r="D108" i="15"/>
  <c r="E105" i="15"/>
  <c r="O755" i="1"/>
  <c r="O713" i="1"/>
  <c r="O742" i="1"/>
  <c r="O743" i="1" s="1"/>
  <c r="O580" i="1"/>
  <c r="O766" i="1"/>
  <c r="J480" i="13"/>
  <c r="J536" i="13" s="1"/>
  <c r="I75" i="15"/>
  <c r="I78" i="15" s="1"/>
  <c r="I85" i="15" s="1"/>
  <c r="D78" i="15"/>
  <c r="E75" i="15"/>
  <c r="F75" i="15"/>
  <c r="F78" i="15" s="1"/>
  <c r="F85" i="15" s="1"/>
  <c r="G480" i="13"/>
  <c r="G536" i="13" s="1"/>
  <c r="O459" i="1"/>
  <c r="N459" i="1"/>
  <c r="K475" i="1"/>
  <c r="D70" i="15"/>
  <c r="E70" i="15" s="1"/>
  <c r="M504" i="1"/>
  <c r="M532" i="1" s="1"/>
  <c r="N492" i="1"/>
  <c r="K503" i="1"/>
  <c r="O371" i="1"/>
  <c r="N371" i="1"/>
  <c r="K398" i="1"/>
  <c r="K426" i="1" s="1"/>
  <c r="N426" i="1" s="1"/>
  <c r="N397" i="1"/>
  <c r="N398" i="1" s="1"/>
  <c r="O492" i="1"/>
  <c r="J325" i="13"/>
  <c r="N218" i="1"/>
  <c r="O218" i="1"/>
  <c r="O267" i="1"/>
  <c r="N267" i="1"/>
  <c r="N293" i="1"/>
  <c r="N294" i="1" s="1"/>
  <c r="K294" i="1"/>
  <c r="K322" i="1" s="1"/>
  <c r="N322" i="1" s="1"/>
  <c r="O293" i="1"/>
  <c r="O294" i="1" s="1"/>
  <c r="N43" i="1"/>
  <c r="I55" i="15"/>
  <c r="E48" i="15"/>
  <c r="D55" i="15"/>
  <c r="E55" i="15" s="1"/>
  <c r="O43" i="1"/>
  <c r="N70" i="17"/>
  <c r="M114" i="1"/>
  <c r="O59" i="1"/>
  <c r="K86" i="1"/>
  <c r="K114" i="1" s="1"/>
  <c r="N114" i="1" s="1"/>
  <c r="N85" i="1"/>
  <c r="N86" i="1" s="1"/>
  <c r="O85" i="1"/>
  <c r="O86" i="1" s="1"/>
  <c r="N59" i="1"/>
  <c r="O2103" i="1" l="1"/>
  <c r="O960" i="1"/>
  <c r="L1004" i="1"/>
  <c r="D151" i="15" s="1"/>
  <c r="E151" i="15" s="1"/>
  <c r="O1052" i="1"/>
  <c r="N620" i="17"/>
  <c r="M620" i="17"/>
  <c r="J621" i="17"/>
  <c r="Q621" i="17"/>
  <c r="Q622" i="17" s="1"/>
  <c r="H157" i="15"/>
  <c r="H159" i="15" s="1"/>
  <c r="K787" i="17"/>
  <c r="J725" i="17"/>
  <c r="M725" i="17" s="1"/>
  <c r="Q725" i="17"/>
  <c r="L779" i="17"/>
  <c r="N717" i="17"/>
  <c r="L789" i="17"/>
  <c r="K804" i="17"/>
  <c r="J742" i="17"/>
  <c r="M742" i="17" s="1"/>
  <c r="Q742" i="17"/>
  <c r="L767" i="17"/>
  <c r="L768" i="17"/>
  <c r="L801" i="17"/>
  <c r="K779" i="17"/>
  <c r="Q717" i="17"/>
  <c r="J717" i="17"/>
  <c r="M717" i="17" s="1"/>
  <c r="L814" i="17"/>
  <c r="K762" i="17"/>
  <c r="Q700" i="17"/>
  <c r="J700" i="17"/>
  <c r="M700" i="17" s="1"/>
  <c r="K796" i="17"/>
  <c r="Q734" i="17"/>
  <c r="J734" i="17"/>
  <c r="M734" i="17" s="1"/>
  <c r="L792" i="17"/>
  <c r="N647" i="17"/>
  <c r="J648" i="17"/>
  <c r="M648" i="17" s="1"/>
  <c r="M641" i="17"/>
  <c r="L796" i="17"/>
  <c r="N734" i="17"/>
  <c r="J639" i="17"/>
  <c r="M639" i="17" s="1"/>
  <c r="M632" i="17"/>
  <c r="K800" i="17"/>
  <c r="Q738" i="17"/>
  <c r="J738" i="17"/>
  <c r="K803" i="17"/>
  <c r="J741" i="17"/>
  <c r="M741" i="17" s="1"/>
  <c r="Q741" i="17"/>
  <c r="L803" i="17"/>
  <c r="Q692" i="17"/>
  <c r="K754" i="17"/>
  <c r="J692" i="17"/>
  <c r="M692" i="17" s="1"/>
  <c r="K716" i="17"/>
  <c r="Q654" i="17"/>
  <c r="Q682" i="17" s="1"/>
  <c r="Q683" i="17" s="1"/>
  <c r="J654" i="17"/>
  <c r="N642" i="17"/>
  <c r="L797" i="17"/>
  <c r="N735" i="17"/>
  <c r="N641" i="17"/>
  <c r="K768" i="17"/>
  <c r="Q706" i="17"/>
  <c r="J706" i="17"/>
  <c r="M706" i="17" s="1"/>
  <c r="K759" i="17"/>
  <c r="Q697" i="17"/>
  <c r="J697" i="17"/>
  <c r="M697" i="17" s="1"/>
  <c r="L759" i="17"/>
  <c r="N667" i="17"/>
  <c r="L754" i="17"/>
  <c r="N692" i="17"/>
  <c r="L774" i="17"/>
  <c r="L744" i="17"/>
  <c r="L745" i="17" s="1"/>
  <c r="G165" i="15"/>
  <c r="G168" i="15" s="1"/>
  <c r="K640" i="17"/>
  <c r="N678" i="17"/>
  <c r="K753" i="17"/>
  <c r="Q691" i="17"/>
  <c r="J691" i="17"/>
  <c r="M691" i="17" s="1"/>
  <c r="L1172" i="1"/>
  <c r="G1071" i="13"/>
  <c r="J1071" i="13" s="1"/>
  <c r="K1066" i="1"/>
  <c r="L781" i="17"/>
  <c r="N644" i="17"/>
  <c r="H160" i="15"/>
  <c r="M1278" i="1"/>
  <c r="N661" i="17"/>
  <c r="K761" i="17"/>
  <c r="Q699" i="17"/>
  <c r="J699" i="17"/>
  <c r="M699" i="17" s="1"/>
  <c r="L762" i="17"/>
  <c r="N700" i="17"/>
  <c r="K795" i="17"/>
  <c r="J733" i="17"/>
  <c r="M733" i="17" s="1"/>
  <c r="Q733" i="17"/>
  <c r="K756" i="17"/>
  <c r="J694" i="17"/>
  <c r="Q694" i="17"/>
  <c r="K701" i="17"/>
  <c r="G181" i="15" s="1"/>
  <c r="J649" i="17"/>
  <c r="M649" i="17" s="1"/>
  <c r="L793" i="17"/>
  <c r="L788" i="17"/>
  <c r="N726" i="17"/>
  <c r="L766" i="17"/>
  <c r="K784" i="17"/>
  <c r="Q722" i="17"/>
  <c r="J722" i="17"/>
  <c r="M722" i="17" s="1"/>
  <c r="L798" i="17"/>
  <c r="N630" i="17"/>
  <c r="K750" i="17"/>
  <c r="K693" i="17"/>
  <c r="J688" i="17"/>
  <c r="Q688" i="17"/>
  <c r="K781" i="17"/>
  <c r="J719" i="17"/>
  <c r="M719" i="17" s="1"/>
  <c r="Q719" i="17"/>
  <c r="O993" i="1"/>
  <c r="L758" i="17"/>
  <c r="K799" i="17"/>
  <c r="Q737" i="17"/>
  <c r="J737" i="17"/>
  <c r="M737" i="17" s="1"/>
  <c r="L701" i="17"/>
  <c r="L756" i="17"/>
  <c r="N694" i="17"/>
  <c r="J718" i="17"/>
  <c r="N718" i="17" s="1"/>
  <c r="K780" i="17"/>
  <c r="Q718" i="17"/>
  <c r="K793" i="17"/>
  <c r="J731" i="17"/>
  <c r="M731" i="17" s="1"/>
  <c r="Q731" i="17"/>
  <c r="L640" i="17"/>
  <c r="M498" i="17"/>
  <c r="N498" i="17"/>
  <c r="K2212" i="1"/>
  <c r="N2212" i="1" s="1"/>
  <c r="L2325" i="1"/>
  <c r="G2217" i="13"/>
  <c r="J2217" i="13" s="1"/>
  <c r="N672" i="17"/>
  <c r="L805" i="17"/>
  <c r="L761" i="17"/>
  <c r="N699" i="17"/>
  <c r="Q639" i="17"/>
  <c r="H166" i="15" s="1"/>
  <c r="K798" i="17"/>
  <c r="Q736" i="17"/>
  <c r="J736" i="17"/>
  <c r="M736" i="17" s="1"/>
  <c r="Q648" i="17"/>
  <c r="Q649" i="17" s="1"/>
  <c r="H169" i="15" s="1"/>
  <c r="H171" i="15" s="1"/>
  <c r="K791" i="17"/>
  <c r="Q729" i="17"/>
  <c r="J729" i="17"/>
  <c r="M729" i="17" s="1"/>
  <c r="K774" i="17"/>
  <c r="K744" i="17"/>
  <c r="K745" i="17" s="1"/>
  <c r="G187" i="15" s="1"/>
  <c r="G189" i="15" s="1"/>
  <c r="J712" i="17"/>
  <c r="N712" i="17" s="1"/>
  <c r="Q712" i="17"/>
  <c r="K771" i="17"/>
  <c r="Q709" i="17"/>
  <c r="J709" i="17"/>
  <c r="M709" i="17" s="1"/>
  <c r="K802" i="17"/>
  <c r="Q740" i="17"/>
  <c r="J740" i="17"/>
  <c r="M740" i="17" s="1"/>
  <c r="K760" i="17"/>
  <c r="J698" i="17"/>
  <c r="M698" i="17" s="1"/>
  <c r="Q698" i="17"/>
  <c r="M2325" i="1"/>
  <c r="L770" i="17"/>
  <c r="N708" i="17"/>
  <c r="M676" i="17"/>
  <c r="N676" i="17"/>
  <c r="L795" i="17"/>
  <c r="N733" i="17"/>
  <c r="L757" i="17"/>
  <c r="Q631" i="17"/>
  <c r="L710" i="17"/>
  <c r="L765" i="17"/>
  <c r="K805" i="17"/>
  <c r="J743" i="17"/>
  <c r="M743" i="17" s="1"/>
  <c r="Q743" i="17"/>
  <c r="N635" i="17"/>
  <c r="L791" i="17"/>
  <c r="N729" i="17"/>
  <c r="M626" i="17"/>
  <c r="J631" i="17"/>
  <c r="N740" i="17"/>
  <c r="L802" i="17"/>
  <c r="L794" i="17"/>
  <c r="K783" i="17"/>
  <c r="Q721" i="17"/>
  <c r="J721" i="17"/>
  <c r="M721" i="17" s="1"/>
  <c r="L790" i="17"/>
  <c r="N663" i="17"/>
  <c r="N651" i="17"/>
  <c r="N587" i="17"/>
  <c r="N680" i="17"/>
  <c r="Q726" i="17"/>
  <c r="K788" i="17"/>
  <c r="J726" i="17"/>
  <c r="M726" i="17" s="1"/>
  <c r="N645" i="17"/>
  <c r="L785" i="17"/>
  <c r="J723" i="17"/>
  <c r="M723" i="17" s="1"/>
  <c r="K775" i="17"/>
  <c r="Q713" i="17"/>
  <c r="J713" i="17"/>
  <c r="M713" i="17" s="1"/>
  <c r="J730" i="17"/>
  <c r="M730" i="17" s="1"/>
  <c r="K792" i="17"/>
  <c r="Q730" i="17"/>
  <c r="J560" i="17"/>
  <c r="M560" i="17" s="1"/>
  <c r="M559" i="17"/>
  <c r="L753" i="17"/>
  <c r="N691" i="17"/>
  <c r="K757" i="17"/>
  <c r="Q695" i="17"/>
  <c r="J695" i="17"/>
  <c r="M695" i="17" s="1"/>
  <c r="L799" i="17"/>
  <c r="N737" i="17"/>
  <c r="K848" i="17"/>
  <c r="J786" i="17"/>
  <c r="M786" i="17" s="1"/>
  <c r="Q786" i="17"/>
  <c r="K766" i="17"/>
  <c r="Q704" i="17"/>
  <c r="J704" i="17"/>
  <c r="M704" i="17" s="1"/>
  <c r="K797" i="17"/>
  <c r="Q735" i="17"/>
  <c r="J735" i="17"/>
  <c r="M735" i="17" s="1"/>
  <c r="N709" i="17"/>
  <c r="L771" i="17"/>
  <c r="K790" i="17"/>
  <c r="Q728" i="17"/>
  <c r="J728" i="17"/>
  <c r="M728" i="17" s="1"/>
  <c r="M569" i="17"/>
  <c r="J578" i="17"/>
  <c r="M578" i="17" s="1"/>
  <c r="L751" i="17"/>
  <c r="J682" i="17"/>
  <c r="M650" i="17"/>
  <c r="L760" i="17"/>
  <c r="N698" i="17"/>
  <c r="L784" i="17"/>
  <c r="N722" i="17"/>
  <c r="Q690" i="17"/>
  <c r="K752" i="17"/>
  <c r="J690" i="17"/>
  <c r="K801" i="17"/>
  <c r="J739" i="17"/>
  <c r="M739" i="17" s="1"/>
  <c r="Q739" i="17"/>
  <c r="N675" i="17"/>
  <c r="N639" i="17"/>
  <c r="L924" i="17"/>
  <c r="Q703" i="17"/>
  <c r="K765" i="17"/>
  <c r="K710" i="17"/>
  <c r="J703" i="17"/>
  <c r="N638" i="17"/>
  <c r="L750" i="17"/>
  <c r="L693" i="17"/>
  <c r="N688" i="17"/>
  <c r="N525" i="17"/>
  <c r="N655" i="17"/>
  <c r="J707" i="17"/>
  <c r="N707" i="17" s="1"/>
  <c r="K769" i="17"/>
  <c r="Q707" i="17"/>
  <c r="K758" i="17"/>
  <c r="J696" i="17"/>
  <c r="M696" i="17" s="1"/>
  <c r="Q696" i="17"/>
  <c r="K789" i="17"/>
  <c r="Q727" i="17"/>
  <c r="J727" i="17"/>
  <c r="M727" i="17" s="1"/>
  <c r="K682" i="17"/>
  <c r="K683" i="17" s="1"/>
  <c r="N636" i="17"/>
  <c r="K782" i="17"/>
  <c r="Q720" i="17"/>
  <c r="J720" i="17"/>
  <c r="M720" i="17" s="1"/>
  <c r="N669" i="17"/>
  <c r="L848" i="17"/>
  <c r="N786" i="17"/>
  <c r="N720" i="17"/>
  <c r="L782" i="17"/>
  <c r="L776" i="17"/>
  <c r="N714" i="17"/>
  <c r="N664" i="17"/>
  <c r="N633" i="17"/>
  <c r="K751" i="17"/>
  <c r="J689" i="17"/>
  <c r="M689" i="17" s="1"/>
  <c r="Q689" i="17"/>
  <c r="L649" i="17"/>
  <c r="N648" i="17"/>
  <c r="L783" i="17"/>
  <c r="N721" i="17"/>
  <c r="N674" i="17"/>
  <c r="M628" i="17"/>
  <c r="N628" i="17"/>
  <c r="Q708" i="17"/>
  <c r="K770" i="17"/>
  <c r="J708" i="17"/>
  <c r="M708" i="17" s="1"/>
  <c r="N665" i="17"/>
  <c r="Q705" i="17"/>
  <c r="K767" i="17"/>
  <c r="J705" i="17"/>
  <c r="M705" i="17" s="1"/>
  <c r="N643" i="17"/>
  <c r="N666" i="17"/>
  <c r="L787" i="17"/>
  <c r="N713" i="17"/>
  <c r="L775" i="17"/>
  <c r="L804" i="17"/>
  <c r="N742" i="17"/>
  <c r="L769" i="17"/>
  <c r="Q732" i="17"/>
  <c r="K794" i="17"/>
  <c r="J732" i="17"/>
  <c r="M732" i="17" s="1"/>
  <c r="N677" i="17"/>
  <c r="Q714" i="17"/>
  <c r="K776" i="17"/>
  <c r="J714" i="17"/>
  <c r="M714" i="17" s="1"/>
  <c r="J210" i="15"/>
  <c r="I1150" i="16"/>
  <c r="I1199" i="16" s="1"/>
  <c r="I1784" i="16"/>
  <c r="J316" i="15" s="1"/>
  <c r="I1745" i="16"/>
  <c r="F1839" i="16"/>
  <c r="I1731" i="16"/>
  <c r="F1825" i="16"/>
  <c r="I1733" i="16"/>
  <c r="F1827" i="16"/>
  <c r="I1735" i="16"/>
  <c r="F1829" i="16"/>
  <c r="I1737" i="16"/>
  <c r="F1831" i="16"/>
  <c r="I1898" i="16"/>
  <c r="I1879" i="16"/>
  <c r="I1739" i="16"/>
  <c r="F1833" i="16"/>
  <c r="I1741" i="16"/>
  <c r="F1835" i="16"/>
  <c r="I1743" i="16"/>
  <c r="F1837" i="16"/>
  <c r="I1730" i="16"/>
  <c r="F1824" i="16"/>
  <c r="I1732" i="16"/>
  <c r="F1826" i="16"/>
  <c r="I1734" i="16"/>
  <c r="F1828" i="16"/>
  <c r="I1736" i="16"/>
  <c r="F1830" i="16"/>
  <c r="I1740" i="16"/>
  <c r="F1834" i="16"/>
  <c r="I1728" i="16"/>
  <c r="F1822" i="16"/>
  <c r="I1744" i="16"/>
  <c r="F1838" i="16"/>
  <c r="F1945" i="16" s="1"/>
  <c r="I1738" i="16"/>
  <c r="F1832" i="16"/>
  <c r="I1821" i="16"/>
  <c r="F1927" i="16"/>
  <c r="F1879" i="16"/>
  <c r="F1929" i="16"/>
  <c r="I1929" i="16" s="1"/>
  <c r="I1823" i="16"/>
  <c r="F1902" i="16"/>
  <c r="I1902" i="16" s="1"/>
  <c r="I1802" i="16"/>
  <c r="F1816" i="16"/>
  <c r="F1903" i="16"/>
  <c r="I1903" i="16" s="1"/>
  <c r="I1803" i="16"/>
  <c r="G903" i="13"/>
  <c r="F136" i="15" s="1"/>
  <c r="N848" i="1"/>
  <c r="N849" i="1" s="1"/>
  <c r="O909" i="1"/>
  <c r="O1270" i="1"/>
  <c r="O925" i="1"/>
  <c r="F1660" i="16"/>
  <c r="I1568" i="16"/>
  <c r="I1652" i="16"/>
  <c r="J292" i="15" s="1"/>
  <c r="J294" i="15" s="1"/>
  <c r="I1727" i="16"/>
  <c r="F1746" i="16"/>
  <c r="O772" i="1"/>
  <c r="O997" i="1"/>
  <c r="O969" i="1"/>
  <c r="O1160" i="1"/>
  <c r="O987" i="1"/>
  <c r="O1254" i="1"/>
  <c r="O1030" i="1"/>
  <c r="O1135" i="1"/>
  <c r="O1261" i="1"/>
  <c r="N1149" i="1"/>
  <c r="O1149" i="1"/>
  <c r="G1590" i="13"/>
  <c r="J1590" i="13" s="1"/>
  <c r="L1693" i="1"/>
  <c r="O874" i="1"/>
  <c r="O966" i="1"/>
  <c r="M1674" i="1"/>
  <c r="O1257" i="1"/>
  <c r="O996" i="1"/>
  <c r="O974" i="1"/>
  <c r="J903" i="13"/>
  <c r="I136" i="15" s="1"/>
  <c r="O975" i="1"/>
  <c r="O971" i="1"/>
  <c r="O1231" i="1"/>
  <c r="M1675" i="1"/>
  <c r="O983" i="1"/>
  <c r="O1130" i="1"/>
  <c r="O1134" i="1"/>
  <c r="L1686" i="1"/>
  <c r="G1584" i="13"/>
  <c r="O999" i="1"/>
  <c r="O1131" i="1"/>
  <c r="F1479" i="16"/>
  <c r="F1571" i="16" s="1"/>
  <c r="I1388" i="16"/>
  <c r="I1399" i="16" s="1"/>
  <c r="F1399" i="16"/>
  <c r="F1422" i="16" s="1"/>
  <c r="F1471" i="16" s="1"/>
  <c r="I1297" i="16"/>
  <c r="I1308" i="16" s="1"/>
  <c r="F1308" i="16"/>
  <c r="F1331" i="16" s="1"/>
  <c r="F1380" i="16" s="1"/>
  <c r="J225" i="15"/>
  <c r="J228" i="15" s="1"/>
  <c r="J235" i="15" s="1"/>
  <c r="I1240" i="16"/>
  <c r="I1289" i="16" s="1"/>
  <c r="J213" i="15"/>
  <c r="J220" i="15" s="1"/>
  <c r="G1154" i="13"/>
  <c r="G1170" i="13" s="1"/>
  <c r="G1171" i="13" s="1"/>
  <c r="F172" i="15" s="1"/>
  <c r="F174" i="15" s="1"/>
  <c r="J888" i="13"/>
  <c r="I135" i="15" s="1"/>
  <c r="G921" i="13"/>
  <c r="G932" i="13" s="1"/>
  <c r="G933" i="13" s="1"/>
  <c r="F139" i="15" s="1"/>
  <c r="F141" i="15" s="1"/>
  <c r="G1036" i="13"/>
  <c r="L1175" i="1"/>
  <c r="G1074" i="13"/>
  <c r="J1074" i="13" s="1"/>
  <c r="K1069" i="1"/>
  <c r="N1069" i="1" s="1"/>
  <c r="K1073" i="1"/>
  <c r="N1073" i="1" s="1"/>
  <c r="L1179" i="1"/>
  <c r="G1078" i="13"/>
  <c r="J1078" i="13" s="1"/>
  <c r="L1224" i="1"/>
  <c r="G1123" i="13"/>
  <c r="J1123" i="13" s="1"/>
  <c r="K1118" i="1"/>
  <c r="O1118" i="1" s="1"/>
  <c r="M1190" i="1"/>
  <c r="M1191" i="1"/>
  <c r="M1180" i="1"/>
  <c r="M1208" i="1"/>
  <c r="M1224" i="1"/>
  <c r="M1188" i="1"/>
  <c r="M1186" i="1"/>
  <c r="E139" i="15"/>
  <c r="D141" i="15"/>
  <c r="E141" i="15" s="1"/>
  <c r="J970" i="13"/>
  <c r="J977" i="13" s="1"/>
  <c r="G977" i="13"/>
  <c r="K972" i="1"/>
  <c r="N972" i="1" s="1"/>
  <c r="N965" i="1"/>
  <c r="M1202" i="1"/>
  <c r="J986" i="13"/>
  <c r="J989" i="13" s="1"/>
  <c r="G989" i="13"/>
  <c r="L1220" i="1"/>
  <c r="G1119" i="13"/>
  <c r="J1119" i="13" s="1"/>
  <c r="K1114" i="1"/>
  <c r="G1103" i="13"/>
  <c r="J1103" i="13" s="1"/>
  <c r="L1204" i="1"/>
  <c r="K1098" i="1"/>
  <c r="N1098" i="1" s="1"/>
  <c r="M1466" i="1"/>
  <c r="M1573" i="1" s="1"/>
  <c r="L1358" i="1"/>
  <c r="L1361" i="1" s="1"/>
  <c r="G1257" i="13"/>
  <c r="J1257" i="13" s="1"/>
  <c r="K1252" i="1"/>
  <c r="M1061" i="1"/>
  <c r="N1157" i="1"/>
  <c r="O1157" i="1"/>
  <c r="G1137" i="13"/>
  <c r="J1134" i="13"/>
  <c r="J1137" i="13" s="1"/>
  <c r="L1341" i="1"/>
  <c r="K1235" i="1"/>
  <c r="G1240" i="13"/>
  <c r="L1238" i="1"/>
  <c r="N1133" i="1"/>
  <c r="K1136" i="1"/>
  <c r="N1136" i="1" s="1"/>
  <c r="M1464" i="1"/>
  <c r="M1571" i="1" s="1"/>
  <c r="N1153" i="1"/>
  <c r="K1158" i="1"/>
  <c r="N1158" i="1" s="1"/>
  <c r="M1365" i="1"/>
  <c r="M1264" i="1"/>
  <c r="K1259" i="1"/>
  <c r="N1256" i="1"/>
  <c r="K1258" i="1"/>
  <c r="N1258" i="1" s="1"/>
  <c r="L1469" i="1"/>
  <c r="L1576" i="1" s="1"/>
  <c r="G1367" i="13"/>
  <c r="L1364" i="1"/>
  <c r="J1268" i="13"/>
  <c r="K1075" i="1"/>
  <c r="N1075" i="1" s="1"/>
  <c r="L1181" i="1"/>
  <c r="G1080" i="13"/>
  <c r="J1080" i="13" s="1"/>
  <c r="M1174" i="1"/>
  <c r="K1102" i="1"/>
  <c r="N1102" i="1" s="1"/>
  <c r="L1208" i="1"/>
  <c r="G1107" i="13"/>
  <c r="J1107" i="13" s="1"/>
  <c r="L1180" i="1"/>
  <c r="G1079" i="13"/>
  <c r="J1079" i="13" s="1"/>
  <c r="K1074" i="1"/>
  <c r="N1074" i="1" s="1"/>
  <c r="N961" i="1"/>
  <c r="K964" i="1"/>
  <c r="L1173" i="1"/>
  <c r="G1072" i="13"/>
  <c r="K1067" i="1"/>
  <c r="O1067" i="1" s="1"/>
  <c r="L1070" i="1"/>
  <c r="L1222" i="1"/>
  <c r="G1121" i="13"/>
  <c r="J1121" i="13" s="1"/>
  <c r="K1116" i="1"/>
  <c r="O1116" i="1" s="1"/>
  <c r="M1078" i="1"/>
  <c r="M1177" i="1"/>
  <c r="M1222" i="1"/>
  <c r="K1080" i="1"/>
  <c r="N1080" i="1" s="1"/>
  <c r="L1186" i="1"/>
  <c r="G1085" i="13"/>
  <c r="J1085" i="13" s="1"/>
  <c r="L1209" i="1"/>
  <c r="G1108" i="13"/>
  <c r="J1108" i="13" s="1"/>
  <c r="K1103" i="1"/>
  <c r="N1103" i="1" s="1"/>
  <c r="M1213" i="1"/>
  <c r="M1109" i="1"/>
  <c r="M1207" i="1"/>
  <c r="G1026" i="13"/>
  <c r="J1021" i="13"/>
  <c r="J1026" i="13" s="1"/>
  <c r="M1175" i="1"/>
  <c r="O961" i="1"/>
  <c r="M989" i="1"/>
  <c r="O992" i="1"/>
  <c r="J1252" i="13"/>
  <c r="J1255" i="13" s="1"/>
  <c r="G1255" i="13"/>
  <c r="E172" i="15"/>
  <c r="D174" i="15"/>
  <c r="E174" i="15" s="1"/>
  <c r="K1232" i="1"/>
  <c r="L1338" i="1"/>
  <c r="G1237" i="13"/>
  <c r="J1237" i="13" s="1"/>
  <c r="M1242" i="1"/>
  <c r="M1345" i="1"/>
  <c r="M1361" i="1"/>
  <c r="M1465" i="1"/>
  <c r="M1572" i="1" s="1"/>
  <c r="M1473" i="1"/>
  <c r="M1580" i="1" s="1"/>
  <c r="N1269" i="1"/>
  <c r="K1271" i="1"/>
  <c r="N1271" i="1" s="1"/>
  <c r="L1377" i="1"/>
  <c r="G1381" i="13" s="1"/>
  <c r="L1482" i="1"/>
  <c r="L1589" i="1" s="1"/>
  <c r="K1375" i="1"/>
  <c r="G1379" i="13"/>
  <c r="G1483" i="13"/>
  <c r="J1483" i="13" s="1"/>
  <c r="K1368" i="1"/>
  <c r="N1368" i="1" s="1"/>
  <c r="L1475" i="1"/>
  <c r="L1582" i="1" s="1"/>
  <c r="G1373" i="13"/>
  <c r="J1373" i="13" s="1"/>
  <c r="O1269" i="1"/>
  <c r="M1482" i="1"/>
  <c r="M1589" i="1" s="1"/>
  <c r="M1377" i="1"/>
  <c r="M1179" i="1"/>
  <c r="K1076" i="1"/>
  <c r="N1076" i="1" s="1"/>
  <c r="L1182" i="1"/>
  <c r="G1081" i="13"/>
  <c r="J1081" i="13" s="1"/>
  <c r="M1194" i="1"/>
  <c r="M1221" i="1"/>
  <c r="M1219" i="1"/>
  <c r="J1011" i="13"/>
  <c r="J1020" i="13" s="1"/>
  <c r="G1020" i="13"/>
  <c r="L1121" i="1"/>
  <c r="L1218" i="1"/>
  <c r="G1117" i="13"/>
  <c r="K1112" i="1"/>
  <c r="O1112" i="1" s="1"/>
  <c r="G888" i="13"/>
  <c r="L1202" i="1"/>
  <c r="G1101" i="13"/>
  <c r="L1100" i="1"/>
  <c r="K1096" i="1"/>
  <c r="N888" i="1"/>
  <c r="K898" i="1"/>
  <c r="N898" i="1" s="1"/>
  <c r="M1226" i="1"/>
  <c r="M1182" i="1"/>
  <c r="M1022" i="1"/>
  <c r="L1199" i="1"/>
  <c r="G1098" i="13"/>
  <c r="J1098" i="13" s="1"/>
  <c r="K1093" i="1"/>
  <c r="N1093" i="1" s="1"/>
  <c r="M1195" i="1"/>
  <c r="K1092" i="1"/>
  <c r="N1092" i="1" s="1"/>
  <c r="L1198" i="1"/>
  <c r="G1097" i="13"/>
  <c r="J1097" i="13" s="1"/>
  <c r="O986" i="1"/>
  <c r="K1124" i="1"/>
  <c r="L1230" i="1"/>
  <c r="G1129" i="13"/>
  <c r="J1129" i="13" s="1"/>
  <c r="N1248" i="1"/>
  <c r="O1248" i="1"/>
  <c r="M1467" i="1"/>
  <c r="M1574" i="1" s="1"/>
  <c r="M1475" i="1"/>
  <c r="M1582" i="1" s="1"/>
  <c r="M1342" i="1"/>
  <c r="M1346" i="1"/>
  <c r="M1238" i="1"/>
  <c r="M1341" i="1"/>
  <c r="O1235" i="1"/>
  <c r="L1343" i="1"/>
  <c r="K1237" i="1"/>
  <c r="N1237" i="1" s="1"/>
  <c r="G1242" i="13"/>
  <c r="J1242" i="13" s="1"/>
  <c r="K1240" i="1"/>
  <c r="N1240" i="1" s="1"/>
  <c r="L1346" i="1"/>
  <c r="G1245" i="13"/>
  <c r="J1245" i="13" s="1"/>
  <c r="M1462" i="1"/>
  <c r="M1569" i="1" s="1"/>
  <c r="K1360" i="1"/>
  <c r="N1360" i="1" s="1"/>
  <c r="L1467" i="1"/>
  <c r="L1574" i="1" s="1"/>
  <c r="G1365" i="13"/>
  <c r="J1365" i="13" s="1"/>
  <c r="M1478" i="1"/>
  <c r="M1585" i="1" s="1"/>
  <c r="G1477" i="13"/>
  <c r="L1191" i="1"/>
  <c r="G1090" i="13"/>
  <c r="J1090" i="13" s="1"/>
  <c r="K1085" i="1"/>
  <c r="N1085" i="1" s="1"/>
  <c r="G1077" i="13"/>
  <c r="J1077" i="13" s="1"/>
  <c r="L1178" i="1"/>
  <c r="K1072" i="1"/>
  <c r="N1072" i="1" s="1"/>
  <c r="M1100" i="1"/>
  <c r="M1203" i="1"/>
  <c r="L1221" i="1"/>
  <c r="G1120" i="13"/>
  <c r="J1120" i="13" s="1"/>
  <c r="K1115" i="1"/>
  <c r="O1115" i="1" s="1"/>
  <c r="K1097" i="1"/>
  <c r="N1097" i="1" s="1"/>
  <c r="L1203" i="1"/>
  <c r="G1102" i="13"/>
  <c r="J1102" i="13" s="1"/>
  <c r="K1104" i="1"/>
  <c r="N1104" i="1" s="1"/>
  <c r="L1210" i="1"/>
  <c r="G1109" i="13"/>
  <c r="J1109" i="13" s="1"/>
  <c r="G993" i="13"/>
  <c r="J990" i="13"/>
  <c r="J993" i="13" s="1"/>
  <c r="K988" i="1"/>
  <c r="N988" i="1" s="1"/>
  <c r="N985" i="1"/>
  <c r="O977" i="1"/>
  <c r="M1210" i="1"/>
  <c r="N973" i="1"/>
  <c r="K980" i="1"/>
  <c r="N980" i="1" s="1"/>
  <c r="L1223" i="1"/>
  <c r="G1122" i="13"/>
  <c r="J1122" i="13" s="1"/>
  <c r="K1117" i="1"/>
  <c r="O1117" i="1" s="1"/>
  <c r="G1008" i="13"/>
  <c r="J1000" i="13"/>
  <c r="J1008" i="13" s="1"/>
  <c r="K916" i="1"/>
  <c r="N915" i="1"/>
  <c r="M899" i="1"/>
  <c r="M1214" i="1"/>
  <c r="L1195" i="1"/>
  <c r="G1094" i="13"/>
  <c r="J1094" i="13" s="1"/>
  <c r="K1089" i="1"/>
  <c r="N1089" i="1" s="1"/>
  <c r="M1480" i="1"/>
  <c r="M1587" i="1" s="1"/>
  <c r="L1255" i="1"/>
  <c r="J1256" i="13"/>
  <c r="J1269" i="13"/>
  <c r="J1272" i="13" s="1"/>
  <c r="G1272" i="13"/>
  <c r="N1265" i="1"/>
  <c r="M1336" i="1"/>
  <c r="O1165" i="1"/>
  <c r="K1376" i="1"/>
  <c r="N1376" i="1" s="1"/>
  <c r="L1483" i="1"/>
  <c r="L1590" i="1" s="1"/>
  <c r="G1380" i="13"/>
  <c r="K1236" i="1"/>
  <c r="N1236" i="1" s="1"/>
  <c r="L1342" i="1"/>
  <c r="G1241" i="13"/>
  <c r="J1241" i="13" s="1"/>
  <c r="L1347" i="1"/>
  <c r="K1241" i="1"/>
  <c r="N1241" i="1" s="1"/>
  <c r="G1246" i="13"/>
  <c r="J1246" i="13" s="1"/>
  <c r="M1127" i="1"/>
  <c r="M1228" i="1"/>
  <c r="O976" i="1"/>
  <c r="M1209" i="1"/>
  <c r="O1103" i="1"/>
  <c r="O878" i="1"/>
  <c r="J921" i="13"/>
  <c r="J932" i="13" s="1"/>
  <c r="J933" i="13" s="1"/>
  <c r="I139" i="15" s="1"/>
  <c r="I141" i="15" s="1"/>
  <c r="L1177" i="1"/>
  <c r="G1076" i="13"/>
  <c r="L1078" i="1"/>
  <c r="K1071" i="1"/>
  <c r="D135" i="15"/>
  <c r="L899" i="1"/>
  <c r="L956" i="1" s="1"/>
  <c r="O882" i="1"/>
  <c r="M1181" i="1"/>
  <c r="L1213" i="1"/>
  <c r="G1112" i="13"/>
  <c r="J1112" i="13" s="1"/>
  <c r="K1107" i="1"/>
  <c r="N1107" i="1" s="1"/>
  <c r="M1205" i="1"/>
  <c r="M1212" i="1"/>
  <c r="M1004" i="1"/>
  <c r="N981" i="1"/>
  <c r="K984" i="1"/>
  <c r="N984" i="1" s="1"/>
  <c r="L1090" i="1"/>
  <c r="L1193" i="1"/>
  <c r="G1092" i="13"/>
  <c r="K1087" i="1"/>
  <c r="M927" i="1"/>
  <c r="M928" i="1" s="1"/>
  <c r="G1111" i="13"/>
  <c r="J1111" i="13" s="1"/>
  <c r="L1212" i="1"/>
  <c r="K1106" i="1"/>
  <c r="N1106" i="1" s="1"/>
  <c r="L1225" i="1"/>
  <c r="G1124" i="13"/>
  <c r="J1124" i="13" s="1"/>
  <c r="K1119" i="1"/>
  <c r="O1119" i="1" s="1"/>
  <c r="O1253" i="1"/>
  <c r="N1146" i="1"/>
  <c r="O1146" i="1"/>
  <c r="M1372" i="1"/>
  <c r="K1266" i="1"/>
  <c r="L1369" i="1"/>
  <c r="L1370" i="1" s="1"/>
  <c r="K1263" i="1"/>
  <c r="L1264" i="1"/>
  <c r="L1137" i="1"/>
  <c r="K1132" i="1"/>
  <c r="O1132" i="1" s="1"/>
  <c r="N1129" i="1"/>
  <c r="K1031" i="1"/>
  <c r="N1031" i="1" s="1"/>
  <c r="N1026" i="1"/>
  <c r="G1141" i="13"/>
  <c r="J1138" i="13"/>
  <c r="J1141" i="13" s="1"/>
  <c r="L1345" i="1"/>
  <c r="K1239" i="1"/>
  <c r="G1244" i="13"/>
  <c r="L1242" i="1"/>
  <c r="L1474" i="1"/>
  <c r="L1581" i="1" s="1"/>
  <c r="G1372" i="13"/>
  <c r="J1372" i="13" s="1"/>
  <c r="K1367" i="1"/>
  <c r="N1367" i="1" s="1"/>
  <c r="M1476" i="1"/>
  <c r="M1583" i="1" s="1"/>
  <c r="O954" i="1"/>
  <c r="O955" i="1" s="1"/>
  <c r="N954" i="1"/>
  <c r="N955" i="1" s="1"/>
  <c r="K955" i="1"/>
  <c r="O1153" i="1"/>
  <c r="M1483" i="1"/>
  <c r="M1590" i="1" s="1"/>
  <c r="K1355" i="1"/>
  <c r="L1462" i="1"/>
  <c r="L1569" i="1" s="1"/>
  <c r="G1360" i="13"/>
  <c r="J1360" i="13" s="1"/>
  <c r="O1056" i="1"/>
  <c r="G1263" i="13"/>
  <c r="J1261" i="13"/>
  <c r="J1263" i="13" s="1"/>
  <c r="K1152" i="1"/>
  <c r="N1150" i="1"/>
  <c r="G1268" i="13"/>
  <c r="M1086" i="1"/>
  <c r="M1185" i="1"/>
  <c r="O962" i="1"/>
  <c r="M1187" i="1"/>
  <c r="O1114" i="1"/>
  <c r="M1220" i="1"/>
  <c r="J966" i="13"/>
  <c r="J969" i="13" s="1"/>
  <c r="G969" i="13"/>
  <c r="N858" i="1"/>
  <c r="K883" i="1"/>
  <c r="O965" i="1"/>
  <c r="M1183" i="1"/>
  <c r="O1001" i="1"/>
  <c r="L1226" i="1"/>
  <c r="G1125" i="13"/>
  <c r="J1125" i="13" s="1"/>
  <c r="K1120" i="1"/>
  <c r="K1021" i="1"/>
  <c r="N1021" i="1" s="1"/>
  <c r="N1016" i="1"/>
  <c r="K1122" i="1"/>
  <c r="L1228" i="1"/>
  <c r="G1127" i="13"/>
  <c r="L1127" i="1"/>
  <c r="L1128" i="1" s="1"/>
  <c r="K1077" i="1"/>
  <c r="L1183" i="1"/>
  <c r="G1082" i="13"/>
  <c r="J1082" i="13" s="1"/>
  <c r="L1189" i="1"/>
  <c r="G1088" i="13"/>
  <c r="J1088" i="13" s="1"/>
  <c r="K1083" i="1"/>
  <c r="N1083" i="1" s="1"/>
  <c r="O963" i="1"/>
  <c r="M1173" i="1"/>
  <c r="M1070" i="1"/>
  <c r="M1204" i="1"/>
  <c r="K1108" i="1"/>
  <c r="L1214" i="1"/>
  <c r="G1113" i="13"/>
  <c r="J1113" i="13" s="1"/>
  <c r="M1444" i="1"/>
  <c r="M1551" i="1" s="1"/>
  <c r="K1337" i="1"/>
  <c r="N1337" i="1" s="1"/>
  <c r="N1247" i="1"/>
  <c r="K1250" i="1"/>
  <c r="O1247" i="1"/>
  <c r="K1353" i="1"/>
  <c r="L1460" i="1"/>
  <c r="L1567" i="1" s="1"/>
  <c r="G1358" i="13"/>
  <c r="L1356" i="1"/>
  <c r="J1154" i="13"/>
  <c r="J1170" i="13" s="1"/>
  <c r="J1171" i="13" s="1"/>
  <c r="I172" i="15" s="1"/>
  <c r="I174" i="15" s="1"/>
  <c r="K1162" i="1"/>
  <c r="N1126" i="1"/>
  <c r="O1126" i="1"/>
  <c r="O1133" i="1"/>
  <c r="O1136" i="1"/>
  <c r="O1260" i="1"/>
  <c r="K1366" i="1"/>
  <c r="L1473" i="1"/>
  <c r="L1580" i="1" s="1"/>
  <c r="G1371" i="13"/>
  <c r="J1371" i="13" s="1"/>
  <c r="K1068" i="1"/>
  <c r="N1068" i="1" s="1"/>
  <c r="L1174" i="1"/>
  <c r="G1073" i="13"/>
  <c r="J1073" i="13" s="1"/>
  <c r="M1225" i="1"/>
  <c r="O982" i="1"/>
  <c r="O1007" i="1"/>
  <c r="L1022" i="1"/>
  <c r="L1033" i="1" s="1"/>
  <c r="L1034" i="1" s="1"/>
  <c r="D154" i="15" s="1"/>
  <c r="N1006" i="1"/>
  <c r="K1015" i="1"/>
  <c r="N990" i="1"/>
  <c r="K994" i="1"/>
  <c r="G999" i="13"/>
  <c r="J995" i="13"/>
  <c r="J999" i="13" s="1"/>
  <c r="O985" i="1"/>
  <c r="M1094" i="1"/>
  <c r="M1197" i="1"/>
  <c r="O1014" i="1"/>
  <c r="O970" i="1"/>
  <c r="M1223" i="1"/>
  <c r="L1194" i="1"/>
  <c r="G1093" i="13"/>
  <c r="J1093" i="13" s="1"/>
  <c r="K1088" i="1"/>
  <c r="N1088" i="1" s="1"/>
  <c r="O888" i="1"/>
  <c r="M1090" i="1"/>
  <c r="M1193" i="1"/>
  <c r="M1218" i="1"/>
  <c r="M1121" i="1"/>
  <c r="M1199" i="1"/>
  <c r="M1198" i="1"/>
  <c r="L1211" i="1"/>
  <c r="G1110" i="13"/>
  <c r="J1110" i="13" s="1"/>
  <c r="K1105" i="1"/>
  <c r="N1105" i="1" s="1"/>
  <c r="G1118" i="13"/>
  <c r="J1118" i="13" s="1"/>
  <c r="L1219" i="1"/>
  <c r="K1113" i="1"/>
  <c r="N1018" i="1"/>
  <c r="O1018" i="1"/>
  <c r="L1461" i="1"/>
  <c r="L1568" i="1" s="1"/>
  <c r="G1359" i="13"/>
  <c r="J1359" i="13" s="1"/>
  <c r="K1354" i="1"/>
  <c r="K1373" i="1"/>
  <c r="L1480" i="1"/>
  <c r="L1587" i="1" s="1"/>
  <c r="G1377" i="13"/>
  <c r="J1377" i="13" s="1"/>
  <c r="O1262" i="1"/>
  <c r="M1166" i="1"/>
  <c r="O1129" i="1"/>
  <c r="M1137" i="1"/>
  <c r="J1036" i="13"/>
  <c r="O1249" i="1"/>
  <c r="L1466" i="1"/>
  <c r="L1573" i="1" s="1"/>
  <c r="K1359" i="1"/>
  <c r="G1364" i="13"/>
  <c r="J1364" i="13" s="1"/>
  <c r="O1265" i="1"/>
  <c r="M1268" i="1"/>
  <c r="K1363" i="1"/>
  <c r="N1363" i="1" s="1"/>
  <c r="L1470" i="1"/>
  <c r="L1577" i="1" s="1"/>
  <c r="G1368" i="13"/>
  <c r="J1368" i="13" s="1"/>
  <c r="J1370" i="13"/>
  <c r="K1082" i="1"/>
  <c r="L1188" i="1"/>
  <c r="G1087" i="13"/>
  <c r="J1087" i="13" s="1"/>
  <c r="O991" i="1"/>
  <c r="L989" i="1"/>
  <c r="L1094" i="1"/>
  <c r="L1197" i="1"/>
  <c r="G1096" i="13"/>
  <c r="K1091" i="1"/>
  <c r="O1091" i="1" s="1"/>
  <c r="M1189" i="1"/>
  <c r="O998" i="1"/>
  <c r="G985" i="13"/>
  <c r="J978" i="13"/>
  <c r="J985" i="13" s="1"/>
  <c r="L1086" i="1"/>
  <c r="L1185" i="1"/>
  <c r="G1084" i="13"/>
  <c r="K1079" i="1"/>
  <c r="L1187" i="1"/>
  <c r="G1086" i="13"/>
  <c r="J1086" i="13" s="1"/>
  <c r="K1081" i="1"/>
  <c r="M1178" i="1"/>
  <c r="L1205" i="1"/>
  <c r="K1099" i="1"/>
  <c r="G1104" i="13"/>
  <c r="J1104" i="13" s="1"/>
  <c r="O897" i="1"/>
  <c r="N995" i="1"/>
  <c r="K1003" i="1"/>
  <c r="L1207" i="1"/>
  <c r="G1106" i="13"/>
  <c r="K1101" i="1"/>
  <c r="L1109" i="1"/>
  <c r="M1211" i="1"/>
  <c r="O858" i="1"/>
  <c r="K1084" i="1"/>
  <c r="L1190" i="1"/>
  <c r="G1089" i="13"/>
  <c r="J1089" i="13" s="1"/>
  <c r="O1002" i="1"/>
  <c r="O1267" i="1"/>
  <c r="M1445" i="1"/>
  <c r="M1552" i="1" s="1"/>
  <c r="K1060" i="1"/>
  <c r="N1144" i="1"/>
  <c r="O1144" i="1"/>
  <c r="N1251" i="1"/>
  <c r="K1255" i="1"/>
  <c r="N1255" i="1" s="1"/>
  <c r="L1464" i="1"/>
  <c r="L1571" i="1" s="1"/>
  <c r="G1362" i="13"/>
  <c r="K1357" i="1"/>
  <c r="K1371" i="1"/>
  <c r="L1478" i="1"/>
  <c r="L1585" i="1" s="1"/>
  <c r="G1375" i="13"/>
  <c r="L1374" i="1"/>
  <c r="M1356" i="1"/>
  <c r="M1463" i="1"/>
  <c r="M1347" i="1"/>
  <c r="M1474" i="1"/>
  <c r="M1581" i="1" s="1"/>
  <c r="M1470" i="1"/>
  <c r="M1577" i="1" s="1"/>
  <c r="M1362" i="1"/>
  <c r="O1256" i="1"/>
  <c r="M1258" i="1"/>
  <c r="M1343" i="1"/>
  <c r="O1016" i="1"/>
  <c r="O978" i="1"/>
  <c r="O979" i="1"/>
  <c r="O968" i="1"/>
  <c r="O791" i="1"/>
  <c r="O848" i="1"/>
  <c r="O849" i="1" s="1"/>
  <c r="L744" i="1"/>
  <c r="M793" i="1"/>
  <c r="G815" i="13"/>
  <c r="G826" i="13" s="1"/>
  <c r="G827" i="13" s="1"/>
  <c r="F124" i="15" s="1"/>
  <c r="F126" i="15" s="1"/>
  <c r="N752" i="1"/>
  <c r="K777" i="1"/>
  <c r="L793" i="1"/>
  <c r="L850" i="1" s="1"/>
  <c r="D120" i="15"/>
  <c r="N809" i="1"/>
  <c r="O809" i="1"/>
  <c r="I105" i="15"/>
  <c r="I108" i="15" s="1"/>
  <c r="I115" i="15" s="1"/>
  <c r="J692" i="13"/>
  <c r="J748" i="13" s="1"/>
  <c r="N704" i="1"/>
  <c r="K715" i="1"/>
  <c r="K792" i="1"/>
  <c r="N792" i="1" s="1"/>
  <c r="N782" i="1"/>
  <c r="O782" i="1"/>
  <c r="M822" i="1"/>
  <c r="O704" i="1"/>
  <c r="G782" i="13"/>
  <c r="O609" i="1"/>
  <c r="O610" i="1" s="1"/>
  <c r="K610" i="1"/>
  <c r="K638" i="1" s="1"/>
  <c r="N609" i="1"/>
  <c r="N610" i="1" s="1"/>
  <c r="D111" i="15"/>
  <c r="E111" i="15" s="1"/>
  <c r="E109" i="15"/>
  <c r="O768" i="1"/>
  <c r="F105" i="15"/>
  <c r="F108" i="15" s="1"/>
  <c r="F115" i="15" s="1"/>
  <c r="G692" i="13"/>
  <c r="G748" i="13" s="1"/>
  <c r="G797" i="13"/>
  <c r="F121" i="15" s="1"/>
  <c r="E108" i="15"/>
  <c r="O581" i="1"/>
  <c r="N581" i="1"/>
  <c r="O686" i="1"/>
  <c r="N803" i="1"/>
  <c r="K810" i="1"/>
  <c r="O819" i="1"/>
  <c r="O752" i="1"/>
  <c r="J782" i="13"/>
  <c r="O776" i="1"/>
  <c r="O671" i="1"/>
  <c r="N671" i="1"/>
  <c r="K687" i="1"/>
  <c r="J815" i="13"/>
  <c r="J826" i="13" s="1"/>
  <c r="J827" i="13" s="1"/>
  <c r="I124" i="15" s="1"/>
  <c r="I126" i="15" s="1"/>
  <c r="D126" i="15"/>
  <c r="E126" i="15" s="1"/>
  <c r="E124" i="15"/>
  <c r="J797" i="13"/>
  <c r="I121" i="15" s="1"/>
  <c r="O803" i="1"/>
  <c r="N475" i="1"/>
  <c r="O475" i="1"/>
  <c r="E78" i="15"/>
  <c r="D85" i="15"/>
  <c r="E85" i="15" s="1"/>
  <c r="N503" i="1"/>
  <c r="N504" i="1" s="1"/>
  <c r="K504" i="1"/>
  <c r="K532" i="1" s="1"/>
  <c r="O503" i="1"/>
  <c r="O504" i="1" s="1"/>
  <c r="O426" i="1"/>
  <c r="O322" i="1"/>
  <c r="O114" i="1"/>
  <c r="O1083" i="1" l="1"/>
  <c r="O984" i="1"/>
  <c r="H172" i="15"/>
  <c r="H174" i="15" s="1"/>
  <c r="K829" i="17"/>
  <c r="J767" i="17"/>
  <c r="M767" i="17" s="1"/>
  <c r="Q767" i="17"/>
  <c r="J710" i="17"/>
  <c r="M710" i="17" s="1"/>
  <c r="M703" i="17"/>
  <c r="K814" i="17"/>
  <c r="J752" i="17"/>
  <c r="Q752" i="17"/>
  <c r="N689" i="17"/>
  <c r="Q792" i="17"/>
  <c r="K854" i="17"/>
  <c r="J792" i="17"/>
  <c r="M792" i="17" s="1"/>
  <c r="L711" i="17"/>
  <c r="K836" i="17"/>
  <c r="J774" i="17"/>
  <c r="M774" i="17" s="1"/>
  <c r="K806" i="17"/>
  <c r="K807" i="17" s="1"/>
  <c r="Q774" i="17"/>
  <c r="L821" i="17"/>
  <c r="L830" i="17"/>
  <c r="O1271" i="1"/>
  <c r="L837" i="17"/>
  <c r="N775" i="17"/>
  <c r="K813" i="17"/>
  <c r="Q751" i="17"/>
  <c r="J751" i="17"/>
  <c r="M751" i="17" s="1"/>
  <c r="L838" i="17"/>
  <c r="L910" i="17"/>
  <c r="J782" i="17"/>
  <c r="M782" i="17" s="1"/>
  <c r="K844" i="17"/>
  <c r="Q782" i="17"/>
  <c r="K820" i="17"/>
  <c r="Q758" i="17"/>
  <c r="J758" i="17"/>
  <c r="M758" i="17" s="1"/>
  <c r="L702" i="17"/>
  <c r="N693" i="17"/>
  <c r="K711" i="17"/>
  <c r="G184" i="15"/>
  <c r="G186" i="15" s="1"/>
  <c r="L986" i="17"/>
  <c r="L822" i="17"/>
  <c r="L813" i="17"/>
  <c r="N751" i="17"/>
  <c r="K910" i="17"/>
  <c r="Q848" i="17"/>
  <c r="J848" i="17"/>
  <c r="M848" i="17" s="1"/>
  <c r="N728" i="17"/>
  <c r="N732" i="17"/>
  <c r="M631" i="17"/>
  <c r="J640" i="17"/>
  <c r="M640" i="17" s="1"/>
  <c r="L853" i="17"/>
  <c r="N791" i="17"/>
  <c r="K867" i="17"/>
  <c r="Q805" i="17"/>
  <c r="J805" i="17"/>
  <c r="M805" i="17" s="1"/>
  <c r="H165" i="15"/>
  <c r="H168" i="15" s="1"/>
  <c r="H175" i="15" s="1"/>
  <c r="Q640" i="17"/>
  <c r="Q684" i="17" s="1"/>
  <c r="L857" i="17"/>
  <c r="L832" i="17"/>
  <c r="J802" i="17"/>
  <c r="M802" i="17" s="1"/>
  <c r="K864" i="17"/>
  <c r="Q802" i="17"/>
  <c r="Q780" i="17"/>
  <c r="K842" i="17"/>
  <c r="J780" i="17"/>
  <c r="N780" i="17" s="1"/>
  <c r="K861" i="17"/>
  <c r="J799" i="17"/>
  <c r="M799" i="17" s="1"/>
  <c r="Q799" i="17"/>
  <c r="M688" i="17"/>
  <c r="J693" i="17"/>
  <c r="M693" i="17" s="1"/>
  <c r="N736" i="17"/>
  <c r="K846" i="17"/>
  <c r="J784" i="17"/>
  <c r="M784" i="17" s="1"/>
  <c r="Q784" i="17"/>
  <c r="L850" i="17"/>
  <c r="L824" i="17"/>
  <c r="K815" i="17"/>
  <c r="Q753" i="17"/>
  <c r="J753" i="17"/>
  <c r="M753" i="17" s="1"/>
  <c r="L816" i="17"/>
  <c r="L859" i="17"/>
  <c r="K778" i="17"/>
  <c r="Q716" i="17"/>
  <c r="Q744" i="17" s="1"/>
  <c r="Q745" i="17" s="1"/>
  <c r="H187" i="15" s="1"/>
  <c r="H189" i="15" s="1"/>
  <c r="J716" i="17"/>
  <c r="N741" i="17"/>
  <c r="K865" i="17"/>
  <c r="Q803" i="17"/>
  <c r="J803" i="17"/>
  <c r="M803" i="17" s="1"/>
  <c r="L858" i="17"/>
  <c r="N730" i="17"/>
  <c r="K858" i="17"/>
  <c r="Q796" i="17"/>
  <c r="J796" i="17"/>
  <c r="M796" i="17" s="1"/>
  <c r="K841" i="17"/>
  <c r="Q779" i="17"/>
  <c r="J779" i="17"/>
  <c r="M779" i="17" s="1"/>
  <c r="N706" i="17"/>
  <c r="K849" i="17"/>
  <c r="Q787" i="17"/>
  <c r="J787" i="17"/>
  <c r="M787" i="17" s="1"/>
  <c r="M621" i="17"/>
  <c r="J622" i="17"/>
  <c r="N621" i="17"/>
  <c r="L849" i="17"/>
  <c r="N787" i="17"/>
  <c r="K845" i="17"/>
  <c r="Q783" i="17"/>
  <c r="J783" i="17"/>
  <c r="M783" i="17" s="1"/>
  <c r="K833" i="17"/>
  <c r="Q771" i="17"/>
  <c r="J771" i="17"/>
  <c r="M771" i="17" s="1"/>
  <c r="N640" i="17"/>
  <c r="O1066" i="1"/>
  <c r="N1066" i="1"/>
  <c r="L851" i="17"/>
  <c r="O1158" i="1"/>
  <c r="L831" i="17"/>
  <c r="L684" i="17"/>
  <c r="K832" i="17"/>
  <c r="Q770" i="17"/>
  <c r="J770" i="17"/>
  <c r="M770" i="17" s="1"/>
  <c r="N649" i="17"/>
  <c r="L844" i="17"/>
  <c r="K851" i="17"/>
  <c r="Q789" i="17"/>
  <c r="J789" i="17"/>
  <c r="M789" i="17" s="1"/>
  <c r="Q710" i="17"/>
  <c r="Q711" i="17" s="1"/>
  <c r="H184" i="15" s="1"/>
  <c r="H186" i="15" s="1"/>
  <c r="L812" i="17"/>
  <c r="L755" i="17"/>
  <c r="K827" i="17"/>
  <c r="Q765" i="17"/>
  <c r="J765" i="17"/>
  <c r="K772" i="17"/>
  <c r="K863" i="17"/>
  <c r="J801" i="17"/>
  <c r="M801" i="17" s="1"/>
  <c r="Q801" i="17"/>
  <c r="J790" i="17"/>
  <c r="M790" i="17" s="1"/>
  <c r="K852" i="17"/>
  <c r="Q790" i="17"/>
  <c r="K828" i="17"/>
  <c r="Q766" i="17"/>
  <c r="J766" i="17"/>
  <c r="M766" i="17" s="1"/>
  <c r="K819" i="17"/>
  <c r="Q757" i="17"/>
  <c r="J757" i="17"/>
  <c r="M757" i="17" s="1"/>
  <c r="N723" i="17"/>
  <c r="K850" i="17"/>
  <c r="Q788" i="17"/>
  <c r="J788" i="17"/>
  <c r="M788" i="17" s="1"/>
  <c r="L856" i="17"/>
  <c r="N703" i="17"/>
  <c r="L819" i="17"/>
  <c r="O2212" i="1"/>
  <c r="K822" i="17"/>
  <c r="J760" i="17"/>
  <c r="M760" i="17" s="1"/>
  <c r="Q760" i="17"/>
  <c r="M712" i="17"/>
  <c r="J744" i="17"/>
  <c r="L823" i="17"/>
  <c r="N578" i="17"/>
  <c r="N696" i="17"/>
  <c r="G180" i="15"/>
  <c r="G183" i="15" s="1"/>
  <c r="G190" i="15" s="1"/>
  <c r="K702" i="17"/>
  <c r="L860" i="17"/>
  <c r="L828" i="17"/>
  <c r="N766" i="17"/>
  <c r="N731" i="17"/>
  <c r="Q701" i="17"/>
  <c r="H181" i="15" s="1"/>
  <c r="N719" i="17"/>
  <c r="G1177" i="13"/>
  <c r="J1177" i="13" s="1"/>
  <c r="L1278" i="1"/>
  <c r="K1278" i="1" s="1"/>
  <c r="K1172" i="1"/>
  <c r="K830" i="17"/>
  <c r="Q768" i="17"/>
  <c r="J768" i="17"/>
  <c r="M768" i="17" s="1"/>
  <c r="L865" i="17"/>
  <c r="N803" i="17"/>
  <c r="M738" i="17"/>
  <c r="N738" i="17"/>
  <c r="L854" i="17"/>
  <c r="N792" i="17"/>
  <c r="L876" i="17"/>
  <c r="N739" i="17"/>
  <c r="N705" i="17"/>
  <c r="K866" i="17"/>
  <c r="J804" i="17"/>
  <c r="Q804" i="17"/>
  <c r="N779" i="17"/>
  <c r="L841" i="17"/>
  <c r="L866" i="17"/>
  <c r="L845" i="17"/>
  <c r="N783" i="17"/>
  <c r="J711" i="17"/>
  <c r="M711" i="17" s="1"/>
  <c r="L815" i="17"/>
  <c r="N753" i="17"/>
  <c r="Q775" i="17"/>
  <c r="K837" i="17"/>
  <c r="J775" i="17"/>
  <c r="M775" i="17" s="1"/>
  <c r="L852" i="17"/>
  <c r="L867" i="17"/>
  <c r="N805" i="17"/>
  <c r="L818" i="17"/>
  <c r="L763" i="17"/>
  <c r="N756" i="17"/>
  <c r="K818" i="17"/>
  <c r="Q756" i="17"/>
  <c r="J756" i="17"/>
  <c r="K763" i="17"/>
  <c r="G196" i="15" s="1"/>
  <c r="K823" i="17"/>
  <c r="J761" i="17"/>
  <c r="M761" i="17" s="1"/>
  <c r="Q761" i="17"/>
  <c r="K862" i="17"/>
  <c r="Q800" i="17"/>
  <c r="J800" i="17"/>
  <c r="K824" i="17"/>
  <c r="J762" i="17"/>
  <c r="M762" i="17" s="1"/>
  <c r="Q762" i="17"/>
  <c r="Q776" i="17"/>
  <c r="K838" i="17"/>
  <c r="J776" i="17"/>
  <c r="M776" i="17" s="1"/>
  <c r="K856" i="17"/>
  <c r="Q794" i="17"/>
  <c r="J794" i="17"/>
  <c r="M794" i="17" s="1"/>
  <c r="N725" i="17"/>
  <c r="Q693" i="17"/>
  <c r="G172" i="15"/>
  <c r="G174" i="15" s="1"/>
  <c r="G175" i="15" s="1"/>
  <c r="K684" i="17"/>
  <c r="J769" i="17"/>
  <c r="K831" i="17"/>
  <c r="Q769" i="17"/>
  <c r="M690" i="17"/>
  <c r="N690" i="17"/>
  <c r="N784" i="17"/>
  <c r="L846" i="17"/>
  <c r="N682" i="17"/>
  <c r="J683" i="17"/>
  <c r="M682" i="17"/>
  <c r="N771" i="17"/>
  <c r="L833" i="17"/>
  <c r="K859" i="17"/>
  <c r="Q797" i="17"/>
  <c r="J797" i="17"/>
  <c r="M797" i="17" s="1"/>
  <c r="L861" i="17"/>
  <c r="N799" i="17"/>
  <c r="L847" i="17"/>
  <c r="J785" i="17"/>
  <c r="M785" i="17" s="1"/>
  <c r="L864" i="17"/>
  <c r="N802" i="17"/>
  <c r="N560" i="17"/>
  <c r="L827" i="17"/>
  <c r="N765" i="17"/>
  <c r="L772" i="17"/>
  <c r="N695" i="17"/>
  <c r="K853" i="17"/>
  <c r="J791" i="17"/>
  <c r="M791" i="17" s="1"/>
  <c r="Q791" i="17"/>
  <c r="K860" i="17"/>
  <c r="J798" i="17"/>
  <c r="M798" i="17" s="1"/>
  <c r="Q798" i="17"/>
  <c r="N743" i="17"/>
  <c r="K2325" i="1"/>
  <c r="N2325" i="1" s="1"/>
  <c r="G2330" i="13"/>
  <c r="J2330" i="13" s="1"/>
  <c r="N631" i="17"/>
  <c r="K855" i="17"/>
  <c r="J793" i="17"/>
  <c r="M793" i="17" s="1"/>
  <c r="Q793" i="17"/>
  <c r="L820" i="17"/>
  <c r="N758" i="17"/>
  <c r="K843" i="17"/>
  <c r="Q781" i="17"/>
  <c r="J781" i="17"/>
  <c r="M781" i="17" s="1"/>
  <c r="K812" i="17"/>
  <c r="Q750" i="17"/>
  <c r="J750" i="17"/>
  <c r="N750" i="17" s="1"/>
  <c r="K755" i="17"/>
  <c r="N704" i="17"/>
  <c r="L855" i="17"/>
  <c r="N793" i="17"/>
  <c r="J701" i="17"/>
  <c r="M694" i="17"/>
  <c r="K857" i="17"/>
  <c r="Q795" i="17"/>
  <c r="J795" i="17"/>
  <c r="M795" i="17" s="1"/>
  <c r="M1384" i="1"/>
  <c r="N781" i="17"/>
  <c r="L843" i="17"/>
  <c r="L836" i="17"/>
  <c r="L806" i="17"/>
  <c r="L807" i="17" s="1"/>
  <c r="N774" i="17"/>
  <c r="N697" i="17"/>
  <c r="K821" i="17"/>
  <c r="Q759" i="17"/>
  <c r="J759" i="17"/>
  <c r="M759" i="17" s="1"/>
  <c r="Q754" i="17"/>
  <c r="K816" i="17"/>
  <c r="J754" i="17"/>
  <c r="M754" i="17" s="1"/>
  <c r="L863" i="17"/>
  <c r="N801" i="17"/>
  <c r="L829" i="17"/>
  <c r="N767" i="17"/>
  <c r="N727" i="17"/>
  <c r="F1840" i="16"/>
  <c r="I1660" i="16"/>
  <c r="F1754" i="16"/>
  <c r="I1746" i="16"/>
  <c r="J307" i="15" s="1"/>
  <c r="J309" i="15" s="1"/>
  <c r="I1816" i="16"/>
  <c r="J319" i="15" s="1"/>
  <c r="J321" i="15" s="1"/>
  <c r="I1922" i="16"/>
  <c r="J334" i="15" s="1"/>
  <c r="J336" i="15" s="1"/>
  <c r="I1927" i="16"/>
  <c r="F1939" i="16"/>
  <c r="I1939" i="16" s="1"/>
  <c r="I1832" i="16"/>
  <c r="F1946" i="16"/>
  <c r="I1946" i="16" s="1"/>
  <c r="I1838" i="16"/>
  <c r="F1928" i="16"/>
  <c r="I1928" i="16" s="1"/>
  <c r="I1822" i="16"/>
  <c r="F1941" i="16"/>
  <c r="I1941" i="16" s="1"/>
  <c r="I1834" i="16"/>
  <c r="F1937" i="16"/>
  <c r="I1937" i="16" s="1"/>
  <c r="I1830" i="16"/>
  <c r="F1935" i="16"/>
  <c r="I1935" i="16" s="1"/>
  <c r="I1828" i="16"/>
  <c r="F1932" i="16"/>
  <c r="I1932" i="16" s="1"/>
  <c r="I1826" i="16"/>
  <c r="I1824" i="16"/>
  <c r="F1930" i="16"/>
  <c r="I1930" i="16" s="1"/>
  <c r="F1944" i="16"/>
  <c r="I1944" i="16" s="1"/>
  <c r="I1837" i="16"/>
  <c r="F1942" i="16"/>
  <c r="I1942" i="16" s="1"/>
  <c r="I1835" i="16"/>
  <c r="F1940" i="16"/>
  <c r="I1940" i="16" s="1"/>
  <c r="I1833" i="16"/>
  <c r="J331" i="15"/>
  <c r="F1922" i="16"/>
  <c r="F1938" i="16"/>
  <c r="I1938" i="16" s="1"/>
  <c r="I1831" i="16"/>
  <c r="F1936" i="16"/>
  <c r="I1936" i="16" s="1"/>
  <c r="I1829" i="16"/>
  <c r="F1933" i="16"/>
  <c r="I1933" i="16" s="1"/>
  <c r="I1827" i="16"/>
  <c r="F1931" i="16"/>
  <c r="I1931" i="16" s="1"/>
  <c r="I1825" i="16"/>
  <c r="F1947" i="16"/>
  <c r="I1947" i="16" s="1"/>
  <c r="I1839" i="16"/>
  <c r="G1260" i="13"/>
  <c r="G1027" i="13"/>
  <c r="G1038" i="13" s="1"/>
  <c r="O1105" i="1"/>
  <c r="O1098" i="1"/>
  <c r="O1376" i="1"/>
  <c r="O1368" i="1"/>
  <c r="O792" i="1"/>
  <c r="O1237" i="1"/>
  <c r="O1363" i="1"/>
  <c r="O1367" i="1"/>
  <c r="O972" i="1"/>
  <c r="O1075" i="1"/>
  <c r="O1069" i="1"/>
  <c r="O898" i="1"/>
  <c r="F1663" i="16"/>
  <c r="F1757" i="16" s="1"/>
  <c r="I1571" i="16"/>
  <c r="I1583" i="16" s="1"/>
  <c r="F1583" i="16"/>
  <c r="F1606" i="16" s="1"/>
  <c r="F1655" i="16" s="1"/>
  <c r="O1072" i="1"/>
  <c r="G1374" i="13"/>
  <c r="O1092" i="1"/>
  <c r="J1009" i="13"/>
  <c r="I151" i="15" s="1"/>
  <c r="J1260" i="13"/>
  <c r="J1276" i="13" s="1"/>
  <c r="J1277" i="13" s="1"/>
  <c r="I187" i="15" s="1"/>
  <c r="I189" i="15" s="1"/>
  <c r="O1076" i="1"/>
  <c r="M1692" i="1"/>
  <c r="K1574" i="1"/>
  <c r="N1574" i="1" s="1"/>
  <c r="L1681" i="1"/>
  <c r="G1579" i="13"/>
  <c r="J1579" i="13" s="1"/>
  <c r="M1676" i="1"/>
  <c r="M1689" i="1"/>
  <c r="M1681" i="1"/>
  <c r="O1021" i="1"/>
  <c r="M1684" i="1"/>
  <c r="M1688" i="1"/>
  <c r="O1241" i="1"/>
  <c r="K1571" i="1"/>
  <c r="O1571" i="1" s="1"/>
  <c r="L1678" i="1"/>
  <c r="G1576" i="13"/>
  <c r="L1694" i="1"/>
  <c r="G1591" i="13"/>
  <c r="J1591" i="13" s="1"/>
  <c r="K1587" i="1"/>
  <c r="N1587" i="1" s="1"/>
  <c r="G1573" i="13"/>
  <c r="J1573" i="13" s="1"/>
  <c r="L1675" i="1"/>
  <c r="O1093" i="1"/>
  <c r="M1128" i="1"/>
  <c r="M1139" i="1" s="1"/>
  <c r="L1674" i="1"/>
  <c r="G1572" i="13"/>
  <c r="K1567" i="1"/>
  <c r="L1570" i="1"/>
  <c r="M1658" i="1"/>
  <c r="K1551" i="1"/>
  <c r="N1551" i="1" s="1"/>
  <c r="L1676" i="1"/>
  <c r="K1569" i="1"/>
  <c r="N1569" i="1" s="1"/>
  <c r="G1574" i="13"/>
  <c r="J1574" i="13" s="1"/>
  <c r="M1697" i="1"/>
  <c r="M1690" i="1"/>
  <c r="L1272" i="1"/>
  <c r="L1273" i="1" s="1"/>
  <c r="D187" i="15" s="1"/>
  <c r="D189" i="15" s="1"/>
  <c r="E189" i="15" s="1"/>
  <c r="O1104" i="1"/>
  <c r="O1360" i="1"/>
  <c r="M1696" i="1"/>
  <c r="M1591" i="1"/>
  <c r="K1589" i="1"/>
  <c r="O1589" i="1" s="1"/>
  <c r="L1696" i="1"/>
  <c r="G1593" i="13"/>
  <c r="L1591" i="1"/>
  <c r="G1595" i="13" s="1"/>
  <c r="M1687" i="1"/>
  <c r="O1107" i="1"/>
  <c r="M1680" i="1"/>
  <c r="L1793" i="1"/>
  <c r="G1691" i="13"/>
  <c r="K1568" i="1"/>
  <c r="M1781" i="1"/>
  <c r="L1800" i="1"/>
  <c r="G1697" i="13"/>
  <c r="J1697" i="13" s="1"/>
  <c r="L1692" i="1"/>
  <c r="G1589" i="13"/>
  <c r="L1588" i="1"/>
  <c r="K1585" i="1"/>
  <c r="M1659" i="1"/>
  <c r="L1684" i="1"/>
  <c r="G1582" i="13"/>
  <c r="J1582" i="13" s="1"/>
  <c r="K1577" i="1"/>
  <c r="N1577" i="1" s="1"/>
  <c r="L1680" i="1"/>
  <c r="G1578" i="13"/>
  <c r="J1578" i="13" s="1"/>
  <c r="K1573" i="1"/>
  <c r="N1573" i="1" s="1"/>
  <c r="K1580" i="1"/>
  <c r="N1580" i="1" s="1"/>
  <c r="L1687" i="1"/>
  <c r="G1585" i="13"/>
  <c r="J1585" i="13" s="1"/>
  <c r="O1255" i="1"/>
  <c r="K1581" i="1"/>
  <c r="N1581" i="1" s="1"/>
  <c r="L1688" i="1"/>
  <c r="G1586" i="13"/>
  <c r="J1586" i="13" s="1"/>
  <c r="L1697" i="1"/>
  <c r="G1594" i="13"/>
  <c r="K1590" i="1"/>
  <c r="N1590" i="1" s="1"/>
  <c r="M1694" i="1"/>
  <c r="L1689" i="1"/>
  <c r="K1582" i="1"/>
  <c r="N1582" i="1" s="1"/>
  <c r="G1587" i="13"/>
  <c r="J1587" i="13" s="1"/>
  <c r="M1679" i="1"/>
  <c r="L1683" i="1"/>
  <c r="G1581" i="13"/>
  <c r="L1578" i="1"/>
  <c r="M1678" i="1"/>
  <c r="M1575" i="1"/>
  <c r="I138" i="15"/>
  <c r="I145" i="15" s="1"/>
  <c r="J1584" i="13"/>
  <c r="M1782" i="1"/>
  <c r="M1570" i="1"/>
  <c r="J255" i="15"/>
  <c r="J258" i="15" s="1"/>
  <c r="J265" i="15" s="1"/>
  <c r="I1422" i="16"/>
  <c r="I1471" i="16" s="1"/>
  <c r="I1479" i="16"/>
  <c r="I1491" i="16" s="1"/>
  <c r="F1491" i="16"/>
  <c r="F1514" i="16" s="1"/>
  <c r="F1563" i="16" s="1"/>
  <c r="J240" i="15"/>
  <c r="J243" i="15" s="1"/>
  <c r="J250" i="15" s="1"/>
  <c r="I1331" i="16"/>
  <c r="I1380" i="16" s="1"/>
  <c r="J904" i="13"/>
  <c r="J960" i="13" s="1"/>
  <c r="M1454" i="1"/>
  <c r="M1561" i="1" s="1"/>
  <c r="J1375" i="13"/>
  <c r="J1378" i="13" s="1"/>
  <c r="G1378" i="13"/>
  <c r="N1371" i="1"/>
  <c r="O1371" i="1"/>
  <c r="N1357" i="1"/>
  <c r="O1357" i="1"/>
  <c r="K1464" i="1"/>
  <c r="O1464" i="1" s="1"/>
  <c r="G1469" i="13"/>
  <c r="M1167" i="1"/>
  <c r="N1373" i="1"/>
  <c r="O1373" i="1"/>
  <c r="N1113" i="1"/>
  <c r="O1113" i="1"/>
  <c r="M1305" i="1"/>
  <c r="M1324" i="1"/>
  <c r="M1227" i="1"/>
  <c r="M1329" i="1"/>
  <c r="K1004" i="1"/>
  <c r="N1004" i="1" s="1"/>
  <c r="N994" i="1"/>
  <c r="O994" i="1"/>
  <c r="N1015" i="1"/>
  <c r="K1022" i="1"/>
  <c r="O1022" i="1" s="1"/>
  <c r="O1015" i="1"/>
  <c r="M1450" i="1"/>
  <c r="M1557" i="1" s="1"/>
  <c r="O1258" i="1"/>
  <c r="M1272" i="1"/>
  <c r="M1364" i="1"/>
  <c r="M1469" i="1"/>
  <c r="M1576" i="1" s="1"/>
  <c r="K1362" i="1"/>
  <c r="N1084" i="1"/>
  <c r="O1084" i="1"/>
  <c r="M1317" i="1"/>
  <c r="G1114" i="13"/>
  <c r="J1106" i="13"/>
  <c r="J1114" i="13" s="1"/>
  <c r="N1003" i="1"/>
  <c r="O1003" i="1"/>
  <c r="N1099" i="1"/>
  <c r="O1099" i="1"/>
  <c r="N1081" i="1"/>
  <c r="O1081" i="1"/>
  <c r="L1293" i="1"/>
  <c r="G1192" i="13"/>
  <c r="J1192" i="13" s="1"/>
  <c r="K1187" i="1"/>
  <c r="N1187" i="1" s="1"/>
  <c r="G1091" i="13"/>
  <c r="J1084" i="13"/>
  <c r="J1091" i="13" s="1"/>
  <c r="M1295" i="1"/>
  <c r="K1094" i="1"/>
  <c r="N1094" i="1" s="1"/>
  <c r="N1091" i="1"/>
  <c r="K1197" i="1"/>
  <c r="O1197" i="1" s="1"/>
  <c r="L1303" i="1"/>
  <c r="G1202" i="13"/>
  <c r="L1200" i="1"/>
  <c r="D150" i="15"/>
  <c r="L1005" i="1"/>
  <c r="L1062" i="1" s="1"/>
  <c r="N1082" i="1"/>
  <c r="O1082" i="1"/>
  <c r="N1359" i="1"/>
  <c r="O1359" i="1"/>
  <c r="N1108" i="1"/>
  <c r="O1108" i="1"/>
  <c r="M1310" i="1"/>
  <c r="M1279" i="1"/>
  <c r="M1176" i="1"/>
  <c r="N1077" i="1"/>
  <c r="O1077" i="1"/>
  <c r="G1132" i="13"/>
  <c r="J1127" i="13"/>
  <c r="J1132" i="13" s="1"/>
  <c r="N1122" i="1"/>
  <c r="K1127" i="1"/>
  <c r="N1127" i="1" s="1"/>
  <c r="O1122" i="1"/>
  <c r="N883" i="1"/>
  <c r="K899" i="1"/>
  <c r="O883" i="1"/>
  <c r="M1326" i="1"/>
  <c r="O1187" i="1"/>
  <c r="M1293" i="1"/>
  <c r="M1192" i="1"/>
  <c r="M1291" i="1"/>
  <c r="N1152" i="1"/>
  <c r="O1152" i="1"/>
  <c r="K1166" i="1"/>
  <c r="N1355" i="1"/>
  <c r="O1355" i="1"/>
  <c r="K1372" i="1"/>
  <c r="N1372" i="1" s="1"/>
  <c r="M1479" i="1"/>
  <c r="M1586" i="1" s="1"/>
  <c r="M1374" i="1"/>
  <c r="D156" i="15"/>
  <c r="E156" i="15" s="1"/>
  <c r="E154" i="15"/>
  <c r="L1280" i="1"/>
  <c r="G1179" i="13"/>
  <c r="J1179" i="13" s="1"/>
  <c r="K1174" i="1"/>
  <c r="N1174" i="1" s="1"/>
  <c r="N1366" i="1"/>
  <c r="O1366" i="1"/>
  <c r="N1162" i="1"/>
  <c r="O1162" i="1"/>
  <c r="L1378" i="1"/>
  <c r="L1379" i="1" s="1"/>
  <c r="D202" i="15" s="1"/>
  <c r="G1465" i="13"/>
  <c r="L1463" i="1"/>
  <c r="K1460" i="1"/>
  <c r="K1444" i="1"/>
  <c r="N1444" i="1" s="1"/>
  <c r="N1120" i="1"/>
  <c r="O1120" i="1"/>
  <c r="G1231" i="13"/>
  <c r="J1231" i="13" s="1"/>
  <c r="L1332" i="1"/>
  <c r="K1226" i="1"/>
  <c r="N1226" i="1" s="1"/>
  <c r="M1289" i="1"/>
  <c r="N1239" i="1"/>
  <c r="K1242" i="1"/>
  <c r="N1242" i="1" s="1"/>
  <c r="O1239" i="1"/>
  <c r="N1263" i="1"/>
  <c r="O1263" i="1"/>
  <c r="N1266" i="1"/>
  <c r="K1268" i="1"/>
  <c r="N1268" i="1" s="1"/>
  <c r="O1266" i="1"/>
  <c r="K1478" i="1"/>
  <c r="G1482" i="13"/>
  <c r="J1362" i="13"/>
  <c r="N1060" i="1"/>
  <c r="N1061" i="1" s="1"/>
  <c r="K1061" i="1"/>
  <c r="K1190" i="1"/>
  <c r="N1190" i="1" s="1"/>
  <c r="L1296" i="1"/>
  <c r="G1195" i="13"/>
  <c r="J1195" i="13" s="1"/>
  <c r="K1109" i="1"/>
  <c r="N1109" i="1" s="1"/>
  <c r="N1101" i="1"/>
  <c r="L1313" i="1"/>
  <c r="G1212" i="13"/>
  <c r="K1207" i="1"/>
  <c r="L1215" i="1"/>
  <c r="L1311" i="1"/>
  <c r="G1210" i="13"/>
  <c r="J1210" i="13" s="1"/>
  <c r="K1205" i="1"/>
  <c r="N1205" i="1" s="1"/>
  <c r="M1284" i="1"/>
  <c r="K1086" i="1"/>
  <c r="N1086" i="1" s="1"/>
  <c r="N1079" i="1"/>
  <c r="L1192" i="1"/>
  <c r="L1291" i="1"/>
  <c r="G1190" i="13"/>
  <c r="K1185" i="1"/>
  <c r="G1099" i="13"/>
  <c r="J1096" i="13"/>
  <c r="J1099" i="13" s="1"/>
  <c r="K1188" i="1"/>
  <c r="N1188" i="1" s="1"/>
  <c r="L1294" i="1"/>
  <c r="G1193" i="13"/>
  <c r="J1193" i="13" s="1"/>
  <c r="J1374" i="13"/>
  <c r="G1475" i="13"/>
  <c r="J1475" i="13" s="1"/>
  <c r="K1470" i="1"/>
  <c r="N1470" i="1" s="1"/>
  <c r="K1466" i="1"/>
  <c r="N1466" i="1" s="1"/>
  <c r="G1471" i="13"/>
  <c r="J1471" i="13" s="1"/>
  <c r="K1480" i="1"/>
  <c r="N1480" i="1" s="1"/>
  <c r="G1484" i="13"/>
  <c r="J1484" i="13" s="1"/>
  <c r="N1354" i="1"/>
  <c r="O1354" i="1"/>
  <c r="K1461" i="1"/>
  <c r="G1466" i="13"/>
  <c r="J1466" i="13" s="1"/>
  <c r="G1224" i="13"/>
  <c r="J1224" i="13" s="1"/>
  <c r="L1325" i="1"/>
  <c r="K1219" i="1"/>
  <c r="N1219" i="1" s="1"/>
  <c r="L1317" i="1"/>
  <c r="K1211" i="1"/>
  <c r="N1211" i="1" s="1"/>
  <c r="G1216" i="13"/>
  <c r="J1216" i="13" s="1"/>
  <c r="M1304" i="1"/>
  <c r="M1299" i="1"/>
  <c r="L1300" i="1"/>
  <c r="G1199" i="13"/>
  <c r="J1199" i="13" s="1"/>
  <c r="K1194" i="1"/>
  <c r="N1194" i="1" s="1"/>
  <c r="M1303" i="1"/>
  <c r="M1200" i="1"/>
  <c r="M1331" i="1"/>
  <c r="K1473" i="1"/>
  <c r="N1473" i="1" s="1"/>
  <c r="G1478" i="13"/>
  <c r="J1478" i="13" s="1"/>
  <c r="J1358" i="13"/>
  <c r="J1361" i="13" s="1"/>
  <c r="G1361" i="13"/>
  <c r="N1353" i="1"/>
  <c r="K1356" i="1"/>
  <c r="O1353" i="1"/>
  <c r="O1250" i="1"/>
  <c r="N1250" i="1"/>
  <c r="O1337" i="1"/>
  <c r="K1214" i="1"/>
  <c r="N1214" i="1" s="1"/>
  <c r="L1320" i="1"/>
  <c r="G1219" i="13"/>
  <c r="J1219" i="13" s="1"/>
  <c r="M1095" i="1"/>
  <c r="L1295" i="1"/>
  <c r="G1194" i="13"/>
  <c r="J1194" i="13" s="1"/>
  <c r="K1189" i="1"/>
  <c r="N1189" i="1" s="1"/>
  <c r="K1183" i="1"/>
  <c r="N1183" i="1" s="1"/>
  <c r="L1289" i="1"/>
  <c r="G1188" i="13"/>
  <c r="J1188" i="13" s="1"/>
  <c r="L1139" i="1"/>
  <c r="K1228" i="1"/>
  <c r="L1334" i="1"/>
  <c r="G1233" i="13"/>
  <c r="L1233" i="1"/>
  <c r="J994" i="13"/>
  <c r="O1079" i="1"/>
  <c r="K1462" i="1"/>
  <c r="N1462" i="1" s="1"/>
  <c r="G1467" i="13"/>
  <c r="J1467" i="13" s="1"/>
  <c r="G1479" i="13"/>
  <c r="J1479" i="13" s="1"/>
  <c r="K1474" i="1"/>
  <c r="N1474" i="1" s="1"/>
  <c r="G1247" i="13"/>
  <c r="J1244" i="13"/>
  <c r="J1247" i="13" s="1"/>
  <c r="L1348" i="1"/>
  <c r="L1452" i="1"/>
  <c r="L1559" i="1" s="1"/>
  <c r="K1345" i="1"/>
  <c r="G1350" i="13"/>
  <c r="K1137" i="1"/>
  <c r="N1137" i="1" s="1"/>
  <c r="N1132" i="1"/>
  <c r="L1476" i="1"/>
  <c r="K1369" i="1"/>
  <c r="G1095" i="13"/>
  <c r="J1092" i="13"/>
  <c r="J1095" i="13" s="1"/>
  <c r="O1004" i="1"/>
  <c r="M1318" i="1"/>
  <c r="M1311" i="1"/>
  <c r="E135" i="15"/>
  <c r="D138" i="15"/>
  <c r="G1182" i="13"/>
  <c r="L1283" i="1"/>
  <c r="K1177" i="1"/>
  <c r="O1177" i="1" s="1"/>
  <c r="L1184" i="1"/>
  <c r="M1315" i="1"/>
  <c r="L1301" i="1"/>
  <c r="G1200" i="13"/>
  <c r="J1200" i="13" s="1"/>
  <c r="K1195" i="1"/>
  <c r="N1195" i="1" s="1"/>
  <c r="M1320" i="1"/>
  <c r="N916" i="1"/>
  <c r="K927" i="1"/>
  <c r="G1009" i="13"/>
  <c r="F151" i="15" s="1"/>
  <c r="L1316" i="1"/>
  <c r="G1215" i="13"/>
  <c r="J1215" i="13" s="1"/>
  <c r="K1210" i="1"/>
  <c r="N1210" i="1" s="1"/>
  <c r="O1097" i="1"/>
  <c r="M1110" i="1"/>
  <c r="L1284" i="1"/>
  <c r="G1183" i="13"/>
  <c r="J1183" i="13" s="1"/>
  <c r="K1178" i="1"/>
  <c r="N1178" i="1" s="1"/>
  <c r="L1297" i="1"/>
  <c r="G1196" i="13"/>
  <c r="J1196" i="13" s="1"/>
  <c r="K1191" i="1"/>
  <c r="N1191" i="1" s="1"/>
  <c r="O1478" i="1"/>
  <c r="K1467" i="1"/>
  <c r="N1467" i="1" s="1"/>
  <c r="G1472" i="13"/>
  <c r="J1472" i="13" s="1"/>
  <c r="M1243" i="1"/>
  <c r="M1453" i="1"/>
  <c r="M1560" i="1" s="1"/>
  <c r="M1449" i="1"/>
  <c r="M1556" i="1" s="1"/>
  <c r="L1336" i="1"/>
  <c r="G1235" i="13"/>
  <c r="J1235" i="13" s="1"/>
  <c r="K1230" i="1"/>
  <c r="L1304" i="1"/>
  <c r="G1203" i="13"/>
  <c r="J1203" i="13" s="1"/>
  <c r="K1198" i="1"/>
  <c r="N1198" i="1" s="1"/>
  <c r="M1301" i="1"/>
  <c r="K1199" i="1"/>
  <c r="N1199" i="1" s="1"/>
  <c r="L1305" i="1"/>
  <c r="G1204" i="13"/>
  <c r="J1204" i="13" s="1"/>
  <c r="M1033" i="1"/>
  <c r="M1332" i="1"/>
  <c r="O988" i="1"/>
  <c r="L1110" i="1"/>
  <c r="D166" i="15" s="1"/>
  <c r="E166" i="15" s="1"/>
  <c r="L1308" i="1"/>
  <c r="G1207" i="13"/>
  <c r="L1206" i="1"/>
  <c r="K1202" i="1"/>
  <c r="O1202" i="1" s="1"/>
  <c r="N1112" i="1"/>
  <c r="K1121" i="1"/>
  <c r="L1324" i="1"/>
  <c r="G1223" i="13"/>
  <c r="K1218" i="1"/>
  <c r="L1227" i="1"/>
  <c r="M1327" i="1"/>
  <c r="O1088" i="1"/>
  <c r="M1285" i="1"/>
  <c r="K1475" i="1"/>
  <c r="N1475" i="1" s="1"/>
  <c r="G1480" i="13"/>
  <c r="J1480" i="13" s="1"/>
  <c r="L1481" i="1"/>
  <c r="N1375" i="1"/>
  <c r="K1377" i="1"/>
  <c r="N1377" i="1" s="1"/>
  <c r="K1338" i="1"/>
  <c r="L1445" i="1"/>
  <c r="L1552" i="1" s="1"/>
  <c r="G1343" i="13"/>
  <c r="J1343" i="13" s="1"/>
  <c r="M1005" i="1"/>
  <c r="M1281" i="1"/>
  <c r="O1101" i="1"/>
  <c r="L1095" i="1"/>
  <c r="J1072" i="13"/>
  <c r="J1075" i="13" s="1"/>
  <c r="G1075" i="13"/>
  <c r="N964" i="1"/>
  <c r="K989" i="1"/>
  <c r="K1180" i="1"/>
  <c r="N1180" i="1" s="1"/>
  <c r="L1286" i="1"/>
  <c r="G1185" i="13"/>
  <c r="J1185" i="13" s="1"/>
  <c r="K1208" i="1"/>
  <c r="N1208" i="1" s="1"/>
  <c r="L1314" i="1"/>
  <c r="G1213" i="13"/>
  <c r="J1213" i="13" s="1"/>
  <c r="O1068" i="1"/>
  <c r="O980" i="1"/>
  <c r="G1186" i="13"/>
  <c r="J1186" i="13" s="1"/>
  <c r="L1287" i="1"/>
  <c r="K1181" i="1"/>
  <c r="N1181" i="1" s="1"/>
  <c r="G1369" i="13"/>
  <c r="J1367" i="13"/>
  <c r="J1369" i="13" s="1"/>
  <c r="G1474" i="13"/>
  <c r="K1469" i="1"/>
  <c r="L1471" i="1"/>
  <c r="M1472" i="1"/>
  <c r="M1579" i="1" s="1"/>
  <c r="M1370" i="1"/>
  <c r="K1365" i="1"/>
  <c r="M1468" i="1"/>
  <c r="G1243" i="13"/>
  <c r="J1240" i="13"/>
  <c r="J1243" i="13" s="1"/>
  <c r="L1448" i="1"/>
  <c r="L1555" i="1" s="1"/>
  <c r="K1341" i="1"/>
  <c r="O1341" i="1" s="1"/>
  <c r="G1346" i="13"/>
  <c r="L1344" i="1"/>
  <c r="G1142" i="13"/>
  <c r="O1060" i="1"/>
  <c r="O1061" i="1" s="1"/>
  <c r="N1252" i="1"/>
  <c r="O1252" i="1"/>
  <c r="G1363" i="13"/>
  <c r="J1363" i="13" s="1"/>
  <c r="L1465" i="1"/>
  <c r="L1572" i="1" s="1"/>
  <c r="K1358" i="1"/>
  <c r="L1310" i="1"/>
  <c r="G1209" i="13"/>
  <c r="J1209" i="13" s="1"/>
  <c r="K1204" i="1"/>
  <c r="N1204" i="1" s="1"/>
  <c r="K1220" i="1"/>
  <c r="O1220" i="1" s="1"/>
  <c r="L1326" i="1"/>
  <c r="G1225" i="13"/>
  <c r="J1225" i="13" s="1"/>
  <c r="M1308" i="1"/>
  <c r="M1206" i="1"/>
  <c r="O1080" i="1"/>
  <c r="M1314" i="1"/>
  <c r="M1286" i="1"/>
  <c r="O1085" i="1"/>
  <c r="L1331" i="1"/>
  <c r="G1230" i="13"/>
  <c r="J1230" i="13" s="1"/>
  <c r="K1225" i="1"/>
  <c r="O1225" i="1" s="1"/>
  <c r="L1318" i="1"/>
  <c r="G1217" i="13"/>
  <c r="J1217" i="13" s="1"/>
  <c r="K1212" i="1"/>
  <c r="N1212" i="1" s="1"/>
  <c r="O916" i="1"/>
  <c r="O1087" i="1"/>
  <c r="N1087" i="1"/>
  <c r="K1090" i="1"/>
  <c r="N1090" i="1" s="1"/>
  <c r="L1196" i="1"/>
  <c r="L1299" i="1"/>
  <c r="G1198" i="13"/>
  <c r="K1193" i="1"/>
  <c r="O1106" i="1"/>
  <c r="L1319" i="1"/>
  <c r="K1213" i="1"/>
  <c r="N1213" i="1" s="1"/>
  <c r="G1218" i="13"/>
  <c r="J1218" i="13" s="1"/>
  <c r="M1287" i="1"/>
  <c r="O1071" i="1"/>
  <c r="N1071" i="1"/>
  <c r="K1078" i="1"/>
  <c r="N1078" i="1" s="1"/>
  <c r="J1076" i="13"/>
  <c r="J1083" i="13" s="1"/>
  <c r="G1083" i="13"/>
  <c r="M1334" i="1"/>
  <c r="M1233" i="1"/>
  <c r="L1454" i="1"/>
  <c r="L1561" i="1" s="1"/>
  <c r="K1347" i="1"/>
  <c r="N1347" i="1" s="1"/>
  <c r="G1352" i="13"/>
  <c r="J1352" i="13" s="1"/>
  <c r="K1342" i="1"/>
  <c r="N1342" i="1" s="1"/>
  <c r="L1449" i="1"/>
  <c r="L1556" i="1" s="1"/>
  <c r="G1347" i="13"/>
  <c r="J1347" i="13" s="1"/>
  <c r="K1483" i="1"/>
  <c r="N1483" i="1" s="1"/>
  <c r="G1487" i="13"/>
  <c r="M1443" i="1"/>
  <c r="M1550" i="1" s="1"/>
  <c r="O899" i="1"/>
  <c r="M956" i="1"/>
  <c r="L1329" i="1"/>
  <c r="G1228" i="13"/>
  <c r="J1228" i="13" s="1"/>
  <c r="K1223" i="1"/>
  <c r="O1223" i="1" s="1"/>
  <c r="M1316" i="1"/>
  <c r="O1210" i="1"/>
  <c r="L1309" i="1"/>
  <c r="G1208" i="13"/>
  <c r="J1208" i="13" s="1"/>
  <c r="K1203" i="1"/>
  <c r="N1203" i="1" s="1"/>
  <c r="L1327" i="1"/>
  <c r="G1226" i="13"/>
  <c r="J1226" i="13" s="1"/>
  <c r="K1221" i="1"/>
  <c r="O1221" i="1" s="1"/>
  <c r="M1309" i="1"/>
  <c r="J1477" i="13"/>
  <c r="K1346" i="1"/>
  <c r="N1346" i="1" s="1"/>
  <c r="L1453" i="1"/>
  <c r="L1560" i="1" s="1"/>
  <c r="G1351" i="13"/>
  <c r="J1351" i="13" s="1"/>
  <c r="G1348" i="13"/>
  <c r="J1348" i="13" s="1"/>
  <c r="L1450" i="1"/>
  <c r="L1557" i="1" s="1"/>
  <c r="K1343" i="1"/>
  <c r="N1343" i="1" s="1"/>
  <c r="M1448" i="1"/>
  <c r="M1555" i="1" s="1"/>
  <c r="M1344" i="1"/>
  <c r="O1240" i="1"/>
  <c r="O1236" i="1"/>
  <c r="O1475" i="1"/>
  <c r="O1467" i="1"/>
  <c r="N1124" i="1"/>
  <c r="O1124" i="1"/>
  <c r="O1089" i="1"/>
  <c r="M1288" i="1"/>
  <c r="K1100" i="1"/>
  <c r="N1096" i="1"/>
  <c r="G1105" i="13"/>
  <c r="J1101" i="13"/>
  <c r="J1105" i="13" s="1"/>
  <c r="F135" i="15"/>
  <c r="F138" i="15" s="1"/>
  <c r="F145" i="15" s="1"/>
  <c r="G904" i="13"/>
  <c r="G960" i="13" s="1"/>
  <c r="J1117" i="13"/>
  <c r="J1126" i="13" s="1"/>
  <c r="G1126" i="13"/>
  <c r="J1027" i="13"/>
  <c r="J1038" i="13" s="1"/>
  <c r="J1039" i="13" s="1"/>
  <c r="I154" i="15" s="1"/>
  <c r="I156" i="15" s="1"/>
  <c r="M1325" i="1"/>
  <c r="M1196" i="1"/>
  <c r="M1300" i="1"/>
  <c r="O1194" i="1"/>
  <c r="L1288" i="1"/>
  <c r="G1187" i="13"/>
  <c r="J1187" i="13" s="1"/>
  <c r="K1182" i="1"/>
  <c r="N1182" i="1" s="1"/>
  <c r="O1073" i="1"/>
  <c r="O1375" i="1"/>
  <c r="M1484" i="1"/>
  <c r="L1484" i="1"/>
  <c r="G1488" i="13" s="1"/>
  <c r="G1486" i="13"/>
  <c r="K1482" i="1"/>
  <c r="O1482" i="1" s="1"/>
  <c r="M1348" i="1"/>
  <c r="M1452" i="1"/>
  <c r="M1559" i="1" s="1"/>
  <c r="N1232" i="1"/>
  <c r="O1232" i="1"/>
  <c r="G1276" i="13"/>
  <c r="G1277" i="13" s="1"/>
  <c r="F187" i="15" s="1"/>
  <c r="F189" i="15" s="1"/>
  <c r="O964" i="1"/>
  <c r="M1215" i="1"/>
  <c r="M1313" i="1"/>
  <c r="O1207" i="1"/>
  <c r="M1319" i="1"/>
  <c r="G1214" i="13"/>
  <c r="J1214" i="13" s="1"/>
  <c r="L1315" i="1"/>
  <c r="K1209" i="1"/>
  <c r="N1209" i="1" s="1"/>
  <c r="K1186" i="1"/>
  <c r="N1186" i="1" s="1"/>
  <c r="L1292" i="1"/>
  <c r="G1191" i="13"/>
  <c r="J1191" i="13" s="1"/>
  <c r="M1328" i="1"/>
  <c r="M1283" i="1"/>
  <c r="M1184" i="1"/>
  <c r="L1328" i="1"/>
  <c r="G1227" i="13"/>
  <c r="J1227" i="13" s="1"/>
  <c r="K1222" i="1"/>
  <c r="O1222" i="1" s="1"/>
  <c r="N1067" i="1"/>
  <c r="K1070" i="1"/>
  <c r="K1173" i="1"/>
  <c r="O1173" i="1" s="1"/>
  <c r="L1279" i="1"/>
  <c r="G1178" i="13"/>
  <c r="L1176" i="1"/>
  <c r="O1174" i="1"/>
  <c r="M1280" i="1"/>
  <c r="N1259" i="1"/>
  <c r="K1264" i="1"/>
  <c r="N1264" i="1" s="1"/>
  <c r="O1259" i="1"/>
  <c r="L1243" i="1"/>
  <c r="K1238" i="1"/>
  <c r="O1238" i="1" s="1"/>
  <c r="N1235" i="1"/>
  <c r="J1142" i="13"/>
  <c r="O1031" i="1"/>
  <c r="G994" i="13"/>
  <c r="O1096" i="1"/>
  <c r="M1292" i="1"/>
  <c r="M1294" i="1"/>
  <c r="M1330" i="1"/>
  <c r="O1102" i="1"/>
  <c r="O1074" i="1"/>
  <c r="M1297" i="1"/>
  <c r="M1296" i="1"/>
  <c r="L1330" i="1"/>
  <c r="G1229" i="13"/>
  <c r="J1229" i="13" s="1"/>
  <c r="K1224" i="1"/>
  <c r="O1224" i="1" s="1"/>
  <c r="K1179" i="1"/>
  <c r="N1179" i="1" s="1"/>
  <c r="L1285" i="1"/>
  <c r="G1184" i="13"/>
  <c r="J1184" i="13" s="1"/>
  <c r="L1281" i="1"/>
  <c r="K1175" i="1"/>
  <c r="N1175" i="1" s="1"/>
  <c r="G1180" i="13"/>
  <c r="J1180" i="13" s="1"/>
  <c r="M850" i="1"/>
  <c r="D115" i="15"/>
  <c r="E115" i="15" s="1"/>
  <c r="N687" i="1"/>
  <c r="O687" i="1"/>
  <c r="I120" i="15"/>
  <c r="I123" i="15" s="1"/>
  <c r="I130" i="15" s="1"/>
  <c r="J798" i="13"/>
  <c r="J854" i="13" s="1"/>
  <c r="N638" i="1"/>
  <c r="O638" i="1"/>
  <c r="N715" i="1"/>
  <c r="N716" i="1" s="1"/>
  <c r="K716" i="1"/>
  <c r="K744" i="1" s="1"/>
  <c r="O715" i="1"/>
  <c r="O716" i="1" s="1"/>
  <c r="D123" i="15"/>
  <c r="E120" i="15"/>
  <c r="O777" i="1"/>
  <c r="N777" i="1"/>
  <c r="K793" i="1"/>
  <c r="K821" i="1"/>
  <c r="N810" i="1"/>
  <c r="O810" i="1"/>
  <c r="G798" i="13"/>
  <c r="G854" i="13" s="1"/>
  <c r="F120" i="15"/>
  <c r="F123" i="15" s="1"/>
  <c r="F130" i="15" s="1"/>
  <c r="N532" i="1"/>
  <c r="O532" i="1"/>
  <c r="C22" i="15"/>
  <c r="C19" i="15"/>
  <c r="N1278" i="1" l="1"/>
  <c r="O1278" i="1"/>
  <c r="G1039" i="13"/>
  <c r="F154" i="15"/>
  <c r="F156" i="15" s="1"/>
  <c r="K921" i="17"/>
  <c r="Q859" i="17"/>
  <c r="J859" i="17"/>
  <c r="M859" i="17" s="1"/>
  <c r="J862" i="17"/>
  <c r="K924" i="17"/>
  <c r="Q862" i="17"/>
  <c r="Q837" i="17"/>
  <c r="K899" i="17"/>
  <c r="J837" i="17"/>
  <c r="M837" i="17" s="1"/>
  <c r="K911" i="17"/>
  <c r="Q849" i="17"/>
  <c r="J849" i="17"/>
  <c r="M849" i="17" s="1"/>
  <c r="N754" i="17"/>
  <c r="L891" i="17"/>
  <c r="Q816" i="17"/>
  <c r="K878" i="17"/>
  <c r="J816" i="17"/>
  <c r="M816" i="17" s="1"/>
  <c r="K883" i="17"/>
  <c r="J821" i="17"/>
  <c r="M821" i="17" s="1"/>
  <c r="Q821" i="17"/>
  <c r="L898" i="17"/>
  <c r="L868" i="17"/>
  <c r="M1491" i="1"/>
  <c r="K919" i="17"/>
  <c r="Q857" i="17"/>
  <c r="J857" i="17"/>
  <c r="M857" i="17" s="1"/>
  <c r="L917" i="17"/>
  <c r="K905" i="17"/>
  <c r="Q843" i="17"/>
  <c r="J843" i="17"/>
  <c r="M843" i="17" s="1"/>
  <c r="K922" i="17"/>
  <c r="Q860" i="17"/>
  <c r="J860" i="17"/>
  <c r="M860" i="17" s="1"/>
  <c r="O2325" i="1"/>
  <c r="L834" i="17"/>
  <c r="L889" i="17"/>
  <c r="L923" i="17"/>
  <c r="L895" i="17"/>
  <c r="Q838" i="17"/>
  <c r="K900" i="17"/>
  <c r="J838" i="17"/>
  <c r="M838" i="17" s="1"/>
  <c r="K886" i="17"/>
  <c r="Q824" i="17"/>
  <c r="J824" i="17"/>
  <c r="M824" i="17" s="1"/>
  <c r="J763" i="17"/>
  <c r="M763" i="17" s="1"/>
  <c r="M756" i="17"/>
  <c r="N763" i="17"/>
  <c r="N790" i="17"/>
  <c r="L903" i="17"/>
  <c r="J866" i="17"/>
  <c r="M866" i="17" s="1"/>
  <c r="K928" i="17"/>
  <c r="Q866" i="17"/>
  <c r="L938" i="17"/>
  <c r="N1172" i="1"/>
  <c r="O1172" i="1"/>
  <c r="H183" i="15"/>
  <c r="H190" i="15" s="1"/>
  <c r="N798" i="17"/>
  <c r="N744" i="17"/>
  <c r="M744" i="17"/>
  <c r="J745" i="17"/>
  <c r="K884" i="17"/>
  <c r="Q822" i="17"/>
  <c r="J822" i="17"/>
  <c r="M822" i="17" s="1"/>
  <c r="K890" i="17"/>
  <c r="Q828" i="17"/>
  <c r="J828" i="17"/>
  <c r="M828" i="17" s="1"/>
  <c r="M765" i="17"/>
  <c r="J772" i="17"/>
  <c r="M772" i="17" s="1"/>
  <c r="L764" i="17"/>
  <c r="N789" i="17"/>
  <c r="K895" i="17"/>
  <c r="Q833" i="17"/>
  <c r="J833" i="17"/>
  <c r="M833" i="17" s="1"/>
  <c r="N796" i="17"/>
  <c r="K927" i="17"/>
  <c r="Q865" i="17"/>
  <c r="J865" i="17"/>
  <c r="M865" i="17" s="1"/>
  <c r="Q778" i="17"/>
  <c r="Q806" i="17" s="1"/>
  <c r="Q807" i="17" s="1"/>
  <c r="K840" i="17"/>
  <c r="J778" i="17"/>
  <c r="L878" i="17"/>
  <c r="N816" i="17"/>
  <c r="N762" i="17"/>
  <c r="L912" i="17"/>
  <c r="J842" i="17"/>
  <c r="N842" i="17" s="1"/>
  <c r="K904" i="17"/>
  <c r="Q842" i="17"/>
  <c r="K926" i="17"/>
  <c r="Q864" i="17"/>
  <c r="J864" i="17"/>
  <c r="M864" i="17" s="1"/>
  <c r="N795" i="17"/>
  <c r="L915" i="17"/>
  <c r="N853" i="17"/>
  <c r="K882" i="17"/>
  <c r="Q820" i="17"/>
  <c r="J820" i="17"/>
  <c r="M820" i="17" s="1"/>
  <c r="L972" i="17"/>
  <c r="L899" i="17"/>
  <c r="N837" i="17"/>
  <c r="L883" i="17"/>
  <c r="N821" i="17"/>
  <c r="M750" i="17"/>
  <c r="J755" i="17"/>
  <c r="N864" i="17"/>
  <c r="L926" i="17"/>
  <c r="Q832" i="17"/>
  <c r="K894" i="17"/>
  <c r="J832" i="17"/>
  <c r="M832" i="17" s="1"/>
  <c r="K907" i="17"/>
  <c r="J845" i="17"/>
  <c r="M845" i="17" s="1"/>
  <c r="Q845" i="17"/>
  <c r="N788" i="17"/>
  <c r="L884" i="17"/>
  <c r="N822" i="17"/>
  <c r="L900" i="17"/>
  <c r="N838" i="17"/>
  <c r="N768" i="17"/>
  <c r="N711" i="17"/>
  <c r="Q829" i="17"/>
  <c r="K891" i="17"/>
  <c r="J829" i="17"/>
  <c r="M829" i="17" s="1"/>
  <c r="O1242" i="1"/>
  <c r="O1190" i="1"/>
  <c r="L1216" i="1"/>
  <c r="D181" i="15" s="1"/>
  <c r="E181" i="15" s="1"/>
  <c r="L905" i="17"/>
  <c r="K874" i="17"/>
  <c r="Q812" i="17"/>
  <c r="J812" i="17"/>
  <c r="K817" i="17"/>
  <c r="K917" i="17"/>
  <c r="Q855" i="17"/>
  <c r="J855" i="17"/>
  <c r="M855" i="17" s="1"/>
  <c r="N785" i="17"/>
  <c r="L908" i="17"/>
  <c r="M800" i="17"/>
  <c r="N800" i="17"/>
  <c r="Q763" i="17"/>
  <c r="H196" i="15" s="1"/>
  <c r="L825" i="17"/>
  <c r="L880" i="17"/>
  <c r="L914" i="17"/>
  <c r="L907" i="17"/>
  <c r="N845" i="17"/>
  <c r="K892" i="17"/>
  <c r="Q830" i="17"/>
  <c r="J830" i="17"/>
  <c r="M830" i="17" s="1"/>
  <c r="L1384" i="1"/>
  <c r="G1283" i="13"/>
  <c r="J1283" i="13" s="1"/>
  <c r="L922" i="17"/>
  <c r="N860" i="17"/>
  <c r="N794" i="17"/>
  <c r="Q850" i="17"/>
  <c r="K912" i="17"/>
  <c r="J850" i="17"/>
  <c r="M850" i="17" s="1"/>
  <c r="Q819" i="17"/>
  <c r="K881" i="17"/>
  <c r="J819" i="17"/>
  <c r="M819" i="17" s="1"/>
  <c r="Q772" i="17"/>
  <c r="L874" i="17"/>
  <c r="N812" i="17"/>
  <c r="L817" i="17"/>
  <c r="K913" i="17"/>
  <c r="Q851" i="17"/>
  <c r="J851" i="17"/>
  <c r="M851" i="17" s="1"/>
  <c r="N769" i="17"/>
  <c r="L913" i="17"/>
  <c r="L911" i="17"/>
  <c r="N849" i="17"/>
  <c r="L920" i="17"/>
  <c r="N797" i="17"/>
  <c r="L886" i="17"/>
  <c r="N824" i="17"/>
  <c r="K923" i="17"/>
  <c r="J861" i="17"/>
  <c r="M861" i="17" s="1"/>
  <c r="Q861" i="17"/>
  <c r="L919" i="17"/>
  <c r="N857" i="17"/>
  <c r="L875" i="17"/>
  <c r="L1048" i="17"/>
  <c r="N702" i="17"/>
  <c r="N848" i="17"/>
  <c r="Q755" i="17"/>
  <c r="N759" i="17"/>
  <c r="K898" i="17"/>
  <c r="Q836" i="17"/>
  <c r="J836" i="17"/>
  <c r="K868" i="17"/>
  <c r="K869" i="17" s="1"/>
  <c r="J854" i="17"/>
  <c r="M854" i="17" s="1"/>
  <c r="K916" i="17"/>
  <c r="Q854" i="17"/>
  <c r="M752" i="17"/>
  <c r="N752" i="17"/>
  <c r="K915" i="17"/>
  <c r="J853" i="17"/>
  <c r="M853" i="17" s="1"/>
  <c r="Q853" i="17"/>
  <c r="M683" i="17"/>
  <c r="J684" i="17"/>
  <c r="M684" i="17" s="1"/>
  <c r="N683" i="17"/>
  <c r="L929" i="17"/>
  <c r="L928" i="17"/>
  <c r="J806" i="17"/>
  <c r="M804" i="17"/>
  <c r="N828" i="17"/>
  <c r="L890" i="17"/>
  <c r="L885" i="17"/>
  <c r="L881" i="17"/>
  <c r="N819" i="17"/>
  <c r="K773" i="17"/>
  <c r="K808" i="17" s="1"/>
  <c r="G199" i="15"/>
  <c r="G201" i="15" s="1"/>
  <c r="L906" i="17"/>
  <c r="M622" i="17"/>
  <c r="N622" i="17"/>
  <c r="K903" i="17"/>
  <c r="Q841" i="17"/>
  <c r="J841" i="17"/>
  <c r="M841" i="17" s="1"/>
  <c r="K877" i="17"/>
  <c r="Q815" i="17"/>
  <c r="J815" i="17"/>
  <c r="M815" i="17" s="1"/>
  <c r="K908" i="17"/>
  <c r="Q846" i="17"/>
  <c r="J846" i="17"/>
  <c r="M846" i="17" s="1"/>
  <c r="L894" i="17"/>
  <c r="N832" i="17"/>
  <c r="Q910" i="17"/>
  <c r="K972" i="17"/>
  <c r="J910" i="17"/>
  <c r="M910" i="17" s="1"/>
  <c r="G202" i="15"/>
  <c r="G204" i="15" s="1"/>
  <c r="G205" i="15" s="1"/>
  <c r="O1213" i="1"/>
  <c r="O1180" i="1"/>
  <c r="O1372" i="1"/>
  <c r="L925" i="17"/>
  <c r="J702" i="17"/>
  <c r="M702" i="17" s="1"/>
  <c r="M701" i="17"/>
  <c r="G195" i="15"/>
  <c r="G198" i="15" s="1"/>
  <c r="K764" i="17"/>
  <c r="L882" i="17"/>
  <c r="N820" i="17"/>
  <c r="L773" i="17"/>
  <c r="L909" i="17"/>
  <c r="N847" i="17"/>
  <c r="J847" i="17"/>
  <c r="M847" i="17" s="1"/>
  <c r="J831" i="17"/>
  <c r="K893" i="17"/>
  <c r="Q831" i="17"/>
  <c r="H180" i="15"/>
  <c r="Q702" i="17"/>
  <c r="Q746" i="17" s="1"/>
  <c r="Q856" i="17"/>
  <c r="K918" i="17"/>
  <c r="J856" i="17"/>
  <c r="M856" i="17" s="1"/>
  <c r="K885" i="17"/>
  <c r="Q823" i="17"/>
  <c r="J823" i="17"/>
  <c r="M823" i="17" s="1"/>
  <c r="K880" i="17"/>
  <c r="Q818" i="17"/>
  <c r="J818" i="17"/>
  <c r="K825" i="17"/>
  <c r="G211" i="15" s="1"/>
  <c r="L877" i="17"/>
  <c r="N815" i="17"/>
  <c r="N804" i="17"/>
  <c r="L916" i="17"/>
  <c r="L927" i="17"/>
  <c r="N865" i="17"/>
  <c r="L746" i="17"/>
  <c r="K746" i="17"/>
  <c r="N761" i="17"/>
  <c r="N757" i="17"/>
  <c r="L918" i="17"/>
  <c r="N856" i="17"/>
  <c r="K914" i="17"/>
  <c r="Q852" i="17"/>
  <c r="J852" i="17"/>
  <c r="M852" i="17" s="1"/>
  <c r="K925" i="17"/>
  <c r="J863" i="17"/>
  <c r="M863" i="17" s="1"/>
  <c r="Q863" i="17"/>
  <c r="Q827" i="17"/>
  <c r="K889" i="17"/>
  <c r="K834" i="17"/>
  <c r="J827" i="17"/>
  <c r="N782" i="17"/>
  <c r="L893" i="17"/>
  <c r="N831" i="17"/>
  <c r="K920" i="17"/>
  <c r="Q858" i="17"/>
  <c r="J858" i="17"/>
  <c r="M858" i="17" s="1"/>
  <c r="L921" i="17"/>
  <c r="N859" i="17"/>
  <c r="N701" i="17"/>
  <c r="N770" i="17"/>
  <c r="K929" i="17"/>
  <c r="Q867" i="17"/>
  <c r="J867" i="17"/>
  <c r="M867" i="17" s="1"/>
  <c r="N760" i="17"/>
  <c r="K906" i="17"/>
  <c r="Q844" i="17"/>
  <c r="J844" i="17"/>
  <c r="M844" i="17" s="1"/>
  <c r="N776" i="17"/>
  <c r="K875" i="17"/>
  <c r="Q813" i="17"/>
  <c r="J813" i="17"/>
  <c r="M813" i="17" s="1"/>
  <c r="N830" i="17"/>
  <c r="L892" i="17"/>
  <c r="N710" i="17"/>
  <c r="Q814" i="17"/>
  <c r="K876" i="17"/>
  <c r="J814" i="17"/>
  <c r="F1848" i="16"/>
  <c r="I1848" i="16" s="1"/>
  <c r="I1754" i="16"/>
  <c r="I1840" i="16"/>
  <c r="J322" i="15" s="1"/>
  <c r="J324" i="15" s="1"/>
  <c r="F1851" i="16"/>
  <c r="I1757" i="16"/>
  <c r="I1769" i="16" s="1"/>
  <c r="F1769" i="16"/>
  <c r="F1794" i="16" s="1"/>
  <c r="F1843" i="16" s="1"/>
  <c r="I1948" i="16"/>
  <c r="F1948" i="16"/>
  <c r="J1133" i="13"/>
  <c r="J1144" i="13" s="1"/>
  <c r="J1145" i="13" s="1"/>
  <c r="I169" i="15" s="1"/>
  <c r="I171" i="15" s="1"/>
  <c r="G1115" i="13"/>
  <c r="F166" i="15" s="1"/>
  <c r="O1574" i="1"/>
  <c r="E187" i="15"/>
  <c r="O1181" i="1"/>
  <c r="O1551" i="1"/>
  <c r="O1198" i="1"/>
  <c r="O1444" i="1"/>
  <c r="I1663" i="16"/>
  <c r="I1675" i="16" s="1"/>
  <c r="F1675" i="16"/>
  <c r="F1700" i="16" s="1"/>
  <c r="F1749" i="16" s="1"/>
  <c r="J285" i="15"/>
  <c r="J288" i="15" s="1"/>
  <c r="J295" i="15" s="1"/>
  <c r="I1606" i="16"/>
  <c r="I1655" i="16" s="1"/>
  <c r="O1377" i="1"/>
  <c r="O1214" i="1"/>
  <c r="O1580" i="1"/>
  <c r="K1374" i="1"/>
  <c r="N1374" i="1" s="1"/>
  <c r="J1588" i="13"/>
  <c r="O1587" i="1"/>
  <c r="O1581" i="1"/>
  <c r="O1577" i="1"/>
  <c r="J1248" i="13"/>
  <c r="G1588" i="13"/>
  <c r="M1662" i="1"/>
  <c r="M1558" i="1"/>
  <c r="K1557" i="1"/>
  <c r="N1557" i="1" s="1"/>
  <c r="L1664" i="1"/>
  <c r="G1562" i="13"/>
  <c r="J1562" i="13" s="1"/>
  <c r="L1679" i="1"/>
  <c r="L1682" i="1" s="1"/>
  <c r="G1577" i="13"/>
  <c r="J1577" i="13" s="1"/>
  <c r="K1572" i="1"/>
  <c r="K1575" i="1" s="1"/>
  <c r="K1579" i="1"/>
  <c r="M1686" i="1"/>
  <c r="O1579" i="1"/>
  <c r="M1584" i="1"/>
  <c r="L1659" i="1"/>
  <c r="G1557" i="13"/>
  <c r="J1557" i="13" s="1"/>
  <c r="K1552" i="1"/>
  <c r="M1667" i="1"/>
  <c r="K1476" i="1"/>
  <c r="N1476" i="1" s="1"/>
  <c r="L1583" i="1"/>
  <c r="M1693" i="1"/>
  <c r="M1695" i="1" s="1"/>
  <c r="K1586" i="1"/>
  <c r="N1586" i="1" s="1"/>
  <c r="O1189" i="1"/>
  <c r="M1664" i="1"/>
  <c r="L1468" i="1"/>
  <c r="M1668" i="1"/>
  <c r="M1889" i="1"/>
  <c r="M1682" i="1"/>
  <c r="M1785" i="1"/>
  <c r="G1583" i="13"/>
  <c r="J1581" i="13"/>
  <c r="J1583" i="13" s="1"/>
  <c r="L1790" i="1"/>
  <c r="G1688" i="13"/>
  <c r="L1685" i="1"/>
  <c r="M1786" i="1"/>
  <c r="K1697" i="1"/>
  <c r="N1697" i="1" s="1"/>
  <c r="L1804" i="1"/>
  <c r="G1701" i="13"/>
  <c r="L1795" i="1"/>
  <c r="G1693" i="13"/>
  <c r="J1693" i="13" s="1"/>
  <c r="K1688" i="1"/>
  <c r="N1688" i="1" s="1"/>
  <c r="K1687" i="1"/>
  <c r="N1687" i="1" s="1"/>
  <c r="L1794" i="1"/>
  <c r="G1692" i="13"/>
  <c r="J1692" i="13" s="1"/>
  <c r="L1787" i="1"/>
  <c r="G1685" i="13"/>
  <c r="J1685" i="13" s="1"/>
  <c r="K1680" i="1"/>
  <c r="N1680" i="1" s="1"/>
  <c r="N1585" i="1"/>
  <c r="J1589" i="13"/>
  <c r="J1592" i="13" s="1"/>
  <c r="G1592" i="13"/>
  <c r="L1907" i="1"/>
  <c r="G1804" i="13"/>
  <c r="J1804" i="13" s="1"/>
  <c r="N1568" i="1"/>
  <c r="O1568" i="1"/>
  <c r="M1787" i="1"/>
  <c r="L1698" i="1"/>
  <c r="G1702" i="13" s="1"/>
  <c r="L1803" i="1"/>
  <c r="G1700" i="13"/>
  <c r="K1696" i="1"/>
  <c r="O1696" i="1" s="1"/>
  <c r="M1698" i="1"/>
  <c r="M1803" i="1"/>
  <c r="O1590" i="1"/>
  <c r="K1676" i="1"/>
  <c r="N1676" i="1" s="1"/>
  <c r="L1783" i="1"/>
  <c r="G1681" i="13"/>
  <c r="J1681" i="13" s="1"/>
  <c r="G1575" i="13"/>
  <c r="J1572" i="13"/>
  <c r="J1575" i="13" s="1"/>
  <c r="L1782" i="1"/>
  <c r="K1675" i="1"/>
  <c r="G1680" i="13"/>
  <c r="J1680" i="13" s="1"/>
  <c r="K1694" i="1"/>
  <c r="N1694" i="1" s="1"/>
  <c r="L1801" i="1"/>
  <c r="G1698" i="13"/>
  <c r="J1698" i="13" s="1"/>
  <c r="J1576" i="13"/>
  <c r="N1571" i="1"/>
  <c r="M1788" i="1"/>
  <c r="M1796" i="1"/>
  <c r="O1676" i="1"/>
  <c r="M1783" i="1"/>
  <c r="M1784" i="1" s="1"/>
  <c r="K1681" i="1"/>
  <c r="N1681" i="1" s="1"/>
  <c r="L1788" i="1"/>
  <c r="G1686" i="13"/>
  <c r="J1686" i="13" s="1"/>
  <c r="O1585" i="1"/>
  <c r="M1799" i="1"/>
  <c r="O1191" i="1"/>
  <c r="O1188" i="1"/>
  <c r="M1666" i="1"/>
  <c r="M1562" i="1"/>
  <c r="O1473" i="1"/>
  <c r="O1219" i="1"/>
  <c r="K1560" i="1"/>
  <c r="N1560" i="1" s="1"/>
  <c r="L1667" i="1"/>
  <c r="G1565" i="13"/>
  <c r="J1565" i="13" s="1"/>
  <c r="M1657" i="1"/>
  <c r="K1556" i="1"/>
  <c r="N1556" i="1" s="1"/>
  <c r="L1663" i="1"/>
  <c r="G1561" i="13"/>
  <c r="J1561" i="13" s="1"/>
  <c r="K1561" i="1"/>
  <c r="N1561" i="1" s="1"/>
  <c r="L1668" i="1"/>
  <c r="G1566" i="13"/>
  <c r="J1566" i="13" s="1"/>
  <c r="K1555" i="1"/>
  <c r="L1662" i="1"/>
  <c r="G1560" i="13"/>
  <c r="L1558" i="1"/>
  <c r="O1109" i="1"/>
  <c r="L1234" i="1"/>
  <c r="L1245" i="1" s="1"/>
  <c r="L1246" i="1" s="1"/>
  <c r="D184" i="15" s="1"/>
  <c r="E184" i="15" s="1"/>
  <c r="O1226" i="1"/>
  <c r="M1663" i="1"/>
  <c r="O1556" i="1"/>
  <c r="O1462" i="1"/>
  <c r="L1477" i="1"/>
  <c r="O1209" i="1"/>
  <c r="O1205" i="1"/>
  <c r="K1559" i="1"/>
  <c r="O1559" i="1" s="1"/>
  <c r="L1666" i="1"/>
  <c r="G1564" i="13"/>
  <c r="L1562" i="1"/>
  <c r="O1086" i="1"/>
  <c r="M1201" i="1"/>
  <c r="O1474" i="1"/>
  <c r="M1683" i="1"/>
  <c r="M1578" i="1"/>
  <c r="O1343" i="1"/>
  <c r="K1576" i="1"/>
  <c r="K1689" i="1"/>
  <c r="N1689" i="1" s="1"/>
  <c r="L1796" i="1"/>
  <c r="G1694" i="13"/>
  <c r="J1694" i="13" s="1"/>
  <c r="O1694" i="1"/>
  <c r="M1801" i="1"/>
  <c r="L1791" i="1"/>
  <c r="G1689" i="13"/>
  <c r="J1689" i="13" s="1"/>
  <c r="K1684" i="1"/>
  <c r="N1684" i="1" s="1"/>
  <c r="M1766" i="1"/>
  <c r="K1692" i="1"/>
  <c r="O1692" i="1" s="1"/>
  <c r="L1799" i="1"/>
  <c r="L1802" i="1" s="1"/>
  <c r="G1696" i="13"/>
  <c r="L1695" i="1"/>
  <c r="M1677" i="1"/>
  <c r="M1888" i="1"/>
  <c r="J1691" i="13"/>
  <c r="L1900" i="1"/>
  <c r="G1798" i="13"/>
  <c r="O1573" i="1"/>
  <c r="M1794" i="1"/>
  <c r="N1589" i="1"/>
  <c r="K1591" i="1"/>
  <c r="N1591" i="1" s="1"/>
  <c r="M1797" i="1"/>
  <c r="M1804" i="1"/>
  <c r="M1765" i="1"/>
  <c r="K1658" i="1"/>
  <c r="N1658" i="1" s="1"/>
  <c r="N1567" i="1"/>
  <c r="K1570" i="1"/>
  <c r="O1567" i="1"/>
  <c r="K1674" i="1"/>
  <c r="L1781" i="1"/>
  <c r="G1679" i="13"/>
  <c r="L1677" i="1"/>
  <c r="L1575" i="1"/>
  <c r="L1785" i="1"/>
  <c r="G1683" i="13"/>
  <c r="K1678" i="1"/>
  <c r="M1795" i="1"/>
  <c r="M1791" i="1"/>
  <c r="O1582" i="1"/>
  <c r="O1569" i="1"/>
  <c r="M1588" i="1"/>
  <c r="J270" i="15"/>
  <c r="J273" i="15" s="1"/>
  <c r="J280" i="15" s="1"/>
  <c r="I1514" i="16"/>
  <c r="G1133" i="13"/>
  <c r="G1144" i="13" s="1"/>
  <c r="G1145" i="13" s="1"/>
  <c r="F169" i="15" s="1"/>
  <c r="F171" i="15" s="1"/>
  <c r="G1481" i="13"/>
  <c r="G1248" i="13"/>
  <c r="M1402" i="1"/>
  <c r="M1509" i="1" s="1"/>
  <c r="M1403" i="1"/>
  <c r="M1510" i="1" s="1"/>
  <c r="M1400" i="1"/>
  <c r="M1507" i="1" s="1"/>
  <c r="M1398" i="1"/>
  <c r="M1505" i="1" s="1"/>
  <c r="M1386" i="1"/>
  <c r="M1493" i="1" s="1"/>
  <c r="K1279" i="1"/>
  <c r="L1385" i="1"/>
  <c r="L1492" i="1" s="1"/>
  <c r="G1284" i="13"/>
  <c r="L1282" i="1"/>
  <c r="N1070" i="1"/>
  <c r="K1095" i="1"/>
  <c r="L1434" i="1"/>
  <c r="G1333" i="13"/>
  <c r="J1333" i="13" s="1"/>
  <c r="K1328" i="1"/>
  <c r="O1328" i="1" s="1"/>
  <c r="L1321" i="1"/>
  <c r="L1421" i="1"/>
  <c r="L1528" i="1" s="1"/>
  <c r="G1320" i="13"/>
  <c r="J1320" i="13" s="1"/>
  <c r="K1315" i="1"/>
  <c r="N1315" i="1" s="1"/>
  <c r="M1455" i="1"/>
  <c r="K1288" i="1"/>
  <c r="N1288" i="1" s="1"/>
  <c r="L1394" i="1"/>
  <c r="L1501" i="1" s="1"/>
  <c r="G1293" i="13"/>
  <c r="J1293" i="13" s="1"/>
  <c r="M1406" i="1"/>
  <c r="M1513" i="1" s="1"/>
  <c r="K1110" i="1"/>
  <c r="N1110" i="1" s="1"/>
  <c r="N1100" i="1"/>
  <c r="O1182" i="1"/>
  <c r="M1451" i="1"/>
  <c r="G1455" i="13"/>
  <c r="J1455" i="13" s="1"/>
  <c r="K1450" i="1"/>
  <c r="N1450" i="1" s="1"/>
  <c r="M1312" i="1"/>
  <c r="M1415" i="1"/>
  <c r="M1522" i="1" s="1"/>
  <c r="L1415" i="1"/>
  <c r="L1522" i="1" s="1"/>
  <c r="G1314" i="13"/>
  <c r="J1314" i="13" s="1"/>
  <c r="K1309" i="1"/>
  <c r="N1309" i="1" s="1"/>
  <c r="L1435" i="1"/>
  <c r="G1334" i="13"/>
  <c r="J1334" i="13" s="1"/>
  <c r="K1329" i="1"/>
  <c r="O1329" i="1" s="1"/>
  <c r="M1441" i="1"/>
  <c r="M1548" i="1" s="1"/>
  <c r="M1339" i="1"/>
  <c r="L1425" i="1"/>
  <c r="L1532" i="1" s="1"/>
  <c r="G1324" i="13"/>
  <c r="J1324" i="13" s="1"/>
  <c r="K1319" i="1"/>
  <c r="N1319" i="1" s="1"/>
  <c r="K1196" i="1"/>
  <c r="N1196" i="1" s="1"/>
  <c r="N1193" i="1"/>
  <c r="L1302" i="1"/>
  <c r="L1405" i="1"/>
  <c r="L1512" i="1" s="1"/>
  <c r="K1299" i="1"/>
  <c r="O1299" i="1" s="1"/>
  <c r="G1304" i="13"/>
  <c r="K1318" i="1"/>
  <c r="N1318" i="1" s="1"/>
  <c r="L1424" i="1"/>
  <c r="L1531" i="1" s="1"/>
  <c r="G1323" i="13"/>
  <c r="J1323" i="13" s="1"/>
  <c r="M1392" i="1"/>
  <c r="M1499" i="1" s="1"/>
  <c r="M1420" i="1"/>
  <c r="M1527" i="1" s="1"/>
  <c r="M1414" i="1"/>
  <c r="M1521" i="1" s="1"/>
  <c r="L1432" i="1"/>
  <c r="G1331" i="13"/>
  <c r="J1331" i="13" s="1"/>
  <c r="K1326" i="1"/>
  <c r="O1326" i="1" s="1"/>
  <c r="K1310" i="1"/>
  <c r="N1310" i="1" s="1"/>
  <c r="L1416" i="1"/>
  <c r="L1523" i="1" s="1"/>
  <c r="G1315" i="13"/>
  <c r="J1315" i="13" s="1"/>
  <c r="K1361" i="1"/>
  <c r="N1358" i="1"/>
  <c r="O1358" i="1"/>
  <c r="G1349" i="13"/>
  <c r="J1346" i="13"/>
  <c r="J1349" i="13" s="1"/>
  <c r="G1453" i="13"/>
  <c r="K1448" i="1"/>
  <c r="L1451" i="1"/>
  <c r="O1264" i="1"/>
  <c r="N1469" i="1"/>
  <c r="K1471" i="1"/>
  <c r="N1471" i="1" s="1"/>
  <c r="L1393" i="1"/>
  <c r="L1500" i="1" s="1"/>
  <c r="K1287" i="1"/>
  <c r="N1287" i="1" s="1"/>
  <c r="G1292" i="13"/>
  <c r="J1292" i="13" s="1"/>
  <c r="L1392" i="1"/>
  <c r="L1499" i="1" s="1"/>
  <c r="G1291" i="13"/>
  <c r="J1291" i="13" s="1"/>
  <c r="K1286" i="1"/>
  <c r="N1286" i="1" s="1"/>
  <c r="K1005" i="1"/>
  <c r="O1005" i="1" s="1"/>
  <c r="N989" i="1"/>
  <c r="D165" i="15"/>
  <c r="L1111" i="1"/>
  <c r="O1175" i="1"/>
  <c r="O989" i="1"/>
  <c r="N1338" i="1"/>
  <c r="O1338" i="1"/>
  <c r="M1391" i="1"/>
  <c r="M1498" i="1" s="1"/>
  <c r="G1232" i="13"/>
  <c r="J1223" i="13"/>
  <c r="J1232" i="13" s="1"/>
  <c r="K1336" i="1"/>
  <c r="L1443" i="1"/>
  <c r="L1550" i="1" s="1"/>
  <c r="G1341" i="13"/>
  <c r="J1341" i="13" s="1"/>
  <c r="O927" i="1"/>
  <c r="O928" i="1" s="1"/>
  <c r="N927" i="1"/>
  <c r="N928" i="1" s="1"/>
  <c r="K928" i="1"/>
  <c r="K956" i="1" s="1"/>
  <c r="N956" i="1" s="1"/>
  <c r="K1283" i="1"/>
  <c r="O1283" i="1" s="1"/>
  <c r="L1389" i="1"/>
  <c r="L1496" i="1" s="1"/>
  <c r="G1288" i="13"/>
  <c r="L1290" i="1"/>
  <c r="D186" i="15"/>
  <c r="E186" i="15" s="1"/>
  <c r="O1121" i="1"/>
  <c r="K1128" i="1"/>
  <c r="N1121" i="1"/>
  <c r="K1206" i="1"/>
  <c r="O1206" i="1" s="1"/>
  <c r="N1202" i="1"/>
  <c r="G1211" i="13"/>
  <c r="J1207" i="13"/>
  <c r="J1211" i="13" s="1"/>
  <c r="M1407" i="1"/>
  <c r="M1514" i="1" s="1"/>
  <c r="N1230" i="1"/>
  <c r="O1230" i="1"/>
  <c r="K1284" i="1"/>
  <c r="N1284" i="1" s="1"/>
  <c r="L1390" i="1"/>
  <c r="L1497" i="1" s="1"/>
  <c r="G1289" i="13"/>
  <c r="J1289" i="13" s="1"/>
  <c r="L1422" i="1"/>
  <c r="L1529" i="1" s="1"/>
  <c r="G1321" i="13"/>
  <c r="J1321" i="13" s="1"/>
  <c r="K1316" i="1"/>
  <c r="N1316" i="1" s="1"/>
  <c r="K1301" i="1"/>
  <c r="N1301" i="1" s="1"/>
  <c r="L1407" i="1"/>
  <c r="L1514" i="1" s="1"/>
  <c r="G1306" i="13"/>
  <c r="J1306" i="13" s="1"/>
  <c r="L1201" i="1"/>
  <c r="E138" i="15"/>
  <c r="D145" i="15"/>
  <c r="E145" i="15" s="1"/>
  <c r="O1212" i="1"/>
  <c r="N1345" i="1"/>
  <c r="K1348" i="1"/>
  <c r="N1348" i="1" s="1"/>
  <c r="I150" i="15"/>
  <c r="I153" i="15" s="1"/>
  <c r="I160" i="15" s="1"/>
  <c r="J1010" i="13"/>
  <c r="J1066" i="13" s="1"/>
  <c r="J1233" i="13"/>
  <c r="J1238" i="13" s="1"/>
  <c r="G1238" i="13"/>
  <c r="N1228" i="1"/>
  <c r="K1233" i="1"/>
  <c r="N1233" i="1" s="1"/>
  <c r="O1070" i="1"/>
  <c r="K1272" i="1"/>
  <c r="N1356" i="1"/>
  <c r="M1306" i="1"/>
  <c r="M1409" i="1"/>
  <c r="M1516" i="1" s="1"/>
  <c r="O1193" i="1"/>
  <c r="M1140" i="1"/>
  <c r="N1461" i="1"/>
  <c r="O1461" i="1"/>
  <c r="L1400" i="1"/>
  <c r="L1507" i="1" s="1"/>
  <c r="G1299" i="13"/>
  <c r="J1299" i="13" s="1"/>
  <c r="K1294" i="1"/>
  <c r="N1294" i="1" s="1"/>
  <c r="N1185" i="1"/>
  <c r="K1192" i="1"/>
  <c r="N1192" i="1" s="1"/>
  <c r="L1397" i="1"/>
  <c r="L1504" i="1" s="1"/>
  <c r="G1296" i="13"/>
  <c r="L1298" i="1"/>
  <c r="K1291" i="1"/>
  <c r="O1178" i="1"/>
  <c r="L1417" i="1"/>
  <c r="L1524" i="1" s="1"/>
  <c r="K1311" i="1"/>
  <c r="N1311" i="1" s="1"/>
  <c r="G1316" i="13"/>
  <c r="J1316" i="13" s="1"/>
  <c r="N1207" i="1"/>
  <c r="K1215" i="1"/>
  <c r="N1215" i="1" s="1"/>
  <c r="L1419" i="1"/>
  <c r="L1526" i="1" s="1"/>
  <c r="K1313" i="1"/>
  <c r="O1313" i="1" s="1"/>
  <c r="G1318" i="13"/>
  <c r="L1402" i="1"/>
  <c r="L1509" i="1" s="1"/>
  <c r="G1301" i="13"/>
  <c r="J1301" i="13" s="1"/>
  <c r="K1296" i="1"/>
  <c r="N1296" i="1" s="1"/>
  <c r="J1366" i="13"/>
  <c r="J1382" i="13" s="1"/>
  <c r="J1383" i="13" s="1"/>
  <c r="I202" i="15" s="1"/>
  <c r="I204" i="15" s="1"/>
  <c r="N1478" i="1"/>
  <c r="O1183" i="1"/>
  <c r="E202" i="15"/>
  <c r="D204" i="15"/>
  <c r="E204" i="15" s="1"/>
  <c r="K1479" i="1"/>
  <c r="N1479" i="1" s="1"/>
  <c r="N1166" i="1"/>
  <c r="N1167" i="1" s="1"/>
  <c r="K1167" i="1"/>
  <c r="M1397" i="1"/>
  <c r="M1504" i="1" s="1"/>
  <c r="O1291" i="1"/>
  <c r="M1298" i="1"/>
  <c r="M1399" i="1"/>
  <c r="M1506" i="1" s="1"/>
  <c r="M1416" i="1"/>
  <c r="M1523" i="1" s="1"/>
  <c r="E150" i="15"/>
  <c r="D153" i="15"/>
  <c r="G1205" i="13"/>
  <c r="J1202" i="13"/>
  <c r="J1205" i="13" s="1"/>
  <c r="K1200" i="1"/>
  <c r="N1200" i="1" s="1"/>
  <c r="N1197" i="1"/>
  <c r="O1211" i="1"/>
  <c r="K1364" i="1"/>
  <c r="N1364" i="1" s="1"/>
  <c r="N1362" i="1"/>
  <c r="O1469" i="1"/>
  <c r="M1471" i="1"/>
  <c r="M1273" i="1"/>
  <c r="O1272" i="1"/>
  <c r="O1273" i="1" s="1"/>
  <c r="O1094" i="1"/>
  <c r="M1435" i="1"/>
  <c r="M1542" i="1" s="1"/>
  <c r="M1234" i="1"/>
  <c r="M1245" i="1" s="1"/>
  <c r="M1333" i="1"/>
  <c r="M1430" i="1"/>
  <c r="M1537" i="1" s="1"/>
  <c r="M1411" i="1"/>
  <c r="M1518" i="1" s="1"/>
  <c r="N1464" i="1"/>
  <c r="O1356" i="1"/>
  <c r="L1387" i="1"/>
  <c r="L1494" i="1" s="1"/>
  <c r="G1286" i="13"/>
  <c r="J1286" i="13" s="1"/>
  <c r="K1281" i="1"/>
  <c r="N1281" i="1" s="1"/>
  <c r="K1285" i="1"/>
  <c r="N1285" i="1" s="1"/>
  <c r="L1391" i="1"/>
  <c r="L1498" i="1" s="1"/>
  <c r="G1290" i="13"/>
  <c r="J1290" i="13" s="1"/>
  <c r="L1436" i="1"/>
  <c r="G1335" i="13"/>
  <c r="J1335" i="13" s="1"/>
  <c r="K1330" i="1"/>
  <c r="O1330" i="1" s="1"/>
  <c r="M1436" i="1"/>
  <c r="M1543" i="1" s="1"/>
  <c r="O1186" i="1"/>
  <c r="G1010" i="13"/>
  <c r="G1066" i="13" s="1"/>
  <c r="F150" i="15"/>
  <c r="F153" i="15" s="1"/>
  <c r="F160" i="15" s="1"/>
  <c r="K1243" i="1"/>
  <c r="N1243" i="1" s="1"/>
  <c r="N1238" i="1"/>
  <c r="J1178" i="13"/>
  <c r="J1181" i="13" s="1"/>
  <c r="G1181" i="13"/>
  <c r="N1173" i="1"/>
  <c r="K1176" i="1"/>
  <c r="M1389" i="1"/>
  <c r="M1496" i="1" s="1"/>
  <c r="M1290" i="1"/>
  <c r="M1434" i="1"/>
  <c r="M1541" i="1" s="1"/>
  <c r="L1398" i="1"/>
  <c r="L1505" i="1" s="1"/>
  <c r="G1297" i="13"/>
  <c r="J1297" i="13" s="1"/>
  <c r="K1292" i="1"/>
  <c r="N1292" i="1" s="1"/>
  <c r="M1425" i="1"/>
  <c r="M1532" i="1" s="1"/>
  <c r="M1419" i="1"/>
  <c r="M1526" i="1" s="1"/>
  <c r="M1321" i="1"/>
  <c r="O1345" i="1"/>
  <c r="O1348" i="1"/>
  <c r="N1482" i="1"/>
  <c r="K1484" i="1"/>
  <c r="N1484" i="1" s="1"/>
  <c r="M1431" i="1"/>
  <c r="M1538" i="1" s="1"/>
  <c r="J1115" i="13"/>
  <c r="I166" i="15" s="1"/>
  <c r="M1394" i="1"/>
  <c r="M1501" i="1" s="1"/>
  <c r="M1349" i="1"/>
  <c r="K1453" i="1"/>
  <c r="N1453" i="1" s="1"/>
  <c r="G1458" i="13"/>
  <c r="J1458" i="13" s="1"/>
  <c r="J1481" i="13"/>
  <c r="O1203" i="1"/>
  <c r="L1433" i="1"/>
  <c r="G1332" i="13"/>
  <c r="J1332" i="13" s="1"/>
  <c r="K1327" i="1"/>
  <c r="O1327" i="1" s="1"/>
  <c r="M1422" i="1"/>
  <c r="M1529" i="1" s="1"/>
  <c r="O1480" i="1"/>
  <c r="G1454" i="13"/>
  <c r="J1454" i="13" s="1"/>
  <c r="K1449" i="1"/>
  <c r="N1449" i="1" s="1"/>
  <c r="G1459" i="13"/>
  <c r="J1459" i="13" s="1"/>
  <c r="K1454" i="1"/>
  <c r="N1454" i="1" s="1"/>
  <c r="O1228" i="1"/>
  <c r="G1100" i="13"/>
  <c r="M1393" i="1"/>
  <c r="M1500" i="1" s="1"/>
  <c r="G1201" i="13"/>
  <c r="J1198" i="13"/>
  <c r="J1201" i="13" s="1"/>
  <c r="L1438" i="1"/>
  <c r="G1336" i="13"/>
  <c r="J1336" i="13" s="1"/>
  <c r="K1331" i="1"/>
  <c r="O1331" i="1" s="1"/>
  <c r="O1208" i="1"/>
  <c r="M1216" i="1"/>
  <c r="M1217" i="1" s="1"/>
  <c r="O1466" i="1"/>
  <c r="G1470" i="13"/>
  <c r="J1470" i="13" s="1"/>
  <c r="K1465" i="1"/>
  <c r="K1468" i="1" s="1"/>
  <c r="N1468" i="1" s="1"/>
  <c r="L1349" i="1"/>
  <c r="K1344" i="1"/>
  <c r="O1344" i="1" s="1"/>
  <c r="N1341" i="1"/>
  <c r="O1365" i="1"/>
  <c r="K1370" i="1"/>
  <c r="N1370" i="1" s="1"/>
  <c r="N1365" i="1"/>
  <c r="M1477" i="1"/>
  <c r="K1472" i="1"/>
  <c r="G1476" i="13"/>
  <c r="J1474" i="13"/>
  <c r="J1476" i="13" s="1"/>
  <c r="K1314" i="1"/>
  <c r="N1314" i="1" s="1"/>
  <c r="L1420" i="1"/>
  <c r="L1527" i="1" s="1"/>
  <c r="G1319" i="13"/>
  <c r="J1319" i="13" s="1"/>
  <c r="J1100" i="13"/>
  <c r="O1078" i="1"/>
  <c r="M1282" i="1"/>
  <c r="M1387" i="1"/>
  <c r="M1494" i="1" s="1"/>
  <c r="M1601" i="1" s="1"/>
  <c r="M1708" i="1" s="1"/>
  <c r="M1815" i="1" s="1"/>
  <c r="M1922" i="1" s="1"/>
  <c r="M2031" i="1" s="1"/>
  <c r="O1281" i="1"/>
  <c r="K1445" i="1"/>
  <c r="G1450" i="13"/>
  <c r="J1450" i="13" s="1"/>
  <c r="O1179" i="1"/>
  <c r="M1433" i="1"/>
  <c r="M1540" i="1" s="1"/>
  <c r="N1218" i="1"/>
  <c r="K1227" i="1"/>
  <c r="L1333" i="1"/>
  <c r="L1430" i="1"/>
  <c r="L1537" i="1" s="1"/>
  <c r="G1329" i="13"/>
  <c r="K1324" i="1"/>
  <c r="L1414" i="1"/>
  <c r="L1521" i="1" s="1"/>
  <c r="G1313" i="13"/>
  <c r="L1312" i="1"/>
  <c r="K1308" i="1"/>
  <c r="M1439" i="1"/>
  <c r="M1546" i="1" s="1"/>
  <c r="M1034" i="1"/>
  <c r="M1062" i="1" s="1"/>
  <c r="K1305" i="1"/>
  <c r="N1305" i="1" s="1"/>
  <c r="L1411" i="1"/>
  <c r="L1518" i="1" s="1"/>
  <c r="G1310" i="13"/>
  <c r="J1310" i="13" s="1"/>
  <c r="O1195" i="1"/>
  <c r="L1410" i="1"/>
  <c r="L1517" i="1" s="1"/>
  <c r="G1309" i="13"/>
  <c r="J1309" i="13" s="1"/>
  <c r="K1304" i="1"/>
  <c r="N1304" i="1" s="1"/>
  <c r="O1342" i="1"/>
  <c r="O1346" i="1"/>
  <c r="M1481" i="1"/>
  <c r="K1297" i="1"/>
  <c r="N1297" i="1" s="1"/>
  <c r="L1403" i="1"/>
  <c r="L1510" i="1" s="1"/>
  <c r="G1302" i="13"/>
  <c r="J1302" i="13" s="1"/>
  <c r="O1100" i="1"/>
  <c r="M1426" i="1"/>
  <c r="M1533" i="1" s="1"/>
  <c r="O1127" i="1"/>
  <c r="M1421" i="1"/>
  <c r="M1528" i="1" s="1"/>
  <c r="N1177" i="1"/>
  <c r="K1184" i="1"/>
  <c r="N1184" i="1" s="1"/>
  <c r="J1182" i="13"/>
  <c r="J1189" i="13" s="1"/>
  <c r="G1189" i="13"/>
  <c r="M1417" i="1"/>
  <c r="M1524" i="1" s="1"/>
  <c r="M1424" i="1"/>
  <c r="M1531" i="1" s="1"/>
  <c r="N1369" i="1"/>
  <c r="O1369" i="1"/>
  <c r="G1353" i="13"/>
  <c r="J1350" i="13"/>
  <c r="J1353" i="13" s="1"/>
  <c r="G1457" i="13"/>
  <c r="K1452" i="1"/>
  <c r="L1455" i="1"/>
  <c r="O1483" i="1"/>
  <c r="K1334" i="1"/>
  <c r="L1441" i="1"/>
  <c r="L1548" i="1" s="1"/>
  <c r="G1339" i="13"/>
  <c r="L1339" i="1"/>
  <c r="L1140" i="1"/>
  <c r="D169" i="15"/>
  <c r="L1395" i="1"/>
  <c r="L1502" i="1" s="1"/>
  <c r="K1289" i="1"/>
  <c r="N1289" i="1" s="1"/>
  <c r="G1294" i="13"/>
  <c r="J1294" i="13" s="1"/>
  <c r="K1295" i="1"/>
  <c r="N1295" i="1" s="1"/>
  <c r="L1401" i="1"/>
  <c r="L1508" i="1" s="1"/>
  <c r="G1300" i="13"/>
  <c r="J1300" i="13" s="1"/>
  <c r="M1111" i="1"/>
  <c r="K1320" i="1"/>
  <c r="N1320" i="1" s="1"/>
  <c r="L1426" i="1"/>
  <c r="L1533" i="1" s="1"/>
  <c r="G1325" i="13"/>
  <c r="J1325" i="13" s="1"/>
  <c r="M1438" i="1"/>
  <c r="M1545" i="1" s="1"/>
  <c r="K1300" i="1"/>
  <c r="N1300" i="1" s="1"/>
  <c r="L1406" i="1"/>
  <c r="L1513" i="1" s="1"/>
  <c r="G1305" i="13"/>
  <c r="J1305" i="13" s="1"/>
  <c r="M1302" i="1"/>
  <c r="M1405" i="1"/>
  <c r="M1512" i="1" s="1"/>
  <c r="M1410" i="1"/>
  <c r="M1517" i="1" s="1"/>
  <c r="L1423" i="1"/>
  <c r="L1530" i="1" s="1"/>
  <c r="G1322" i="13"/>
  <c r="J1322" i="13" s="1"/>
  <c r="K1317" i="1"/>
  <c r="N1317" i="1" s="1"/>
  <c r="L1431" i="1"/>
  <c r="G1330" i="13"/>
  <c r="J1330" i="13" s="1"/>
  <c r="K1325" i="1"/>
  <c r="N1325" i="1" s="1"/>
  <c r="O1268" i="1"/>
  <c r="G1197" i="13"/>
  <c r="J1190" i="13"/>
  <c r="J1197" i="13" s="1"/>
  <c r="M1390" i="1"/>
  <c r="M1497" i="1" s="1"/>
  <c r="O1284" i="1"/>
  <c r="J1212" i="13"/>
  <c r="J1220" i="13" s="1"/>
  <c r="G1220" i="13"/>
  <c r="G1366" i="13"/>
  <c r="G1382" i="13" s="1"/>
  <c r="G1383" i="13" s="1"/>
  <c r="F202" i="15" s="1"/>
  <c r="F204" i="15" s="1"/>
  <c r="J1482" i="13"/>
  <c r="J1485" i="13" s="1"/>
  <c r="G1485" i="13"/>
  <c r="O1476" i="1"/>
  <c r="M1395" i="1"/>
  <c r="M1502" i="1" s="1"/>
  <c r="L1439" i="1"/>
  <c r="G1337" i="13"/>
  <c r="J1337" i="13" s="1"/>
  <c r="K1332" i="1"/>
  <c r="N1332" i="1" s="1"/>
  <c r="N1460" i="1"/>
  <c r="K1463" i="1"/>
  <c r="O1460" i="1"/>
  <c r="G1468" i="13"/>
  <c r="J1465" i="13"/>
  <c r="J1468" i="13" s="1"/>
  <c r="G1285" i="13"/>
  <c r="J1285" i="13" s="1"/>
  <c r="L1386" i="1"/>
  <c r="L1493" i="1" s="1"/>
  <c r="K1280" i="1"/>
  <c r="N1280" i="1" s="1"/>
  <c r="O1185" i="1"/>
  <c r="O1192" i="1"/>
  <c r="M1432" i="1"/>
  <c r="M1539" i="1" s="1"/>
  <c r="N899" i="1"/>
  <c r="O1279" i="1"/>
  <c r="M1385" i="1"/>
  <c r="M1492" i="1" s="1"/>
  <c r="O1204" i="1"/>
  <c r="L1306" i="1"/>
  <c r="L1409" i="1"/>
  <c r="L1516" i="1" s="1"/>
  <c r="G1308" i="13"/>
  <c r="K1303" i="1"/>
  <c r="M1401" i="1"/>
  <c r="M1508" i="1" s="1"/>
  <c r="K1293" i="1"/>
  <c r="N1293" i="1" s="1"/>
  <c r="L1399" i="1"/>
  <c r="L1506" i="1" s="1"/>
  <c r="G1298" i="13"/>
  <c r="J1298" i="13" s="1"/>
  <c r="M1423" i="1"/>
  <c r="M1530" i="1" s="1"/>
  <c r="O1470" i="1"/>
  <c r="O1362" i="1"/>
  <c r="N1022" i="1"/>
  <c r="K1033" i="1"/>
  <c r="O1033" i="1" s="1"/>
  <c r="O1034" i="1" s="1"/>
  <c r="O1090" i="1"/>
  <c r="O1218" i="1"/>
  <c r="O1199" i="1"/>
  <c r="O1166" i="1"/>
  <c r="O1167" i="1" s="1"/>
  <c r="O1137" i="1"/>
  <c r="J1469" i="13"/>
  <c r="M1378" i="1"/>
  <c r="M1379" i="1" s="1"/>
  <c r="O1347" i="1"/>
  <c r="N744" i="1"/>
  <c r="O744" i="1"/>
  <c r="N793" i="1"/>
  <c r="O793" i="1"/>
  <c r="D130" i="15"/>
  <c r="E130" i="15" s="1"/>
  <c r="E123" i="15"/>
  <c r="N821" i="1"/>
  <c r="N822" i="1" s="1"/>
  <c r="K822" i="1"/>
  <c r="K850" i="1" s="1"/>
  <c r="O821" i="1"/>
  <c r="O822" i="1" s="1"/>
  <c r="E23" i="15"/>
  <c r="E20" i="15"/>
  <c r="E17" i="15"/>
  <c r="C24" i="15"/>
  <c r="C21" i="15"/>
  <c r="C18" i="15"/>
  <c r="H202" i="15" l="1"/>
  <c r="H204" i="15" s="1"/>
  <c r="L980" i="17"/>
  <c r="N918" i="17"/>
  <c r="Q918" i="17"/>
  <c r="K980" i="17"/>
  <c r="J918" i="17"/>
  <c r="M918" i="17" s="1"/>
  <c r="N823" i="17"/>
  <c r="L991" i="17"/>
  <c r="K960" i="17"/>
  <c r="Q898" i="17"/>
  <c r="J898" i="17"/>
  <c r="L973" i="17"/>
  <c r="N911" i="17"/>
  <c r="L962" i="17"/>
  <c r="Q894" i="17"/>
  <c r="K956" i="17"/>
  <c r="J894" i="17"/>
  <c r="M894" i="17" s="1"/>
  <c r="L1034" i="17"/>
  <c r="K952" i="17"/>
  <c r="Q890" i="17"/>
  <c r="J890" i="17"/>
  <c r="M890" i="17" s="1"/>
  <c r="J746" i="17"/>
  <c r="M746" i="17" s="1"/>
  <c r="M745" i="17"/>
  <c r="N745" i="17"/>
  <c r="L979" i="17"/>
  <c r="N917" i="17"/>
  <c r="L960" i="17"/>
  <c r="N898" i="17"/>
  <c r="L930" i="17"/>
  <c r="L953" i="17"/>
  <c r="M814" i="17"/>
  <c r="N814" i="17"/>
  <c r="Q920" i="17"/>
  <c r="K982" i="17"/>
  <c r="J920" i="17"/>
  <c r="M920" i="17" s="1"/>
  <c r="J834" i="17"/>
  <c r="M834" i="17" s="1"/>
  <c r="M827" i="17"/>
  <c r="J825" i="17"/>
  <c r="M818" i="17"/>
  <c r="J893" i="17"/>
  <c r="K955" i="17"/>
  <c r="Q893" i="17"/>
  <c r="L971" i="17"/>
  <c r="J909" i="17"/>
  <c r="M909" i="17" s="1"/>
  <c r="L944" i="17"/>
  <c r="L956" i="17"/>
  <c r="N894" i="17"/>
  <c r="L968" i="17"/>
  <c r="N890" i="17"/>
  <c r="L952" i="17"/>
  <c r="N866" i="17"/>
  <c r="G217" i="15"/>
  <c r="G219" i="15" s="1"/>
  <c r="K985" i="17"/>
  <c r="Q923" i="17"/>
  <c r="J923" i="17"/>
  <c r="M923" i="17" s="1"/>
  <c r="N858" i="17"/>
  <c r="N851" i="17"/>
  <c r="L936" i="17"/>
  <c r="L1491" i="1"/>
  <c r="G1389" i="13"/>
  <c r="J1389" i="13" s="1"/>
  <c r="K1384" i="1"/>
  <c r="N818" i="17"/>
  <c r="G210" i="15"/>
  <c r="G213" i="15" s="1"/>
  <c r="K826" i="17"/>
  <c r="N843" i="17"/>
  <c r="J764" i="17"/>
  <c r="M764" i="17" s="1"/>
  <c r="M755" i="17"/>
  <c r="L977" i="17"/>
  <c r="Q926" i="17"/>
  <c r="K988" i="17"/>
  <c r="J926" i="17"/>
  <c r="M926" i="17" s="1"/>
  <c r="N850" i="17"/>
  <c r="N878" i="17"/>
  <c r="L940" i="17"/>
  <c r="N684" i="17"/>
  <c r="L879" i="17"/>
  <c r="N841" i="17"/>
  <c r="K948" i="17"/>
  <c r="J886" i="17"/>
  <c r="M886" i="17" s="1"/>
  <c r="Q886" i="17"/>
  <c r="L957" i="17"/>
  <c r="N827" i="17"/>
  <c r="M1598" i="1"/>
  <c r="Q878" i="17"/>
  <c r="K940" i="17"/>
  <c r="J878" i="17"/>
  <c r="M878" i="17" s="1"/>
  <c r="J924" i="17"/>
  <c r="K986" i="17"/>
  <c r="Q924" i="17"/>
  <c r="K983" i="17"/>
  <c r="J921" i="17"/>
  <c r="M921" i="17" s="1"/>
  <c r="Q921" i="17"/>
  <c r="L978" i="17"/>
  <c r="Q834" i="17"/>
  <c r="J908" i="17"/>
  <c r="M908" i="17" s="1"/>
  <c r="K970" i="17"/>
  <c r="Q908" i="17"/>
  <c r="N806" i="17"/>
  <c r="J807" i="17"/>
  <c r="M806" i="17"/>
  <c r="L970" i="17"/>
  <c r="K936" i="17"/>
  <c r="Q874" i="17"/>
  <c r="J874" i="17"/>
  <c r="N874" i="17" s="1"/>
  <c r="K879" i="17"/>
  <c r="K973" i="17"/>
  <c r="Q911" i="17"/>
  <c r="J911" i="17"/>
  <c r="M911" i="17" s="1"/>
  <c r="O1688" i="1"/>
  <c r="K938" i="17"/>
  <c r="Q876" i="17"/>
  <c r="Q879" i="17" s="1"/>
  <c r="J876" i="17"/>
  <c r="L954" i="17"/>
  <c r="K937" i="17"/>
  <c r="J875" i="17"/>
  <c r="M875" i="17" s="1"/>
  <c r="Q875" i="17"/>
  <c r="K968" i="17"/>
  <c r="Q906" i="17"/>
  <c r="J906" i="17"/>
  <c r="M906" i="17" s="1"/>
  <c r="K991" i="17"/>
  <c r="Q929" i="17"/>
  <c r="J929" i="17"/>
  <c r="M929" i="17" s="1"/>
  <c r="L983" i="17"/>
  <c r="N921" i="17"/>
  <c r="K835" i="17"/>
  <c r="K870" i="17" s="1"/>
  <c r="G214" i="15"/>
  <c r="G216" i="15" s="1"/>
  <c r="K976" i="17"/>
  <c r="Q914" i="17"/>
  <c r="J914" i="17"/>
  <c r="M914" i="17" s="1"/>
  <c r="L989" i="17"/>
  <c r="Q825" i="17"/>
  <c r="H211" i="15" s="1"/>
  <c r="J885" i="17"/>
  <c r="M885" i="17" s="1"/>
  <c r="K947" i="17"/>
  <c r="Q885" i="17"/>
  <c r="J835" i="17"/>
  <c r="M835" i="17" s="1"/>
  <c r="N772" i="17"/>
  <c r="N863" i="17"/>
  <c r="K1034" i="17"/>
  <c r="Q972" i="17"/>
  <c r="J972" i="17"/>
  <c r="M972" i="17" s="1"/>
  <c r="K965" i="17"/>
  <c r="J903" i="17"/>
  <c r="M903" i="17" s="1"/>
  <c r="Q903" i="17"/>
  <c r="N844" i="17"/>
  <c r="N881" i="17"/>
  <c r="L943" i="17"/>
  <c r="L990" i="17"/>
  <c r="K977" i="17"/>
  <c r="Q915" i="17"/>
  <c r="J915" i="17"/>
  <c r="M915" i="17" s="1"/>
  <c r="M836" i="17"/>
  <c r="J868" i="17"/>
  <c r="N868" i="17" s="1"/>
  <c r="H195" i="15"/>
  <c r="H198" i="15" s="1"/>
  <c r="Q764" i="17"/>
  <c r="L1110" i="17"/>
  <c r="L981" i="17"/>
  <c r="N920" i="17"/>
  <c r="L982" i="17"/>
  <c r="L975" i="17"/>
  <c r="N913" i="17"/>
  <c r="K975" i="17"/>
  <c r="Q913" i="17"/>
  <c r="J913" i="17"/>
  <c r="M913" i="17" s="1"/>
  <c r="Q773" i="17"/>
  <c r="Q808" i="17" s="1"/>
  <c r="H199" i="15"/>
  <c r="H201" i="15" s="1"/>
  <c r="L969" i="17"/>
  <c r="L942" i="17"/>
  <c r="L887" i="17"/>
  <c r="N880" i="17"/>
  <c r="M812" i="17"/>
  <c r="J817" i="17"/>
  <c r="M817" i="17" s="1"/>
  <c r="L967" i="17"/>
  <c r="L946" i="17"/>
  <c r="K969" i="17"/>
  <c r="Q907" i="17"/>
  <c r="J907" i="17"/>
  <c r="M907" i="17" s="1"/>
  <c r="J773" i="17"/>
  <c r="M773" i="17" s="1"/>
  <c r="N899" i="17"/>
  <c r="L961" i="17"/>
  <c r="L974" i="17"/>
  <c r="N755" i="17"/>
  <c r="Q868" i="17"/>
  <c r="L965" i="17"/>
  <c r="N903" i="17"/>
  <c r="N833" i="17"/>
  <c r="L896" i="17"/>
  <c r="L951" i="17"/>
  <c r="K967" i="17"/>
  <c r="J905" i="17"/>
  <c r="M905" i="17" s="1"/>
  <c r="Q905" i="17"/>
  <c r="L869" i="17"/>
  <c r="K961" i="17"/>
  <c r="Q899" i="17"/>
  <c r="J899" i="17"/>
  <c r="M899" i="17" s="1"/>
  <c r="M862" i="17"/>
  <c r="N862" i="17"/>
  <c r="L937" i="17"/>
  <c r="N875" i="17"/>
  <c r="Q881" i="17"/>
  <c r="K943" i="17"/>
  <c r="J881" i="17"/>
  <c r="M881" i="17" s="1"/>
  <c r="K954" i="17"/>
  <c r="Q892" i="17"/>
  <c r="J892" i="17"/>
  <c r="M892" i="17" s="1"/>
  <c r="L976" i="17"/>
  <c r="N914" i="17"/>
  <c r="K979" i="17"/>
  <c r="Q917" i="17"/>
  <c r="J917" i="17"/>
  <c r="M917" i="17" s="1"/>
  <c r="L945" i="17"/>
  <c r="N883" i="17"/>
  <c r="L1000" i="17"/>
  <c r="L985" i="17"/>
  <c r="N923" i="17"/>
  <c r="G1580" i="13"/>
  <c r="L955" i="17"/>
  <c r="N893" i="17"/>
  <c r="Q889" i="17"/>
  <c r="K951" i="17"/>
  <c r="K896" i="17"/>
  <c r="K897" i="17" s="1"/>
  <c r="G229" i="15" s="1"/>
  <c r="G231" i="15" s="1"/>
  <c r="J889" i="17"/>
  <c r="K987" i="17"/>
  <c r="J925" i="17"/>
  <c r="M925" i="17" s="1"/>
  <c r="Q925" i="17"/>
  <c r="N854" i="17"/>
  <c r="L939" i="17"/>
  <c r="K942" i="17"/>
  <c r="J880" i="17"/>
  <c r="K887" i="17"/>
  <c r="G226" i="15" s="1"/>
  <c r="Q880" i="17"/>
  <c r="N773" i="17"/>
  <c r="L987" i="17"/>
  <c r="N925" i="17"/>
  <c r="K939" i="17"/>
  <c r="Q877" i="17"/>
  <c r="J877" i="17"/>
  <c r="M877" i="17" s="1"/>
  <c r="L947" i="17"/>
  <c r="N885" i="17"/>
  <c r="N867" i="17"/>
  <c r="L808" i="17"/>
  <c r="J916" i="17"/>
  <c r="M916" i="17" s="1"/>
  <c r="K978" i="17"/>
  <c r="Q916" i="17"/>
  <c r="N813" i="17"/>
  <c r="L948" i="17"/>
  <c r="L826" i="17"/>
  <c r="N817" i="17"/>
  <c r="Q912" i="17"/>
  <c r="K974" i="17"/>
  <c r="J912" i="17"/>
  <c r="M912" i="17" s="1"/>
  <c r="L984" i="17"/>
  <c r="N922" i="17"/>
  <c r="N852" i="17"/>
  <c r="N825" i="17"/>
  <c r="N846" i="17"/>
  <c r="Q817" i="17"/>
  <c r="Q891" i="17"/>
  <c r="K953" i="17"/>
  <c r="J891" i="17"/>
  <c r="M891" i="17" s="1"/>
  <c r="L988" i="17"/>
  <c r="N910" i="17"/>
  <c r="K944" i="17"/>
  <c r="Q882" i="17"/>
  <c r="J882" i="17"/>
  <c r="M882" i="17" s="1"/>
  <c r="K966" i="17"/>
  <c r="J904" i="17"/>
  <c r="N904" i="17" s="1"/>
  <c r="Q904" i="17"/>
  <c r="K902" i="17"/>
  <c r="K930" i="17" s="1"/>
  <c r="K931" i="17" s="1"/>
  <c r="Q840" i="17"/>
  <c r="J840" i="17"/>
  <c r="K989" i="17"/>
  <c r="Q927" i="17"/>
  <c r="J927" i="17"/>
  <c r="M927" i="17" s="1"/>
  <c r="K957" i="17"/>
  <c r="J895" i="17"/>
  <c r="M895" i="17" s="1"/>
  <c r="Q895" i="17"/>
  <c r="N764" i="17"/>
  <c r="K946" i="17"/>
  <c r="J884" i="17"/>
  <c r="M884" i="17" s="1"/>
  <c r="Q884" i="17"/>
  <c r="K990" i="17"/>
  <c r="J928" i="17"/>
  <c r="M928" i="17" s="1"/>
  <c r="Q928" i="17"/>
  <c r="Q900" i="17"/>
  <c r="K962" i="17"/>
  <c r="J900" i="17"/>
  <c r="M900" i="17" s="1"/>
  <c r="N861" i="17"/>
  <c r="L835" i="17"/>
  <c r="N835" i="17" s="1"/>
  <c r="N834" i="17"/>
  <c r="K984" i="17"/>
  <c r="Q922" i="17"/>
  <c r="J922" i="17"/>
  <c r="M922" i="17" s="1"/>
  <c r="N855" i="17"/>
  <c r="K981" i="17"/>
  <c r="Q919" i="17"/>
  <c r="J919" i="17"/>
  <c r="M919" i="17" s="1"/>
  <c r="N836" i="17"/>
  <c r="K945" i="17"/>
  <c r="Q883" i="17"/>
  <c r="J883" i="17"/>
  <c r="M883" i="17" s="1"/>
  <c r="N829" i="17"/>
  <c r="I1563" i="16"/>
  <c r="J337" i="15"/>
  <c r="J339" i="15" s="1"/>
  <c r="J315" i="15"/>
  <c r="J318" i="15" s="1"/>
  <c r="J325" i="15" s="1"/>
  <c r="I1794" i="16"/>
  <c r="I1843" i="16" s="1"/>
  <c r="I1851" i="16"/>
  <c r="I1864" i="16" s="1"/>
  <c r="F1864" i="16"/>
  <c r="F1889" i="16" s="1"/>
  <c r="F1951" i="16" s="1"/>
  <c r="J1695" i="13"/>
  <c r="O1304" i="1"/>
  <c r="L1340" i="1"/>
  <c r="L1351" i="1" s="1"/>
  <c r="D199" i="15" s="1"/>
  <c r="O1315" i="1"/>
  <c r="O1319" i="1"/>
  <c r="O1591" i="1"/>
  <c r="J1239" i="13"/>
  <c r="J1250" i="13" s="1"/>
  <c r="J1251" i="13" s="1"/>
  <c r="I184" i="15" s="1"/>
  <c r="I186" i="15" s="1"/>
  <c r="N1575" i="1"/>
  <c r="O1575" i="1"/>
  <c r="O1364" i="1"/>
  <c r="O1243" i="1"/>
  <c r="O1471" i="1"/>
  <c r="O1697" i="1"/>
  <c r="O1687" i="1"/>
  <c r="M2140" i="1"/>
  <c r="L1563" i="1"/>
  <c r="L1485" i="1"/>
  <c r="L1486" i="1" s="1"/>
  <c r="D217" i="15" s="1"/>
  <c r="D219" i="15" s="1"/>
  <c r="E219" i="15" s="1"/>
  <c r="O1374" i="1"/>
  <c r="J300" i="15"/>
  <c r="J303" i="15" s="1"/>
  <c r="J310" i="15" s="1"/>
  <c r="I1700" i="16"/>
  <c r="I1749" i="16" s="1"/>
  <c r="O1450" i="1"/>
  <c r="O1317" i="1"/>
  <c r="O1200" i="1"/>
  <c r="O1318" i="1"/>
  <c r="L1322" i="1"/>
  <c r="D196" i="15" s="1"/>
  <c r="E196" i="15" s="1"/>
  <c r="O1287" i="1"/>
  <c r="O1196" i="1"/>
  <c r="M1340" i="1"/>
  <c r="M1351" i="1" s="1"/>
  <c r="J1580" i="13"/>
  <c r="J1596" i="13" s="1"/>
  <c r="J1597" i="13" s="1"/>
  <c r="I232" i="15" s="1"/>
  <c r="I234" i="15" s="1"/>
  <c r="O1680" i="1"/>
  <c r="K1588" i="1"/>
  <c r="N1588" i="1" s="1"/>
  <c r="O1557" i="1"/>
  <c r="O1586" i="1"/>
  <c r="G1239" i="13"/>
  <c r="G1250" i="13" s="1"/>
  <c r="G1251" i="13" s="1"/>
  <c r="F184" i="15" s="1"/>
  <c r="F186" i="15" s="1"/>
  <c r="G1695" i="13"/>
  <c r="L1655" i="1"/>
  <c r="G1553" i="13"/>
  <c r="K1548" i="1"/>
  <c r="L1553" i="1"/>
  <c r="M1638" i="1"/>
  <c r="M1631" i="1"/>
  <c r="M1635" i="1"/>
  <c r="M1640" i="1"/>
  <c r="G1523" i="13"/>
  <c r="J1523" i="13" s="1"/>
  <c r="L1625" i="1"/>
  <c r="K1518" i="1"/>
  <c r="N1518" i="1" s="1"/>
  <c r="M1653" i="1"/>
  <c r="L1628" i="1"/>
  <c r="K1521" i="1"/>
  <c r="G1526" i="13"/>
  <c r="L1525" i="1"/>
  <c r="L1634" i="1"/>
  <c r="G1532" i="13"/>
  <c r="J1532" i="13" s="1"/>
  <c r="K1527" i="1"/>
  <c r="N1527" i="1" s="1"/>
  <c r="L1545" i="1"/>
  <c r="G1442" i="13"/>
  <c r="J1442" i="13" s="1"/>
  <c r="M1607" i="1"/>
  <c r="M1636" i="1"/>
  <c r="O1288" i="1"/>
  <c r="M1645" i="1"/>
  <c r="K1526" i="1"/>
  <c r="O1526" i="1" s="1"/>
  <c r="M1633" i="1"/>
  <c r="M1534" i="1"/>
  <c r="M1639" i="1"/>
  <c r="M1648" i="1"/>
  <c r="M1755" i="1" s="1"/>
  <c r="M1603" i="1"/>
  <c r="M1650" i="1"/>
  <c r="M1757" i="1" s="1"/>
  <c r="L1543" i="1"/>
  <c r="G1441" i="13"/>
  <c r="J1441" i="13" s="1"/>
  <c r="G1503" i="13"/>
  <c r="J1503" i="13" s="1"/>
  <c r="L1605" i="1"/>
  <c r="K1498" i="1"/>
  <c r="N1498" i="1" s="1"/>
  <c r="M1625" i="1"/>
  <c r="M1649" i="1"/>
  <c r="M1756" i="1" s="1"/>
  <c r="O1310" i="1"/>
  <c r="M1611" i="1"/>
  <c r="M1511" i="1"/>
  <c r="G1514" i="13"/>
  <c r="J1514" i="13" s="1"/>
  <c r="L1616" i="1"/>
  <c r="K1509" i="1"/>
  <c r="N1509" i="1" s="1"/>
  <c r="L1631" i="1"/>
  <c r="G1529" i="13"/>
  <c r="J1529" i="13" s="1"/>
  <c r="K1524" i="1"/>
  <c r="N1524" i="1" s="1"/>
  <c r="G1512" i="13"/>
  <c r="J1512" i="13" s="1"/>
  <c r="L1614" i="1"/>
  <c r="K1507" i="1"/>
  <c r="N1507" i="1" s="1"/>
  <c r="G1504" i="13"/>
  <c r="J1504" i="13" s="1"/>
  <c r="L1606" i="1"/>
  <c r="K1499" i="1"/>
  <c r="N1499" i="1" s="1"/>
  <c r="L1630" i="1"/>
  <c r="G1528" i="13"/>
  <c r="J1528" i="13" s="1"/>
  <c r="K1523" i="1"/>
  <c r="N1523" i="1" s="1"/>
  <c r="L1539" i="1"/>
  <c r="G1437" i="13"/>
  <c r="J1437" i="13" s="1"/>
  <c r="M1634" i="1"/>
  <c r="L1542" i="1"/>
  <c r="G1440" i="13"/>
  <c r="J1440" i="13" s="1"/>
  <c r="M1629" i="1"/>
  <c r="M1620" i="1"/>
  <c r="G1506" i="13"/>
  <c r="J1506" i="13" s="1"/>
  <c r="L1608" i="1"/>
  <c r="K1501" i="1"/>
  <c r="N1501" i="1" s="1"/>
  <c r="G1497" i="13"/>
  <c r="J1497" i="13" s="1"/>
  <c r="L1599" i="1"/>
  <c r="K1492" i="1"/>
  <c r="N1492" i="1" s="1"/>
  <c r="M1600" i="1"/>
  <c r="M1614" i="1"/>
  <c r="O1507" i="1"/>
  <c r="M1616" i="1"/>
  <c r="O1684" i="1"/>
  <c r="M1902" i="1"/>
  <c r="J1683" i="13"/>
  <c r="J1679" i="13"/>
  <c r="J1682" i="13" s="1"/>
  <c r="G1682" i="13"/>
  <c r="N1674" i="1"/>
  <c r="K1677" i="1"/>
  <c r="N1677" i="1" s="1"/>
  <c r="O1674" i="1"/>
  <c r="O1570" i="1"/>
  <c r="N1570" i="1"/>
  <c r="O1658" i="1"/>
  <c r="M1911" i="1"/>
  <c r="J1798" i="13"/>
  <c r="G1905" i="13"/>
  <c r="L2009" i="1"/>
  <c r="L2118" i="1" s="1"/>
  <c r="J1696" i="13"/>
  <c r="J1699" i="13" s="1"/>
  <c r="G1699" i="13"/>
  <c r="N1692" i="1"/>
  <c r="M1908" i="1"/>
  <c r="M1685" i="1"/>
  <c r="M1790" i="1"/>
  <c r="K1790" i="1" s="1"/>
  <c r="L1669" i="1"/>
  <c r="L1773" i="1"/>
  <c r="G1671" i="13"/>
  <c r="K1666" i="1"/>
  <c r="G1563" i="13"/>
  <c r="J1560" i="13"/>
  <c r="J1563" i="13" s="1"/>
  <c r="K1558" i="1"/>
  <c r="O1558" i="1" s="1"/>
  <c r="N1555" i="1"/>
  <c r="K1668" i="1"/>
  <c r="N1668" i="1" s="1"/>
  <c r="L1775" i="1"/>
  <c r="G1673" i="13"/>
  <c r="J1673" i="13" s="1"/>
  <c r="M1764" i="1"/>
  <c r="L1774" i="1"/>
  <c r="G1672" i="13"/>
  <c r="J1672" i="13" s="1"/>
  <c r="K1667" i="1"/>
  <c r="N1667" i="1" s="1"/>
  <c r="M1669" i="1"/>
  <c r="M1773" i="1"/>
  <c r="K1788" i="1"/>
  <c r="N1788" i="1" s="1"/>
  <c r="L1895" i="1"/>
  <c r="G1793" i="13"/>
  <c r="J1793" i="13" s="1"/>
  <c r="M1890" i="1"/>
  <c r="M1891" i="1" s="1"/>
  <c r="O1689" i="1"/>
  <c r="O1681" i="1"/>
  <c r="N1675" i="1"/>
  <c r="O1675" i="1"/>
  <c r="K1783" i="1"/>
  <c r="N1783" i="1" s="1"/>
  <c r="L1890" i="1"/>
  <c r="G1788" i="13"/>
  <c r="J1788" i="13" s="1"/>
  <c r="M1910" i="1"/>
  <c r="M1805" i="1"/>
  <c r="N1696" i="1"/>
  <c r="K1698" i="1"/>
  <c r="N1698" i="1" s="1"/>
  <c r="L1805" i="1"/>
  <c r="G1809" i="13" s="1"/>
  <c r="L1910" i="1"/>
  <c r="G1807" i="13"/>
  <c r="K1803" i="1"/>
  <c r="M1894" i="1"/>
  <c r="M1893" i="1"/>
  <c r="K1683" i="1"/>
  <c r="O1683" i="1" s="1"/>
  <c r="L1897" i="1"/>
  <c r="G1795" i="13"/>
  <c r="L1792" i="1"/>
  <c r="M1892" i="1"/>
  <c r="M1789" i="1"/>
  <c r="M1592" i="1"/>
  <c r="M1775" i="1"/>
  <c r="L1690" i="1"/>
  <c r="K1583" i="1"/>
  <c r="K1584" i="1" s="1"/>
  <c r="L1584" i="1"/>
  <c r="L1592" i="1" s="1"/>
  <c r="L1593" i="1" s="1"/>
  <c r="D232" i="15" s="1"/>
  <c r="O1560" i="1"/>
  <c r="N1552" i="1"/>
  <c r="O1552" i="1"/>
  <c r="L1766" i="1"/>
  <c r="G1664" i="13"/>
  <c r="J1664" i="13" s="1"/>
  <c r="K1659" i="1"/>
  <c r="N1579" i="1"/>
  <c r="M1563" i="1"/>
  <c r="G1521" i="13"/>
  <c r="L1623" i="1"/>
  <c r="L1519" i="1"/>
  <c r="K1516" i="1"/>
  <c r="O1516" i="1" s="1"/>
  <c r="G1498" i="13"/>
  <c r="J1498" i="13" s="1"/>
  <c r="L1600" i="1"/>
  <c r="K1493" i="1"/>
  <c r="N1493" i="1" s="1"/>
  <c r="M1609" i="1"/>
  <c r="K1530" i="1"/>
  <c r="N1530" i="1" s="1"/>
  <c r="L1637" i="1"/>
  <c r="G1535" i="13"/>
  <c r="J1535" i="13" s="1"/>
  <c r="M1624" i="1"/>
  <c r="M1619" i="1"/>
  <c r="M1515" i="1"/>
  <c r="M1652" i="1"/>
  <c r="M1759" i="1" s="1"/>
  <c r="M1637" i="1"/>
  <c r="G1511" i="13"/>
  <c r="J1511" i="13" s="1"/>
  <c r="L1613" i="1"/>
  <c r="K1506" i="1"/>
  <c r="N1506" i="1" s="1"/>
  <c r="M1615" i="1"/>
  <c r="M1599" i="1"/>
  <c r="M1495" i="1"/>
  <c r="M1646" i="1"/>
  <c r="M1753" i="1" s="1"/>
  <c r="L1546" i="1"/>
  <c r="G1444" i="13"/>
  <c r="J1444" i="13" s="1"/>
  <c r="O1289" i="1"/>
  <c r="M1604" i="1"/>
  <c r="L1538" i="1"/>
  <c r="G1436" i="13"/>
  <c r="G1518" i="13"/>
  <c r="J1518" i="13" s="1"/>
  <c r="L1620" i="1"/>
  <c r="K1513" i="1"/>
  <c r="N1513" i="1" s="1"/>
  <c r="G1538" i="13"/>
  <c r="J1538" i="13" s="1"/>
  <c r="L1640" i="1"/>
  <c r="K1533" i="1"/>
  <c r="N1533" i="1" s="1"/>
  <c r="G1513" i="13"/>
  <c r="J1513" i="13" s="1"/>
  <c r="L1615" i="1"/>
  <c r="K1508" i="1"/>
  <c r="N1508" i="1" s="1"/>
  <c r="G1507" i="13"/>
  <c r="J1507" i="13" s="1"/>
  <c r="L1609" i="1"/>
  <c r="K1502" i="1"/>
  <c r="N1502" i="1" s="1"/>
  <c r="G1515" i="13"/>
  <c r="J1515" i="13" s="1"/>
  <c r="L1617" i="1"/>
  <c r="K1510" i="1"/>
  <c r="N1510" i="1" s="1"/>
  <c r="G1522" i="13"/>
  <c r="J1522" i="13" s="1"/>
  <c r="L1624" i="1"/>
  <c r="K1517" i="1"/>
  <c r="N1517" i="1" s="1"/>
  <c r="L1644" i="1"/>
  <c r="G1542" i="13"/>
  <c r="K1537" i="1"/>
  <c r="O1537" i="1" s="1"/>
  <c r="M1647" i="1"/>
  <c r="M1754" i="1" s="1"/>
  <c r="L1540" i="1"/>
  <c r="G1438" i="13"/>
  <c r="J1438" i="13" s="1"/>
  <c r="M1608" i="1"/>
  <c r="G1510" i="13"/>
  <c r="J1510" i="13" s="1"/>
  <c r="L1612" i="1"/>
  <c r="K1505" i="1"/>
  <c r="N1505" i="1" s="1"/>
  <c r="M1644" i="1"/>
  <c r="M1547" i="1"/>
  <c r="M1630" i="1"/>
  <c r="M1613" i="1"/>
  <c r="L1633" i="1"/>
  <c r="G1531" i="13"/>
  <c r="L1534" i="1"/>
  <c r="G1509" i="13"/>
  <c r="L1611" i="1"/>
  <c r="K1504" i="1"/>
  <c r="L1511" i="1"/>
  <c r="M1623" i="1"/>
  <c r="M1519" i="1"/>
  <c r="G1519" i="13"/>
  <c r="J1519" i="13" s="1"/>
  <c r="L1621" i="1"/>
  <c r="K1514" i="1"/>
  <c r="N1514" i="1" s="1"/>
  <c r="K1529" i="1"/>
  <c r="N1529" i="1" s="1"/>
  <c r="L1636" i="1"/>
  <c r="G1534" i="13"/>
  <c r="J1534" i="13" s="1"/>
  <c r="G1502" i="13"/>
  <c r="J1502" i="13" s="1"/>
  <c r="L1604" i="1"/>
  <c r="K1497" i="1"/>
  <c r="N1497" i="1" s="1"/>
  <c r="M1621" i="1"/>
  <c r="O1514" i="1"/>
  <c r="G1501" i="13"/>
  <c r="L1603" i="1"/>
  <c r="K1496" i="1"/>
  <c r="L1503" i="1"/>
  <c r="L1657" i="1"/>
  <c r="G1555" i="13"/>
  <c r="J1555" i="13" s="1"/>
  <c r="K1550" i="1"/>
  <c r="M1605" i="1"/>
  <c r="G1505" i="13"/>
  <c r="J1505" i="13" s="1"/>
  <c r="L1607" i="1"/>
  <c r="K1500" i="1"/>
  <c r="N1500" i="1" s="1"/>
  <c r="M1628" i="1"/>
  <c r="M1525" i="1"/>
  <c r="M1503" i="1"/>
  <c r="M1606" i="1"/>
  <c r="O1499" i="1"/>
  <c r="K1531" i="1"/>
  <c r="N1531" i="1" s="1"/>
  <c r="L1638" i="1"/>
  <c r="G1536" i="13"/>
  <c r="J1536" i="13" s="1"/>
  <c r="G1517" i="13"/>
  <c r="L1619" i="1"/>
  <c r="L1515" i="1"/>
  <c r="K1512" i="1"/>
  <c r="K1532" i="1"/>
  <c r="N1532" i="1" s="1"/>
  <c r="L1639" i="1"/>
  <c r="G1537" i="13"/>
  <c r="J1537" i="13" s="1"/>
  <c r="M1655" i="1"/>
  <c r="M1553" i="1"/>
  <c r="O1548" i="1"/>
  <c r="L1629" i="1"/>
  <c r="G1527" i="13"/>
  <c r="J1527" i="13" s="1"/>
  <c r="K1522" i="1"/>
  <c r="N1522" i="1" s="1"/>
  <c r="L1635" i="1"/>
  <c r="G1533" i="13"/>
  <c r="J1533" i="13" s="1"/>
  <c r="K1528" i="1"/>
  <c r="N1528" i="1" s="1"/>
  <c r="L1541" i="1"/>
  <c r="G1439" i="13"/>
  <c r="J1439" i="13" s="1"/>
  <c r="M1612" i="1"/>
  <c r="O1505" i="1"/>
  <c r="M1617" i="1"/>
  <c r="M1898" i="1"/>
  <c r="N1678" i="1"/>
  <c r="L1892" i="1"/>
  <c r="G1790" i="13"/>
  <c r="K1785" i="1"/>
  <c r="L1888" i="1"/>
  <c r="G1786" i="13"/>
  <c r="K1781" i="1"/>
  <c r="L1784" i="1"/>
  <c r="M1872" i="1"/>
  <c r="K1765" i="1"/>
  <c r="N1765" i="1" s="1"/>
  <c r="M1904" i="1"/>
  <c r="M1901" i="1"/>
  <c r="M1997" i="1"/>
  <c r="M2106" i="1" s="1"/>
  <c r="K1799" i="1"/>
  <c r="O1799" i="1" s="1"/>
  <c r="L1906" i="1"/>
  <c r="G1803" i="13"/>
  <c r="M1873" i="1"/>
  <c r="G1796" i="13"/>
  <c r="J1796" i="13" s="1"/>
  <c r="L1898" i="1"/>
  <c r="K1791" i="1"/>
  <c r="N1791" i="1" s="1"/>
  <c r="K1796" i="1"/>
  <c r="N1796" i="1" s="1"/>
  <c r="L1903" i="1"/>
  <c r="G1801" i="13"/>
  <c r="J1801" i="13" s="1"/>
  <c r="N1576" i="1"/>
  <c r="K1578" i="1"/>
  <c r="N1578" i="1" s="1"/>
  <c r="O1576" i="1"/>
  <c r="G1567" i="13"/>
  <c r="J1564" i="13"/>
  <c r="J1567" i="13" s="1"/>
  <c r="N1559" i="1"/>
  <c r="K1562" i="1"/>
  <c r="N1562" i="1" s="1"/>
  <c r="M1770" i="1"/>
  <c r="L1665" i="1"/>
  <c r="L1769" i="1"/>
  <c r="G1667" i="13"/>
  <c r="K1662" i="1"/>
  <c r="G1668" i="13"/>
  <c r="J1668" i="13" s="1"/>
  <c r="L1770" i="1"/>
  <c r="K1663" i="1"/>
  <c r="N1663" i="1" s="1"/>
  <c r="M1906" i="1"/>
  <c r="M1903" i="1"/>
  <c r="O1796" i="1"/>
  <c r="M1895" i="1"/>
  <c r="O1788" i="1"/>
  <c r="K1801" i="1"/>
  <c r="N1801" i="1" s="1"/>
  <c r="L1908" i="1"/>
  <c r="G1805" i="13"/>
  <c r="J1805" i="13" s="1"/>
  <c r="L1889" i="1"/>
  <c r="K1782" i="1"/>
  <c r="G1787" i="13"/>
  <c r="J1787" i="13" s="1"/>
  <c r="G1596" i="13"/>
  <c r="G1597" i="13" s="1"/>
  <c r="F232" i="15" s="1"/>
  <c r="F234" i="15" s="1"/>
  <c r="O1698" i="1"/>
  <c r="L2016" i="1"/>
  <c r="L2125" i="1" s="1"/>
  <c r="G1911" i="13"/>
  <c r="J1911" i="13" s="1"/>
  <c r="L1894" i="1"/>
  <c r="G1792" i="13"/>
  <c r="J1792" i="13" s="1"/>
  <c r="K1787" i="1"/>
  <c r="N1787" i="1" s="1"/>
  <c r="K1794" i="1"/>
  <c r="N1794" i="1" s="1"/>
  <c r="L1901" i="1"/>
  <c r="G1799" i="13"/>
  <c r="J1799" i="13" s="1"/>
  <c r="L1902" i="1"/>
  <c r="G1800" i="13"/>
  <c r="J1800" i="13" s="1"/>
  <c r="K1795" i="1"/>
  <c r="N1795" i="1" s="1"/>
  <c r="K1804" i="1"/>
  <c r="N1804" i="1" s="1"/>
  <c r="L1911" i="1"/>
  <c r="G1808" i="13"/>
  <c r="J1688" i="13"/>
  <c r="J1690" i="13" s="1"/>
  <c r="G1690" i="13"/>
  <c r="O1678" i="1"/>
  <c r="M1998" i="1"/>
  <c r="M2107" i="1" s="1"/>
  <c r="O1561" i="1"/>
  <c r="M1771" i="1"/>
  <c r="M1800" i="1"/>
  <c r="M1802" i="1" s="1"/>
  <c r="K1693" i="1"/>
  <c r="N1693" i="1" s="1"/>
  <c r="M1774" i="1"/>
  <c r="M1691" i="1"/>
  <c r="M1793" i="1"/>
  <c r="K1686" i="1"/>
  <c r="O1686" i="1" s="1"/>
  <c r="N1572" i="1"/>
  <c r="O1572" i="1"/>
  <c r="G1684" i="13"/>
  <c r="J1684" i="13" s="1"/>
  <c r="L1786" i="1"/>
  <c r="K1679" i="1"/>
  <c r="K1682" i="1" s="1"/>
  <c r="K1664" i="1"/>
  <c r="N1664" i="1" s="1"/>
  <c r="L1771" i="1"/>
  <c r="G1669" i="13"/>
  <c r="J1669" i="13" s="1"/>
  <c r="O1555" i="1"/>
  <c r="M1665" i="1"/>
  <c r="M1769" i="1"/>
  <c r="G1499" i="13"/>
  <c r="L1601" i="1"/>
  <c r="K1494" i="1"/>
  <c r="L1495" i="1"/>
  <c r="J1473" i="13"/>
  <c r="J1489" i="13" s="1"/>
  <c r="J1490" i="13" s="1"/>
  <c r="I217" i="15" s="1"/>
  <c r="I219" i="15" s="1"/>
  <c r="G1221" i="13"/>
  <c r="F181" i="15" s="1"/>
  <c r="O1453" i="1"/>
  <c r="G1311" i="13"/>
  <c r="J1308" i="13"/>
  <c r="J1311" i="13" s="1"/>
  <c r="M1388" i="1"/>
  <c r="N1463" i="1"/>
  <c r="O1463" i="1"/>
  <c r="K1439" i="1"/>
  <c r="N1439" i="1" s="1"/>
  <c r="K1431" i="1"/>
  <c r="N1431" i="1" s="1"/>
  <c r="J1436" i="13"/>
  <c r="G1411" i="13"/>
  <c r="J1411" i="13" s="1"/>
  <c r="K1406" i="1"/>
  <c r="N1406" i="1" s="1"/>
  <c r="D171" i="15"/>
  <c r="E171" i="15" s="1"/>
  <c r="E169" i="15"/>
  <c r="L1352" i="1"/>
  <c r="K1441" i="1"/>
  <c r="O1441" i="1" s="1"/>
  <c r="G1446" i="13"/>
  <c r="L1446" i="1"/>
  <c r="N1452" i="1"/>
  <c r="K1455" i="1"/>
  <c r="N1455" i="1" s="1"/>
  <c r="O1320" i="1"/>
  <c r="K1411" i="1"/>
  <c r="N1411" i="1" s="1"/>
  <c r="G1416" i="13"/>
  <c r="J1416" i="13" s="1"/>
  <c r="O1332" i="1"/>
  <c r="K1312" i="1"/>
  <c r="O1312" i="1" s="1"/>
  <c r="N1308" i="1"/>
  <c r="G1317" i="13"/>
  <c r="J1313" i="13"/>
  <c r="J1317" i="13" s="1"/>
  <c r="N1324" i="1"/>
  <c r="K1333" i="1"/>
  <c r="G1435" i="13"/>
  <c r="K1430" i="1"/>
  <c r="O1430" i="1" s="1"/>
  <c r="L1440" i="1"/>
  <c r="N1227" i="1"/>
  <c r="K1234" i="1"/>
  <c r="N1445" i="1"/>
  <c r="O1445" i="1"/>
  <c r="G1116" i="13"/>
  <c r="G1172" i="13" s="1"/>
  <c r="F165" i="15"/>
  <c r="F168" i="15" s="1"/>
  <c r="F175" i="15" s="1"/>
  <c r="O956" i="1"/>
  <c r="O1325" i="1"/>
  <c r="M1322" i="1"/>
  <c r="M1427" i="1"/>
  <c r="M1396" i="1"/>
  <c r="O1176" i="1"/>
  <c r="N1176" i="1"/>
  <c r="K1201" i="1"/>
  <c r="G1206" i="13"/>
  <c r="O1454" i="1"/>
  <c r="O1411" i="1"/>
  <c r="O1324" i="1"/>
  <c r="M1246" i="1"/>
  <c r="M1274" i="1" s="1"/>
  <c r="J1318" i="13"/>
  <c r="J1326" i="13" s="1"/>
  <c r="G1326" i="13"/>
  <c r="G1424" i="13"/>
  <c r="K1419" i="1"/>
  <c r="L1427" i="1"/>
  <c r="L1404" i="1"/>
  <c r="G1402" i="13"/>
  <c r="K1397" i="1"/>
  <c r="O1397" i="1" s="1"/>
  <c r="M1412" i="1"/>
  <c r="D180" i="15"/>
  <c r="L1217" i="1"/>
  <c r="L1274" i="1" s="1"/>
  <c r="G1412" i="13"/>
  <c r="J1412" i="13" s="1"/>
  <c r="K1407" i="1"/>
  <c r="N1407" i="1" s="1"/>
  <c r="G1427" i="13"/>
  <c r="J1427" i="13" s="1"/>
  <c r="K1422" i="1"/>
  <c r="N1422" i="1" s="1"/>
  <c r="K1390" i="1"/>
  <c r="N1390" i="1" s="1"/>
  <c r="G1395" i="13"/>
  <c r="J1395" i="13" s="1"/>
  <c r="J1221" i="13"/>
  <c r="I181" i="15" s="1"/>
  <c r="J1288" i="13"/>
  <c r="J1295" i="13" s="1"/>
  <c r="G1295" i="13"/>
  <c r="N1283" i="1"/>
  <c r="K1290" i="1"/>
  <c r="N1290" i="1" s="1"/>
  <c r="G1473" i="13"/>
  <c r="G1489" i="13" s="1"/>
  <c r="G1490" i="13" s="1"/>
  <c r="F217" i="15" s="1"/>
  <c r="F219" i="15" s="1"/>
  <c r="K1034" i="1"/>
  <c r="K1062" i="1" s="1"/>
  <c r="N1062" i="1" s="1"/>
  <c r="N1033" i="1"/>
  <c r="N1034" i="1" s="1"/>
  <c r="M1485" i="1"/>
  <c r="G1404" i="13"/>
  <c r="J1404" i="13" s="1"/>
  <c r="K1399" i="1"/>
  <c r="N1399" i="1" s="1"/>
  <c r="O1295" i="1"/>
  <c r="K1306" i="1"/>
  <c r="N1306" i="1" s="1"/>
  <c r="N1303" i="1"/>
  <c r="K1409" i="1"/>
  <c r="G1414" i="13"/>
  <c r="L1412" i="1"/>
  <c r="G1391" i="13"/>
  <c r="J1391" i="13" s="1"/>
  <c r="K1386" i="1"/>
  <c r="N1386" i="1" s="1"/>
  <c r="G1428" i="13"/>
  <c r="J1428" i="13" s="1"/>
  <c r="K1423" i="1"/>
  <c r="N1423" i="1" s="1"/>
  <c r="K1426" i="1"/>
  <c r="N1426" i="1" s="1"/>
  <c r="G1431" i="13"/>
  <c r="J1431" i="13" s="1"/>
  <c r="M1168" i="1"/>
  <c r="G1406" i="13"/>
  <c r="J1406" i="13" s="1"/>
  <c r="K1401" i="1"/>
  <c r="N1401" i="1" s="1"/>
  <c r="K1395" i="1"/>
  <c r="N1395" i="1" s="1"/>
  <c r="G1400" i="13"/>
  <c r="J1400" i="13" s="1"/>
  <c r="J1339" i="13"/>
  <c r="J1344" i="13" s="1"/>
  <c r="G1344" i="13"/>
  <c r="N1334" i="1"/>
  <c r="K1339" i="1"/>
  <c r="N1339" i="1" s="1"/>
  <c r="G1460" i="13"/>
  <c r="J1457" i="13"/>
  <c r="J1460" i="13" s="1"/>
  <c r="O1311" i="1"/>
  <c r="G1408" i="13"/>
  <c r="J1408" i="13" s="1"/>
  <c r="K1403" i="1"/>
  <c r="N1403" i="1" s="1"/>
  <c r="G1415" i="13"/>
  <c r="J1415" i="13" s="1"/>
  <c r="K1410" i="1"/>
  <c r="N1410" i="1" s="1"/>
  <c r="G1419" i="13"/>
  <c r="L1418" i="1"/>
  <c r="L1428" i="1" s="1"/>
  <c r="D211" i="15" s="1"/>
  <c r="E211" i="15" s="1"/>
  <c r="K1414" i="1"/>
  <c r="O1414" i="1" s="1"/>
  <c r="G1338" i="13"/>
  <c r="J1329" i="13"/>
  <c r="J1338" i="13" s="1"/>
  <c r="M1307" i="1"/>
  <c r="I165" i="15"/>
  <c r="I168" i="15" s="1"/>
  <c r="I175" i="15" s="1"/>
  <c r="J1116" i="13"/>
  <c r="J1172" i="13" s="1"/>
  <c r="G1425" i="13"/>
  <c r="J1425" i="13" s="1"/>
  <c r="K1420" i="1"/>
  <c r="N1420" i="1" s="1"/>
  <c r="N1472" i="1"/>
  <c r="K1477" i="1"/>
  <c r="N1477" i="1" s="1"/>
  <c r="O1472" i="1"/>
  <c r="O1468" i="1"/>
  <c r="K1349" i="1"/>
  <c r="N1349" i="1" s="1"/>
  <c r="N1344" i="1"/>
  <c r="N1465" i="1"/>
  <c r="O1465" i="1"/>
  <c r="K1438" i="1"/>
  <c r="O1438" i="1" s="1"/>
  <c r="O1316" i="1"/>
  <c r="K1433" i="1"/>
  <c r="O1433" i="1" s="1"/>
  <c r="O1484" i="1"/>
  <c r="K1398" i="1"/>
  <c r="N1398" i="1" s="1"/>
  <c r="G1403" i="13"/>
  <c r="J1403" i="13" s="1"/>
  <c r="O1184" i="1"/>
  <c r="J1206" i="13"/>
  <c r="K1436" i="1"/>
  <c r="O1436" i="1" s="1"/>
  <c r="G1396" i="13"/>
  <c r="J1396" i="13" s="1"/>
  <c r="K1391" i="1"/>
  <c r="N1391" i="1" s="1"/>
  <c r="G1392" i="13"/>
  <c r="J1392" i="13" s="1"/>
  <c r="K1387" i="1"/>
  <c r="N1387" i="1" s="1"/>
  <c r="O1305" i="1"/>
  <c r="M1440" i="1"/>
  <c r="O1227" i="1"/>
  <c r="E153" i="15"/>
  <c r="D160" i="15"/>
  <c r="E160" i="15" s="1"/>
  <c r="O1293" i="1"/>
  <c r="M1404" i="1"/>
  <c r="O1479" i="1"/>
  <c r="K1481" i="1"/>
  <c r="N1481" i="1" s="1"/>
  <c r="K1402" i="1"/>
  <c r="N1402" i="1" s="1"/>
  <c r="G1407" i="13"/>
  <c r="J1407" i="13" s="1"/>
  <c r="N1313" i="1"/>
  <c r="K1321" i="1"/>
  <c r="N1321" i="1" s="1"/>
  <c r="G1422" i="13"/>
  <c r="J1422" i="13" s="1"/>
  <c r="K1417" i="1"/>
  <c r="N1417" i="1" s="1"/>
  <c r="N1291" i="1"/>
  <c r="K1298" i="1"/>
  <c r="N1298" i="1" s="1"/>
  <c r="G1303" i="13"/>
  <c r="J1296" i="13"/>
  <c r="J1303" i="13" s="1"/>
  <c r="K1400" i="1"/>
  <c r="N1400" i="1" s="1"/>
  <c r="G1405" i="13"/>
  <c r="J1405" i="13" s="1"/>
  <c r="O1303" i="1"/>
  <c r="K1378" i="1"/>
  <c r="N1272" i="1"/>
  <c r="N1273" i="1" s="1"/>
  <c r="K1273" i="1"/>
  <c r="O1449" i="1"/>
  <c r="O1301" i="1"/>
  <c r="K1216" i="1"/>
  <c r="N1216" i="1" s="1"/>
  <c r="N1206" i="1"/>
  <c r="O1128" i="1"/>
  <c r="N1128" i="1"/>
  <c r="K1139" i="1"/>
  <c r="K1389" i="1"/>
  <c r="G1394" i="13"/>
  <c r="L1396" i="1"/>
  <c r="N1336" i="1"/>
  <c r="O1336" i="1"/>
  <c r="E165" i="15"/>
  <c r="D168" i="15"/>
  <c r="N1005" i="1"/>
  <c r="K1393" i="1"/>
  <c r="N1393" i="1" s="1"/>
  <c r="G1398" i="13"/>
  <c r="J1398" i="13" s="1"/>
  <c r="O1370" i="1"/>
  <c r="K1451" i="1"/>
  <c r="N1448" i="1"/>
  <c r="J1354" i="13"/>
  <c r="O1361" i="1"/>
  <c r="N1361" i="1"/>
  <c r="G1421" i="13"/>
  <c r="J1421" i="13" s="1"/>
  <c r="K1416" i="1"/>
  <c r="N1416" i="1" s="1"/>
  <c r="K1432" i="1"/>
  <c r="O1432" i="1" s="1"/>
  <c r="M1418" i="1"/>
  <c r="O1314" i="1"/>
  <c r="K1424" i="1"/>
  <c r="N1424" i="1" s="1"/>
  <c r="G1429" i="13"/>
  <c r="J1429" i="13" s="1"/>
  <c r="G1307" i="13"/>
  <c r="J1304" i="13"/>
  <c r="J1307" i="13" s="1"/>
  <c r="L1408" i="1"/>
  <c r="G1410" i="13"/>
  <c r="K1405" i="1"/>
  <c r="O1405" i="1" s="1"/>
  <c r="G1430" i="13"/>
  <c r="J1430" i="13" s="1"/>
  <c r="K1425" i="1"/>
  <c r="N1425" i="1" s="1"/>
  <c r="O1334" i="1"/>
  <c r="O1233" i="1"/>
  <c r="G1420" i="13"/>
  <c r="J1420" i="13" s="1"/>
  <c r="K1415" i="1"/>
  <c r="N1415" i="1" s="1"/>
  <c r="O1448" i="1"/>
  <c r="M1408" i="1"/>
  <c r="K1394" i="1"/>
  <c r="N1394" i="1" s="1"/>
  <c r="G1399" i="13"/>
  <c r="J1399" i="13" s="1"/>
  <c r="O1452" i="1"/>
  <c r="O1215" i="1"/>
  <c r="O1095" i="1"/>
  <c r="K1111" i="1"/>
  <c r="O1111" i="1" s="1"/>
  <c r="N1095" i="1"/>
  <c r="L1307" i="1"/>
  <c r="G1390" i="13"/>
  <c r="K1385" i="1"/>
  <c r="L1388" i="1"/>
  <c r="O1280" i="1"/>
  <c r="O1297" i="1"/>
  <c r="O1110" i="1"/>
  <c r="K1443" i="1"/>
  <c r="G1448" i="13"/>
  <c r="J1448" i="13" s="1"/>
  <c r="O1285" i="1"/>
  <c r="L1168" i="1"/>
  <c r="K1392" i="1"/>
  <c r="N1392" i="1" s="1"/>
  <c r="G1397" i="13"/>
  <c r="J1397" i="13" s="1"/>
  <c r="L1456" i="1"/>
  <c r="G1456" i="13"/>
  <c r="J1453" i="13"/>
  <c r="J1456" i="13" s="1"/>
  <c r="G1354" i="13"/>
  <c r="O1308" i="1"/>
  <c r="O1420" i="1"/>
  <c r="O1286" i="1"/>
  <c r="N1299" i="1"/>
  <c r="K1302" i="1"/>
  <c r="N1302" i="1" s="1"/>
  <c r="O1339" i="1"/>
  <c r="M1446" i="1"/>
  <c r="K1435" i="1"/>
  <c r="O1435" i="1" s="1"/>
  <c r="O1309" i="1"/>
  <c r="M1456" i="1"/>
  <c r="O1300" i="1"/>
  <c r="G1426" i="13"/>
  <c r="J1426" i="13" s="1"/>
  <c r="K1421" i="1"/>
  <c r="N1421" i="1" s="1"/>
  <c r="K1434" i="1"/>
  <c r="O1434" i="1" s="1"/>
  <c r="J1284" i="13"/>
  <c r="J1287" i="13" s="1"/>
  <c r="G1287" i="13"/>
  <c r="N1279" i="1"/>
  <c r="K1282" i="1"/>
  <c r="O1292" i="1"/>
  <c r="O1294" i="1"/>
  <c r="O1296" i="1"/>
  <c r="N850" i="1"/>
  <c r="O850" i="1"/>
  <c r="C25" i="15"/>
  <c r="J21" i="15"/>
  <c r="O1455" i="1" l="1"/>
  <c r="E217" i="15"/>
  <c r="L1447" i="1"/>
  <c r="O1510" i="1"/>
  <c r="G232" i="15"/>
  <c r="G234" i="15" s="1"/>
  <c r="J945" i="17"/>
  <c r="M945" i="17" s="1"/>
  <c r="K1007" i="17"/>
  <c r="Q945" i="17"/>
  <c r="K1043" i="17"/>
  <c r="Q981" i="17"/>
  <c r="J981" i="17"/>
  <c r="M981" i="17" s="1"/>
  <c r="K1046" i="17"/>
  <c r="Q984" i="17"/>
  <c r="J984" i="17"/>
  <c r="M984" i="17" s="1"/>
  <c r="K1008" i="17"/>
  <c r="J946" i="17"/>
  <c r="M946" i="17" s="1"/>
  <c r="Q946" i="17"/>
  <c r="K1019" i="17"/>
  <c r="Q957" i="17"/>
  <c r="J957" i="17"/>
  <c r="M957" i="17" s="1"/>
  <c r="K1006" i="17"/>
  <c r="J944" i="17"/>
  <c r="M944" i="17" s="1"/>
  <c r="Q944" i="17"/>
  <c r="L1046" i="17"/>
  <c r="N808" i="17"/>
  <c r="L1049" i="17"/>
  <c r="J887" i="17"/>
  <c r="M887" i="17" s="1"/>
  <c r="M880" i="17"/>
  <c r="M889" i="17"/>
  <c r="J896" i="17"/>
  <c r="M896" i="17" s="1"/>
  <c r="L1047" i="17"/>
  <c r="L1007" i="17"/>
  <c r="K1016" i="17"/>
  <c r="Q954" i="17"/>
  <c r="J954" i="17"/>
  <c r="M954" i="17" s="1"/>
  <c r="K1029" i="17"/>
  <c r="Q967" i="17"/>
  <c r="J967" i="17"/>
  <c r="M967" i="17" s="1"/>
  <c r="K1031" i="17"/>
  <c r="Q969" i="17"/>
  <c r="J969" i="17"/>
  <c r="M969" i="17" s="1"/>
  <c r="L1029" i="17"/>
  <c r="N967" i="17"/>
  <c r="K1037" i="17"/>
  <c r="Q975" i="17"/>
  <c r="J975" i="17"/>
  <c r="M975" i="17" s="1"/>
  <c r="L1172" i="17"/>
  <c r="N928" i="17"/>
  <c r="K1030" i="17"/>
  <c r="Q968" i="17"/>
  <c r="J968" i="17"/>
  <c r="M968" i="17" s="1"/>
  <c r="L1016" i="17"/>
  <c r="Q938" i="17"/>
  <c r="K1000" i="17"/>
  <c r="J938" i="17"/>
  <c r="K1035" i="17"/>
  <c r="Q973" i="17"/>
  <c r="J973" i="17"/>
  <c r="M973" i="17" s="1"/>
  <c r="K941" i="17"/>
  <c r="K998" i="17"/>
  <c r="Q936" i="17"/>
  <c r="J936" i="17"/>
  <c r="N807" i="17"/>
  <c r="M807" i="17"/>
  <c r="J808" i="17"/>
  <c r="M808" i="17" s="1"/>
  <c r="K1048" i="17"/>
  <c r="J986" i="17"/>
  <c r="Q986" i="17"/>
  <c r="N957" i="17"/>
  <c r="L1019" i="17"/>
  <c r="K1010" i="17"/>
  <c r="Q948" i="17"/>
  <c r="J948" i="17"/>
  <c r="M948" i="17" s="1"/>
  <c r="L1002" i="17"/>
  <c r="N940" i="17"/>
  <c r="K1050" i="17"/>
  <c r="Q988" i="17"/>
  <c r="J988" i="17"/>
  <c r="M988" i="17" s="1"/>
  <c r="L1598" i="1"/>
  <c r="K1491" i="1"/>
  <c r="G1496" i="13"/>
  <c r="J1496" i="13" s="1"/>
  <c r="G220" i="15"/>
  <c r="L1018" i="17"/>
  <c r="N956" i="17"/>
  <c r="N909" i="17"/>
  <c r="J897" i="17"/>
  <c r="M897" i="17" s="1"/>
  <c r="L931" i="17"/>
  <c r="N930" i="17"/>
  <c r="L1041" i="17"/>
  <c r="N972" i="17"/>
  <c r="N900" i="17"/>
  <c r="L1035" i="17"/>
  <c r="N973" i="17"/>
  <c r="K1022" i="17"/>
  <c r="J960" i="17"/>
  <c r="Q960" i="17"/>
  <c r="L1042" i="17"/>
  <c r="N980" i="17"/>
  <c r="H210" i="15"/>
  <c r="Q826" i="17"/>
  <c r="L1010" i="17"/>
  <c r="N948" i="17"/>
  <c r="L1009" i="17"/>
  <c r="L1001" i="17"/>
  <c r="K1023" i="17"/>
  <c r="Q961" i="17"/>
  <c r="J961" i="17"/>
  <c r="M961" i="17" s="1"/>
  <c r="L897" i="17"/>
  <c r="N896" i="17"/>
  <c r="L1023" i="17"/>
  <c r="N961" i="17"/>
  <c r="L1044" i="17"/>
  <c r="J869" i="17"/>
  <c r="M868" i="17"/>
  <c r="K999" i="17"/>
  <c r="Q937" i="17"/>
  <c r="J937" i="17"/>
  <c r="M937" i="17" s="1"/>
  <c r="K1032" i="17"/>
  <c r="J970" i="17"/>
  <c r="M970" i="17" s="1"/>
  <c r="Q970" i="17"/>
  <c r="Q940" i="17"/>
  <c r="K1002" i="17"/>
  <c r="J940" i="17"/>
  <c r="M940" i="17" s="1"/>
  <c r="K1047" i="17"/>
  <c r="Q985" i="17"/>
  <c r="J985" i="17"/>
  <c r="M985" i="17" s="1"/>
  <c r="J955" i="17"/>
  <c r="K1017" i="17"/>
  <c r="Q955" i="17"/>
  <c r="N1034" i="17"/>
  <c r="L1096" i="17"/>
  <c r="O1403" i="1"/>
  <c r="O1426" i="1"/>
  <c r="O1509" i="1"/>
  <c r="Q962" i="17"/>
  <c r="K1024" i="17"/>
  <c r="J962" i="17"/>
  <c r="M962" i="17" s="1"/>
  <c r="Q990" i="17"/>
  <c r="J990" i="17"/>
  <c r="M990" i="17" s="1"/>
  <c r="K1052" i="17"/>
  <c r="J966" i="17"/>
  <c r="N966" i="17" s="1"/>
  <c r="K1028" i="17"/>
  <c r="Q966" i="17"/>
  <c r="Q953" i="17"/>
  <c r="K1015" i="17"/>
  <c r="J953" i="17"/>
  <c r="M953" i="17" s="1"/>
  <c r="K1004" i="17"/>
  <c r="Q942" i="17"/>
  <c r="J942" i="17"/>
  <c r="K949" i="17"/>
  <c r="G241" i="15" s="1"/>
  <c r="L1017" i="17"/>
  <c r="N955" i="17"/>
  <c r="L1038" i="17"/>
  <c r="L999" i="17"/>
  <c r="N937" i="17"/>
  <c r="L870" i="17"/>
  <c r="N889" i="17"/>
  <c r="N912" i="17"/>
  <c r="N884" i="17"/>
  <c r="L1004" i="17"/>
  <c r="L949" i="17"/>
  <c r="N919" i="17"/>
  <c r="L1052" i="17"/>
  <c r="N990" i="17"/>
  <c r="H213" i="15"/>
  <c r="K1053" i="17"/>
  <c r="Q991" i="17"/>
  <c r="J991" i="17"/>
  <c r="M991" i="17" s="1"/>
  <c r="N892" i="17"/>
  <c r="K888" i="17"/>
  <c r="K932" i="17" s="1"/>
  <c r="G225" i="15"/>
  <c r="G228" i="15" s="1"/>
  <c r="N908" i="17"/>
  <c r="Q835" i="17"/>
  <c r="H214" i="15"/>
  <c r="H216" i="15" s="1"/>
  <c r="M924" i="17"/>
  <c r="N924" i="17"/>
  <c r="N895" i="17"/>
  <c r="N906" i="17"/>
  <c r="N882" i="17"/>
  <c r="L1033" i="17"/>
  <c r="J971" i="17"/>
  <c r="M971" i="17" s="1"/>
  <c r="L1024" i="17"/>
  <c r="N929" i="17"/>
  <c r="Q980" i="17"/>
  <c r="K1042" i="17"/>
  <c r="J980" i="17"/>
  <c r="M980" i="17" s="1"/>
  <c r="H205" i="15"/>
  <c r="K1051" i="17"/>
  <c r="Q989" i="17"/>
  <c r="J989" i="17"/>
  <c r="M989" i="17" s="1"/>
  <c r="N988" i="17"/>
  <c r="L1050" i="17"/>
  <c r="K1049" i="17"/>
  <c r="Q987" i="17"/>
  <c r="J987" i="17"/>
  <c r="M987" i="17" s="1"/>
  <c r="K1041" i="17"/>
  <c r="Q979" i="17"/>
  <c r="J979" i="17"/>
  <c r="M979" i="17" s="1"/>
  <c r="H217" i="15"/>
  <c r="H219" i="15" s="1"/>
  <c r="Q869" i="17"/>
  <c r="Q870" i="17" s="1"/>
  <c r="N905" i="17"/>
  <c r="L1031" i="17"/>
  <c r="N969" i="17"/>
  <c r="K1039" i="17"/>
  <c r="Q977" i="17"/>
  <c r="J977" i="17"/>
  <c r="M977" i="17" s="1"/>
  <c r="K1027" i="17"/>
  <c r="Q965" i="17"/>
  <c r="J965" i="17"/>
  <c r="M965" i="17" s="1"/>
  <c r="Q947" i="17"/>
  <c r="K1009" i="17"/>
  <c r="J947" i="17"/>
  <c r="M947" i="17" s="1"/>
  <c r="L1051" i="17"/>
  <c r="N989" i="17"/>
  <c r="H225" i="15"/>
  <c r="Q888" i="17"/>
  <c r="L1040" i="17"/>
  <c r="N978" i="17"/>
  <c r="L1039" i="17"/>
  <c r="N977" i="17"/>
  <c r="L1014" i="17"/>
  <c r="L1015" i="17"/>
  <c r="N953" i="17"/>
  <c r="K964" i="17"/>
  <c r="K992" i="17" s="1"/>
  <c r="K993" i="17" s="1"/>
  <c r="J902" i="17"/>
  <c r="Q902" i="17"/>
  <c r="Q930" i="17" s="1"/>
  <c r="Q931" i="17" s="1"/>
  <c r="N926" i="17"/>
  <c r="Q974" i="17"/>
  <c r="K1036" i="17"/>
  <c r="J974" i="17"/>
  <c r="M974" i="17" s="1"/>
  <c r="N886" i="17"/>
  <c r="J978" i="17"/>
  <c r="M978" i="17" s="1"/>
  <c r="K1040" i="17"/>
  <c r="Q978" i="17"/>
  <c r="K1001" i="17"/>
  <c r="J939" i="17"/>
  <c r="M939" i="17" s="1"/>
  <c r="Q939" i="17"/>
  <c r="Q887" i="17"/>
  <c r="H226" i="15" s="1"/>
  <c r="N877" i="17"/>
  <c r="Q951" i="17"/>
  <c r="K1013" i="17"/>
  <c r="K958" i="17"/>
  <c r="K959" i="17" s="1"/>
  <c r="G244" i="15" s="1"/>
  <c r="G246" i="15" s="1"/>
  <c r="J951" i="17"/>
  <c r="L1062" i="17"/>
  <c r="K1005" i="17"/>
  <c r="Q943" i="17"/>
  <c r="J943" i="17"/>
  <c r="M943" i="17" s="1"/>
  <c r="N746" i="17"/>
  <c r="L958" i="17"/>
  <c r="L1013" i="17"/>
  <c r="L1027" i="17"/>
  <c r="N965" i="17"/>
  <c r="L1036" i="17"/>
  <c r="L1008" i="17"/>
  <c r="N946" i="17"/>
  <c r="N907" i="17"/>
  <c r="L1037" i="17"/>
  <c r="L1043" i="17"/>
  <c r="N981" i="17"/>
  <c r="L1005" i="17"/>
  <c r="N943" i="17"/>
  <c r="K1096" i="17"/>
  <c r="Q1034" i="17"/>
  <c r="J1034" i="17"/>
  <c r="M1034" i="17" s="1"/>
  <c r="N927" i="17"/>
  <c r="K1038" i="17"/>
  <c r="Q976" i="17"/>
  <c r="J976" i="17"/>
  <c r="M976" i="17" s="1"/>
  <c r="L1045" i="17"/>
  <c r="M876" i="17"/>
  <c r="N876" i="17"/>
  <c r="M874" i="17"/>
  <c r="J879" i="17"/>
  <c r="L1032" i="17"/>
  <c r="N970" i="17"/>
  <c r="N916" i="17"/>
  <c r="K1045" i="17"/>
  <c r="J983" i="17"/>
  <c r="M983" i="17" s="1"/>
  <c r="Q983" i="17"/>
  <c r="M1705" i="1"/>
  <c r="L888" i="17"/>
  <c r="N915" i="17"/>
  <c r="N1384" i="1"/>
  <c r="O1384" i="1"/>
  <c r="L998" i="17"/>
  <c r="N936" i="17"/>
  <c r="L941" i="17"/>
  <c r="N968" i="17"/>
  <c r="L1030" i="17"/>
  <c r="L1006" i="17"/>
  <c r="N944" i="17"/>
  <c r="Q896" i="17"/>
  <c r="Q897" i="17" s="1"/>
  <c r="H229" i="15" s="1"/>
  <c r="H231" i="15" s="1"/>
  <c r="J826" i="17"/>
  <c r="M826" i="17" s="1"/>
  <c r="M825" i="17"/>
  <c r="Q982" i="17"/>
  <c r="K1044" i="17"/>
  <c r="J982" i="17"/>
  <c r="M982" i="17" s="1"/>
  <c r="N891" i="17"/>
  <c r="L1022" i="17"/>
  <c r="N960" i="17"/>
  <c r="L992" i="17"/>
  <c r="K1014" i="17"/>
  <c r="J952" i="17"/>
  <c r="M952" i="17" s="1"/>
  <c r="Q952" i="17"/>
  <c r="Q956" i="17"/>
  <c r="K1018" i="17"/>
  <c r="J956" i="17"/>
  <c r="M956" i="17" s="1"/>
  <c r="M898" i="17"/>
  <c r="J930" i="17"/>
  <c r="L1053" i="17"/>
  <c r="N991" i="17"/>
  <c r="J330" i="15"/>
  <c r="J333" i="15" s="1"/>
  <c r="J340" i="15" s="1"/>
  <c r="I1889" i="16"/>
  <c r="O1501" i="1"/>
  <c r="O1588" i="1"/>
  <c r="O1290" i="1"/>
  <c r="L1520" i="1"/>
  <c r="O1562" i="1"/>
  <c r="O1668" i="1"/>
  <c r="O1677" i="1"/>
  <c r="O1527" i="1"/>
  <c r="O1663" i="1"/>
  <c r="L2234" i="1"/>
  <c r="G2129" i="13"/>
  <c r="J2129" i="13" s="1"/>
  <c r="M2215" i="1"/>
  <c r="L2227" i="1"/>
  <c r="G2123" i="13"/>
  <c r="O1513" i="1"/>
  <c r="O1522" i="1"/>
  <c r="O1532" i="1"/>
  <c r="M2216" i="1"/>
  <c r="L1547" i="1"/>
  <c r="L1554" i="1" s="1"/>
  <c r="L1565" i="1" s="1"/>
  <c r="L1566" i="1" s="1"/>
  <c r="D229" i="15" s="1"/>
  <c r="D231" i="15" s="1"/>
  <c r="E231" i="15" s="1"/>
  <c r="O1508" i="1"/>
  <c r="M2249" i="1"/>
  <c r="N1584" i="1"/>
  <c r="O1584" i="1"/>
  <c r="O1497" i="1"/>
  <c r="M1520" i="1"/>
  <c r="O1493" i="1"/>
  <c r="O1398" i="1"/>
  <c r="O1667" i="1"/>
  <c r="L1670" i="1"/>
  <c r="O1498" i="1"/>
  <c r="O1506" i="1"/>
  <c r="O1523" i="1"/>
  <c r="L1535" i="1"/>
  <c r="D226" i="15" s="1"/>
  <c r="E226" i="15" s="1"/>
  <c r="E232" i="15"/>
  <c r="D234" i="15"/>
  <c r="E234" i="15" s="1"/>
  <c r="N1682" i="1"/>
  <c r="O1682" i="1"/>
  <c r="O1415" i="1"/>
  <c r="O1392" i="1"/>
  <c r="O1216" i="1"/>
  <c r="O1407" i="1"/>
  <c r="O1062" i="1"/>
  <c r="O1424" i="1"/>
  <c r="M1670" i="1"/>
  <c r="G1791" i="13"/>
  <c r="J1791" i="13" s="1"/>
  <c r="L1893" i="1"/>
  <c r="L1896" i="1" s="1"/>
  <c r="K1786" i="1"/>
  <c r="N1686" i="1"/>
  <c r="M1900" i="1"/>
  <c r="M1798" i="1"/>
  <c r="K1793" i="1"/>
  <c r="O1693" i="1"/>
  <c r="O1664" i="1"/>
  <c r="K1911" i="1"/>
  <c r="N1911" i="1" s="1"/>
  <c r="L2020" i="1"/>
  <c r="L2129" i="1" s="1"/>
  <c r="G1915" i="13"/>
  <c r="L2011" i="1"/>
  <c r="L2120" i="1" s="1"/>
  <c r="G1907" i="13"/>
  <c r="J1907" i="13" s="1"/>
  <c r="K1902" i="1"/>
  <c r="N1902" i="1" s="1"/>
  <c r="K1901" i="1"/>
  <c r="N1901" i="1" s="1"/>
  <c r="L2010" i="1"/>
  <c r="L2119" i="1" s="1"/>
  <c r="G1906" i="13"/>
  <c r="J1906" i="13" s="1"/>
  <c r="L2003" i="1"/>
  <c r="L2112" i="1" s="1"/>
  <c r="G1899" i="13"/>
  <c r="J1899" i="13" s="1"/>
  <c r="K1894" i="1"/>
  <c r="N1894" i="1" s="1"/>
  <c r="L1998" i="1"/>
  <c r="L2107" i="1" s="1"/>
  <c r="G1894" i="13"/>
  <c r="J1894" i="13" s="1"/>
  <c r="K1889" i="1"/>
  <c r="K1908" i="1"/>
  <c r="N1908" i="1" s="1"/>
  <c r="L2017" i="1"/>
  <c r="L2126" i="1" s="1"/>
  <c r="G1912" i="13"/>
  <c r="J1912" i="13" s="1"/>
  <c r="G1670" i="13"/>
  <c r="J1667" i="13"/>
  <c r="J1670" i="13" s="1"/>
  <c r="M1877" i="1"/>
  <c r="L2007" i="1"/>
  <c r="L2116" i="1" s="1"/>
  <c r="G1903" i="13"/>
  <c r="J1903" i="13" s="1"/>
  <c r="K1898" i="1"/>
  <c r="N1898" i="1" s="1"/>
  <c r="M1980" i="1"/>
  <c r="M2089" i="1" s="1"/>
  <c r="G1806" i="13"/>
  <c r="J1803" i="13"/>
  <c r="J1806" i="13" s="1"/>
  <c r="N1799" i="1"/>
  <c r="O1794" i="1"/>
  <c r="M1979" i="1"/>
  <c r="M2088" i="1" s="1"/>
  <c r="K1872" i="1"/>
  <c r="N1872" i="1" s="1"/>
  <c r="K1784" i="1"/>
  <c r="N1781" i="1"/>
  <c r="O1781" i="1"/>
  <c r="L1997" i="1"/>
  <c r="L2106" i="1" s="1"/>
  <c r="G1893" i="13"/>
  <c r="K1888" i="1"/>
  <c r="L1891" i="1"/>
  <c r="L1789" i="1"/>
  <c r="J1790" i="13"/>
  <c r="O1791" i="1"/>
  <c r="K1635" i="1"/>
  <c r="N1635" i="1" s="1"/>
  <c r="L1742" i="1"/>
  <c r="G1640" i="13"/>
  <c r="J1640" i="13" s="1"/>
  <c r="M1762" i="1"/>
  <c r="M1660" i="1"/>
  <c r="K1639" i="1"/>
  <c r="N1639" i="1" s="1"/>
  <c r="L1746" i="1"/>
  <c r="G1644" i="13"/>
  <c r="J1644" i="13" s="1"/>
  <c r="N1512" i="1"/>
  <c r="K1515" i="1"/>
  <c r="N1515" i="1" s="1"/>
  <c r="K1619" i="1"/>
  <c r="L1726" i="1"/>
  <c r="G1624" i="13"/>
  <c r="L1622" i="1"/>
  <c r="M1713" i="1"/>
  <c r="M1535" i="1"/>
  <c r="M1536" i="1" s="1"/>
  <c r="M1735" i="1"/>
  <c r="M1632" i="1"/>
  <c r="K1607" i="1"/>
  <c r="N1607" i="1" s="1"/>
  <c r="L1714" i="1"/>
  <c r="G1612" i="13"/>
  <c r="J1612" i="13" s="1"/>
  <c r="N1550" i="1"/>
  <c r="O1550" i="1"/>
  <c r="L1764" i="1"/>
  <c r="G1662" i="13"/>
  <c r="J1662" i="13" s="1"/>
  <c r="K1657" i="1"/>
  <c r="N1496" i="1"/>
  <c r="K1503" i="1"/>
  <c r="N1503" i="1" s="1"/>
  <c r="G1508" i="13"/>
  <c r="J1501" i="13"/>
  <c r="J1508" i="13" s="1"/>
  <c r="M1728" i="1"/>
  <c r="L1711" i="1"/>
  <c r="K1604" i="1"/>
  <c r="N1604" i="1" s="1"/>
  <c r="G1609" i="13"/>
  <c r="J1609" i="13" s="1"/>
  <c r="L1728" i="1"/>
  <c r="G1626" i="13"/>
  <c r="J1626" i="13" s="1"/>
  <c r="K1621" i="1"/>
  <c r="N1621" i="1" s="1"/>
  <c r="M1626" i="1"/>
  <c r="M1730" i="1"/>
  <c r="N1504" i="1"/>
  <c r="K1511" i="1"/>
  <c r="N1511" i="1" s="1"/>
  <c r="G1516" i="13"/>
  <c r="J1509" i="13"/>
  <c r="J1516" i="13" s="1"/>
  <c r="G1539" i="13"/>
  <c r="J1531" i="13"/>
  <c r="J1539" i="13" s="1"/>
  <c r="M1751" i="1"/>
  <c r="M1654" i="1"/>
  <c r="K1612" i="1"/>
  <c r="N1612" i="1" s="1"/>
  <c r="L1719" i="1"/>
  <c r="G1617" i="13"/>
  <c r="J1617" i="13" s="1"/>
  <c r="J1542" i="13"/>
  <c r="L1724" i="1"/>
  <c r="G1622" i="13"/>
  <c r="J1622" i="13" s="1"/>
  <c r="K1617" i="1"/>
  <c r="N1617" i="1" s="1"/>
  <c r="L1722" i="1"/>
  <c r="G1620" i="13"/>
  <c r="J1620" i="13" s="1"/>
  <c r="K1615" i="1"/>
  <c r="N1615" i="1" s="1"/>
  <c r="G1625" i="13"/>
  <c r="J1625" i="13" s="1"/>
  <c r="L1727" i="1"/>
  <c r="K1620" i="1"/>
  <c r="N1620" i="1" s="1"/>
  <c r="K1546" i="1"/>
  <c r="L1653" i="1"/>
  <c r="G1551" i="13"/>
  <c r="J1551" i="13" s="1"/>
  <c r="M1860" i="1"/>
  <c r="M1744" i="1"/>
  <c r="M1866" i="1"/>
  <c r="O1517" i="1"/>
  <c r="M1716" i="1"/>
  <c r="K1600" i="1"/>
  <c r="N1600" i="1" s="1"/>
  <c r="L1707" i="1"/>
  <c r="G1605" i="13"/>
  <c r="J1605" i="13" s="1"/>
  <c r="N1516" i="1"/>
  <c r="K1519" i="1"/>
  <c r="N1519" i="1" s="1"/>
  <c r="L1626" i="1"/>
  <c r="L1730" i="1"/>
  <c r="G1628" i="13"/>
  <c r="K1623" i="1"/>
  <c r="N1659" i="1"/>
  <c r="O1659" i="1"/>
  <c r="K1766" i="1"/>
  <c r="L1873" i="1"/>
  <c r="G1771" i="13"/>
  <c r="J1771" i="13" s="1"/>
  <c r="L1797" i="1"/>
  <c r="K1690" i="1"/>
  <c r="L1691" i="1"/>
  <c r="L1699" i="1" s="1"/>
  <c r="L1700" i="1" s="1"/>
  <c r="D247" i="15" s="1"/>
  <c r="M1882" i="1"/>
  <c r="M1989" i="1" s="1"/>
  <c r="M2001" i="1"/>
  <c r="M2110" i="1" s="1"/>
  <c r="M1896" i="1"/>
  <c r="N1790" i="1"/>
  <c r="K1792" i="1"/>
  <c r="N1792" i="1" s="1"/>
  <c r="L2006" i="1"/>
  <c r="L2115" i="1" s="1"/>
  <c r="G1902" i="13"/>
  <c r="L1899" i="1"/>
  <c r="O1787" i="1"/>
  <c r="N1803" i="1"/>
  <c r="K1805" i="1"/>
  <c r="N1805" i="1" s="1"/>
  <c r="L1912" i="1"/>
  <c r="G1916" i="13" s="1"/>
  <c r="L2019" i="1"/>
  <c r="L2128" i="1" s="1"/>
  <c r="G1914" i="13"/>
  <c r="K1910" i="1"/>
  <c r="O1803" i="1"/>
  <c r="M2019" i="1"/>
  <c r="M2128" i="1" s="1"/>
  <c r="M1912" i="1"/>
  <c r="O1910" i="1"/>
  <c r="K1890" i="1"/>
  <c r="N1890" i="1" s="1"/>
  <c r="L1999" i="1"/>
  <c r="L2108" i="1" s="1"/>
  <c r="G1895" i="13"/>
  <c r="J1895" i="13" s="1"/>
  <c r="M1999" i="1"/>
  <c r="M2108" i="1" s="1"/>
  <c r="K1895" i="1"/>
  <c r="N1895" i="1" s="1"/>
  <c r="L2004" i="1"/>
  <c r="L2113" i="1" s="1"/>
  <c r="G1900" i="13"/>
  <c r="J1900" i="13" s="1"/>
  <c r="M1776" i="1"/>
  <c r="M1880" i="1"/>
  <c r="K1774" i="1"/>
  <c r="N1774" i="1" s="1"/>
  <c r="L1881" i="1"/>
  <c r="G1779" i="13"/>
  <c r="J1779" i="13" s="1"/>
  <c r="L1882" i="1"/>
  <c r="G1780" i="13"/>
  <c r="J1780" i="13" s="1"/>
  <c r="K1775" i="1"/>
  <c r="N1775" i="1" s="1"/>
  <c r="J1568" i="13"/>
  <c r="N1666" i="1"/>
  <c r="K1669" i="1"/>
  <c r="N1669" i="1" s="1"/>
  <c r="L1880" i="1"/>
  <c r="G1778" i="13"/>
  <c r="K1773" i="1"/>
  <c r="L1776" i="1"/>
  <c r="M2017" i="1"/>
  <c r="M2126" i="1" s="1"/>
  <c r="K1695" i="1"/>
  <c r="G2014" i="13"/>
  <c r="J1802" i="13"/>
  <c r="M2020" i="1"/>
  <c r="M2129" i="1" s="1"/>
  <c r="K1592" i="1"/>
  <c r="G1687" i="13"/>
  <c r="G1703" i="13" s="1"/>
  <c r="G1704" i="13" s="1"/>
  <c r="F247" i="15" s="1"/>
  <c r="F249" i="15" s="1"/>
  <c r="M2011" i="1"/>
  <c r="M2120" i="1" s="1"/>
  <c r="O1902" i="1"/>
  <c r="L1715" i="1"/>
  <c r="G1613" i="13"/>
  <c r="J1613" i="13" s="1"/>
  <c r="K1608" i="1"/>
  <c r="N1608" i="1" s="1"/>
  <c r="L1737" i="1"/>
  <c r="G1635" i="13"/>
  <c r="J1635" i="13" s="1"/>
  <c r="K1630" i="1"/>
  <c r="N1630" i="1" s="1"/>
  <c r="G1611" i="13"/>
  <c r="J1611" i="13" s="1"/>
  <c r="L1713" i="1"/>
  <c r="K1606" i="1"/>
  <c r="N1606" i="1" s="1"/>
  <c r="M1863" i="1"/>
  <c r="M1732" i="1"/>
  <c r="K1605" i="1"/>
  <c r="N1605" i="1" s="1"/>
  <c r="L1712" i="1"/>
  <c r="G1610" i="13"/>
  <c r="J1610" i="13" s="1"/>
  <c r="O1496" i="1"/>
  <c r="M1740" i="1"/>
  <c r="M1641" i="1"/>
  <c r="M1743" i="1"/>
  <c r="M1714" i="1"/>
  <c r="K1545" i="1"/>
  <c r="O1545" i="1" s="1"/>
  <c r="L1652" i="1"/>
  <c r="G1549" i="13"/>
  <c r="J1549" i="13" s="1"/>
  <c r="N1521" i="1"/>
  <c r="K1525" i="1"/>
  <c r="M1747" i="1"/>
  <c r="M1742" i="1"/>
  <c r="M1738" i="1"/>
  <c r="M1745" i="1"/>
  <c r="N1548" i="1"/>
  <c r="K1553" i="1"/>
  <c r="O1553" i="1" s="1"/>
  <c r="L1762" i="1"/>
  <c r="G1660" i="13"/>
  <c r="K1655" i="1"/>
  <c r="L1660" i="1"/>
  <c r="O1425" i="1"/>
  <c r="O1422" i="1"/>
  <c r="O1477" i="1"/>
  <c r="M1876" i="1"/>
  <c r="M1772" i="1"/>
  <c r="L1878" i="1"/>
  <c r="G1776" i="13"/>
  <c r="J1776" i="13" s="1"/>
  <c r="K1771" i="1"/>
  <c r="N1771" i="1" s="1"/>
  <c r="N1679" i="1"/>
  <c r="O1679" i="1"/>
  <c r="M1881" i="1"/>
  <c r="M1988" i="1" s="1"/>
  <c r="M2097" i="1" s="1"/>
  <c r="O1774" i="1"/>
  <c r="M1907" i="1"/>
  <c r="M1909" i="1" s="1"/>
  <c r="K1800" i="1"/>
  <c r="N1800" i="1" s="1"/>
  <c r="M1878" i="1"/>
  <c r="O1771" i="1"/>
  <c r="G2020" i="13"/>
  <c r="J2020" i="13" s="1"/>
  <c r="N1782" i="1"/>
  <c r="O1782" i="1"/>
  <c r="M2004" i="1"/>
  <c r="M2113" i="1" s="1"/>
  <c r="M2012" i="1"/>
  <c r="M2121" i="1" s="1"/>
  <c r="M2015" i="1"/>
  <c r="M2124" i="1" s="1"/>
  <c r="L1877" i="1"/>
  <c r="G1775" i="13"/>
  <c r="J1775" i="13" s="1"/>
  <c r="K1770" i="1"/>
  <c r="N1770" i="1" s="1"/>
  <c r="O1662" i="1"/>
  <c r="K1665" i="1"/>
  <c r="N1662" i="1"/>
  <c r="L1876" i="1"/>
  <c r="G1774" i="13"/>
  <c r="K1769" i="1"/>
  <c r="L1772" i="1"/>
  <c r="L1777" i="1" s="1"/>
  <c r="K1903" i="1"/>
  <c r="N1903" i="1" s="1"/>
  <c r="L2012" i="1"/>
  <c r="L2121" i="1" s="1"/>
  <c r="G1908" i="13"/>
  <c r="J1908" i="13" s="1"/>
  <c r="K1906" i="1"/>
  <c r="L2015" i="1"/>
  <c r="L2124" i="1" s="1"/>
  <c r="G1910" i="13"/>
  <c r="L1909" i="1"/>
  <c r="M2010" i="1"/>
  <c r="M2119" i="1" s="1"/>
  <c r="M2013" i="1"/>
  <c r="M2122" i="1" s="1"/>
  <c r="O1765" i="1"/>
  <c r="J1786" i="13"/>
  <c r="J1789" i="13" s="1"/>
  <c r="G1789" i="13"/>
  <c r="N1785" i="1"/>
  <c r="K1789" i="1"/>
  <c r="N1789" i="1" s="1"/>
  <c r="K1892" i="1"/>
  <c r="O1892" i="1" s="1"/>
  <c r="L2001" i="1"/>
  <c r="L2110" i="1" s="1"/>
  <c r="G1897" i="13"/>
  <c r="M2007" i="1"/>
  <c r="M2116" i="1" s="1"/>
  <c r="M1724" i="1"/>
  <c r="M1719" i="1"/>
  <c r="K1541" i="1"/>
  <c r="O1541" i="1" s="1"/>
  <c r="L1648" i="1"/>
  <c r="G1546" i="13"/>
  <c r="J1546" i="13" s="1"/>
  <c r="L1632" i="1"/>
  <c r="L1736" i="1"/>
  <c r="G1634" i="13"/>
  <c r="J1634" i="13" s="1"/>
  <c r="K1629" i="1"/>
  <c r="N1629" i="1" s="1"/>
  <c r="G1520" i="13"/>
  <c r="J1517" i="13"/>
  <c r="J1520" i="13" s="1"/>
  <c r="L1745" i="1"/>
  <c r="G1643" i="13"/>
  <c r="J1643" i="13" s="1"/>
  <c r="K1638" i="1"/>
  <c r="N1638" i="1" s="1"/>
  <c r="O1521" i="1"/>
  <c r="M1712" i="1"/>
  <c r="K1603" i="1"/>
  <c r="L1710" i="1"/>
  <c r="G1608" i="13"/>
  <c r="L1610" i="1"/>
  <c r="L1743" i="1"/>
  <c r="G1641" i="13"/>
  <c r="J1641" i="13" s="1"/>
  <c r="K1636" i="1"/>
  <c r="N1636" i="1" s="1"/>
  <c r="L1618" i="1"/>
  <c r="L1718" i="1"/>
  <c r="G1616" i="13"/>
  <c r="K1611" i="1"/>
  <c r="O1611" i="1" s="1"/>
  <c r="L1641" i="1"/>
  <c r="L1740" i="1"/>
  <c r="G1638" i="13"/>
  <c r="K1633" i="1"/>
  <c r="M1720" i="1"/>
  <c r="O1630" i="1"/>
  <c r="M1737" i="1"/>
  <c r="M1554" i="1"/>
  <c r="M1715" i="1"/>
  <c r="K1540" i="1"/>
  <c r="O1540" i="1" s="1"/>
  <c r="L1647" i="1"/>
  <c r="G1545" i="13"/>
  <c r="J1545" i="13" s="1"/>
  <c r="M1861" i="1"/>
  <c r="N1537" i="1"/>
  <c r="L1751" i="1"/>
  <c r="G1649" i="13"/>
  <c r="K1644" i="1"/>
  <c r="K1624" i="1"/>
  <c r="N1624" i="1" s="1"/>
  <c r="L1731" i="1"/>
  <c r="G1629" i="13"/>
  <c r="J1629" i="13" s="1"/>
  <c r="K1609" i="1"/>
  <c r="N1609" i="1" s="1"/>
  <c r="L1716" i="1"/>
  <c r="G1614" i="13"/>
  <c r="J1614" i="13" s="1"/>
  <c r="K1640" i="1"/>
  <c r="N1640" i="1" s="1"/>
  <c r="L1747" i="1"/>
  <c r="G1645" i="13"/>
  <c r="J1645" i="13" s="1"/>
  <c r="K1538" i="1"/>
  <c r="L1645" i="1"/>
  <c r="G1543" i="13"/>
  <c r="J1543" i="13" s="1"/>
  <c r="M1711" i="1"/>
  <c r="O1492" i="1"/>
  <c r="M1602" i="1"/>
  <c r="M1706" i="1"/>
  <c r="M1722" i="1"/>
  <c r="L1720" i="1"/>
  <c r="G1618" i="13"/>
  <c r="J1618" i="13" s="1"/>
  <c r="K1613" i="1"/>
  <c r="N1613" i="1" s="1"/>
  <c r="O1530" i="1"/>
  <c r="O1512" i="1"/>
  <c r="M1622" i="1"/>
  <c r="M1726" i="1"/>
  <c r="O1619" i="1"/>
  <c r="M1731" i="1"/>
  <c r="K1637" i="1"/>
  <c r="N1637" i="1" s="1"/>
  <c r="L1744" i="1"/>
  <c r="G1642" i="13"/>
  <c r="J1642" i="13" s="1"/>
  <c r="O1502" i="1"/>
  <c r="G1524" i="13"/>
  <c r="J1521" i="13"/>
  <c r="J1524" i="13" s="1"/>
  <c r="N1583" i="1"/>
  <c r="O1583" i="1"/>
  <c r="M1593" i="1"/>
  <c r="O1785" i="1"/>
  <c r="G1797" i="13"/>
  <c r="J1795" i="13"/>
  <c r="J1797" i="13" s="1"/>
  <c r="K1685" i="1"/>
  <c r="N1685" i="1" s="1"/>
  <c r="N1683" i="1"/>
  <c r="M2002" i="1"/>
  <c r="M2111" i="1" s="1"/>
  <c r="M2003" i="1"/>
  <c r="M2112" i="1" s="1"/>
  <c r="O1805" i="1"/>
  <c r="O1783" i="1"/>
  <c r="O1666" i="1"/>
  <c r="M1871" i="1"/>
  <c r="K1563" i="1"/>
  <c r="N1563" i="1" s="1"/>
  <c r="N1558" i="1"/>
  <c r="G1568" i="13"/>
  <c r="G1674" i="13"/>
  <c r="J1671" i="13"/>
  <c r="J1674" i="13" s="1"/>
  <c r="M1897" i="1"/>
  <c r="O1790" i="1"/>
  <c r="M1792" i="1"/>
  <c r="O1578" i="1"/>
  <c r="O1801" i="1"/>
  <c r="M1699" i="1"/>
  <c r="J1905" i="13"/>
  <c r="G1802" i="13"/>
  <c r="O1804" i="1"/>
  <c r="J1687" i="13"/>
  <c r="J1703" i="13" s="1"/>
  <c r="J1704" i="13" s="1"/>
  <c r="I247" i="15" s="1"/>
  <c r="I249" i="15" s="1"/>
  <c r="O1795" i="1"/>
  <c r="M1723" i="1"/>
  <c r="M1721" i="1"/>
  <c r="M1707" i="1"/>
  <c r="L1706" i="1"/>
  <c r="G1604" i="13"/>
  <c r="J1604" i="13" s="1"/>
  <c r="K1599" i="1"/>
  <c r="N1599" i="1" s="1"/>
  <c r="M1727" i="1"/>
  <c r="M1736" i="1"/>
  <c r="O1629" i="1"/>
  <c r="K1542" i="1"/>
  <c r="O1542" i="1" s="1"/>
  <c r="L1649" i="1"/>
  <c r="G1547" i="13"/>
  <c r="J1547" i="13" s="1"/>
  <c r="M1741" i="1"/>
  <c r="K1539" i="1"/>
  <c r="O1539" i="1" s="1"/>
  <c r="L1646" i="1"/>
  <c r="G1544" i="13"/>
  <c r="J1544" i="13" s="1"/>
  <c r="K1614" i="1"/>
  <c r="N1614" i="1" s="1"/>
  <c r="L1721" i="1"/>
  <c r="G1619" i="13"/>
  <c r="J1619" i="13" s="1"/>
  <c r="K1631" i="1"/>
  <c r="N1631" i="1" s="1"/>
  <c r="L1738" i="1"/>
  <c r="G1636" i="13"/>
  <c r="J1636" i="13" s="1"/>
  <c r="K1616" i="1"/>
  <c r="N1616" i="1" s="1"/>
  <c r="L1723" i="1"/>
  <c r="G1621" i="13"/>
  <c r="J1621" i="13" s="1"/>
  <c r="O1504" i="1"/>
  <c r="M1618" i="1"/>
  <c r="M1718" i="1"/>
  <c r="O1518" i="1"/>
  <c r="K1543" i="1"/>
  <c r="O1543" i="1" s="1"/>
  <c r="L1650" i="1"/>
  <c r="G1548" i="13"/>
  <c r="J1548" i="13" s="1"/>
  <c r="M1864" i="1"/>
  <c r="M1710" i="1"/>
  <c r="M1610" i="1"/>
  <c r="M1862" i="1"/>
  <c r="M1746" i="1"/>
  <c r="N1526" i="1"/>
  <c r="K1534" i="1"/>
  <c r="N1534" i="1" s="1"/>
  <c r="M1752" i="1"/>
  <c r="O1529" i="1"/>
  <c r="O1500" i="1"/>
  <c r="L1741" i="1"/>
  <c r="G1639" i="13"/>
  <c r="J1639" i="13" s="1"/>
  <c r="K1634" i="1"/>
  <c r="N1634" i="1" s="1"/>
  <c r="G1530" i="13"/>
  <c r="J1526" i="13"/>
  <c r="J1530" i="13" s="1"/>
  <c r="L1735" i="1"/>
  <c r="G1633" i="13"/>
  <c r="K1628" i="1"/>
  <c r="M1760" i="1"/>
  <c r="L1732" i="1"/>
  <c r="G1630" i="13"/>
  <c r="J1630" i="13" s="1"/>
  <c r="K1625" i="1"/>
  <c r="N1625" i="1" s="1"/>
  <c r="O1533" i="1"/>
  <c r="O1528" i="1"/>
  <c r="O1524" i="1"/>
  <c r="O1531" i="1"/>
  <c r="G1558" i="13"/>
  <c r="J1553" i="13"/>
  <c r="J1558" i="13" s="1"/>
  <c r="D225" i="15"/>
  <c r="L1708" i="1"/>
  <c r="G1606" i="13"/>
  <c r="K1601" i="1"/>
  <c r="L1602" i="1"/>
  <c r="N1494" i="1"/>
  <c r="O1494" i="1"/>
  <c r="J1499" i="13"/>
  <c r="J1500" i="13" s="1"/>
  <c r="G1500" i="13"/>
  <c r="G1312" i="13"/>
  <c r="F195" i="15" s="1"/>
  <c r="G1461" i="13"/>
  <c r="J1461" i="13"/>
  <c r="L1458" i="1"/>
  <c r="L1459" i="1" s="1"/>
  <c r="D214" i="15" s="1"/>
  <c r="D216" i="15" s="1"/>
  <c r="E216" i="15" s="1"/>
  <c r="O1439" i="1"/>
  <c r="N1282" i="1"/>
  <c r="K1307" i="1"/>
  <c r="O1307" i="1" s="1"/>
  <c r="J1390" i="13"/>
  <c r="J1393" i="13" s="1"/>
  <c r="G1393" i="13"/>
  <c r="G1413" i="13"/>
  <c r="J1410" i="13"/>
  <c r="J1413" i="13" s="1"/>
  <c r="N1451" i="1"/>
  <c r="K1456" i="1"/>
  <c r="N1456" i="1" s="1"/>
  <c r="N1389" i="1"/>
  <c r="K1396" i="1"/>
  <c r="N1396" i="1" s="1"/>
  <c r="O1378" i="1"/>
  <c r="O1379" i="1" s="1"/>
  <c r="K1379" i="1"/>
  <c r="N1378" i="1"/>
  <c r="N1379" i="1" s="1"/>
  <c r="O1394" i="1"/>
  <c r="M1323" i="1"/>
  <c r="O1395" i="1"/>
  <c r="L1413" i="1"/>
  <c r="K1412" i="1"/>
  <c r="N1412" i="1" s="1"/>
  <c r="N1409" i="1"/>
  <c r="O1423" i="1"/>
  <c r="D183" i="15"/>
  <c r="E180" i="15"/>
  <c r="O1409" i="1"/>
  <c r="G1409" i="13"/>
  <c r="J1402" i="13"/>
  <c r="J1409" i="13" s="1"/>
  <c r="G1432" i="13"/>
  <c r="J1424" i="13"/>
  <c r="J1432" i="13" s="1"/>
  <c r="O1416" i="1"/>
  <c r="M1352" i="1"/>
  <c r="J1312" i="13"/>
  <c r="K1217" i="1"/>
  <c r="N1201" i="1"/>
  <c r="O1201" i="1"/>
  <c r="O1396" i="1"/>
  <c r="O1234" i="1"/>
  <c r="N1234" i="1"/>
  <c r="K1245" i="1"/>
  <c r="G1445" i="13"/>
  <c r="J1435" i="13"/>
  <c r="J1445" i="13" s="1"/>
  <c r="N1312" i="1"/>
  <c r="K1322" i="1"/>
  <c r="N1322" i="1" s="1"/>
  <c r="G1451" i="13"/>
  <c r="J1446" i="13"/>
  <c r="J1451" i="13" s="1"/>
  <c r="D201" i="15"/>
  <c r="E201" i="15" s="1"/>
  <c r="E199" i="15"/>
  <c r="O1302" i="1"/>
  <c r="M1413" i="1"/>
  <c r="O1386" i="1"/>
  <c r="O1451" i="1"/>
  <c r="N1443" i="1"/>
  <c r="O1443" i="1"/>
  <c r="O1402" i="1"/>
  <c r="O1400" i="1"/>
  <c r="N1385" i="1"/>
  <c r="K1388" i="1"/>
  <c r="D195" i="15"/>
  <c r="L1323" i="1"/>
  <c r="L1380" i="1" s="1"/>
  <c r="N1111" i="1"/>
  <c r="O1406" i="1"/>
  <c r="K1408" i="1"/>
  <c r="N1408" i="1" s="1"/>
  <c r="N1405" i="1"/>
  <c r="M1428" i="1"/>
  <c r="E168" i="15"/>
  <c r="D175" i="15"/>
  <c r="E175" i="15" s="1"/>
  <c r="O1391" i="1"/>
  <c r="J1394" i="13"/>
  <c r="J1401" i="13" s="1"/>
  <c r="G1401" i="13"/>
  <c r="K1140" i="1"/>
  <c r="K1168" i="1" s="1"/>
  <c r="N1139" i="1"/>
  <c r="N1140" i="1" s="1"/>
  <c r="O1139" i="1"/>
  <c r="O1140" i="1" s="1"/>
  <c r="O1306" i="1"/>
  <c r="O1298" i="1"/>
  <c r="M1447" i="1"/>
  <c r="I180" i="15"/>
  <c r="I183" i="15" s="1"/>
  <c r="I190" i="15" s="1"/>
  <c r="J1222" i="13"/>
  <c r="J1278" i="13" s="1"/>
  <c r="O1431" i="1"/>
  <c r="O1349" i="1"/>
  <c r="O1393" i="1"/>
  <c r="O1282" i="1"/>
  <c r="J1345" i="13"/>
  <c r="J1356" i="13" s="1"/>
  <c r="K1418" i="1"/>
  <c r="N1414" i="1"/>
  <c r="J1419" i="13"/>
  <c r="J1423" i="13" s="1"/>
  <c r="J1433" i="13" s="1"/>
  <c r="I211" i="15" s="1"/>
  <c r="G1423" i="13"/>
  <c r="O1481" i="1"/>
  <c r="O1421" i="1"/>
  <c r="G1345" i="13"/>
  <c r="G1356" i="13" s="1"/>
  <c r="O1410" i="1"/>
  <c r="G1417" i="13"/>
  <c r="J1414" i="13"/>
  <c r="J1417" i="13" s="1"/>
  <c r="M1486" i="1"/>
  <c r="N1397" i="1"/>
  <c r="K1404" i="1"/>
  <c r="N1404" i="1" s="1"/>
  <c r="N1419" i="1"/>
  <c r="K1427" i="1"/>
  <c r="N1427" i="1" s="1"/>
  <c r="G1327" i="13"/>
  <c r="F196" i="15" s="1"/>
  <c r="O1399" i="1"/>
  <c r="F180" i="15"/>
  <c r="F183" i="15" s="1"/>
  <c r="F190" i="15" s="1"/>
  <c r="G1222" i="13"/>
  <c r="G1278" i="13" s="1"/>
  <c r="O1389" i="1"/>
  <c r="O1419" i="1"/>
  <c r="O1321" i="1"/>
  <c r="O1387" i="1"/>
  <c r="N1430" i="1"/>
  <c r="K1440" i="1"/>
  <c r="O1440" i="1" s="1"/>
  <c r="O1333" i="1"/>
  <c r="N1333" i="1"/>
  <c r="K1340" i="1"/>
  <c r="J1327" i="13"/>
  <c r="I196" i="15" s="1"/>
  <c r="O1417" i="1"/>
  <c r="K1446" i="1"/>
  <c r="N1446" i="1" s="1"/>
  <c r="N1441" i="1"/>
  <c r="O1390" i="1"/>
  <c r="K1485" i="1"/>
  <c r="O1385" i="1"/>
  <c r="O1401" i="1"/>
  <c r="J24" i="15"/>
  <c r="J18" i="15"/>
  <c r="E229" i="15" l="1"/>
  <c r="G247" i="15"/>
  <c r="G249" i="15" s="1"/>
  <c r="H232" i="15"/>
  <c r="H234" i="15" s="1"/>
  <c r="Q932" i="17"/>
  <c r="L1098" i="17"/>
  <c r="K1063" i="17"/>
  <c r="J1001" i="17"/>
  <c r="M1001" i="17" s="1"/>
  <c r="Q1001" i="17"/>
  <c r="L1112" i="17"/>
  <c r="K1113" i="17"/>
  <c r="Q1051" i="17"/>
  <c r="J1051" i="17"/>
  <c r="M1051" i="17" s="1"/>
  <c r="J1028" i="17"/>
  <c r="N1028" i="17" s="1"/>
  <c r="K1090" i="17"/>
  <c r="Q1028" i="17"/>
  <c r="Q1002" i="17"/>
  <c r="K1064" i="17"/>
  <c r="J1002" i="17"/>
  <c r="M1002" i="17" s="1"/>
  <c r="L1063" i="17"/>
  <c r="N1001" i="17"/>
  <c r="M960" i="17"/>
  <c r="N1491" i="1"/>
  <c r="O1491" i="1"/>
  <c r="K1003" i="17"/>
  <c r="K1060" i="17"/>
  <c r="J998" i="17"/>
  <c r="Q998" i="17"/>
  <c r="N1016" i="17"/>
  <c r="L1078" i="17"/>
  <c r="K1092" i="17"/>
  <c r="Q1030" i="17"/>
  <c r="J1030" i="17"/>
  <c r="M1030" i="17" s="1"/>
  <c r="L1084" i="17"/>
  <c r="L1054" i="17"/>
  <c r="K1107" i="17"/>
  <c r="Q1045" i="17"/>
  <c r="J1045" i="17"/>
  <c r="M1045" i="17" s="1"/>
  <c r="N983" i="17"/>
  <c r="K1100" i="17"/>
  <c r="Q1038" i="17"/>
  <c r="J1038" i="17"/>
  <c r="M1038" i="17" s="1"/>
  <c r="L1105" i="17"/>
  <c r="L959" i="17"/>
  <c r="Q1005" i="17"/>
  <c r="K1067" i="17"/>
  <c r="J1005" i="17"/>
  <c r="M1005" i="17" s="1"/>
  <c r="L1077" i="17"/>
  <c r="N1015" i="17"/>
  <c r="H228" i="15"/>
  <c r="H220" i="15"/>
  <c r="N971" i="17"/>
  <c r="Q1015" i="17"/>
  <c r="K1077" i="17"/>
  <c r="J1015" i="17"/>
  <c r="M1015" i="17" s="1"/>
  <c r="M869" i="17"/>
  <c r="J870" i="17"/>
  <c r="M870" i="17" s="1"/>
  <c r="N947" i="17"/>
  <c r="L1104" i="17"/>
  <c r="L1080" i="17"/>
  <c r="N1018" i="17"/>
  <c r="K1072" i="17"/>
  <c r="Q1010" i="17"/>
  <c r="J1010" i="17"/>
  <c r="M1010" i="17" s="1"/>
  <c r="M938" i="17"/>
  <c r="N938" i="17"/>
  <c r="N954" i="17"/>
  <c r="L1091" i="17"/>
  <c r="N1029" i="17"/>
  <c r="N985" i="17"/>
  <c r="K1081" i="17"/>
  <c r="Q1019" i="17"/>
  <c r="J1019" i="17"/>
  <c r="M1019" i="17" s="1"/>
  <c r="O1412" i="1"/>
  <c r="G1433" i="13"/>
  <c r="F211" i="15" s="1"/>
  <c r="K1495" i="1"/>
  <c r="O1669" i="1"/>
  <c r="O1624" i="1"/>
  <c r="L1115" i="17"/>
  <c r="Q1018" i="17"/>
  <c r="K1080" i="17"/>
  <c r="J1018" i="17"/>
  <c r="M1018" i="17" s="1"/>
  <c r="K1076" i="17"/>
  <c r="Q1014" i="17"/>
  <c r="J1014" i="17"/>
  <c r="M1014" i="17" s="1"/>
  <c r="L1068" i="17"/>
  <c r="M1812" i="1"/>
  <c r="L1107" i="17"/>
  <c r="N1045" i="17"/>
  <c r="N975" i="17"/>
  <c r="L1070" i="17"/>
  <c r="L1089" i="17"/>
  <c r="N1027" i="17"/>
  <c r="Q1013" i="17"/>
  <c r="K1075" i="17"/>
  <c r="K1020" i="17"/>
  <c r="K1021" i="17" s="1"/>
  <c r="G259" i="15" s="1"/>
  <c r="G261" i="15" s="1"/>
  <c r="J1013" i="17"/>
  <c r="J1040" i="17"/>
  <c r="M1040" i="17" s="1"/>
  <c r="K1102" i="17"/>
  <c r="Q1040" i="17"/>
  <c r="Q1036" i="17"/>
  <c r="K1098" i="17"/>
  <c r="J1036" i="17"/>
  <c r="M1036" i="17" s="1"/>
  <c r="N1014" i="17"/>
  <c r="L1076" i="17"/>
  <c r="L1093" i="17"/>
  <c r="N962" i="17"/>
  <c r="L1095" i="17"/>
  <c r="N1033" i="17"/>
  <c r="J1033" i="17"/>
  <c r="M1033" i="17" s="1"/>
  <c r="L1061" i="17"/>
  <c r="L1079" i="17"/>
  <c r="N1017" i="17"/>
  <c r="K1066" i="17"/>
  <c r="Q1004" i="17"/>
  <c r="J1004" i="17"/>
  <c r="K1011" i="17"/>
  <c r="G256" i="15" s="1"/>
  <c r="J1052" i="17"/>
  <c r="M1052" i="17" s="1"/>
  <c r="Q1052" i="17"/>
  <c r="K1114" i="17"/>
  <c r="Q1024" i="17"/>
  <c r="K1086" i="17"/>
  <c r="J1024" i="17"/>
  <c r="M1024" i="17" s="1"/>
  <c r="J1017" i="17"/>
  <c r="K1079" i="17"/>
  <c r="Q1017" i="17"/>
  <c r="Q1020" i="17" s="1"/>
  <c r="Q1021" i="17" s="1"/>
  <c r="H259" i="15" s="1"/>
  <c r="H261" i="15" s="1"/>
  <c r="K1109" i="17"/>
  <c r="Q1047" i="17"/>
  <c r="J1047" i="17"/>
  <c r="M1047" i="17" s="1"/>
  <c r="L1106" i="17"/>
  <c r="Q1023" i="17"/>
  <c r="K1085" i="17"/>
  <c r="J1023" i="17"/>
  <c r="M1023" i="17" s="1"/>
  <c r="L1071" i="17"/>
  <c r="N979" i="17"/>
  <c r="N1002" i="17"/>
  <c r="L1064" i="17"/>
  <c r="L1081" i="17"/>
  <c r="K1110" i="17"/>
  <c r="Q1048" i="17"/>
  <c r="J1048" i="17"/>
  <c r="M936" i="17"/>
  <c r="J941" i="17"/>
  <c r="M941" i="17" s="1"/>
  <c r="Q1000" i="17"/>
  <c r="K1062" i="17"/>
  <c r="J1000" i="17"/>
  <c r="L1234" i="17"/>
  <c r="K1099" i="17"/>
  <c r="Q1037" i="17"/>
  <c r="J1037" i="17"/>
  <c r="M1037" i="17" s="1"/>
  <c r="K1078" i="17"/>
  <c r="Q1016" i="17"/>
  <c r="J1016" i="17"/>
  <c r="M1016" i="17" s="1"/>
  <c r="L1109" i="17"/>
  <c r="N1047" i="17"/>
  <c r="N984" i="17"/>
  <c r="K1068" i="17"/>
  <c r="J1006" i="17"/>
  <c r="M1006" i="17" s="1"/>
  <c r="Q1006" i="17"/>
  <c r="K1105" i="17"/>
  <c r="Q1043" i="17"/>
  <c r="J1043" i="17"/>
  <c r="M1043" i="17" s="1"/>
  <c r="G235" i="15"/>
  <c r="Q1044" i="17"/>
  <c r="K1106" i="17"/>
  <c r="J1044" i="17"/>
  <c r="M1044" i="17" s="1"/>
  <c r="L1094" i="17"/>
  <c r="L1020" i="17"/>
  <c r="L1075" i="17"/>
  <c r="J958" i="17"/>
  <c r="M958" i="17" s="1"/>
  <c r="M951" i="17"/>
  <c r="K1101" i="17"/>
  <c r="J1039" i="17"/>
  <c r="M1039" i="17" s="1"/>
  <c r="Q1039" i="17"/>
  <c r="K1103" i="17"/>
  <c r="J1041" i="17"/>
  <c r="M1041" i="17" s="1"/>
  <c r="Q1041" i="17"/>
  <c r="K1115" i="17"/>
  <c r="J1053" i="17"/>
  <c r="M1053" i="17" s="1"/>
  <c r="Q1053" i="17"/>
  <c r="N870" i="17"/>
  <c r="L1100" i="17"/>
  <c r="N1038" i="17"/>
  <c r="M942" i="17"/>
  <c r="J949" i="17"/>
  <c r="N949" i="17" s="1"/>
  <c r="K1094" i="17"/>
  <c r="Q1032" i="17"/>
  <c r="J1032" i="17"/>
  <c r="M1032" i="17" s="1"/>
  <c r="L1072" i="17"/>
  <c r="N1010" i="17"/>
  <c r="K1112" i="17"/>
  <c r="Q1050" i="17"/>
  <c r="J1050" i="17"/>
  <c r="M1050" i="17" s="1"/>
  <c r="K1097" i="17"/>
  <c r="Q1035" i="17"/>
  <c r="J1035" i="17"/>
  <c r="M1035" i="17" s="1"/>
  <c r="K1093" i="17"/>
  <c r="Q1031" i="17"/>
  <c r="J1031" i="17"/>
  <c r="M1031" i="17" s="1"/>
  <c r="L1069" i="17"/>
  <c r="L1111" i="17"/>
  <c r="N1049" i="17"/>
  <c r="K1070" i="17"/>
  <c r="J1008" i="17"/>
  <c r="M1008" i="17" s="1"/>
  <c r="Q1008" i="17"/>
  <c r="K1069" i="17"/>
  <c r="J1007" i="17"/>
  <c r="M1007" i="17" s="1"/>
  <c r="Q1007" i="17"/>
  <c r="L950" i="17"/>
  <c r="N941" i="17"/>
  <c r="J888" i="17"/>
  <c r="M888" i="17" s="1"/>
  <c r="M879" i="17"/>
  <c r="Q1096" i="17"/>
  <c r="K1158" i="17"/>
  <c r="J1096" i="17"/>
  <c r="M1096" i="17" s="1"/>
  <c r="L1101" i="17"/>
  <c r="N1039" i="17"/>
  <c r="K1071" i="17"/>
  <c r="Q1009" i="17"/>
  <c r="J1009" i="17"/>
  <c r="M1009" i="17" s="1"/>
  <c r="K1089" i="17"/>
  <c r="Q1027" i="17"/>
  <c r="J1027" i="17"/>
  <c r="M1027" i="17" s="1"/>
  <c r="N942" i="17"/>
  <c r="Q949" i="17"/>
  <c r="H241" i="15" s="1"/>
  <c r="Q958" i="17"/>
  <c r="Q959" i="17" s="1"/>
  <c r="H244" i="15" s="1"/>
  <c r="H246" i="15" s="1"/>
  <c r="L1085" i="17"/>
  <c r="K1084" i="17"/>
  <c r="J1022" i="17"/>
  <c r="Q1022" i="17"/>
  <c r="L932" i="17"/>
  <c r="N931" i="17"/>
  <c r="L1705" i="1"/>
  <c r="G1603" i="13"/>
  <c r="J1603" i="13" s="1"/>
  <c r="K1598" i="1"/>
  <c r="M986" i="17"/>
  <c r="N986" i="17"/>
  <c r="G240" i="15"/>
  <c r="K950" i="17"/>
  <c r="K994" i="17" s="1"/>
  <c r="O1503" i="1"/>
  <c r="O1911" i="1"/>
  <c r="M930" i="17"/>
  <c r="J931" i="17"/>
  <c r="L993" i="17"/>
  <c r="L1092" i="17"/>
  <c r="L1154" i="17" s="1"/>
  <c r="L1060" i="17"/>
  <c r="N998" i="17"/>
  <c r="L1003" i="17"/>
  <c r="N879" i="17"/>
  <c r="L1067" i="17"/>
  <c r="N1005" i="17"/>
  <c r="L1099" i="17"/>
  <c r="N974" i="17"/>
  <c r="N951" i="17"/>
  <c r="L1124" i="17"/>
  <c r="Q964" i="17"/>
  <c r="Q992" i="17" s="1"/>
  <c r="Q993" i="17" s="1"/>
  <c r="K1026" i="17"/>
  <c r="K1054" i="17" s="1"/>
  <c r="K1055" i="17" s="1"/>
  <c r="J964" i="17"/>
  <c r="J992" i="17" s="1"/>
  <c r="N952" i="17"/>
  <c r="L1102" i="17"/>
  <c r="N1040" i="17"/>
  <c r="L1113" i="17"/>
  <c r="N1051" i="17"/>
  <c r="K1111" i="17"/>
  <c r="Q1049" i="17"/>
  <c r="J1049" i="17"/>
  <c r="M1049" i="17" s="1"/>
  <c r="Q1042" i="17"/>
  <c r="K1104" i="17"/>
  <c r="J1042" i="17"/>
  <c r="M1042" i="17" s="1"/>
  <c r="L1086" i="17"/>
  <c r="N1024" i="17"/>
  <c r="L1114" i="17"/>
  <c r="L1011" i="17"/>
  <c r="L1066" i="17"/>
  <c r="N1004" i="17"/>
  <c r="N869" i="17"/>
  <c r="N976" i="17"/>
  <c r="G243" i="15"/>
  <c r="N826" i="17"/>
  <c r="N1096" i="17"/>
  <c r="L1158" i="17"/>
  <c r="J959" i="17"/>
  <c r="M959" i="17" s="1"/>
  <c r="K1061" i="17"/>
  <c r="Q999" i="17"/>
  <c r="J999" i="17"/>
  <c r="M999" i="17" s="1"/>
  <c r="N982" i="17"/>
  <c r="N897" i="17"/>
  <c r="N939" i="17"/>
  <c r="L1097" i="17"/>
  <c r="N1035" i="17"/>
  <c r="L1103" i="17"/>
  <c r="Q941" i="17"/>
  <c r="N887" i="17"/>
  <c r="K1091" i="17"/>
  <c r="Q1029" i="17"/>
  <c r="J1029" i="17"/>
  <c r="M1029" i="17" s="1"/>
  <c r="N945" i="17"/>
  <c r="N987" i="17"/>
  <c r="L1108" i="17"/>
  <c r="N1046" i="17"/>
  <c r="Q1046" i="17"/>
  <c r="K1108" i="17"/>
  <c r="J1046" i="17"/>
  <c r="M1046" i="17" s="1"/>
  <c r="I1951" i="16"/>
  <c r="O1615" i="1"/>
  <c r="O1604" i="1"/>
  <c r="O1608" i="1"/>
  <c r="O1519" i="1"/>
  <c r="O1898" i="1"/>
  <c r="O1635" i="1"/>
  <c r="O1607" i="1"/>
  <c r="O1511" i="1"/>
  <c r="L1536" i="1"/>
  <c r="L1594" i="1" s="1"/>
  <c r="O1600" i="1"/>
  <c r="O1617" i="1"/>
  <c r="O1895" i="1"/>
  <c r="O1515" i="1"/>
  <c r="G1794" i="13"/>
  <c r="M2220" i="1"/>
  <c r="O1613" i="1"/>
  <c r="L2219" i="1"/>
  <c r="G2115" i="13"/>
  <c r="K2110" i="1"/>
  <c r="O2110" i="1" s="1"/>
  <c r="M2228" i="1"/>
  <c r="L2230" i="1"/>
  <c r="G2126" i="13"/>
  <c r="J2126" i="13" s="1"/>
  <c r="K2121" i="1"/>
  <c r="N2121" i="1" s="1"/>
  <c r="M2233" i="1"/>
  <c r="M2206" i="1"/>
  <c r="K2097" i="1"/>
  <c r="O2097" i="1" s="1"/>
  <c r="M2238" i="1"/>
  <c r="K2113" i="1"/>
  <c r="N2113" i="1" s="1"/>
  <c r="L2222" i="1"/>
  <c r="G2118" i="13"/>
  <c r="J2118" i="13" s="1"/>
  <c r="M2217" i="1"/>
  <c r="M2218" i="1" s="1"/>
  <c r="K2108" i="1"/>
  <c r="N2108" i="1" s="1"/>
  <c r="L2217" i="1"/>
  <c r="G2113" i="13"/>
  <c r="J2113" i="13" s="1"/>
  <c r="M2237" i="1"/>
  <c r="M2130" i="1"/>
  <c r="K2128" i="1"/>
  <c r="O2128" i="1" s="1"/>
  <c r="L2237" i="1"/>
  <c r="G2132" i="13"/>
  <c r="L2130" i="1"/>
  <c r="G2134" i="13" s="1"/>
  <c r="M2098" i="1"/>
  <c r="K1989" i="1"/>
  <c r="O1989" i="1" s="1"/>
  <c r="L2215" i="1"/>
  <c r="G2111" i="13"/>
  <c r="L2109" i="1"/>
  <c r="K2106" i="1"/>
  <c r="M2198" i="1"/>
  <c r="K2126" i="1"/>
  <c r="N2126" i="1" s="1"/>
  <c r="L2235" i="1"/>
  <c r="G2130" i="13"/>
  <c r="J2130" i="13" s="1"/>
  <c r="L2216" i="1"/>
  <c r="K2107" i="1"/>
  <c r="G2112" i="13"/>
  <c r="J2112" i="13" s="1"/>
  <c r="M2329" i="1"/>
  <c r="J2123" i="13"/>
  <c r="M2328" i="1"/>
  <c r="M2221" i="1"/>
  <c r="M2225" i="1"/>
  <c r="M2231" i="1"/>
  <c r="L2233" i="1"/>
  <c r="G2128" i="13"/>
  <c r="L2127" i="1"/>
  <c r="K2124" i="1"/>
  <c r="M2230" i="1"/>
  <c r="O2121" i="1"/>
  <c r="M2222" i="1"/>
  <c r="O2113" i="1"/>
  <c r="M2229" i="1"/>
  <c r="M2235" i="1"/>
  <c r="L2224" i="1"/>
  <c r="G2120" i="13"/>
  <c r="L2117" i="1"/>
  <c r="M2219" i="1"/>
  <c r="M2114" i="1"/>
  <c r="M2197" i="1"/>
  <c r="K2088" i="1"/>
  <c r="N2088" i="1" s="1"/>
  <c r="L2225" i="1"/>
  <c r="G2121" i="13"/>
  <c r="J2121" i="13" s="1"/>
  <c r="K2116" i="1"/>
  <c r="N2116" i="1" s="1"/>
  <c r="L2221" i="1"/>
  <c r="G2117" i="13"/>
  <c r="J2117" i="13" s="1"/>
  <c r="K2112" i="1"/>
  <c r="N2112" i="1" s="1"/>
  <c r="K2119" i="1"/>
  <c r="N2119" i="1" s="1"/>
  <c r="L2228" i="1"/>
  <c r="G2124" i="13"/>
  <c r="J2124" i="13" s="1"/>
  <c r="K2120" i="1"/>
  <c r="N2120" i="1" s="1"/>
  <c r="L2229" i="1"/>
  <c r="G2125" i="13"/>
  <c r="J2125" i="13" s="1"/>
  <c r="K2129" i="1"/>
  <c r="N2129" i="1" s="1"/>
  <c r="L2238" i="1"/>
  <c r="G2133" i="13"/>
  <c r="L2340" i="1"/>
  <c r="G2232" i="13"/>
  <c r="M2109" i="1"/>
  <c r="L2347" i="1"/>
  <c r="G2238" i="13"/>
  <c r="J2238" i="13" s="1"/>
  <c r="O1639" i="1"/>
  <c r="G1909" i="13"/>
  <c r="O1605" i="1"/>
  <c r="O1612" i="1"/>
  <c r="O1901" i="1"/>
  <c r="O1640" i="1"/>
  <c r="K1802" i="1"/>
  <c r="N1802" i="1" s="1"/>
  <c r="O1634" i="1"/>
  <c r="O1599" i="1"/>
  <c r="K1988" i="1"/>
  <c r="O1988" i="1" s="1"/>
  <c r="G1525" i="13"/>
  <c r="F225" i="15" s="1"/>
  <c r="J1540" i="13"/>
  <c r="I226" i="15" s="1"/>
  <c r="J1794" i="13"/>
  <c r="J1810" i="13" s="1"/>
  <c r="J1811" i="13" s="1"/>
  <c r="I262" i="15" s="1"/>
  <c r="I264" i="15" s="1"/>
  <c r="N1628" i="1"/>
  <c r="K1632" i="1"/>
  <c r="O1632" i="1" s="1"/>
  <c r="L1842" i="1"/>
  <c r="G1740" i="13"/>
  <c r="L1739" i="1"/>
  <c r="K1735" i="1"/>
  <c r="M1859" i="1"/>
  <c r="O1534" i="1"/>
  <c r="M1969" i="1"/>
  <c r="M2078" i="1" s="1"/>
  <c r="M1627" i="1"/>
  <c r="L1845" i="1"/>
  <c r="G1743" i="13"/>
  <c r="J1743" i="13" s="1"/>
  <c r="K1738" i="1"/>
  <c r="N1738" i="1" s="1"/>
  <c r="K1646" i="1"/>
  <c r="O1646" i="1" s="1"/>
  <c r="L1753" i="1"/>
  <c r="G1651" i="13"/>
  <c r="J1651" i="13" s="1"/>
  <c r="M1843" i="1"/>
  <c r="M1834" i="1"/>
  <c r="M1828" i="1"/>
  <c r="M1830" i="1"/>
  <c r="M1700" i="1"/>
  <c r="M1978" i="1"/>
  <c r="M2087" i="1" s="1"/>
  <c r="L1851" i="1"/>
  <c r="G1749" i="13"/>
  <c r="J1749" i="13" s="1"/>
  <c r="K1744" i="1"/>
  <c r="N1744" i="1" s="1"/>
  <c r="M1829" i="1"/>
  <c r="N1538" i="1"/>
  <c r="O1538" i="1"/>
  <c r="K1747" i="1"/>
  <c r="N1747" i="1" s="1"/>
  <c r="L1854" i="1"/>
  <c r="G1752" i="13"/>
  <c r="J1752" i="13" s="1"/>
  <c r="L1838" i="1"/>
  <c r="G1736" i="13"/>
  <c r="J1736" i="13" s="1"/>
  <c r="K1731" i="1"/>
  <c r="N1731" i="1" s="1"/>
  <c r="N1644" i="1"/>
  <c r="L1858" i="1"/>
  <c r="K1751" i="1"/>
  <c r="G1756" i="13"/>
  <c r="K1547" i="1"/>
  <c r="K1554" i="1" s="1"/>
  <c r="M1822" i="1"/>
  <c r="M1565" i="1"/>
  <c r="M1566" i="1" s="1"/>
  <c r="M1594" i="1" s="1"/>
  <c r="G1646" i="13"/>
  <c r="J1638" i="13"/>
  <c r="J1646" i="13" s="1"/>
  <c r="G1623" i="13"/>
  <c r="J1616" i="13"/>
  <c r="J1623" i="13" s="1"/>
  <c r="K1743" i="1"/>
  <c r="N1743" i="1" s="1"/>
  <c r="L1850" i="1"/>
  <c r="G1748" i="13"/>
  <c r="J1748" i="13" s="1"/>
  <c r="J1608" i="13"/>
  <c r="J1615" i="13" s="1"/>
  <c r="G1615" i="13"/>
  <c r="N1603" i="1"/>
  <c r="K1610" i="1"/>
  <c r="N1610" i="1" s="1"/>
  <c r="M1819" i="1"/>
  <c r="L1642" i="1"/>
  <c r="D241" i="15" s="1"/>
  <c r="E241" i="15" s="1"/>
  <c r="K1648" i="1"/>
  <c r="O1648" i="1" s="1"/>
  <c r="L1755" i="1"/>
  <c r="G1653" i="13"/>
  <c r="J1653" i="13" s="1"/>
  <c r="M1826" i="1"/>
  <c r="G2006" i="13"/>
  <c r="K2001" i="1"/>
  <c r="G1810" i="13"/>
  <c r="G1811" i="13" s="1"/>
  <c r="F262" i="15" s="1"/>
  <c r="F264" i="15" s="1"/>
  <c r="K2015" i="1"/>
  <c r="G2019" i="13"/>
  <c r="N1769" i="1"/>
  <c r="K1772" i="1"/>
  <c r="L1983" i="1"/>
  <c r="L2092" i="1" s="1"/>
  <c r="K1876" i="1"/>
  <c r="G1881" i="13"/>
  <c r="L1879" i="1"/>
  <c r="K1670" i="1"/>
  <c r="N1670" i="1" s="1"/>
  <c r="N1665" i="1"/>
  <c r="L1984" i="1"/>
  <c r="L2093" i="1" s="1"/>
  <c r="K1877" i="1"/>
  <c r="N1877" i="1" s="1"/>
  <c r="G1882" i="13"/>
  <c r="J1882" i="13" s="1"/>
  <c r="L2018" i="1"/>
  <c r="M1985" i="1"/>
  <c r="M2094" i="1" s="1"/>
  <c r="M2016" i="1"/>
  <c r="M2125" i="1" s="1"/>
  <c r="M2127" i="1" s="1"/>
  <c r="K1907" i="1"/>
  <c r="N1907" i="1" s="1"/>
  <c r="O1769" i="1"/>
  <c r="M1983" i="1"/>
  <c r="M2092" i="1" s="1"/>
  <c r="M1879" i="1"/>
  <c r="G1665" i="13"/>
  <c r="J1660" i="13"/>
  <c r="J1665" i="13" s="1"/>
  <c r="N1553" i="1"/>
  <c r="M1852" i="1"/>
  <c r="M1845" i="1"/>
  <c r="M1849" i="1"/>
  <c r="K1535" i="1"/>
  <c r="N1535" i="1" s="1"/>
  <c r="N1525" i="1"/>
  <c r="O1636" i="1"/>
  <c r="K1712" i="1"/>
  <c r="N1712" i="1" s="1"/>
  <c r="L1819" i="1"/>
  <c r="G1717" i="13"/>
  <c r="J1717" i="13" s="1"/>
  <c r="M1839" i="1"/>
  <c r="K1713" i="1"/>
  <c r="N1713" i="1" s="1"/>
  <c r="L1820" i="1"/>
  <c r="G1718" i="13"/>
  <c r="J1718" i="13" s="1"/>
  <c r="K1737" i="1"/>
  <c r="N1737" i="1" s="1"/>
  <c r="L1844" i="1"/>
  <c r="G1742" i="13"/>
  <c r="J1742" i="13" s="1"/>
  <c r="N1592" i="1"/>
  <c r="N1593" i="1" s="1"/>
  <c r="K1593" i="1"/>
  <c r="O1685" i="1"/>
  <c r="N1773" i="1"/>
  <c r="K1776" i="1"/>
  <c r="N1776" i="1" s="1"/>
  <c r="L1883" i="1"/>
  <c r="L1987" i="1"/>
  <c r="L2096" i="1" s="1"/>
  <c r="G1885" i="13"/>
  <c r="K1880" i="1"/>
  <c r="L1991" i="1"/>
  <c r="K1882" i="1"/>
  <c r="N1882" i="1" s="1"/>
  <c r="G1887" i="13"/>
  <c r="J1887" i="13" s="1"/>
  <c r="K1881" i="1"/>
  <c r="N1881" i="1" s="1"/>
  <c r="L1990" i="1"/>
  <c r="G1886" i="13"/>
  <c r="J1886" i="13" s="1"/>
  <c r="O1773" i="1"/>
  <c r="O1776" i="1"/>
  <c r="K2004" i="1"/>
  <c r="N2004" i="1" s="1"/>
  <c r="G2009" i="13"/>
  <c r="J2009" i="13" s="1"/>
  <c r="G2011" i="13"/>
  <c r="L2008" i="1"/>
  <c r="M2005" i="1"/>
  <c r="M1991" i="1"/>
  <c r="M2100" i="1" s="1"/>
  <c r="D249" i="15"/>
  <c r="E249" i="15" s="1"/>
  <c r="E247" i="15"/>
  <c r="L1904" i="1"/>
  <c r="K1797" i="1"/>
  <c r="L1798" i="1"/>
  <c r="L1806" i="1" s="1"/>
  <c r="L1807" i="1" s="1"/>
  <c r="D262" i="15" s="1"/>
  <c r="K1873" i="1"/>
  <c r="L1980" i="1"/>
  <c r="L2089" i="1" s="1"/>
  <c r="G1878" i="13"/>
  <c r="J1878" i="13" s="1"/>
  <c r="O1563" i="1"/>
  <c r="G1631" i="13"/>
  <c r="J1628" i="13"/>
  <c r="J1631" i="13" s="1"/>
  <c r="K1707" i="1"/>
  <c r="N1707" i="1" s="1"/>
  <c r="L1814" i="1"/>
  <c r="G1712" i="13"/>
  <c r="J1712" i="13" s="1"/>
  <c r="O1609" i="1"/>
  <c r="M1851" i="1"/>
  <c r="M1967" i="1"/>
  <c r="M2076" i="1" s="1"/>
  <c r="K1653" i="1"/>
  <c r="L1760" i="1"/>
  <c r="G1658" i="13"/>
  <c r="J1658" i="13" s="1"/>
  <c r="L1831" i="1"/>
  <c r="G1729" i="13"/>
  <c r="J1729" i="13" s="1"/>
  <c r="K1724" i="1"/>
  <c r="N1724" i="1" s="1"/>
  <c r="G1552" i="13"/>
  <c r="G1559" i="13" s="1"/>
  <c r="G1570" i="13" s="1"/>
  <c r="G1571" i="13" s="1"/>
  <c r="F229" i="15" s="1"/>
  <c r="F231" i="15" s="1"/>
  <c r="K1719" i="1"/>
  <c r="N1719" i="1" s="1"/>
  <c r="L1826" i="1"/>
  <c r="G1724" i="13"/>
  <c r="J1724" i="13" s="1"/>
  <c r="O1644" i="1"/>
  <c r="M1761" i="1"/>
  <c r="M1858" i="1"/>
  <c r="G1540" i="13"/>
  <c r="F226" i="15" s="1"/>
  <c r="M1837" i="1"/>
  <c r="M1733" i="1"/>
  <c r="L1835" i="1"/>
  <c r="G1733" i="13"/>
  <c r="J1733" i="13" s="1"/>
  <c r="K1728" i="1"/>
  <c r="N1728" i="1" s="1"/>
  <c r="M1835" i="1"/>
  <c r="N1657" i="1"/>
  <c r="O1657" i="1"/>
  <c r="L1871" i="1"/>
  <c r="K1764" i="1"/>
  <c r="G1769" i="13"/>
  <c r="J1769" i="13" s="1"/>
  <c r="K1714" i="1"/>
  <c r="N1714" i="1" s="1"/>
  <c r="L1821" i="1"/>
  <c r="G1719" i="13"/>
  <c r="J1719" i="13" s="1"/>
  <c r="M1642" i="1"/>
  <c r="O1628" i="1"/>
  <c r="O1525" i="1"/>
  <c r="M1820" i="1"/>
  <c r="G1627" i="13"/>
  <c r="J1624" i="13"/>
  <c r="J1627" i="13" s="1"/>
  <c r="N1619" i="1"/>
  <c r="K1622" i="1"/>
  <c r="N1622" i="1" s="1"/>
  <c r="L1853" i="1"/>
  <c r="G1751" i="13"/>
  <c r="J1751" i="13" s="1"/>
  <c r="K1746" i="1"/>
  <c r="N1746" i="1" s="1"/>
  <c r="M1767" i="1"/>
  <c r="M1869" i="1"/>
  <c r="L1849" i="1"/>
  <c r="G1747" i="13"/>
  <c r="J1747" i="13" s="1"/>
  <c r="K1742" i="1"/>
  <c r="N1742" i="1" s="1"/>
  <c r="G1896" i="13"/>
  <c r="J1893" i="13"/>
  <c r="J1896" i="13" s="1"/>
  <c r="N1784" i="1"/>
  <c r="O1784" i="1"/>
  <c r="K1979" i="1"/>
  <c r="N1979" i="1" s="1"/>
  <c r="O1770" i="1"/>
  <c r="J1675" i="13"/>
  <c r="G2008" i="13"/>
  <c r="J2008" i="13" s="1"/>
  <c r="K2003" i="1"/>
  <c r="N2003" i="1" s="1"/>
  <c r="K2010" i="1"/>
  <c r="N2010" i="1" s="1"/>
  <c r="G2015" i="13"/>
  <c r="J2015" i="13" s="1"/>
  <c r="G2016" i="13"/>
  <c r="J2016" i="13" s="1"/>
  <c r="K2011" i="1"/>
  <c r="N2011" i="1" s="1"/>
  <c r="K2020" i="1"/>
  <c r="N2020" i="1" s="1"/>
  <c r="G2024" i="13"/>
  <c r="M2009" i="1"/>
  <c r="M2118" i="1" s="1"/>
  <c r="M1905" i="1"/>
  <c r="K1900" i="1"/>
  <c r="G1898" i="13"/>
  <c r="J1898" i="13" s="1"/>
  <c r="L2002" i="1"/>
  <c r="L2111" i="1" s="1"/>
  <c r="K1893" i="1"/>
  <c r="O1665" i="1"/>
  <c r="J1525" i="13"/>
  <c r="L1627" i="1"/>
  <c r="D240" i="15" s="1"/>
  <c r="K1732" i="1"/>
  <c r="N1732" i="1" s="1"/>
  <c r="L1839" i="1"/>
  <c r="G1737" i="13"/>
  <c r="J1737" i="13" s="1"/>
  <c r="M1867" i="1"/>
  <c r="G1637" i="13"/>
  <c r="J1633" i="13"/>
  <c r="J1637" i="13" s="1"/>
  <c r="L1848" i="1"/>
  <c r="G1746" i="13"/>
  <c r="J1746" i="13" s="1"/>
  <c r="K1741" i="1"/>
  <c r="N1741" i="1" s="1"/>
  <c r="M1853" i="1"/>
  <c r="O1603" i="1"/>
  <c r="M1717" i="1"/>
  <c r="M1817" i="1"/>
  <c r="M1971" i="1"/>
  <c r="M2080" i="1" s="1"/>
  <c r="K1650" i="1"/>
  <c r="O1650" i="1" s="1"/>
  <c r="L1757" i="1"/>
  <c r="G1655" i="13"/>
  <c r="J1655" i="13" s="1"/>
  <c r="M1725" i="1"/>
  <c r="M1825" i="1"/>
  <c r="K1723" i="1"/>
  <c r="N1723" i="1" s="1"/>
  <c r="L1830" i="1"/>
  <c r="G1728" i="13"/>
  <c r="J1728" i="13" s="1"/>
  <c r="K1721" i="1"/>
  <c r="N1721" i="1" s="1"/>
  <c r="L1828" i="1"/>
  <c r="G1726" i="13"/>
  <c r="J1726" i="13" s="1"/>
  <c r="M1848" i="1"/>
  <c r="K1649" i="1"/>
  <c r="O1649" i="1" s="1"/>
  <c r="L1756" i="1"/>
  <c r="G1654" i="13"/>
  <c r="J1654" i="13" s="1"/>
  <c r="O1620" i="1"/>
  <c r="L1813" i="1"/>
  <c r="G1711" i="13"/>
  <c r="J1711" i="13" s="1"/>
  <c r="K1706" i="1"/>
  <c r="N1706" i="1" s="1"/>
  <c r="M1814" i="1"/>
  <c r="O1614" i="1"/>
  <c r="O1616" i="1"/>
  <c r="J1909" i="13"/>
  <c r="O1792" i="1"/>
  <c r="M1806" i="1"/>
  <c r="M2006" i="1"/>
  <c r="M2115" i="1" s="1"/>
  <c r="M1899" i="1"/>
  <c r="O1894" i="1"/>
  <c r="O1592" i="1"/>
  <c r="O1593" i="1" s="1"/>
  <c r="M1838" i="1"/>
  <c r="M1833" i="1"/>
  <c r="M1729" i="1"/>
  <c r="L1827" i="1"/>
  <c r="G1725" i="13"/>
  <c r="J1725" i="13" s="1"/>
  <c r="K1720" i="1"/>
  <c r="N1720" i="1" s="1"/>
  <c r="M1709" i="1"/>
  <c r="M1813" i="1"/>
  <c r="M1818" i="1"/>
  <c r="L1752" i="1"/>
  <c r="G1650" i="13"/>
  <c r="J1650" i="13" s="1"/>
  <c r="K1645" i="1"/>
  <c r="K1716" i="1"/>
  <c r="N1716" i="1" s="1"/>
  <c r="L1823" i="1"/>
  <c r="G1721" i="13"/>
  <c r="J1721" i="13" s="1"/>
  <c r="J1649" i="13"/>
  <c r="L1654" i="1"/>
  <c r="L1661" i="1" s="1"/>
  <c r="L1672" i="1" s="1"/>
  <c r="L1673" i="1" s="1"/>
  <c r="D244" i="15" s="1"/>
  <c r="M1968" i="1"/>
  <c r="M2077" i="1" s="1"/>
  <c r="K1647" i="1"/>
  <c r="O1647" i="1" s="1"/>
  <c r="L1754" i="1"/>
  <c r="G1652" i="13"/>
  <c r="J1652" i="13" s="1"/>
  <c r="M1844" i="1"/>
  <c r="M1827" i="1"/>
  <c r="N1633" i="1"/>
  <c r="K1641" i="1"/>
  <c r="N1641" i="1" s="1"/>
  <c r="K1740" i="1"/>
  <c r="L1847" i="1"/>
  <c r="G1745" i="13"/>
  <c r="L1748" i="1"/>
  <c r="N1611" i="1"/>
  <c r="K1618" i="1"/>
  <c r="N1618" i="1" s="1"/>
  <c r="L1725" i="1"/>
  <c r="L1825" i="1"/>
  <c r="G1723" i="13"/>
  <c r="K1718" i="1"/>
  <c r="G1715" i="13"/>
  <c r="K1710" i="1"/>
  <c r="L1717" i="1"/>
  <c r="L1817" i="1"/>
  <c r="K1745" i="1"/>
  <c r="N1745" i="1" s="1"/>
  <c r="L1852" i="1"/>
  <c r="G1750" i="13"/>
  <c r="J1750" i="13" s="1"/>
  <c r="L1843" i="1"/>
  <c r="G1741" i="13"/>
  <c r="J1741" i="13" s="1"/>
  <c r="K1736" i="1"/>
  <c r="N1736" i="1" s="1"/>
  <c r="M1831" i="1"/>
  <c r="J1897" i="13"/>
  <c r="J1901" i="13" s="1"/>
  <c r="N1892" i="1"/>
  <c r="K1896" i="1"/>
  <c r="N1896" i="1" s="1"/>
  <c r="M2000" i="1"/>
  <c r="G1913" i="13"/>
  <c r="J1910" i="13"/>
  <c r="J1913" i="13" s="1"/>
  <c r="N1906" i="1"/>
  <c r="K2012" i="1"/>
  <c r="N2012" i="1" s="1"/>
  <c r="G2017" i="13"/>
  <c r="J2017" i="13" s="1"/>
  <c r="J1774" i="13"/>
  <c r="J1777" i="13" s="1"/>
  <c r="G1777" i="13"/>
  <c r="O1906" i="1"/>
  <c r="O2015" i="1"/>
  <c r="O1903" i="1"/>
  <c r="O2004" i="1"/>
  <c r="O1800" i="1"/>
  <c r="M1990" i="1"/>
  <c r="M2099" i="1" s="1"/>
  <c r="L1985" i="1"/>
  <c r="L2094" i="1" s="1"/>
  <c r="G1883" i="13"/>
  <c r="J1883" i="13" s="1"/>
  <c r="K1878" i="1"/>
  <c r="N1878" i="1" s="1"/>
  <c r="M1777" i="1"/>
  <c r="N1655" i="1"/>
  <c r="K1660" i="1"/>
  <c r="N1660" i="1" s="1"/>
  <c r="L1869" i="1"/>
  <c r="G1767" i="13"/>
  <c r="L1767" i="1"/>
  <c r="K1762" i="1"/>
  <c r="O1638" i="1"/>
  <c r="O1631" i="1"/>
  <c r="M1854" i="1"/>
  <c r="K1652" i="1"/>
  <c r="O1652" i="1" s="1"/>
  <c r="L1759" i="1"/>
  <c r="G1656" i="13"/>
  <c r="J1656" i="13" s="1"/>
  <c r="M1821" i="1"/>
  <c r="O1714" i="1"/>
  <c r="M1850" i="1"/>
  <c r="O1743" i="1"/>
  <c r="O1633" i="1"/>
  <c r="M1847" i="1"/>
  <c r="M1748" i="1"/>
  <c r="O1740" i="1"/>
  <c r="O1625" i="1"/>
  <c r="M1970" i="1"/>
  <c r="M2079" i="1" s="1"/>
  <c r="L1822" i="1"/>
  <c r="G1720" i="13"/>
  <c r="J1720" i="13" s="1"/>
  <c r="K1715" i="1"/>
  <c r="N1715" i="1" s="1"/>
  <c r="O2011" i="1"/>
  <c r="J2014" i="13"/>
  <c r="N1695" i="1"/>
  <c r="O1695" i="1"/>
  <c r="O1908" i="1"/>
  <c r="G1781" i="13"/>
  <c r="J1778" i="13"/>
  <c r="J1781" i="13" s="1"/>
  <c r="M1987" i="1"/>
  <c r="M2096" i="1" s="1"/>
  <c r="M1883" i="1"/>
  <c r="O1890" i="1"/>
  <c r="K1999" i="1"/>
  <c r="N1999" i="1" s="1"/>
  <c r="G2004" i="13"/>
  <c r="J2004" i="13" s="1"/>
  <c r="M2021" i="1"/>
  <c r="N1910" i="1"/>
  <c r="K1912" i="1"/>
  <c r="N1912" i="1" s="1"/>
  <c r="L2021" i="1"/>
  <c r="G2025" i="13" s="1"/>
  <c r="K2019" i="1"/>
  <c r="G2023" i="13"/>
  <c r="G1904" i="13"/>
  <c r="J1902" i="13"/>
  <c r="J1904" i="13" s="1"/>
  <c r="K1897" i="1"/>
  <c r="O1789" i="1"/>
  <c r="O1775" i="1"/>
  <c r="N1690" i="1"/>
  <c r="O1690" i="1"/>
  <c r="N1766" i="1"/>
  <c r="O1766" i="1"/>
  <c r="N1623" i="1"/>
  <c r="K1626" i="1"/>
  <c r="N1626" i="1" s="1"/>
  <c r="K1730" i="1"/>
  <c r="O1730" i="1" s="1"/>
  <c r="L1837" i="1"/>
  <c r="G1735" i="13"/>
  <c r="L1733" i="1"/>
  <c r="M1823" i="1"/>
  <c r="M1973" i="1"/>
  <c r="M2082" i="1" s="1"/>
  <c r="O1637" i="1"/>
  <c r="N1546" i="1"/>
  <c r="O1546" i="1"/>
  <c r="L1834" i="1"/>
  <c r="G1732" i="13"/>
  <c r="J1732" i="13" s="1"/>
  <c r="K1727" i="1"/>
  <c r="N1727" i="1" s="1"/>
  <c r="L1829" i="1"/>
  <c r="G1727" i="13"/>
  <c r="J1727" i="13" s="1"/>
  <c r="K1722" i="1"/>
  <c r="N1722" i="1" s="1"/>
  <c r="J1552" i="13"/>
  <c r="J1559" i="13" s="1"/>
  <c r="J1570" i="13" s="1"/>
  <c r="J1571" i="13" s="1"/>
  <c r="I229" i="15" s="1"/>
  <c r="I231" i="15" s="1"/>
  <c r="M1661" i="1"/>
  <c r="M1672" i="1" s="1"/>
  <c r="O1623" i="1"/>
  <c r="K1711" i="1"/>
  <c r="N1711" i="1" s="1"/>
  <c r="L1818" i="1"/>
  <c r="G1716" i="13"/>
  <c r="J1716" i="13" s="1"/>
  <c r="O1621" i="1"/>
  <c r="M1842" i="1"/>
  <c r="M1739" i="1"/>
  <c r="O1735" i="1"/>
  <c r="O1606" i="1"/>
  <c r="L1729" i="1"/>
  <c r="L1833" i="1"/>
  <c r="G1731" i="13"/>
  <c r="K1726" i="1"/>
  <c r="O1655" i="1"/>
  <c r="N1888" i="1"/>
  <c r="K1891" i="1"/>
  <c r="O1888" i="1"/>
  <c r="G2002" i="13"/>
  <c r="K1997" i="1"/>
  <c r="L2000" i="1"/>
  <c r="O1872" i="1"/>
  <c r="G2012" i="13"/>
  <c r="J2012" i="13" s="1"/>
  <c r="K2007" i="1"/>
  <c r="N2007" i="1" s="1"/>
  <c r="M1984" i="1"/>
  <c r="M2093" i="1" s="1"/>
  <c r="G1675" i="13"/>
  <c r="K2017" i="1"/>
  <c r="N2017" i="1" s="1"/>
  <c r="G2021" i="13"/>
  <c r="J2021" i="13" s="1"/>
  <c r="N1889" i="1"/>
  <c r="O1889" i="1"/>
  <c r="G2003" i="13"/>
  <c r="J2003" i="13" s="1"/>
  <c r="K1998" i="1"/>
  <c r="N1793" i="1"/>
  <c r="K1798" i="1"/>
  <c r="N1798" i="1" s="1"/>
  <c r="O1793" i="1"/>
  <c r="K1691" i="1"/>
  <c r="N1786" i="1"/>
  <c r="O1786" i="1"/>
  <c r="K1520" i="1"/>
  <c r="N1495" i="1"/>
  <c r="O1495" i="1"/>
  <c r="J1606" i="13"/>
  <c r="J1607" i="13" s="1"/>
  <c r="G1607" i="13"/>
  <c r="L1429" i="1"/>
  <c r="L1487" i="1" s="1"/>
  <c r="D210" i="15"/>
  <c r="N1601" i="1"/>
  <c r="O1601" i="1"/>
  <c r="K1602" i="1"/>
  <c r="L1815" i="1"/>
  <c r="G1713" i="13"/>
  <c r="K1708" i="1"/>
  <c r="L1709" i="1"/>
  <c r="D228" i="15"/>
  <c r="E225" i="15"/>
  <c r="E214" i="15"/>
  <c r="O1456" i="1"/>
  <c r="N1168" i="1"/>
  <c r="O1168" i="1"/>
  <c r="K1486" i="1"/>
  <c r="N1485" i="1"/>
  <c r="N1486" i="1" s="1"/>
  <c r="N1340" i="1"/>
  <c r="K1351" i="1"/>
  <c r="O1340" i="1"/>
  <c r="O1485" i="1"/>
  <c r="O1486" i="1" s="1"/>
  <c r="F199" i="15"/>
  <c r="F201" i="15" s="1"/>
  <c r="G1357" i="13"/>
  <c r="N1418" i="1"/>
  <c r="K1428" i="1"/>
  <c r="N1428" i="1" s="1"/>
  <c r="K1447" i="1"/>
  <c r="N1440" i="1"/>
  <c r="J1357" i="13"/>
  <c r="I199" i="15"/>
  <c r="I201" i="15" s="1"/>
  <c r="O1447" i="1"/>
  <c r="M1458" i="1"/>
  <c r="K1413" i="1"/>
  <c r="O1413" i="1" s="1"/>
  <c r="N1388" i="1"/>
  <c r="O1446" i="1"/>
  <c r="M1429" i="1"/>
  <c r="J1452" i="13"/>
  <c r="J1463" i="13" s="1"/>
  <c r="J1464" i="13" s="1"/>
  <c r="I214" i="15" s="1"/>
  <c r="I216" i="15" s="1"/>
  <c r="N1245" i="1"/>
  <c r="N1246" i="1" s="1"/>
  <c r="K1246" i="1"/>
  <c r="O1245" i="1"/>
  <c r="O1246" i="1" s="1"/>
  <c r="O1427" i="1"/>
  <c r="N1217" i="1"/>
  <c r="K1274" i="1"/>
  <c r="O1217" i="1"/>
  <c r="E183" i="15"/>
  <c r="D190" i="15"/>
  <c r="E190" i="15" s="1"/>
  <c r="G1418" i="13"/>
  <c r="G1328" i="13"/>
  <c r="O1418" i="1"/>
  <c r="D198" i="15"/>
  <c r="E195" i="15"/>
  <c r="O1388" i="1"/>
  <c r="G1452" i="13"/>
  <c r="G1463" i="13" s="1"/>
  <c r="G1464" i="13" s="1"/>
  <c r="F214" i="15" s="1"/>
  <c r="F216" i="15" s="1"/>
  <c r="O1322" i="1"/>
  <c r="I195" i="15"/>
  <c r="I198" i="15" s="1"/>
  <c r="J1328" i="13"/>
  <c r="M1380" i="1"/>
  <c r="O1404" i="1"/>
  <c r="O1408" i="1"/>
  <c r="J1418" i="13"/>
  <c r="F198" i="15"/>
  <c r="N1307" i="1"/>
  <c r="K1323" i="1"/>
  <c r="J25" i="15"/>
  <c r="J1384" i="13" l="1"/>
  <c r="O2020" i="1"/>
  <c r="J993" i="17"/>
  <c r="M992" i="17"/>
  <c r="N992" i="17"/>
  <c r="G262" i="15"/>
  <c r="G264" i="15" s="1"/>
  <c r="H247" i="15"/>
  <c r="H249" i="15" s="1"/>
  <c r="K1153" i="17"/>
  <c r="Q1091" i="17"/>
  <c r="J1091" i="17"/>
  <c r="M1091" i="17" s="1"/>
  <c r="K1173" i="17"/>
  <c r="Q1111" i="17"/>
  <c r="J1111" i="17"/>
  <c r="M1111" i="17" s="1"/>
  <c r="L1129" i="17"/>
  <c r="M1022" i="17"/>
  <c r="K1133" i="17"/>
  <c r="Q1071" i="17"/>
  <c r="J1071" i="17"/>
  <c r="M1071" i="17" s="1"/>
  <c r="K1131" i="17"/>
  <c r="Q1069" i="17"/>
  <c r="J1069" i="17"/>
  <c r="M1069" i="17" s="1"/>
  <c r="K1163" i="17"/>
  <c r="J1101" i="17"/>
  <c r="M1101" i="17" s="1"/>
  <c r="Q1101" i="17"/>
  <c r="L1137" i="17"/>
  <c r="L1082" i="17"/>
  <c r="N1044" i="17"/>
  <c r="Q1086" i="17"/>
  <c r="K1148" i="17"/>
  <c r="J1086" i="17"/>
  <c r="M1086" i="17" s="1"/>
  <c r="K1128" i="17"/>
  <c r="Q1066" i="17"/>
  <c r="K1073" i="17"/>
  <c r="G271" i="15" s="1"/>
  <c r="J1066" i="17"/>
  <c r="L1123" i="17"/>
  <c r="L1157" i="17"/>
  <c r="J1095" i="17"/>
  <c r="M1095" i="17" s="1"/>
  <c r="L1138" i="17"/>
  <c r="M1919" i="1"/>
  <c r="K1139" i="17"/>
  <c r="J1077" i="17"/>
  <c r="M1077" i="17" s="1"/>
  <c r="Q1077" i="17"/>
  <c r="Q1067" i="17"/>
  <c r="K1129" i="17"/>
  <c r="J1067" i="17"/>
  <c r="M1067" i="17" s="1"/>
  <c r="N1043" i="17"/>
  <c r="K1162" i="17"/>
  <c r="Q1100" i="17"/>
  <c r="J1100" i="17"/>
  <c r="M1100" i="17" s="1"/>
  <c r="K1169" i="17"/>
  <c r="J1107" i="17"/>
  <c r="M1107" i="17" s="1"/>
  <c r="Q1107" i="17"/>
  <c r="G255" i="15"/>
  <c r="K1012" i="17"/>
  <c r="K1056" i="17" s="1"/>
  <c r="K1126" i="17"/>
  <c r="Q1064" i="17"/>
  <c r="J1064" i="17"/>
  <c r="M1064" i="17" s="1"/>
  <c r="L1174" i="17"/>
  <c r="K1125" i="17"/>
  <c r="Q1063" i="17"/>
  <c r="J1063" i="17"/>
  <c r="M1063" i="17" s="1"/>
  <c r="O1896" i="1"/>
  <c r="L2236" i="1"/>
  <c r="L1128" i="17"/>
  <c r="L1073" i="17"/>
  <c r="N1066" i="17"/>
  <c r="N1037" i="17"/>
  <c r="L1216" i="17"/>
  <c r="J932" i="17"/>
  <c r="M932" i="17" s="1"/>
  <c r="M931" i="17"/>
  <c r="N1598" i="1"/>
  <c r="O1598" i="1"/>
  <c r="N932" i="17"/>
  <c r="K1146" i="17"/>
  <c r="Q1084" i="17"/>
  <c r="J1084" i="17"/>
  <c r="K1151" i="17"/>
  <c r="Q1089" i="17"/>
  <c r="J1089" i="17"/>
  <c r="M1089" i="17" s="1"/>
  <c r="L1173" i="17"/>
  <c r="N1111" i="17"/>
  <c r="K1159" i="17"/>
  <c r="Q1097" i="17"/>
  <c r="J1097" i="17"/>
  <c r="M1097" i="17" s="1"/>
  <c r="Q1094" i="17"/>
  <c r="K1156" i="17"/>
  <c r="J1094" i="17"/>
  <c r="M1094" i="17" s="1"/>
  <c r="K1165" i="17"/>
  <c r="Q1103" i="17"/>
  <c r="J1103" i="17"/>
  <c r="M1103" i="17" s="1"/>
  <c r="L1021" i="17"/>
  <c r="Q1106" i="17"/>
  <c r="K1168" i="17"/>
  <c r="J1106" i="17"/>
  <c r="M1106" i="17" s="1"/>
  <c r="K1130" i="17"/>
  <c r="Q1068" i="17"/>
  <c r="J1068" i="17"/>
  <c r="M1068" i="17" s="1"/>
  <c r="M1000" i="17"/>
  <c r="N1000" i="17"/>
  <c r="L1143" i="17"/>
  <c r="K1147" i="17"/>
  <c r="Q1085" i="17"/>
  <c r="J1085" i="17"/>
  <c r="M1085" i="17" s="1"/>
  <c r="J1079" i="17"/>
  <c r="K1141" i="17"/>
  <c r="Q1079" i="17"/>
  <c r="G258" i="15"/>
  <c r="L1151" i="17"/>
  <c r="N1089" i="17"/>
  <c r="N1006" i="17"/>
  <c r="K1138" i="17"/>
  <c r="Q1076" i="17"/>
  <c r="J1076" i="17"/>
  <c r="M1076" i="17" s="1"/>
  <c r="N1053" i="17"/>
  <c r="L1153" i="17"/>
  <c r="N1091" i="17"/>
  <c r="L1142" i="17"/>
  <c r="L1167" i="17"/>
  <c r="L1055" i="17"/>
  <c r="Q1003" i="17"/>
  <c r="N1050" i="17"/>
  <c r="N1036" i="17"/>
  <c r="H235" i="15"/>
  <c r="K1170" i="17"/>
  <c r="J1108" i="17"/>
  <c r="M1108" i="17" s="1"/>
  <c r="Q1108" i="17"/>
  <c r="L1165" i="17"/>
  <c r="N1103" i="17"/>
  <c r="K1123" i="17"/>
  <c r="Q1061" i="17"/>
  <c r="J1061" i="17"/>
  <c r="M1061" i="17" s="1"/>
  <c r="L1176" i="17"/>
  <c r="L1164" i="17"/>
  <c r="L1122" i="17"/>
  <c r="L1065" i="17"/>
  <c r="Q1158" i="17"/>
  <c r="K1220" i="17"/>
  <c r="J1158" i="17"/>
  <c r="M1158" i="17" s="1"/>
  <c r="K1174" i="17"/>
  <c r="Q1112" i="17"/>
  <c r="J1112" i="17"/>
  <c r="M1112" i="17" s="1"/>
  <c r="L1171" i="17"/>
  <c r="L1296" i="17"/>
  <c r="K1172" i="17"/>
  <c r="Q1110" i="17"/>
  <c r="J1110" i="17"/>
  <c r="O1881" i="1"/>
  <c r="M1734" i="1"/>
  <c r="O1744" i="1"/>
  <c r="H240" i="15"/>
  <c r="H243" i="15" s="1"/>
  <c r="Q950" i="17"/>
  <c r="Q994" i="17" s="1"/>
  <c r="L1159" i="17"/>
  <c r="N1097" i="17"/>
  <c r="L1220" i="17"/>
  <c r="N1158" i="17"/>
  <c r="L1148" i="17"/>
  <c r="N1086" i="17"/>
  <c r="L1175" i="17"/>
  <c r="L1186" i="17"/>
  <c r="L1161" i="17"/>
  <c r="L1012" i="17"/>
  <c r="N1030" i="17"/>
  <c r="N1023" i="17"/>
  <c r="L1163" i="17"/>
  <c r="N1101" i="17"/>
  <c r="N1007" i="17"/>
  <c r="K1155" i="17"/>
  <c r="J1093" i="17"/>
  <c r="M1093" i="17" s="1"/>
  <c r="Q1093" i="17"/>
  <c r="L1134" i="17"/>
  <c r="L1162" i="17"/>
  <c r="N1100" i="17"/>
  <c r="K1177" i="17"/>
  <c r="Q1115" i="17"/>
  <c r="J1115" i="17"/>
  <c r="M1115" i="17" s="1"/>
  <c r="N1032" i="17"/>
  <c r="K1167" i="17"/>
  <c r="Q1105" i="17"/>
  <c r="J1105" i="17"/>
  <c r="M1105" i="17" s="1"/>
  <c r="K1161" i="17"/>
  <c r="J1099" i="17"/>
  <c r="M1099" i="17" s="1"/>
  <c r="Q1099" i="17"/>
  <c r="Q1062" i="17"/>
  <c r="K1124" i="17"/>
  <c r="J1062" i="17"/>
  <c r="M1048" i="17"/>
  <c r="N1048" i="17"/>
  <c r="N1019" i="17"/>
  <c r="L1133" i="17"/>
  <c r="N1071" i="17"/>
  <c r="Q1114" i="17"/>
  <c r="J1114" i="17"/>
  <c r="M1114" i="17" s="1"/>
  <c r="K1176" i="17"/>
  <c r="M1004" i="17"/>
  <c r="J1011" i="17"/>
  <c r="M1011" i="17" s="1"/>
  <c r="L1141" i="17"/>
  <c r="N1079" i="17"/>
  <c r="N1031" i="17"/>
  <c r="K1164" i="17"/>
  <c r="Q1102" i="17"/>
  <c r="J1102" i="17"/>
  <c r="M1102" i="17" s="1"/>
  <c r="K1137" i="17"/>
  <c r="Q1075" i="17"/>
  <c r="J1075" i="17"/>
  <c r="N1075" i="17" s="1"/>
  <c r="K1082" i="17"/>
  <c r="K1083" i="17" s="1"/>
  <c r="G274" i="15" s="1"/>
  <c r="G276" i="15" s="1"/>
  <c r="N1008" i="17"/>
  <c r="L1169" i="17"/>
  <c r="N1107" i="17"/>
  <c r="L1130" i="17"/>
  <c r="N1068" i="17"/>
  <c r="L1177" i="17"/>
  <c r="N1115" i="17"/>
  <c r="K1143" i="17"/>
  <c r="Q1081" i="17"/>
  <c r="J1081" i="17"/>
  <c r="M1081" i="17" s="1"/>
  <c r="N1042" i="17"/>
  <c r="L1139" i="17"/>
  <c r="N1077" i="17"/>
  <c r="N958" i="17"/>
  <c r="N1022" i="17"/>
  <c r="K1154" i="17"/>
  <c r="J1092" i="17"/>
  <c r="Q1092" i="17"/>
  <c r="M998" i="17"/>
  <c r="J1003" i="17"/>
  <c r="N1003" i="17" s="1"/>
  <c r="L1125" i="17"/>
  <c r="N1063" i="17"/>
  <c r="L1160" i="17"/>
  <c r="K1166" i="17"/>
  <c r="Q1104" i="17"/>
  <c r="J1104" i="17"/>
  <c r="M1104" i="17" s="1"/>
  <c r="L994" i="17"/>
  <c r="N993" i="17"/>
  <c r="J1020" i="17"/>
  <c r="M1020" i="17" s="1"/>
  <c r="M1013" i="17"/>
  <c r="L1643" i="1"/>
  <c r="O1716" i="1"/>
  <c r="L1170" i="17"/>
  <c r="N1108" i="17"/>
  <c r="N1041" i="17"/>
  <c r="N1052" i="17"/>
  <c r="K1088" i="17"/>
  <c r="Q1026" i="17"/>
  <c r="J1026" i="17"/>
  <c r="J1054" i="17" s="1"/>
  <c r="L1812" i="1"/>
  <c r="G1710" i="13"/>
  <c r="J1710" i="13" s="1"/>
  <c r="K1705" i="1"/>
  <c r="L1147" i="17"/>
  <c r="N1085" i="17"/>
  <c r="K1132" i="17"/>
  <c r="Q1070" i="17"/>
  <c r="J1070" i="17"/>
  <c r="M1070" i="17" s="1"/>
  <c r="N1069" i="17"/>
  <c r="L1131" i="17"/>
  <c r="J950" i="17"/>
  <c r="M950" i="17" s="1"/>
  <c r="M949" i="17"/>
  <c r="N1013" i="17"/>
  <c r="L1156" i="17"/>
  <c r="N1094" i="17"/>
  <c r="K1140" i="17"/>
  <c r="Q1078" i="17"/>
  <c r="J1078" i="17"/>
  <c r="M1078" i="17" s="1"/>
  <c r="N1064" i="17"/>
  <c r="L1126" i="17"/>
  <c r="N1009" i="17"/>
  <c r="L1168" i="17"/>
  <c r="N1106" i="17"/>
  <c r="K1171" i="17"/>
  <c r="Q1109" i="17"/>
  <c r="J1109" i="17"/>
  <c r="M1109" i="17" s="1"/>
  <c r="Q1054" i="17"/>
  <c r="Q1055" i="17" s="1"/>
  <c r="Q1011" i="17"/>
  <c r="H256" i="15" s="1"/>
  <c r="N999" i="17"/>
  <c r="L1155" i="17"/>
  <c r="N1093" i="17"/>
  <c r="K1160" i="17"/>
  <c r="Q1098" i="17"/>
  <c r="J1098" i="17"/>
  <c r="M1098" i="17" s="1"/>
  <c r="L1132" i="17"/>
  <c r="N1070" i="17"/>
  <c r="K1142" i="17"/>
  <c r="Q1080" i="17"/>
  <c r="J1080" i="17"/>
  <c r="M1080" i="17" s="1"/>
  <c r="K1134" i="17"/>
  <c r="J1072" i="17"/>
  <c r="M1072" i="17" s="1"/>
  <c r="Q1072" i="17"/>
  <c r="L1166" i="17"/>
  <c r="N1104" i="17"/>
  <c r="N959" i="17"/>
  <c r="L1146" i="17"/>
  <c r="N1084" i="17"/>
  <c r="L1116" i="17"/>
  <c r="L1140" i="17"/>
  <c r="N1078" i="17"/>
  <c r="K1122" i="17"/>
  <c r="Q1060" i="17"/>
  <c r="Q1065" i="17" s="1"/>
  <c r="J1060" i="17"/>
  <c r="K1065" i="17"/>
  <c r="Q1090" i="17"/>
  <c r="K1152" i="17"/>
  <c r="J1090" i="17"/>
  <c r="N1090" i="17" s="1"/>
  <c r="K1175" i="17"/>
  <c r="J1113" i="17"/>
  <c r="M1113" i="17" s="1"/>
  <c r="Q1113" i="17"/>
  <c r="N888" i="17"/>
  <c r="G250" i="15"/>
  <c r="J1541" i="13"/>
  <c r="O1802" i="1"/>
  <c r="O1877" i="1"/>
  <c r="O1747" i="1"/>
  <c r="O1707" i="1"/>
  <c r="O1741" i="1"/>
  <c r="O1746" i="1"/>
  <c r="O1713" i="1"/>
  <c r="O1738" i="1"/>
  <c r="O1720" i="1"/>
  <c r="O2126" i="1"/>
  <c r="O2108" i="1"/>
  <c r="J2018" i="13"/>
  <c r="M2191" i="1"/>
  <c r="M2208" i="1"/>
  <c r="M2186" i="1"/>
  <c r="L2220" i="1"/>
  <c r="G2116" i="13"/>
  <c r="J2116" i="13" s="1"/>
  <c r="K2111" i="1"/>
  <c r="M2227" i="1"/>
  <c r="M2123" i="1"/>
  <c r="K2118" i="1"/>
  <c r="M2185" i="1"/>
  <c r="M2209" i="1"/>
  <c r="O1912" i="1"/>
  <c r="L2099" i="1"/>
  <c r="L2101" i="1" s="1"/>
  <c r="G1995" i="13"/>
  <c r="J1995" i="13" s="1"/>
  <c r="L2100" i="1"/>
  <c r="G1996" i="13"/>
  <c r="J1996" i="13" s="1"/>
  <c r="M2201" i="1"/>
  <c r="M2095" i="1"/>
  <c r="M2203" i="1"/>
  <c r="K2093" i="1"/>
  <c r="N2093" i="1" s="1"/>
  <c r="L2202" i="1"/>
  <c r="G2098" i="13"/>
  <c r="J2098" i="13" s="1"/>
  <c r="K2092" i="1"/>
  <c r="L2201" i="1"/>
  <c r="G2097" i="13"/>
  <c r="L2095" i="1"/>
  <c r="M2196" i="1"/>
  <c r="G1541" i="13"/>
  <c r="G1598" i="13" s="1"/>
  <c r="G2351" i="13"/>
  <c r="J2351" i="13" s="1"/>
  <c r="K2238" i="1"/>
  <c r="N2238" i="1" s="1"/>
  <c r="L2351" i="1"/>
  <c r="G2242" i="13"/>
  <c r="K2228" i="1"/>
  <c r="N2228" i="1" s="1"/>
  <c r="L2341" i="1"/>
  <c r="G2233" i="13"/>
  <c r="J2233" i="13" s="1"/>
  <c r="L2334" i="1"/>
  <c r="K2221" i="1"/>
  <c r="N2221" i="1" s="1"/>
  <c r="G2226" i="13"/>
  <c r="J2226" i="13" s="1"/>
  <c r="M2308" i="1"/>
  <c r="K2197" i="1"/>
  <c r="N2197" i="1" s="1"/>
  <c r="G2122" i="13"/>
  <c r="J2120" i="13"/>
  <c r="J2122" i="13" s="1"/>
  <c r="O2120" i="1"/>
  <c r="N2124" i="1"/>
  <c r="G2131" i="13"/>
  <c r="J2128" i="13"/>
  <c r="J2131" i="13" s="1"/>
  <c r="O2116" i="1"/>
  <c r="O2112" i="1"/>
  <c r="G2127" i="13"/>
  <c r="N2107" i="1"/>
  <c r="O2107" i="1"/>
  <c r="M2310" i="1"/>
  <c r="L2328" i="1"/>
  <c r="G2220" i="13"/>
  <c r="L2218" i="1"/>
  <c r="K2215" i="1"/>
  <c r="L2239" i="1"/>
  <c r="G2243" i="13" s="1"/>
  <c r="L2350" i="1"/>
  <c r="G2241" i="13"/>
  <c r="K2237" i="1"/>
  <c r="O2237" i="1" s="1"/>
  <c r="M2350" i="1"/>
  <c r="M2239" i="1"/>
  <c r="K2217" i="1"/>
  <c r="N2217" i="1" s="1"/>
  <c r="L2330" i="1"/>
  <c r="G2222" i="13"/>
  <c r="J2222" i="13" s="1"/>
  <c r="O2238" i="1"/>
  <c r="M2351" i="1"/>
  <c r="M2318" i="1"/>
  <c r="K2318" i="1" s="1"/>
  <c r="K2206" i="1"/>
  <c r="O2206" i="1" s="1"/>
  <c r="K2230" i="1"/>
  <c r="N2230" i="1" s="1"/>
  <c r="L2343" i="1"/>
  <c r="G2235" i="13"/>
  <c r="J2235" i="13" s="1"/>
  <c r="M2341" i="1"/>
  <c r="N2110" i="1"/>
  <c r="K2114" i="1"/>
  <c r="N2114" i="1" s="1"/>
  <c r="L2332" i="1"/>
  <c r="G2224" i="13"/>
  <c r="K2219" i="1"/>
  <c r="O2219" i="1" s="1"/>
  <c r="L2223" i="1"/>
  <c r="M2202" i="1"/>
  <c r="O2093" i="1"/>
  <c r="M2205" i="1"/>
  <c r="M2101" i="1"/>
  <c r="M2188" i="1"/>
  <c r="K2094" i="1"/>
  <c r="N2094" i="1" s="1"/>
  <c r="L2203" i="1"/>
  <c r="G2099" i="13"/>
  <c r="J2099" i="13" s="1"/>
  <c r="M2224" i="1"/>
  <c r="K2224" i="1" s="1"/>
  <c r="M2117" i="1"/>
  <c r="M2189" i="1"/>
  <c r="L2198" i="1"/>
  <c r="G2094" i="13"/>
  <c r="J2094" i="13" s="1"/>
  <c r="K2089" i="1"/>
  <c r="K2096" i="1"/>
  <c r="L2205" i="1"/>
  <c r="G2101" i="13"/>
  <c r="M2234" i="1"/>
  <c r="K2125" i="1"/>
  <c r="N2125" i="1" s="1"/>
  <c r="M2187" i="1"/>
  <c r="J2232" i="13"/>
  <c r="G2345" i="13"/>
  <c r="L2342" i="1"/>
  <c r="K2229" i="1"/>
  <c r="N2229" i="1" s="1"/>
  <c r="G2234" i="13"/>
  <c r="J2234" i="13" s="1"/>
  <c r="G2230" i="13"/>
  <c r="J2230" i="13" s="1"/>
  <c r="L2338" i="1"/>
  <c r="K2225" i="1"/>
  <c r="N2225" i="1" s="1"/>
  <c r="O2088" i="1"/>
  <c r="O2114" i="1"/>
  <c r="M2332" i="1"/>
  <c r="M2223" i="1"/>
  <c r="K2115" i="1"/>
  <c r="L2337" i="1"/>
  <c r="G2229" i="13"/>
  <c r="L2226" i="1"/>
  <c r="M2348" i="1"/>
  <c r="M2342" i="1"/>
  <c r="M2335" i="1"/>
  <c r="M2343" i="1"/>
  <c r="O2230" i="1"/>
  <c r="K2233" i="1"/>
  <c r="O2233" i="1" s="1"/>
  <c r="L2346" i="1"/>
  <c r="G2237" i="13"/>
  <c r="M2344" i="1"/>
  <c r="M2338" i="1"/>
  <c r="O2225" i="1"/>
  <c r="M2334" i="1"/>
  <c r="O2221" i="1"/>
  <c r="J2127" i="13"/>
  <c r="K2216" i="1"/>
  <c r="L2329" i="1"/>
  <c r="G2221" i="13"/>
  <c r="J2221" i="13" s="1"/>
  <c r="K2235" i="1"/>
  <c r="N2235" i="1" s="1"/>
  <c r="L2348" i="1"/>
  <c r="G2239" i="13"/>
  <c r="J2239" i="13" s="1"/>
  <c r="K2109" i="1"/>
  <c r="N2106" i="1"/>
  <c r="O2106" i="1"/>
  <c r="G2114" i="13"/>
  <c r="J2111" i="13"/>
  <c r="J2114" i="13" s="1"/>
  <c r="M2207" i="1"/>
  <c r="K2098" i="1"/>
  <c r="O2098" i="1" s="1"/>
  <c r="N2128" i="1"/>
  <c r="K2130" i="1"/>
  <c r="N2130" i="1" s="1"/>
  <c r="M2330" i="1"/>
  <c r="O2217" i="1"/>
  <c r="K2222" i="1"/>
  <c r="N2222" i="1" s="1"/>
  <c r="L2335" i="1"/>
  <c r="G2227" i="13"/>
  <c r="J2227" i="13" s="1"/>
  <c r="O2129" i="1"/>
  <c r="O2124" i="1"/>
  <c r="M2236" i="1"/>
  <c r="M2346" i="1"/>
  <c r="O2119" i="1"/>
  <c r="L2114" i="1"/>
  <c r="J2115" i="13"/>
  <c r="M2333" i="1"/>
  <c r="G1632" i="13"/>
  <c r="F240" i="15" s="1"/>
  <c r="O1670" i="1"/>
  <c r="O1724" i="1"/>
  <c r="O1737" i="1"/>
  <c r="O1731" i="1"/>
  <c r="O1798" i="1"/>
  <c r="K1806" i="1"/>
  <c r="K1807" i="1" s="1"/>
  <c r="O1660" i="1"/>
  <c r="O1736" i="1"/>
  <c r="O1618" i="1"/>
  <c r="J1598" i="13"/>
  <c r="I225" i="15"/>
  <c r="I228" i="15" s="1"/>
  <c r="I235" i="15" s="1"/>
  <c r="J1782" i="13"/>
  <c r="G1901" i="13"/>
  <c r="G1917" i="13" s="1"/>
  <c r="G1918" i="13" s="1"/>
  <c r="F277" i="15" s="1"/>
  <c r="F279" i="15" s="1"/>
  <c r="J1647" i="13"/>
  <c r="I241" i="15" s="1"/>
  <c r="N1997" i="1"/>
  <c r="K2000" i="1"/>
  <c r="O1997" i="1"/>
  <c r="O1726" i="1"/>
  <c r="N1726" i="1"/>
  <c r="K1729" i="1"/>
  <c r="N1729" i="1" s="1"/>
  <c r="L1836" i="1"/>
  <c r="L1940" i="1"/>
  <c r="L2049" i="1" s="1"/>
  <c r="G1838" i="13"/>
  <c r="K1833" i="1"/>
  <c r="M1949" i="1"/>
  <c r="M2058" i="1" s="1"/>
  <c r="L1941" i="1"/>
  <c r="L2050" i="1" s="1"/>
  <c r="G1839" i="13"/>
  <c r="J1839" i="13" s="1"/>
  <c r="K1834" i="1"/>
  <c r="N1834" i="1" s="1"/>
  <c r="K1837" i="1"/>
  <c r="L1944" i="1"/>
  <c r="L2053" i="1" s="1"/>
  <c r="G1842" i="13"/>
  <c r="L1840" i="1"/>
  <c r="M1992" i="1"/>
  <c r="L1929" i="1"/>
  <c r="L2038" i="1" s="1"/>
  <c r="G1827" i="13"/>
  <c r="J1827" i="13" s="1"/>
  <c r="K1822" i="1"/>
  <c r="N1822" i="1" s="1"/>
  <c r="M1954" i="1"/>
  <c r="M2063" i="1" s="1"/>
  <c r="M1855" i="1"/>
  <c r="M1961" i="1"/>
  <c r="M2070" i="1" s="1"/>
  <c r="L1976" i="1"/>
  <c r="L2085" i="1" s="1"/>
  <c r="G1874" i="13"/>
  <c r="L1874" i="1"/>
  <c r="K1869" i="1"/>
  <c r="G1990" i="13"/>
  <c r="J1990" i="13" s="1"/>
  <c r="K1985" i="1"/>
  <c r="N1985" i="1" s="1"/>
  <c r="O2007" i="1"/>
  <c r="J1715" i="13"/>
  <c r="J1722" i="13" s="1"/>
  <c r="G1722" i="13"/>
  <c r="G1730" i="13"/>
  <c r="J1723" i="13"/>
  <c r="J1730" i="13" s="1"/>
  <c r="G1753" i="13"/>
  <c r="J1745" i="13"/>
  <c r="J1753" i="13" s="1"/>
  <c r="N1740" i="1"/>
  <c r="K1748" i="1"/>
  <c r="N1748" i="1" s="1"/>
  <c r="L1861" i="1"/>
  <c r="K1754" i="1"/>
  <c r="O1754" i="1" s="1"/>
  <c r="G1759" i="13"/>
  <c r="J1759" i="13" s="1"/>
  <c r="E244" i="15"/>
  <c r="D246" i="15"/>
  <c r="E246" i="15" s="1"/>
  <c r="G1659" i="13"/>
  <c r="G1666" i="13" s="1"/>
  <c r="G1677" i="13" s="1"/>
  <c r="G1678" i="13" s="1"/>
  <c r="F244" i="15" s="1"/>
  <c r="F246" i="15" s="1"/>
  <c r="K1823" i="1"/>
  <c r="N1823" i="1" s="1"/>
  <c r="L1930" i="1"/>
  <c r="L2039" i="1" s="1"/>
  <c r="G1828" i="13"/>
  <c r="J1828" i="13" s="1"/>
  <c r="N1645" i="1"/>
  <c r="O1645" i="1"/>
  <c r="K1752" i="1"/>
  <c r="L1859" i="1"/>
  <c r="G1757" i="13"/>
  <c r="J1757" i="13" s="1"/>
  <c r="M1925" i="1"/>
  <c r="M2034" i="1" s="1"/>
  <c r="M1816" i="1"/>
  <c r="M1920" i="1"/>
  <c r="M2029" i="1" s="1"/>
  <c r="L1934" i="1"/>
  <c r="L2043" i="1" s="1"/>
  <c r="G1832" i="13"/>
  <c r="J1832" i="13" s="1"/>
  <c r="K1827" i="1"/>
  <c r="N1827" i="1" s="1"/>
  <c r="M1836" i="1"/>
  <c r="M1940" i="1"/>
  <c r="M2049" i="1" s="1"/>
  <c r="M2008" i="1"/>
  <c r="M1921" i="1"/>
  <c r="M2030" i="1" s="1"/>
  <c r="L1920" i="1"/>
  <c r="L2029" i="1" s="1"/>
  <c r="G1818" i="13"/>
  <c r="J1818" i="13" s="1"/>
  <c r="K1813" i="1"/>
  <c r="N1813" i="1" s="1"/>
  <c r="M1955" i="1"/>
  <c r="M2064" i="1" s="1"/>
  <c r="K1828" i="1"/>
  <c r="N1828" i="1" s="1"/>
  <c r="L1935" i="1"/>
  <c r="L2044" i="1" s="1"/>
  <c r="G1833" i="13"/>
  <c r="J1833" i="13" s="1"/>
  <c r="M1832" i="1"/>
  <c r="M1932" i="1"/>
  <c r="M2041" i="1" s="1"/>
  <c r="M1824" i="1"/>
  <c r="M1924" i="1"/>
  <c r="M2033" i="1" s="1"/>
  <c r="M1974" i="1"/>
  <c r="M2083" i="1" s="1"/>
  <c r="G2007" i="13"/>
  <c r="J2007" i="13" s="1"/>
  <c r="K2002" i="1"/>
  <c r="N1900" i="1"/>
  <c r="N1806" i="1"/>
  <c r="N1807" i="1" s="1"/>
  <c r="L1956" i="1"/>
  <c r="L2065" i="1" s="1"/>
  <c r="G1854" i="13"/>
  <c r="J1854" i="13" s="1"/>
  <c r="K1849" i="1"/>
  <c r="N1849" i="1" s="1"/>
  <c r="M1874" i="1"/>
  <c r="M1976" i="1"/>
  <c r="M2085" i="1" s="1"/>
  <c r="N1764" i="1"/>
  <c r="O1764" i="1"/>
  <c r="M1942" i="1"/>
  <c r="M2051" i="1" s="1"/>
  <c r="K1835" i="1"/>
  <c r="N1835" i="1" s="1"/>
  <c r="L1942" i="1"/>
  <c r="L2051" i="1" s="1"/>
  <c r="G1840" i="13"/>
  <c r="J1840" i="13" s="1"/>
  <c r="M1965" i="1"/>
  <c r="M2074" i="1" s="1"/>
  <c r="M1868" i="1"/>
  <c r="K1826" i="1"/>
  <c r="N1826" i="1" s="1"/>
  <c r="L1933" i="1"/>
  <c r="L2042" i="1" s="1"/>
  <c r="G1831" i="13"/>
  <c r="J1831" i="13" s="1"/>
  <c r="N1653" i="1"/>
  <c r="O1653" i="1"/>
  <c r="M1958" i="1"/>
  <c r="M2067" i="1" s="1"/>
  <c r="K1814" i="1"/>
  <c r="N1814" i="1" s="1"/>
  <c r="L1921" i="1"/>
  <c r="L2030" i="1" s="1"/>
  <c r="G1819" i="13"/>
  <c r="J1819" i="13" s="1"/>
  <c r="K1980" i="1"/>
  <c r="G1985" i="13"/>
  <c r="J1985" i="13" s="1"/>
  <c r="D264" i="15"/>
  <c r="E264" i="15" s="1"/>
  <c r="E262" i="15"/>
  <c r="L2013" i="1"/>
  <c r="L2122" i="1" s="1"/>
  <c r="K1904" i="1"/>
  <c r="L1905" i="1"/>
  <c r="L1913" i="1" s="1"/>
  <c r="L1914" i="1" s="1"/>
  <c r="D277" i="15" s="1"/>
  <c r="G2013" i="13"/>
  <c r="J2011" i="13"/>
  <c r="J2013" i="13" s="1"/>
  <c r="N1880" i="1"/>
  <c r="K1883" i="1"/>
  <c r="N1883" i="1" s="1"/>
  <c r="G1992" i="13"/>
  <c r="J1992" i="13" s="1"/>
  <c r="K1987" i="1"/>
  <c r="L1992" i="1"/>
  <c r="L1927" i="1"/>
  <c r="L2036" i="1" s="1"/>
  <c r="G1825" i="13"/>
  <c r="J1825" i="13" s="1"/>
  <c r="K1820" i="1"/>
  <c r="N1820" i="1" s="1"/>
  <c r="O1732" i="1"/>
  <c r="O1742" i="1"/>
  <c r="M1952" i="1"/>
  <c r="M2061" i="1" s="1"/>
  <c r="M1959" i="1"/>
  <c r="M2068" i="1" s="1"/>
  <c r="N1554" i="1"/>
  <c r="K1565" i="1"/>
  <c r="K2016" i="1"/>
  <c r="N2016" i="1" s="1"/>
  <c r="O2012" i="1"/>
  <c r="G1989" i="13"/>
  <c r="J1989" i="13" s="1"/>
  <c r="K1984" i="1"/>
  <c r="N1984" i="1" s="1"/>
  <c r="J1881" i="13"/>
  <c r="G1884" i="13"/>
  <c r="G1988" i="13"/>
  <c r="K1983" i="1"/>
  <c r="L1986" i="1"/>
  <c r="L1993" i="1" s="1"/>
  <c r="N2015" i="1"/>
  <c r="N2001" i="1"/>
  <c r="M1933" i="1"/>
  <c r="M2042" i="1" s="1"/>
  <c r="O1712" i="1"/>
  <c r="O1715" i="1"/>
  <c r="L1761" i="1"/>
  <c r="L1768" i="1" s="1"/>
  <c r="L1779" i="1" s="1"/>
  <c r="L1780" i="1" s="1"/>
  <c r="D259" i="15" s="1"/>
  <c r="N1751" i="1"/>
  <c r="K1654" i="1"/>
  <c r="L1945" i="1"/>
  <c r="L2054" i="1" s="1"/>
  <c r="G1843" i="13"/>
  <c r="J1843" i="13" s="1"/>
  <c r="K1838" i="1"/>
  <c r="N1838" i="1" s="1"/>
  <c r="K1854" i="1"/>
  <c r="N1854" i="1" s="1"/>
  <c r="L1961" i="1"/>
  <c r="L2070" i="1" s="1"/>
  <c r="G1859" i="13"/>
  <c r="J1859" i="13" s="1"/>
  <c r="M1936" i="1"/>
  <c r="M2045" i="1" s="1"/>
  <c r="O1622" i="1"/>
  <c r="M1937" i="1"/>
  <c r="M2046" i="1" s="1"/>
  <c r="M1935" i="1"/>
  <c r="M2044" i="1" s="1"/>
  <c r="O1828" i="1"/>
  <c r="O1727" i="1"/>
  <c r="N1735" i="1"/>
  <c r="K1739" i="1"/>
  <c r="O1739" i="1" s="1"/>
  <c r="G1744" i="13"/>
  <c r="J1740" i="13"/>
  <c r="J1744" i="13" s="1"/>
  <c r="K1642" i="1"/>
  <c r="N1642" i="1" s="1"/>
  <c r="N1632" i="1"/>
  <c r="G1384" i="13"/>
  <c r="L1734" i="1"/>
  <c r="F228" i="15"/>
  <c r="F235" i="15" s="1"/>
  <c r="J1632" i="13"/>
  <c r="I240" i="15" s="1"/>
  <c r="L1701" i="1"/>
  <c r="N1691" i="1"/>
  <c r="O1691" i="1"/>
  <c r="N1998" i="1"/>
  <c r="O1998" i="1"/>
  <c r="M1986" i="1"/>
  <c r="G2005" i="13"/>
  <c r="J2002" i="13"/>
  <c r="J2005" i="13" s="1"/>
  <c r="N1891" i="1"/>
  <c r="O1891" i="1"/>
  <c r="J1731" i="13"/>
  <c r="J1734" i="13" s="1"/>
  <c r="G1734" i="13"/>
  <c r="O1535" i="1"/>
  <c r="M1749" i="1"/>
  <c r="L1925" i="1"/>
  <c r="L2034" i="1" s="1"/>
  <c r="G1823" i="13"/>
  <c r="J1823" i="13" s="1"/>
  <c r="K1818" i="1"/>
  <c r="N1818" i="1" s="1"/>
  <c r="O1626" i="1"/>
  <c r="M1673" i="1"/>
  <c r="L1936" i="1"/>
  <c r="L2045" i="1" s="1"/>
  <c r="G1834" i="13"/>
  <c r="J1834" i="13" s="1"/>
  <c r="K1829" i="1"/>
  <c r="N1829" i="1" s="1"/>
  <c r="M1930" i="1"/>
  <c r="M2039" i="1" s="1"/>
  <c r="G1738" i="13"/>
  <c r="J1735" i="13"/>
  <c r="J1738" i="13" s="1"/>
  <c r="K1733" i="1"/>
  <c r="N1733" i="1" s="1"/>
  <c r="N1730" i="1"/>
  <c r="O1897" i="1"/>
  <c r="N1897" i="1"/>
  <c r="K1899" i="1"/>
  <c r="N1899" i="1" s="1"/>
  <c r="N2019" i="1"/>
  <c r="K2021" i="1"/>
  <c r="N2021" i="1" s="1"/>
  <c r="O2019" i="1"/>
  <c r="O1880" i="1"/>
  <c r="G2018" i="13"/>
  <c r="M1957" i="1"/>
  <c r="M2066" i="1" s="1"/>
  <c r="M1928" i="1"/>
  <c r="M2037" i="1" s="1"/>
  <c r="L1866" i="1"/>
  <c r="K1759" i="1"/>
  <c r="O1759" i="1" s="1"/>
  <c r="G1763" i="13"/>
  <c r="J1763" i="13" s="1"/>
  <c r="K1767" i="1"/>
  <c r="N1767" i="1" s="1"/>
  <c r="N1762" i="1"/>
  <c r="J1767" i="13"/>
  <c r="J1772" i="13" s="1"/>
  <c r="G1772" i="13"/>
  <c r="J1884" i="13"/>
  <c r="M2018" i="1"/>
  <c r="G1782" i="13"/>
  <c r="K1909" i="1"/>
  <c r="M1938" i="1"/>
  <c r="M2047" i="1" s="1"/>
  <c r="L1950" i="1"/>
  <c r="L2059" i="1" s="1"/>
  <c r="G1848" i="13"/>
  <c r="J1848" i="13" s="1"/>
  <c r="K1843" i="1"/>
  <c r="N1843" i="1" s="1"/>
  <c r="K1852" i="1"/>
  <c r="N1852" i="1" s="1"/>
  <c r="L1959" i="1"/>
  <c r="L2068" i="1" s="1"/>
  <c r="G1857" i="13"/>
  <c r="J1857" i="13" s="1"/>
  <c r="L1924" i="1"/>
  <c r="L2033" i="1" s="1"/>
  <c r="L1824" i="1"/>
  <c r="K1817" i="1"/>
  <c r="O1817" i="1" s="1"/>
  <c r="G1822" i="13"/>
  <c r="N1710" i="1"/>
  <c r="K1717" i="1"/>
  <c r="N1717" i="1" s="1"/>
  <c r="N1718" i="1"/>
  <c r="K1725" i="1"/>
  <c r="N1725" i="1" s="1"/>
  <c r="L1832" i="1"/>
  <c r="L1932" i="1"/>
  <c r="L2041" i="1" s="1"/>
  <c r="G1830" i="13"/>
  <c r="K1825" i="1"/>
  <c r="L1954" i="1"/>
  <c r="L2063" i="1" s="1"/>
  <c r="G1852" i="13"/>
  <c r="K1847" i="1"/>
  <c r="L1855" i="1"/>
  <c r="M1934" i="1"/>
  <c r="M2043" i="1" s="1"/>
  <c r="M1951" i="1"/>
  <c r="M2060" i="1" s="1"/>
  <c r="J1659" i="13"/>
  <c r="J1666" i="13" s="1"/>
  <c r="J1677" i="13" s="1"/>
  <c r="J1678" i="13" s="1"/>
  <c r="I244" i="15" s="1"/>
  <c r="I246" i="15" s="1"/>
  <c r="O1711" i="1"/>
  <c r="O1706" i="1"/>
  <c r="M1750" i="1"/>
  <c r="M1945" i="1"/>
  <c r="M2054" i="1" s="1"/>
  <c r="M1913" i="1"/>
  <c r="M1807" i="1"/>
  <c r="L1863" i="1"/>
  <c r="K1756" i="1"/>
  <c r="O1756" i="1" s="1"/>
  <c r="G1761" i="13"/>
  <c r="J1761" i="13" s="1"/>
  <c r="K1830" i="1"/>
  <c r="N1830" i="1" s="1"/>
  <c r="L1937" i="1"/>
  <c r="L2046" i="1" s="1"/>
  <c r="G1835" i="13"/>
  <c r="J1835" i="13" s="1"/>
  <c r="O1718" i="1"/>
  <c r="O1725" i="1"/>
  <c r="L1864" i="1"/>
  <c r="K1757" i="1"/>
  <c r="O1757" i="1" s="1"/>
  <c r="G1762" i="13"/>
  <c r="J1762" i="13" s="1"/>
  <c r="O1710" i="1"/>
  <c r="M1960" i="1"/>
  <c r="M2069" i="1" s="1"/>
  <c r="G1853" i="13"/>
  <c r="J1853" i="13" s="1"/>
  <c r="L1955" i="1"/>
  <c r="L2064" i="1" s="1"/>
  <c r="K1848" i="1"/>
  <c r="N1848" i="1" s="1"/>
  <c r="G1647" i="13"/>
  <c r="F241" i="15" s="1"/>
  <c r="K1839" i="1"/>
  <c r="N1839" i="1" s="1"/>
  <c r="L1946" i="1"/>
  <c r="L2055" i="1" s="1"/>
  <c r="G1844" i="13"/>
  <c r="J1844" i="13" s="1"/>
  <c r="K1699" i="1"/>
  <c r="N1893" i="1"/>
  <c r="O1893" i="1"/>
  <c r="O1900" i="1"/>
  <c r="M2014" i="1"/>
  <c r="M2022" i="1" s="1"/>
  <c r="K2009" i="1"/>
  <c r="O2009" i="1" s="1"/>
  <c r="O1979" i="1"/>
  <c r="J1917" i="13"/>
  <c r="J1918" i="13" s="1"/>
  <c r="I277" i="15" s="1"/>
  <c r="I279" i="15" s="1"/>
  <c r="O1762" i="1"/>
  <c r="M1768" i="1"/>
  <c r="M1779" i="1" s="1"/>
  <c r="L1960" i="1"/>
  <c r="L2069" i="1" s="1"/>
  <c r="G1858" i="13"/>
  <c r="J1858" i="13" s="1"/>
  <c r="K1853" i="1"/>
  <c r="N1853" i="1" s="1"/>
  <c r="O1820" i="1"/>
  <c r="M1927" i="1"/>
  <c r="M2036" i="1" s="1"/>
  <c r="M1643" i="1"/>
  <c r="K1821" i="1"/>
  <c r="N1821" i="1" s="1"/>
  <c r="L1928" i="1"/>
  <c r="L2037" i="1" s="1"/>
  <c r="G1826" i="13"/>
  <c r="J1826" i="13" s="1"/>
  <c r="L1978" i="1"/>
  <c r="L2087" i="1" s="1"/>
  <c r="G1876" i="13"/>
  <c r="J1876" i="13" s="1"/>
  <c r="K1871" i="1"/>
  <c r="O1728" i="1"/>
  <c r="O1733" i="1"/>
  <c r="M1944" i="1"/>
  <c r="M2053" i="1" s="1"/>
  <c r="M1840" i="1"/>
  <c r="O1837" i="1"/>
  <c r="O1751" i="1"/>
  <c r="L1938" i="1"/>
  <c r="L2047" i="1" s="1"/>
  <c r="G1836" i="13"/>
  <c r="J1836" i="13" s="1"/>
  <c r="K1831" i="1"/>
  <c r="N1831" i="1" s="1"/>
  <c r="L1867" i="1"/>
  <c r="K1760" i="1"/>
  <c r="G1765" i="13"/>
  <c r="J1765" i="13" s="1"/>
  <c r="N1873" i="1"/>
  <c r="O1873" i="1"/>
  <c r="N1797" i="1"/>
  <c r="O1797" i="1"/>
  <c r="O1882" i="1"/>
  <c r="O2001" i="1"/>
  <c r="K2006" i="1"/>
  <c r="O1999" i="1"/>
  <c r="K1990" i="1"/>
  <c r="N1990" i="1" s="1"/>
  <c r="K1991" i="1"/>
  <c r="N1991" i="1" s="1"/>
  <c r="G1888" i="13"/>
  <c r="J1885" i="13"/>
  <c r="J1888" i="13" s="1"/>
  <c r="O2017" i="1"/>
  <c r="K1844" i="1"/>
  <c r="N1844" i="1" s="1"/>
  <c r="L1951" i="1"/>
  <c r="L2060" i="1" s="1"/>
  <c r="G1849" i="13"/>
  <c r="J1849" i="13" s="1"/>
  <c r="M1946" i="1"/>
  <c r="M2055" i="1" s="1"/>
  <c r="L1926" i="1"/>
  <c r="L2035" i="1" s="1"/>
  <c r="G1824" i="13"/>
  <c r="J1824" i="13" s="1"/>
  <c r="K1819" i="1"/>
  <c r="N1819" i="1" s="1"/>
  <c r="O1641" i="1"/>
  <c r="M1956" i="1"/>
  <c r="M2065" i="1" s="1"/>
  <c r="O1745" i="1"/>
  <c r="M1884" i="1"/>
  <c r="O1907" i="1"/>
  <c r="O1878" i="1"/>
  <c r="L1884" i="1"/>
  <c r="O1876" i="1"/>
  <c r="N1876" i="1"/>
  <c r="K1879" i="1"/>
  <c r="O1772" i="1"/>
  <c r="N1772" i="1"/>
  <c r="K1777" i="1"/>
  <c r="N1777" i="1" s="1"/>
  <c r="J2019" i="13"/>
  <c r="J2022" i="13" s="1"/>
  <c r="G2022" i="13"/>
  <c r="O2010" i="1"/>
  <c r="L2005" i="1"/>
  <c r="J2006" i="13"/>
  <c r="O1719" i="1"/>
  <c r="L1862" i="1"/>
  <c r="K1755" i="1"/>
  <c r="O1755" i="1" s="1"/>
  <c r="G1760" i="13"/>
  <c r="J1760" i="13" s="1"/>
  <c r="M1926" i="1"/>
  <c r="M2035" i="1" s="1"/>
  <c r="K1850" i="1"/>
  <c r="N1850" i="1" s="1"/>
  <c r="L1957" i="1"/>
  <c r="L2066" i="1" s="1"/>
  <c r="G1855" i="13"/>
  <c r="J1855" i="13" s="1"/>
  <c r="O1554" i="1"/>
  <c r="M1929" i="1"/>
  <c r="M2038" i="1" s="1"/>
  <c r="N1547" i="1"/>
  <c r="O1547" i="1"/>
  <c r="J1756" i="13"/>
  <c r="L1965" i="1"/>
  <c r="L2074" i="1" s="1"/>
  <c r="K1858" i="1"/>
  <c r="O1858" i="1" s="1"/>
  <c r="G1863" i="13"/>
  <c r="O1722" i="1"/>
  <c r="L1958" i="1"/>
  <c r="L2067" i="1" s="1"/>
  <c r="K1851" i="1"/>
  <c r="N1851" i="1" s="1"/>
  <c r="G1856" i="13"/>
  <c r="J1856" i="13" s="1"/>
  <c r="O2003" i="1"/>
  <c r="O1723" i="1"/>
  <c r="O1721" i="1"/>
  <c r="M1941" i="1"/>
  <c r="M2050" i="1" s="1"/>
  <c r="M1846" i="1"/>
  <c r="M1950" i="1"/>
  <c r="M2059" i="1" s="1"/>
  <c r="L1860" i="1"/>
  <c r="K1753" i="1"/>
  <c r="O1753" i="1" s="1"/>
  <c r="G1758" i="13"/>
  <c r="J1758" i="13" s="1"/>
  <c r="L1952" i="1"/>
  <c r="L2061" i="1" s="1"/>
  <c r="G1850" i="13"/>
  <c r="J1850" i="13" s="1"/>
  <c r="K1845" i="1"/>
  <c r="N1845" i="1" s="1"/>
  <c r="O1610" i="1"/>
  <c r="M1966" i="1"/>
  <c r="M2075" i="1" s="1"/>
  <c r="L1749" i="1"/>
  <c r="D256" i="15" s="1"/>
  <c r="E256" i="15" s="1"/>
  <c r="L1949" i="1"/>
  <c r="L2058" i="1" s="1"/>
  <c r="G1847" i="13"/>
  <c r="L1846" i="1"/>
  <c r="L1856" i="1" s="1"/>
  <c r="D271" i="15" s="1"/>
  <c r="E271" i="15" s="1"/>
  <c r="K1842" i="1"/>
  <c r="O1842" i="1" s="1"/>
  <c r="D255" i="15"/>
  <c r="J1713" i="13"/>
  <c r="J1714" i="13" s="1"/>
  <c r="G1714" i="13"/>
  <c r="K1627" i="1"/>
  <c r="O1602" i="1"/>
  <c r="N1602" i="1"/>
  <c r="E228" i="15"/>
  <c r="D235" i="15"/>
  <c r="E235" i="15" s="1"/>
  <c r="N1708" i="1"/>
  <c r="O1708" i="1"/>
  <c r="K1709" i="1"/>
  <c r="L1922" i="1"/>
  <c r="L2031" i="1" s="1"/>
  <c r="G1820" i="13"/>
  <c r="K1815" i="1"/>
  <c r="L1816" i="1"/>
  <c r="D213" i="15"/>
  <c r="E210" i="15"/>
  <c r="D243" i="15"/>
  <c r="E240" i="15"/>
  <c r="K1536" i="1"/>
  <c r="N1520" i="1"/>
  <c r="O1520" i="1"/>
  <c r="F205" i="15"/>
  <c r="I210" i="15"/>
  <c r="I213" i="15" s="1"/>
  <c r="I220" i="15" s="1"/>
  <c r="J1434" i="13"/>
  <c r="J1491" i="13" s="1"/>
  <c r="E198" i="15"/>
  <c r="D205" i="15"/>
  <c r="E205" i="15" s="1"/>
  <c r="N1413" i="1"/>
  <c r="K1429" i="1"/>
  <c r="M1459" i="1"/>
  <c r="M1487" i="1" s="1"/>
  <c r="K1352" i="1"/>
  <c r="K1380" i="1" s="1"/>
  <c r="N1380" i="1" s="1"/>
  <c r="N1351" i="1"/>
  <c r="N1352" i="1" s="1"/>
  <c r="O1351" i="1"/>
  <c r="O1352" i="1" s="1"/>
  <c r="O1323" i="1"/>
  <c r="N1323" i="1"/>
  <c r="I205" i="15"/>
  <c r="F210" i="15"/>
  <c r="F213" i="15" s="1"/>
  <c r="F220" i="15" s="1"/>
  <c r="G1434" i="13"/>
  <c r="G1491" i="13" s="1"/>
  <c r="N1274" i="1"/>
  <c r="O1274" i="1"/>
  <c r="O1428" i="1"/>
  <c r="N1447" i="1"/>
  <c r="K1458" i="1"/>
  <c r="N1052" i="2"/>
  <c r="F1052" i="2"/>
  <c r="N1051" i="2"/>
  <c r="F1051" i="2"/>
  <c r="N1050" i="2"/>
  <c r="F1050" i="2"/>
  <c r="N1049" i="2"/>
  <c r="F1049" i="2"/>
  <c r="N1048" i="2"/>
  <c r="F1048" i="2"/>
  <c r="N1047" i="2"/>
  <c r="F1047" i="2"/>
  <c r="N1046" i="2"/>
  <c r="F1046" i="2"/>
  <c r="N1045" i="2"/>
  <c r="F1045" i="2"/>
  <c r="N1044" i="2"/>
  <c r="F1044" i="2"/>
  <c r="N1043" i="2"/>
  <c r="F1043" i="2"/>
  <c r="N1042" i="2"/>
  <c r="F1042" i="2"/>
  <c r="N1041" i="2"/>
  <c r="F1041" i="2"/>
  <c r="N1040" i="2"/>
  <c r="F1040" i="2"/>
  <c r="N1039" i="2"/>
  <c r="F1039" i="2"/>
  <c r="N1038" i="2"/>
  <c r="F1038" i="2"/>
  <c r="N1037" i="2"/>
  <c r="F1037" i="2"/>
  <c r="N1036" i="2"/>
  <c r="F1036" i="2"/>
  <c r="N1035" i="2"/>
  <c r="F1035" i="2"/>
  <c r="N1034" i="2"/>
  <c r="F1034" i="2"/>
  <c r="N1033" i="2"/>
  <c r="F1033" i="2"/>
  <c r="N1032" i="2"/>
  <c r="F1032" i="2"/>
  <c r="N1031" i="2"/>
  <c r="F1031" i="2"/>
  <c r="N1030" i="2"/>
  <c r="F1030" i="2"/>
  <c r="N1029" i="2"/>
  <c r="F1029" i="2"/>
  <c r="N1028" i="2"/>
  <c r="F1028" i="2"/>
  <c r="N1027" i="2"/>
  <c r="F1027" i="2"/>
  <c r="N1026" i="2"/>
  <c r="F1026" i="2"/>
  <c r="N1025" i="2"/>
  <c r="F1025" i="2"/>
  <c r="N1023" i="2"/>
  <c r="F1023" i="2"/>
  <c r="H1022" i="2"/>
  <c r="G1022" i="2"/>
  <c r="E1022" i="2"/>
  <c r="D1022" i="2"/>
  <c r="N1021" i="2"/>
  <c r="I1021" i="2"/>
  <c r="F1021" i="2"/>
  <c r="N1020" i="2"/>
  <c r="F1020" i="2"/>
  <c r="N1019" i="2"/>
  <c r="F1019" i="2"/>
  <c r="I1019" i="2" s="1"/>
  <c r="N1018" i="2"/>
  <c r="F1018" i="2"/>
  <c r="H1017" i="2"/>
  <c r="G1017" i="2"/>
  <c r="E1017" i="2"/>
  <c r="D1017" i="2"/>
  <c r="N1016" i="2"/>
  <c r="F1016" i="2"/>
  <c r="N1015" i="2"/>
  <c r="F1015" i="2"/>
  <c r="N1014" i="2"/>
  <c r="N1017" i="2" s="1"/>
  <c r="F1014" i="2"/>
  <c r="N1013" i="2"/>
  <c r="F1013" i="2"/>
  <c r="N1012" i="2"/>
  <c r="F1012" i="2"/>
  <c r="N1011" i="2"/>
  <c r="F1011" i="2"/>
  <c r="N1010" i="2"/>
  <c r="F1010" i="2"/>
  <c r="F1017" i="2" s="1"/>
  <c r="H1008" i="2"/>
  <c r="G1008" i="2"/>
  <c r="N1006" i="2"/>
  <c r="F1006" i="2"/>
  <c r="N1005" i="2"/>
  <c r="F1005" i="2"/>
  <c r="F1004" i="2"/>
  <c r="N1003" i="2"/>
  <c r="F1003" i="2"/>
  <c r="H1002" i="2"/>
  <c r="G1002" i="2"/>
  <c r="N1001" i="2"/>
  <c r="F1001" i="2"/>
  <c r="N1000" i="2"/>
  <c r="F1000" i="2"/>
  <c r="N999" i="2"/>
  <c r="F999" i="2"/>
  <c r="N998" i="2"/>
  <c r="F998" i="2"/>
  <c r="N997" i="2"/>
  <c r="F997" i="2"/>
  <c r="N996" i="2"/>
  <c r="F996" i="2"/>
  <c r="N995" i="2"/>
  <c r="F995" i="2"/>
  <c r="F1002" i="2" s="1"/>
  <c r="O1843" i="1" l="1"/>
  <c r="J1055" i="17"/>
  <c r="M1054" i="17"/>
  <c r="N1054" i="17"/>
  <c r="N1022" i="2"/>
  <c r="K1237" i="17"/>
  <c r="Q1175" i="17"/>
  <c r="J1175" i="17"/>
  <c r="M1175" i="17" s="1"/>
  <c r="G270" i="15"/>
  <c r="G273" i="15" s="1"/>
  <c r="K1074" i="17"/>
  <c r="L1208" i="17"/>
  <c r="L1178" i="17"/>
  <c r="L1217" i="17"/>
  <c r="L1230" i="17"/>
  <c r="L1218" i="17"/>
  <c r="L1193" i="17"/>
  <c r="K1194" i="17"/>
  <c r="Q1132" i="17"/>
  <c r="J1132" i="17"/>
  <c r="M1132" i="17" s="1"/>
  <c r="Q1088" i="17"/>
  <c r="Q1116" i="17" s="1"/>
  <c r="Q1117" i="17" s="1"/>
  <c r="K1150" i="17"/>
  <c r="J1088" i="17"/>
  <c r="L1232" i="17"/>
  <c r="L1239" i="17"/>
  <c r="L1231" i="17"/>
  <c r="Q1082" i="17"/>
  <c r="Q1083" i="17" s="1"/>
  <c r="H274" i="15" s="1"/>
  <c r="H276" i="15" s="1"/>
  <c r="K1226" i="17"/>
  <c r="J1164" i="17"/>
  <c r="M1164" i="17" s="1"/>
  <c r="Q1164" i="17"/>
  <c r="Q1124" i="17"/>
  <c r="K1186" i="17"/>
  <c r="J1124" i="17"/>
  <c r="K1223" i="17"/>
  <c r="J1161" i="17"/>
  <c r="M1161" i="17" s="1"/>
  <c r="Q1161" i="17"/>
  <c r="L1282" i="17"/>
  <c r="M1110" i="17"/>
  <c r="N1110" i="17"/>
  <c r="L1358" i="17"/>
  <c r="L1226" i="17"/>
  <c r="N1164" i="17"/>
  <c r="L1227" i="17"/>
  <c r="N1080" i="17"/>
  <c r="K1192" i="17"/>
  <c r="Q1130" i="17"/>
  <c r="J1130" i="17"/>
  <c r="M1130" i="17" s="1"/>
  <c r="N1020" i="17"/>
  <c r="K1227" i="17"/>
  <c r="Q1165" i="17"/>
  <c r="J1165" i="17"/>
  <c r="M1165" i="17" s="1"/>
  <c r="L1235" i="17"/>
  <c r="K1213" i="17"/>
  <c r="Q1151" i="17"/>
  <c r="J1151" i="17"/>
  <c r="M1151" i="17" s="1"/>
  <c r="L1278" i="17"/>
  <c r="L1135" i="17"/>
  <c r="L1190" i="17"/>
  <c r="N1076" i="17"/>
  <c r="L1219" i="17"/>
  <c r="J1157" i="17"/>
  <c r="M1157" i="17" s="1"/>
  <c r="Q1148" i="17"/>
  <c r="K1210" i="17"/>
  <c r="J1148" i="17"/>
  <c r="M1148" i="17" s="1"/>
  <c r="K1225" i="17"/>
  <c r="J1163" i="17"/>
  <c r="M1163" i="17" s="1"/>
  <c r="Q1163" i="17"/>
  <c r="K1215" i="17"/>
  <c r="J1153" i="17"/>
  <c r="M1153" i="17" s="1"/>
  <c r="Q1153" i="17"/>
  <c r="G265" i="15"/>
  <c r="M1060" i="17"/>
  <c r="J1065" i="17"/>
  <c r="L1144" i="17"/>
  <c r="L1202" i="17"/>
  <c r="Q1142" i="17"/>
  <c r="K1204" i="17"/>
  <c r="J1142" i="17"/>
  <c r="M1142" i="17" s="1"/>
  <c r="L1919" i="1"/>
  <c r="G1817" i="13"/>
  <c r="J1817" i="13" s="1"/>
  <c r="K1812" i="1"/>
  <c r="Q1166" i="17"/>
  <c r="K1228" i="17"/>
  <c r="J1166" i="17"/>
  <c r="M1166" i="17" s="1"/>
  <c r="L1187" i="17"/>
  <c r="N1092" i="17"/>
  <c r="M1092" i="17"/>
  <c r="Q1137" i="17"/>
  <c r="K1199" i="17"/>
  <c r="J1137" i="17"/>
  <c r="K1144" i="17"/>
  <c r="K1145" i="17" s="1"/>
  <c r="G289" i="15" s="1"/>
  <c r="G291" i="15" s="1"/>
  <c r="J1021" i="17"/>
  <c r="M1021" i="17" s="1"/>
  <c r="L1224" i="17"/>
  <c r="L1225" i="17"/>
  <c r="N1163" i="17"/>
  <c r="L1248" i="17"/>
  <c r="L1210" i="17"/>
  <c r="N1148" i="17"/>
  <c r="N1109" i="17"/>
  <c r="K1236" i="17"/>
  <c r="Q1174" i="17"/>
  <c r="J1174" i="17"/>
  <c r="M1174" i="17" s="1"/>
  <c r="L1074" i="17"/>
  <c r="N1065" i="17"/>
  <c r="N1102" i="17"/>
  <c r="L1056" i="17"/>
  <c r="N1055" i="17"/>
  <c r="L1204" i="17"/>
  <c r="N1142" i="17"/>
  <c r="J1141" i="17"/>
  <c r="K1203" i="17"/>
  <c r="Q1141" i="17"/>
  <c r="Q1147" i="17"/>
  <c r="K1209" i="17"/>
  <c r="J1147" i="17"/>
  <c r="M1147" i="17" s="1"/>
  <c r="N1021" i="17"/>
  <c r="N950" i="17"/>
  <c r="K1208" i="17"/>
  <c r="J1146" i="17"/>
  <c r="N1146" i="17" s="1"/>
  <c r="Q1146" i="17"/>
  <c r="K1178" i="17"/>
  <c r="K1179" i="17" s="1"/>
  <c r="K1187" i="17"/>
  <c r="Q1125" i="17"/>
  <c r="J1125" i="17"/>
  <c r="M1125" i="17" s="1"/>
  <c r="K1191" i="17"/>
  <c r="Q1129" i="17"/>
  <c r="J1129" i="17"/>
  <c r="M1129" i="17" s="1"/>
  <c r="Q1139" i="17"/>
  <c r="K1201" i="17"/>
  <c r="J1139" i="17"/>
  <c r="M1139" i="17" s="1"/>
  <c r="L1200" i="17"/>
  <c r="N1061" i="17"/>
  <c r="Q1073" i="17"/>
  <c r="H271" i="15" s="1"/>
  <c r="L1199" i="17"/>
  <c r="N1137" i="17"/>
  <c r="N1067" i="17"/>
  <c r="K1235" i="17"/>
  <c r="J1173" i="17"/>
  <c r="M1173" i="17" s="1"/>
  <c r="Q1173" i="17"/>
  <c r="H250" i="15"/>
  <c r="O1899" i="1"/>
  <c r="K1214" i="17"/>
  <c r="J1152" i="17"/>
  <c r="N1152" i="17" s="1"/>
  <c r="Q1152" i="17"/>
  <c r="H270" i="15"/>
  <c r="H273" i="15" s="1"/>
  <c r="Q1074" i="17"/>
  <c r="L1117" i="17"/>
  <c r="K1196" i="17"/>
  <c r="J1134" i="17"/>
  <c r="M1134" i="17" s="1"/>
  <c r="Q1134" i="17"/>
  <c r="Q1160" i="17"/>
  <c r="K1222" i="17"/>
  <c r="J1160" i="17"/>
  <c r="M1160" i="17" s="1"/>
  <c r="K1233" i="17"/>
  <c r="Q1171" i="17"/>
  <c r="J1171" i="17"/>
  <c r="M1171" i="17" s="1"/>
  <c r="L1188" i="17"/>
  <c r="K1202" i="17"/>
  <c r="Q1140" i="17"/>
  <c r="J1140" i="17"/>
  <c r="M1140" i="17" s="1"/>
  <c r="L1209" i="17"/>
  <c r="N1147" i="17"/>
  <c r="N1098" i="17"/>
  <c r="M1003" i="17"/>
  <c r="J1012" i="17"/>
  <c r="M1012" i="17" s="1"/>
  <c r="K1216" i="17"/>
  <c r="Q1154" i="17"/>
  <c r="J1154" i="17"/>
  <c r="L1201" i="17"/>
  <c r="N1139" i="17"/>
  <c r="K1205" i="17"/>
  <c r="Q1143" i="17"/>
  <c r="J1143" i="17"/>
  <c r="M1143" i="17" s="1"/>
  <c r="L1192" i="17"/>
  <c r="N1130" i="17"/>
  <c r="K1238" i="17"/>
  <c r="Q1176" i="17"/>
  <c r="J1176" i="17"/>
  <c r="M1176" i="17" s="1"/>
  <c r="N1072" i="17"/>
  <c r="K1217" i="17"/>
  <c r="Q1155" i="17"/>
  <c r="J1155" i="17"/>
  <c r="M1155" i="17" s="1"/>
  <c r="N1099" i="17"/>
  <c r="N1113" i="17"/>
  <c r="N1011" i="17"/>
  <c r="L1221" i="17"/>
  <c r="K1234" i="17"/>
  <c r="J1172" i="17"/>
  <c r="Q1172" i="17"/>
  <c r="L1233" i="17"/>
  <c r="N1171" i="17"/>
  <c r="N1060" i="17"/>
  <c r="N1114" i="17"/>
  <c r="K1185" i="17"/>
  <c r="Q1123" i="17"/>
  <c r="J1123" i="17"/>
  <c r="M1123" i="17" s="1"/>
  <c r="N1105" i="17"/>
  <c r="L1213" i="17"/>
  <c r="N1151" i="17"/>
  <c r="N1143" i="17"/>
  <c r="L1205" i="17"/>
  <c r="Q1168" i="17"/>
  <c r="K1230" i="17"/>
  <c r="J1168" i="17"/>
  <c r="M1168" i="17" s="1"/>
  <c r="J1156" i="17"/>
  <c r="M1156" i="17" s="1"/>
  <c r="K1218" i="17"/>
  <c r="Q1156" i="17"/>
  <c r="K1221" i="17"/>
  <c r="Q1159" i="17"/>
  <c r="J1159" i="17"/>
  <c r="M1159" i="17" s="1"/>
  <c r="K1116" i="17"/>
  <c r="K1117" i="17" s="1"/>
  <c r="N1112" i="17"/>
  <c r="K1188" i="17"/>
  <c r="J1126" i="17"/>
  <c r="M1126" i="17" s="1"/>
  <c r="Q1126" i="17"/>
  <c r="K1224" i="17"/>
  <c r="Q1162" i="17"/>
  <c r="J1162" i="17"/>
  <c r="M1162" i="17" s="1"/>
  <c r="L1185" i="17"/>
  <c r="N1123" i="17"/>
  <c r="K1190" i="17"/>
  <c r="K1135" i="17"/>
  <c r="G286" i="15" s="1"/>
  <c r="Q1128" i="17"/>
  <c r="J1128" i="17"/>
  <c r="N1128" i="17" s="1"/>
  <c r="K1195" i="17"/>
  <c r="Q1133" i="17"/>
  <c r="J1133" i="17"/>
  <c r="M1133" i="17" s="1"/>
  <c r="N1129" i="17"/>
  <c r="L1191" i="17"/>
  <c r="K1184" i="17"/>
  <c r="J1122" i="17"/>
  <c r="Q1122" i="17"/>
  <c r="K1127" i="17"/>
  <c r="L1228" i="17"/>
  <c r="N1166" i="17"/>
  <c r="L1194" i="17"/>
  <c r="N1132" i="17"/>
  <c r="H262" i="15"/>
  <c r="H264" i="15" s="1"/>
  <c r="N1705" i="1"/>
  <c r="O1705" i="1"/>
  <c r="L1222" i="17"/>
  <c r="N1160" i="17"/>
  <c r="M1075" i="17"/>
  <c r="J1082" i="17"/>
  <c r="M1082" i="17" s="1"/>
  <c r="L1203" i="17"/>
  <c r="N1141" i="17"/>
  <c r="N1133" i="17"/>
  <c r="L1195" i="17"/>
  <c r="M1062" i="17"/>
  <c r="N1062" i="17"/>
  <c r="K1229" i="17"/>
  <c r="Q1167" i="17"/>
  <c r="J1167" i="17"/>
  <c r="M1167" i="17" s="1"/>
  <c r="K1239" i="17"/>
  <c r="Q1177" i="17"/>
  <c r="J1177" i="17"/>
  <c r="M1177" i="17" s="1"/>
  <c r="L1196" i="17"/>
  <c r="N1134" i="17"/>
  <c r="L1223" i="17"/>
  <c r="N1161" i="17"/>
  <c r="L1237" i="17"/>
  <c r="N1175" i="17"/>
  <c r="Q1220" i="17"/>
  <c r="K1282" i="17"/>
  <c r="J1220" i="17"/>
  <c r="M1220" i="17" s="1"/>
  <c r="L1184" i="17"/>
  <c r="N1122" i="17"/>
  <c r="L1127" i="17"/>
  <c r="L1238" i="17"/>
  <c r="N1176" i="17"/>
  <c r="K1232" i="17"/>
  <c r="J1170" i="17"/>
  <c r="M1170" i="17" s="1"/>
  <c r="Q1170" i="17"/>
  <c r="H255" i="15"/>
  <c r="H258" i="15" s="1"/>
  <c r="Q1012" i="17"/>
  <c r="Q1056" i="17" s="1"/>
  <c r="L1229" i="17"/>
  <c r="N1167" i="17"/>
  <c r="L1215" i="17"/>
  <c r="N1153" i="17"/>
  <c r="K1200" i="17"/>
  <c r="Q1138" i="17"/>
  <c r="J1138" i="17"/>
  <c r="M1138" i="17" s="1"/>
  <c r="N1081" i="17"/>
  <c r="M1084" i="17"/>
  <c r="J1116" i="17"/>
  <c r="N1174" i="17"/>
  <c r="L1236" i="17"/>
  <c r="K1231" i="17"/>
  <c r="Q1169" i="17"/>
  <c r="J1169" i="17"/>
  <c r="M1169" i="17" s="1"/>
  <c r="M2028" i="1"/>
  <c r="N1095" i="17"/>
  <c r="J1073" i="17"/>
  <c r="M1073" i="17" s="1"/>
  <c r="M1066" i="17"/>
  <c r="L1083" i="17"/>
  <c r="N1082" i="17"/>
  <c r="K1193" i="17"/>
  <c r="Q1131" i="17"/>
  <c r="J1131" i="17"/>
  <c r="M1131" i="17" s="1"/>
  <c r="M993" i="17"/>
  <c r="J994" i="17"/>
  <c r="M994" i="17" s="1"/>
  <c r="G1648" i="13"/>
  <c r="O1767" i="1"/>
  <c r="O1806" i="1"/>
  <c r="O1807" i="1" s="1"/>
  <c r="O1729" i="1"/>
  <c r="G2119" i="13"/>
  <c r="O2125" i="1"/>
  <c r="O2228" i="1"/>
  <c r="O2197" i="1"/>
  <c r="O2318" i="1"/>
  <c r="N2318" i="1"/>
  <c r="J1739" i="13"/>
  <c r="O1834" i="1"/>
  <c r="O1819" i="1"/>
  <c r="O1849" i="1"/>
  <c r="I243" i="15"/>
  <c r="J1754" i="13"/>
  <c r="I256" i="15" s="1"/>
  <c r="O2229" i="1"/>
  <c r="G1754" i="13"/>
  <c r="F256" i="15" s="1"/>
  <c r="J2119" i="13"/>
  <c r="J2135" i="13" s="1"/>
  <c r="J2136" i="13" s="1"/>
  <c r="I307" i="15" s="1"/>
  <c r="I309" i="15" s="1"/>
  <c r="G2236" i="13"/>
  <c r="O2130" i="1"/>
  <c r="G2010" i="13"/>
  <c r="G2026" i="13" s="1"/>
  <c r="G2027" i="13" s="1"/>
  <c r="F292" i="15" s="1"/>
  <c r="F294" i="15" s="1"/>
  <c r="L2167" i="1"/>
  <c r="G2063" i="13"/>
  <c r="K2058" i="1"/>
  <c r="L2062" i="1"/>
  <c r="M2184" i="1"/>
  <c r="K2061" i="1"/>
  <c r="N2061" i="1" s="1"/>
  <c r="L2170" i="1"/>
  <c r="G2066" i="13"/>
  <c r="J2066" i="13" s="1"/>
  <c r="M2159" i="1"/>
  <c r="L2176" i="1"/>
  <c r="G2072" i="13"/>
  <c r="J2072" i="13" s="1"/>
  <c r="K2067" i="1"/>
  <c r="N2067" i="1" s="1"/>
  <c r="L2183" i="1"/>
  <c r="G2079" i="13"/>
  <c r="K2074" i="1"/>
  <c r="O2074" i="1" s="1"/>
  <c r="M2147" i="1"/>
  <c r="M2144" i="1"/>
  <c r="M2164" i="1"/>
  <c r="L2169" i="1"/>
  <c r="G2065" i="13"/>
  <c r="J2065" i="13" s="1"/>
  <c r="K2060" i="1"/>
  <c r="N2060" i="1" s="1"/>
  <c r="K2047" i="1"/>
  <c r="N2047" i="1" s="1"/>
  <c r="L2156" i="1"/>
  <c r="G2052" i="13"/>
  <c r="J2052" i="13" s="1"/>
  <c r="M2162" i="1"/>
  <c r="M2056" i="1"/>
  <c r="M2145" i="1"/>
  <c r="L2178" i="1"/>
  <c r="G2074" i="13"/>
  <c r="J2074" i="13" s="1"/>
  <c r="K2069" i="1"/>
  <c r="N2069" i="1" s="1"/>
  <c r="K2055" i="1"/>
  <c r="N2055" i="1" s="1"/>
  <c r="L2164" i="1"/>
  <c r="G2060" i="13"/>
  <c r="J2060" i="13" s="1"/>
  <c r="L2173" i="1"/>
  <c r="G2069" i="13"/>
  <c r="J2069" i="13" s="1"/>
  <c r="K2064" i="1"/>
  <c r="N2064" i="1" s="1"/>
  <c r="M2178" i="1"/>
  <c r="O2069" i="1"/>
  <c r="K2046" i="1"/>
  <c r="N2046" i="1" s="1"/>
  <c r="L2155" i="1"/>
  <c r="G2051" i="13"/>
  <c r="J2051" i="13" s="1"/>
  <c r="M2152" i="1"/>
  <c r="L2172" i="1"/>
  <c r="G2068" i="13"/>
  <c r="K2063" i="1"/>
  <c r="O2063" i="1" s="1"/>
  <c r="L2142" i="1"/>
  <c r="G2038" i="13"/>
  <c r="K2033" i="1"/>
  <c r="O2033" i="1" s="1"/>
  <c r="L2040" i="1"/>
  <c r="K2068" i="1"/>
  <c r="N2068" i="1" s="1"/>
  <c r="L2177" i="1"/>
  <c r="G2073" i="13"/>
  <c r="J2073" i="13" s="1"/>
  <c r="K2059" i="1"/>
  <c r="N2059" i="1" s="1"/>
  <c r="L2168" i="1"/>
  <c r="G2064" i="13"/>
  <c r="J2064" i="13" s="1"/>
  <c r="M2175" i="1"/>
  <c r="L2154" i="1"/>
  <c r="G2050" i="13"/>
  <c r="J2050" i="13" s="1"/>
  <c r="K2045" i="1"/>
  <c r="N2045" i="1" s="1"/>
  <c r="M2155" i="1"/>
  <c r="M2154" i="1"/>
  <c r="O2045" i="1"/>
  <c r="K2070" i="1"/>
  <c r="N2070" i="1" s="1"/>
  <c r="L2179" i="1"/>
  <c r="G2075" i="13"/>
  <c r="J2075" i="13" s="1"/>
  <c r="L2163" i="1"/>
  <c r="G2059" i="13"/>
  <c r="J2059" i="13" s="1"/>
  <c r="K2054" i="1"/>
  <c r="N2054" i="1" s="1"/>
  <c r="M2151" i="1"/>
  <c r="M2177" i="1"/>
  <c r="K2036" i="1"/>
  <c r="N2036" i="1" s="1"/>
  <c r="L2145" i="1"/>
  <c r="G2041" i="13"/>
  <c r="J2041" i="13" s="1"/>
  <c r="K2122" i="1"/>
  <c r="L2231" i="1"/>
  <c r="L2123" i="1"/>
  <c r="L2131" i="1" s="1"/>
  <c r="L2132" i="1" s="1"/>
  <c r="L2139" i="1"/>
  <c r="G2035" i="13"/>
  <c r="J2035" i="13" s="1"/>
  <c r="K2030" i="1"/>
  <c r="N2030" i="1" s="1"/>
  <c r="O1851" i="1"/>
  <c r="M2183" i="1"/>
  <c r="M2084" i="1"/>
  <c r="K2051" i="1"/>
  <c r="N2051" i="1" s="1"/>
  <c r="L2160" i="1"/>
  <c r="G2056" i="13"/>
  <c r="J2056" i="13" s="1"/>
  <c r="M2160" i="1"/>
  <c r="O2051" i="1"/>
  <c r="L2153" i="1"/>
  <c r="G2049" i="13"/>
  <c r="J2049" i="13" s="1"/>
  <c r="K2044" i="1"/>
  <c r="N2044" i="1" s="1"/>
  <c r="M2173" i="1"/>
  <c r="M2139" i="1"/>
  <c r="M2158" i="1"/>
  <c r="M2052" i="1"/>
  <c r="K2043" i="1"/>
  <c r="N2043" i="1" s="1"/>
  <c r="L2152" i="1"/>
  <c r="G2048" i="13"/>
  <c r="J2048" i="13" s="1"/>
  <c r="K2039" i="1"/>
  <c r="N2039" i="1" s="1"/>
  <c r="L2148" i="1"/>
  <c r="G2044" i="13"/>
  <c r="J2044" i="13" s="1"/>
  <c r="M2179" i="1"/>
  <c r="M2172" i="1"/>
  <c r="K2053" i="1"/>
  <c r="O2053" i="1" s="1"/>
  <c r="L2162" i="1"/>
  <c r="G2058" i="13"/>
  <c r="L2056" i="1"/>
  <c r="G2055" i="13"/>
  <c r="J2055" i="13" s="1"/>
  <c r="L2159" i="1"/>
  <c r="L2268" i="1" s="1"/>
  <c r="K2050" i="1"/>
  <c r="N2050" i="1" s="1"/>
  <c r="L2158" i="1"/>
  <c r="G2054" i="13"/>
  <c r="K2049" i="1"/>
  <c r="L2052" i="1"/>
  <c r="O2109" i="1"/>
  <c r="N2109" i="1"/>
  <c r="K2348" i="1"/>
  <c r="N2348" i="1" s="1"/>
  <c r="G2352" i="13"/>
  <c r="J2352" i="13" s="1"/>
  <c r="N2216" i="1"/>
  <c r="O2216" i="1"/>
  <c r="G2240" i="13"/>
  <c r="J2237" i="13"/>
  <c r="J2240" i="13" s="1"/>
  <c r="N2233" i="1"/>
  <c r="O2235" i="1"/>
  <c r="N2224" i="1"/>
  <c r="K2226" i="1"/>
  <c r="N2226" i="1" s="1"/>
  <c r="G2342" i="13"/>
  <c r="L2339" i="1"/>
  <c r="M2336" i="1"/>
  <c r="G2343" i="13"/>
  <c r="J2343" i="13" s="1"/>
  <c r="K2338" i="1"/>
  <c r="N2338" i="1" s="1"/>
  <c r="G2347" i="13"/>
  <c r="J2347" i="13" s="1"/>
  <c r="K2342" i="1"/>
  <c r="N2342" i="1" s="1"/>
  <c r="J2345" i="13"/>
  <c r="J2236" i="13"/>
  <c r="M2347" i="1"/>
  <c r="K2234" i="1"/>
  <c r="N2234" i="1" s="1"/>
  <c r="J2101" i="13"/>
  <c r="N2096" i="1"/>
  <c r="M2337" i="1"/>
  <c r="M2226" i="1"/>
  <c r="O2224" i="1"/>
  <c r="L2315" i="1"/>
  <c r="G2208" i="13"/>
  <c r="J2208" i="13" s="1"/>
  <c r="K2203" i="1"/>
  <c r="N2203" i="1" s="1"/>
  <c r="O2096" i="1"/>
  <c r="M2210" i="1"/>
  <c r="M2317" i="1"/>
  <c r="M2314" i="1"/>
  <c r="N2219" i="1"/>
  <c r="G2337" i="13"/>
  <c r="K2332" i="1"/>
  <c r="K2343" i="1"/>
  <c r="N2343" i="1" s="1"/>
  <c r="G2348" i="13"/>
  <c r="J2348" i="13" s="1"/>
  <c r="N2237" i="1"/>
  <c r="K2239" i="1"/>
  <c r="N2239" i="1" s="1"/>
  <c r="L2352" i="1"/>
  <c r="G2356" i="13" s="1"/>
  <c r="G2354" i="13"/>
  <c r="K2350" i="1"/>
  <c r="O2350" i="1" s="1"/>
  <c r="N2215" i="1"/>
  <c r="K2218" i="1"/>
  <c r="O2215" i="1"/>
  <c r="G2223" i="13"/>
  <c r="J2220" i="13"/>
  <c r="J2223" i="13" s="1"/>
  <c r="M2331" i="1"/>
  <c r="K2127" i="1"/>
  <c r="K2308" i="1"/>
  <c r="N2308" i="1" s="1"/>
  <c r="K2351" i="1"/>
  <c r="N2351" i="1" s="1"/>
  <c r="G2355" i="13"/>
  <c r="M2131" i="1"/>
  <c r="M2306" i="1"/>
  <c r="G2100" i="13"/>
  <c r="J2097" i="13"/>
  <c r="J2100" i="13" s="1"/>
  <c r="N2092" i="1"/>
  <c r="K2095" i="1"/>
  <c r="O2095" i="1" s="1"/>
  <c r="K2202" i="1"/>
  <c r="N2202" i="1" s="1"/>
  <c r="L2314" i="1"/>
  <c r="G2207" i="13"/>
  <c r="J2207" i="13" s="1"/>
  <c r="O2094" i="1"/>
  <c r="O2092" i="1"/>
  <c r="M2204" i="1"/>
  <c r="M2313" i="1"/>
  <c r="K2100" i="1"/>
  <c r="L2209" i="1"/>
  <c r="G2105" i="13"/>
  <c r="J2105" i="13" s="1"/>
  <c r="K2099" i="1"/>
  <c r="L2208" i="1"/>
  <c r="G2104" i="13"/>
  <c r="J2104" i="13" s="1"/>
  <c r="N2118" i="1"/>
  <c r="K2123" i="1"/>
  <c r="N2123" i="1" s="1"/>
  <c r="O2118" i="1"/>
  <c r="N2111" i="1"/>
  <c r="O2111" i="1"/>
  <c r="G2225" i="13"/>
  <c r="J2225" i="13" s="1"/>
  <c r="L2333" i="1"/>
  <c r="K2220" i="1"/>
  <c r="K2223" i="1" s="1"/>
  <c r="M2296" i="1"/>
  <c r="M2320" i="1"/>
  <c r="M2301" i="1"/>
  <c r="L2140" i="1"/>
  <c r="G2036" i="13"/>
  <c r="J2036" i="13" s="1"/>
  <c r="K2031" i="1"/>
  <c r="M2168" i="1"/>
  <c r="K2066" i="1"/>
  <c r="N2066" i="1" s="1"/>
  <c r="L2175" i="1"/>
  <c r="G2071" i="13"/>
  <c r="J2071" i="13" s="1"/>
  <c r="M2174" i="1"/>
  <c r="L2144" i="1"/>
  <c r="G2040" i="13"/>
  <c r="J2040" i="13" s="1"/>
  <c r="K2035" i="1"/>
  <c r="N2035" i="1" s="1"/>
  <c r="K2087" i="1"/>
  <c r="L2196" i="1"/>
  <c r="G2092" i="13"/>
  <c r="J2092" i="13" s="1"/>
  <c r="L2146" i="1"/>
  <c r="G2042" i="13"/>
  <c r="J2042" i="13" s="1"/>
  <c r="K2037" i="1"/>
  <c r="N2037" i="1" s="1"/>
  <c r="M2163" i="1"/>
  <c r="O2054" i="1"/>
  <c r="M2169" i="1"/>
  <c r="O2060" i="1"/>
  <c r="K2041" i="1"/>
  <c r="O2041" i="1" s="1"/>
  <c r="L2150" i="1"/>
  <c r="G2046" i="13"/>
  <c r="L2048" i="1"/>
  <c r="M2156" i="1"/>
  <c r="M2146" i="1"/>
  <c r="M2148" i="1"/>
  <c r="O2039" i="1"/>
  <c r="G2039" i="13"/>
  <c r="J2039" i="13" s="1"/>
  <c r="L2143" i="1"/>
  <c r="M2153" i="1"/>
  <c r="M2170" i="1"/>
  <c r="M2176" i="1"/>
  <c r="K2042" i="1"/>
  <c r="N2042" i="1" s="1"/>
  <c r="L2151" i="1"/>
  <c r="G2047" i="13"/>
  <c r="J2047" i="13" s="1"/>
  <c r="M2194" i="1"/>
  <c r="M2090" i="1"/>
  <c r="K2065" i="1"/>
  <c r="N2065" i="1" s="1"/>
  <c r="L2174" i="1"/>
  <c r="G2070" i="13"/>
  <c r="J2070" i="13" s="1"/>
  <c r="M2192" i="1"/>
  <c r="M2142" i="1"/>
  <c r="M2040" i="1"/>
  <c r="M2150" i="1"/>
  <c r="M2048" i="1"/>
  <c r="L2138" i="1"/>
  <c r="G2034" i="13"/>
  <c r="K2029" i="1"/>
  <c r="M2138" i="1"/>
  <c r="M2032" i="1"/>
  <c r="O2029" i="1"/>
  <c r="K2034" i="1"/>
  <c r="N2034" i="1" s="1"/>
  <c r="M2143" i="1"/>
  <c r="O2034" i="1"/>
  <c r="L2090" i="1"/>
  <c r="L2194" i="1"/>
  <c r="G2090" i="13"/>
  <c r="K2085" i="1"/>
  <c r="O2085" i="1" s="1"/>
  <c r="L2147" i="1"/>
  <c r="G2043" i="13"/>
  <c r="J2043" i="13" s="1"/>
  <c r="K2038" i="1"/>
  <c r="N2038" i="1" s="1"/>
  <c r="O2021" i="1"/>
  <c r="M2167" i="1"/>
  <c r="M2062" i="1"/>
  <c r="O2058" i="1"/>
  <c r="K2335" i="1"/>
  <c r="N2335" i="1" s="1"/>
  <c r="G2340" i="13"/>
  <c r="J2340" i="13" s="1"/>
  <c r="M2319" i="1"/>
  <c r="K2319" i="1" s="1"/>
  <c r="K2207" i="1"/>
  <c r="O2207" i="1" s="1"/>
  <c r="G2135" i="13"/>
  <c r="G2136" i="13" s="1"/>
  <c r="F307" i="15" s="1"/>
  <c r="F309" i="15" s="1"/>
  <c r="G2334" i="13"/>
  <c r="J2334" i="13" s="1"/>
  <c r="K2329" i="1"/>
  <c r="K2346" i="1"/>
  <c r="G2350" i="13"/>
  <c r="O2222" i="1"/>
  <c r="O2348" i="1"/>
  <c r="G2231" i="13"/>
  <c r="J2229" i="13"/>
  <c r="J2231" i="13" s="1"/>
  <c r="N2115" i="1"/>
  <c r="K2117" i="1"/>
  <c r="N2117" i="1" s="1"/>
  <c r="M2297" i="1"/>
  <c r="L2317" i="1"/>
  <c r="G2210" i="13"/>
  <c r="K2205" i="1"/>
  <c r="N2089" i="1"/>
  <c r="O2089" i="1"/>
  <c r="K2198" i="1"/>
  <c r="L2310" i="1"/>
  <c r="G2203" i="13"/>
  <c r="J2203" i="13" s="1"/>
  <c r="M2299" i="1"/>
  <c r="O2115" i="1"/>
  <c r="M2298" i="1"/>
  <c r="J2224" i="13"/>
  <c r="K2330" i="1"/>
  <c r="N2330" i="1" s="1"/>
  <c r="G2335" i="13"/>
  <c r="J2335" i="13" s="1"/>
  <c r="M2352" i="1"/>
  <c r="G2333" i="13"/>
  <c r="L2331" i="1"/>
  <c r="K2328" i="1"/>
  <c r="G2339" i="13"/>
  <c r="J2339" i="13" s="1"/>
  <c r="K2334" i="1"/>
  <c r="N2334" i="1" s="1"/>
  <c r="K2341" i="1"/>
  <c r="N2341" i="1" s="1"/>
  <c r="G2346" i="13"/>
  <c r="J2346" i="13" s="1"/>
  <c r="L2349" i="1"/>
  <c r="L2102" i="1"/>
  <c r="L2313" i="1"/>
  <c r="G2206" i="13"/>
  <c r="K2201" i="1"/>
  <c r="L2204" i="1"/>
  <c r="O2203" i="1"/>
  <c r="M2315" i="1"/>
  <c r="M2102" i="1"/>
  <c r="M2322" i="1"/>
  <c r="M2295" i="1"/>
  <c r="O2123" i="1"/>
  <c r="M2340" i="1"/>
  <c r="M2232" i="1"/>
  <c r="K2227" i="1"/>
  <c r="O2227" i="1" s="1"/>
  <c r="J2010" i="13"/>
  <c r="J2026" i="13" s="1"/>
  <c r="J2027" i="13" s="1"/>
  <c r="I292" i="15" s="1"/>
  <c r="I294" i="15" s="1"/>
  <c r="O1642" i="1"/>
  <c r="O1850" i="1"/>
  <c r="O1823" i="1"/>
  <c r="L1750" i="1"/>
  <c r="L1808" i="1" s="1"/>
  <c r="O1829" i="1"/>
  <c r="O1826" i="1"/>
  <c r="O1835" i="1"/>
  <c r="O1818" i="1"/>
  <c r="I250" i="15"/>
  <c r="F243" i="15"/>
  <c r="F250" i="15" s="1"/>
  <c r="J1648" i="13"/>
  <c r="J1705" i="13" s="1"/>
  <c r="G1889" i="13"/>
  <c r="K1836" i="1"/>
  <c r="N1836" i="1" s="1"/>
  <c r="N1833" i="1"/>
  <c r="G1945" i="13"/>
  <c r="K1940" i="1"/>
  <c r="O1940" i="1" s="1"/>
  <c r="L1943" i="1"/>
  <c r="N2000" i="1"/>
  <c r="G1954" i="13"/>
  <c r="L1953" i="1"/>
  <c r="K1949" i="1"/>
  <c r="L1967" i="1"/>
  <c r="L2076" i="1" s="1"/>
  <c r="G1865" i="13"/>
  <c r="J1865" i="13" s="1"/>
  <c r="K1860" i="1"/>
  <c r="O1860" i="1" s="1"/>
  <c r="G1963" i="13"/>
  <c r="J1963" i="13" s="1"/>
  <c r="K1958" i="1"/>
  <c r="N1958" i="1" s="1"/>
  <c r="J1863" i="13"/>
  <c r="G1970" i="13"/>
  <c r="K1965" i="1"/>
  <c r="O1965" i="1" s="1"/>
  <c r="J1766" i="13"/>
  <c r="K1957" i="1"/>
  <c r="N1957" i="1" s="1"/>
  <c r="G1962" i="13"/>
  <c r="J1962" i="13" s="1"/>
  <c r="L1969" i="1"/>
  <c r="L2078" i="1" s="1"/>
  <c r="G1867" i="13"/>
  <c r="J1867" i="13" s="1"/>
  <c r="K1862" i="1"/>
  <c r="O1862" i="1" s="1"/>
  <c r="L1974" i="1"/>
  <c r="L2083" i="1" s="1"/>
  <c r="G1872" i="13"/>
  <c r="J1872" i="13" s="1"/>
  <c r="K1867" i="1"/>
  <c r="M1947" i="1"/>
  <c r="M1914" i="1"/>
  <c r="O1844" i="1"/>
  <c r="G1860" i="13"/>
  <c r="J1852" i="13"/>
  <c r="J1860" i="13" s="1"/>
  <c r="N1825" i="1"/>
  <c r="K1832" i="1"/>
  <c r="N1832" i="1" s="1"/>
  <c r="L1939" i="1"/>
  <c r="G1937" i="13"/>
  <c r="K1932" i="1"/>
  <c r="G1829" i="13"/>
  <c r="J1822" i="13"/>
  <c r="J1829" i="13" s="1"/>
  <c r="M2023" i="1"/>
  <c r="N1909" i="1"/>
  <c r="O1909" i="1"/>
  <c r="J1889" i="13"/>
  <c r="L1973" i="1"/>
  <c r="L2082" i="1" s="1"/>
  <c r="G1870" i="13"/>
  <c r="J1870" i="13" s="1"/>
  <c r="K1866" i="1"/>
  <c r="O1866" i="1" s="1"/>
  <c r="O1821" i="1"/>
  <c r="M1701" i="1"/>
  <c r="M1993" i="1"/>
  <c r="K1749" i="1"/>
  <c r="N1749" i="1" s="1"/>
  <c r="N1739" i="1"/>
  <c r="O1830" i="1"/>
  <c r="K1961" i="1"/>
  <c r="N1961" i="1" s="1"/>
  <c r="G1966" i="13"/>
  <c r="J1966" i="13" s="1"/>
  <c r="G1950" i="13"/>
  <c r="J1950" i="13" s="1"/>
  <c r="K1945" i="1"/>
  <c r="N1945" i="1" s="1"/>
  <c r="K1761" i="1"/>
  <c r="D261" i="15"/>
  <c r="E261" i="15" s="1"/>
  <c r="E259" i="15"/>
  <c r="N1983" i="1"/>
  <c r="K1986" i="1"/>
  <c r="O1986" i="1" s="1"/>
  <c r="O1983" i="1"/>
  <c r="O1565" i="1"/>
  <c r="O1566" i="1" s="1"/>
  <c r="N1565" i="1"/>
  <c r="N1566" i="1" s="1"/>
  <c r="K1566" i="1"/>
  <c r="K1594" i="1" s="1"/>
  <c r="G1932" i="13"/>
  <c r="J1932" i="13" s="1"/>
  <c r="K1927" i="1"/>
  <c r="N1927" i="1" s="1"/>
  <c r="N1987" i="1"/>
  <c r="K1992" i="1"/>
  <c r="N1992" i="1" s="1"/>
  <c r="E277" i="15"/>
  <c r="D279" i="15"/>
  <c r="E279" i="15" s="1"/>
  <c r="K2013" i="1"/>
  <c r="K2014" i="1" s="1"/>
  <c r="N2014" i="1" s="1"/>
  <c r="L2014" i="1"/>
  <c r="L2022" i="1" s="1"/>
  <c r="L2023" i="1" s="1"/>
  <c r="N1980" i="1"/>
  <c r="O1980" i="1"/>
  <c r="K1921" i="1"/>
  <c r="N1921" i="1" s="1"/>
  <c r="G1926" i="13"/>
  <c r="J1926" i="13" s="1"/>
  <c r="K1933" i="1"/>
  <c r="N1933" i="1" s="1"/>
  <c r="G1938" i="13"/>
  <c r="J1938" i="13" s="1"/>
  <c r="M1975" i="1"/>
  <c r="G1947" i="13"/>
  <c r="J1947" i="13" s="1"/>
  <c r="K1942" i="1"/>
  <c r="N1942" i="1" s="1"/>
  <c r="M1981" i="1"/>
  <c r="G1961" i="13"/>
  <c r="J1961" i="13" s="1"/>
  <c r="K1956" i="1"/>
  <c r="N1956" i="1" s="1"/>
  <c r="N2002" i="1"/>
  <c r="O2002" i="1"/>
  <c r="O1825" i="1"/>
  <c r="K1935" i="1"/>
  <c r="N1935" i="1" s="1"/>
  <c r="G1940" i="13"/>
  <c r="J1940" i="13" s="1"/>
  <c r="O1848" i="1"/>
  <c r="G1925" i="13"/>
  <c r="J1925" i="13" s="1"/>
  <c r="K1920" i="1"/>
  <c r="N1920" i="1" s="1"/>
  <c r="M1943" i="1"/>
  <c r="G1939" i="13"/>
  <c r="J1939" i="13" s="1"/>
  <c r="K1934" i="1"/>
  <c r="N1934" i="1" s="1"/>
  <c r="M1923" i="1"/>
  <c r="N1752" i="1"/>
  <c r="O1752" i="1"/>
  <c r="K1930" i="1"/>
  <c r="N1930" i="1" s="1"/>
  <c r="G1935" i="13"/>
  <c r="J1935" i="13" s="1"/>
  <c r="O1869" i="1"/>
  <c r="N1869" i="1"/>
  <c r="K1874" i="1"/>
  <c r="J1874" i="13"/>
  <c r="J1879" i="13" s="1"/>
  <c r="G1879" i="13"/>
  <c r="M1856" i="1"/>
  <c r="M1962" i="1"/>
  <c r="M2071" i="1" s="1"/>
  <c r="G1934" i="13"/>
  <c r="J1934" i="13" s="1"/>
  <c r="K1929" i="1"/>
  <c r="N1929" i="1" s="1"/>
  <c r="G1845" i="13"/>
  <c r="J1842" i="13"/>
  <c r="J1845" i="13" s="1"/>
  <c r="N1837" i="1"/>
  <c r="K1840" i="1"/>
  <c r="N1840" i="1" s="1"/>
  <c r="G1705" i="13"/>
  <c r="L1841" i="1"/>
  <c r="L1857" i="1" s="1"/>
  <c r="G1739" i="13"/>
  <c r="F255" i="15" s="1"/>
  <c r="N1842" i="1"/>
  <c r="K1846" i="1"/>
  <c r="O1846" i="1" s="1"/>
  <c r="G1851" i="13"/>
  <c r="J1847" i="13"/>
  <c r="J1851" i="13" s="1"/>
  <c r="G1957" i="13"/>
  <c r="J1957" i="13" s="1"/>
  <c r="K1952" i="1"/>
  <c r="N1952" i="1" s="1"/>
  <c r="N1858" i="1"/>
  <c r="L1868" i="1"/>
  <c r="L1875" i="1" s="1"/>
  <c r="L1886" i="1" s="1"/>
  <c r="L1887" i="1" s="1"/>
  <c r="D274" i="15" s="1"/>
  <c r="G1766" i="13"/>
  <c r="G1773" i="13" s="1"/>
  <c r="G1784" i="13" s="1"/>
  <c r="G1785" i="13" s="1"/>
  <c r="F259" i="15" s="1"/>
  <c r="F261" i="15" s="1"/>
  <c r="O1822" i="1"/>
  <c r="N1879" i="1"/>
  <c r="K1884" i="1"/>
  <c r="N1884" i="1" s="1"/>
  <c r="O1879" i="1"/>
  <c r="G1931" i="13"/>
  <c r="J1931" i="13" s="1"/>
  <c r="K1926" i="1"/>
  <c r="N1926" i="1" s="1"/>
  <c r="O1839" i="1"/>
  <c r="K1951" i="1"/>
  <c r="N1951" i="1" s="1"/>
  <c r="G1956" i="13"/>
  <c r="J1956" i="13" s="1"/>
  <c r="N2006" i="1"/>
  <c r="K2008" i="1"/>
  <c r="N2008" i="1" s="1"/>
  <c r="N1760" i="1"/>
  <c r="O1760" i="1"/>
  <c r="G1943" i="13"/>
  <c r="J1943" i="13" s="1"/>
  <c r="K1938" i="1"/>
  <c r="N1938" i="1" s="1"/>
  <c r="N1871" i="1"/>
  <c r="O1871" i="1"/>
  <c r="K1978" i="1"/>
  <c r="G1983" i="13"/>
  <c r="J1983" i="13" s="1"/>
  <c r="K1928" i="1"/>
  <c r="N1928" i="1" s="1"/>
  <c r="G1933" i="13"/>
  <c r="J1933" i="13" s="1"/>
  <c r="G1965" i="13"/>
  <c r="J1965" i="13" s="1"/>
  <c r="K1960" i="1"/>
  <c r="N1960" i="1" s="1"/>
  <c r="M1780" i="1"/>
  <c r="M1808" i="1" s="1"/>
  <c r="N2009" i="1"/>
  <c r="N1699" i="1"/>
  <c r="N1700" i="1" s="1"/>
  <c r="K1700" i="1"/>
  <c r="O1699" i="1"/>
  <c r="O1700" i="1" s="1"/>
  <c r="K1946" i="1"/>
  <c r="N1946" i="1" s="1"/>
  <c r="G1951" i="13"/>
  <c r="J1951" i="13" s="1"/>
  <c r="K1955" i="1"/>
  <c r="N1955" i="1" s="1"/>
  <c r="G1960" i="13"/>
  <c r="J1960" i="13" s="1"/>
  <c r="O1853" i="1"/>
  <c r="O1717" i="1"/>
  <c r="L1971" i="1"/>
  <c r="L2080" i="1" s="1"/>
  <c r="G1869" i="13"/>
  <c r="J1869" i="13" s="1"/>
  <c r="K1864" i="1"/>
  <c r="O1864" i="1" s="1"/>
  <c r="K1937" i="1"/>
  <c r="N1937" i="1" s="1"/>
  <c r="G1942" i="13"/>
  <c r="J1942" i="13" s="1"/>
  <c r="L1970" i="1"/>
  <c r="L2079" i="1" s="1"/>
  <c r="G1868" i="13"/>
  <c r="J1868" i="13" s="1"/>
  <c r="K1863" i="1"/>
  <c r="O1863" i="1" s="1"/>
  <c r="O1838" i="1"/>
  <c r="O1827" i="1"/>
  <c r="N1847" i="1"/>
  <c r="K1855" i="1"/>
  <c r="N1855" i="1" s="1"/>
  <c r="G1959" i="13"/>
  <c r="K1954" i="1"/>
  <c r="L1962" i="1"/>
  <c r="L2071" i="1" s="1"/>
  <c r="L2180" i="1" s="1"/>
  <c r="L2290" i="1" s="1"/>
  <c r="G1837" i="13"/>
  <c r="J1830" i="13"/>
  <c r="J1837" i="13" s="1"/>
  <c r="K1824" i="1"/>
  <c r="N1824" i="1" s="1"/>
  <c r="N1817" i="1"/>
  <c r="G1929" i="13"/>
  <c r="K1924" i="1"/>
  <c r="O1924" i="1" s="1"/>
  <c r="L1931" i="1"/>
  <c r="K1959" i="1"/>
  <c r="N1959" i="1" s="1"/>
  <c r="G1964" i="13"/>
  <c r="J1964" i="13" s="1"/>
  <c r="G1955" i="13"/>
  <c r="J1955" i="13" s="1"/>
  <c r="K1950" i="1"/>
  <c r="N1950" i="1" s="1"/>
  <c r="O1831" i="1"/>
  <c r="O2000" i="1"/>
  <c r="O1990" i="1"/>
  <c r="O1777" i="1"/>
  <c r="J1773" i="13"/>
  <c r="J1784" i="13" s="1"/>
  <c r="J1785" i="13" s="1"/>
  <c r="I259" i="15" s="1"/>
  <c r="I261" i="15" s="1"/>
  <c r="O1748" i="1"/>
  <c r="G1941" i="13"/>
  <c r="J1941" i="13" s="1"/>
  <c r="K1936" i="1"/>
  <c r="N1936" i="1" s="1"/>
  <c r="K1925" i="1"/>
  <c r="N1925" i="1" s="1"/>
  <c r="G1930" i="13"/>
  <c r="J1930" i="13" s="1"/>
  <c r="O1984" i="1"/>
  <c r="O1937" i="1"/>
  <c r="O1654" i="1"/>
  <c r="N1654" i="1"/>
  <c r="K1661" i="1"/>
  <c r="K2005" i="1"/>
  <c r="K2018" i="1"/>
  <c r="N2018" i="1" s="1"/>
  <c r="J1988" i="13"/>
  <c r="G1991" i="13"/>
  <c r="J1991" i="13"/>
  <c r="O1985" i="1"/>
  <c r="O2016" i="1"/>
  <c r="O1852" i="1"/>
  <c r="O1845" i="1"/>
  <c r="G1997" i="13"/>
  <c r="J1997" i="13"/>
  <c r="O1991" i="1"/>
  <c r="N1904" i="1"/>
  <c r="O1904" i="1"/>
  <c r="O1942" i="1"/>
  <c r="M1875" i="1"/>
  <c r="K1905" i="1"/>
  <c r="M1931" i="1"/>
  <c r="M1939" i="1"/>
  <c r="O1932" i="1"/>
  <c r="O1814" i="1"/>
  <c r="O2006" i="1"/>
  <c r="O1833" i="1"/>
  <c r="O1813" i="1"/>
  <c r="M1841" i="1"/>
  <c r="K1859" i="1"/>
  <c r="L1966" i="1"/>
  <c r="L2075" i="1" s="1"/>
  <c r="G1864" i="13"/>
  <c r="J1864" i="13" s="1"/>
  <c r="L1968" i="1"/>
  <c r="L2077" i="1" s="1"/>
  <c r="G1866" i="13"/>
  <c r="J1866" i="13" s="1"/>
  <c r="K1861" i="1"/>
  <c r="O1861" i="1" s="1"/>
  <c r="K1976" i="1"/>
  <c r="G1981" i="13"/>
  <c r="L1981" i="1"/>
  <c r="O1854" i="1"/>
  <c r="O1847" i="1"/>
  <c r="O1987" i="1"/>
  <c r="O1883" i="1"/>
  <c r="K1944" i="1"/>
  <c r="O1944" i="1" s="1"/>
  <c r="G1949" i="13"/>
  <c r="L1947" i="1"/>
  <c r="G1946" i="13"/>
  <c r="J1946" i="13" s="1"/>
  <c r="K1941" i="1"/>
  <c r="N1941" i="1" s="1"/>
  <c r="M1953" i="1"/>
  <c r="G1841" i="13"/>
  <c r="J1838" i="13"/>
  <c r="J1841" i="13" s="1"/>
  <c r="J1820" i="13"/>
  <c r="J1821" i="13" s="1"/>
  <c r="G1821" i="13"/>
  <c r="N1709" i="1"/>
  <c r="O1709" i="1"/>
  <c r="K1734" i="1"/>
  <c r="O1380" i="1"/>
  <c r="O1536" i="1"/>
  <c r="N1536" i="1"/>
  <c r="D250" i="15"/>
  <c r="E250" i="15" s="1"/>
  <c r="E243" i="15"/>
  <c r="E213" i="15"/>
  <c r="D220" i="15"/>
  <c r="E220" i="15" s="1"/>
  <c r="N1815" i="1"/>
  <c r="O1815" i="1"/>
  <c r="K1816" i="1"/>
  <c r="G1927" i="13"/>
  <c r="K1922" i="1"/>
  <c r="L1923" i="1"/>
  <c r="K1643" i="1"/>
  <c r="O1627" i="1"/>
  <c r="N1627" i="1"/>
  <c r="I255" i="15"/>
  <c r="E255" i="15"/>
  <c r="D258" i="15"/>
  <c r="K1459" i="1"/>
  <c r="K1487" i="1" s="1"/>
  <c r="N1487" i="1" s="1"/>
  <c r="N1458" i="1"/>
  <c r="N1459" i="1" s="1"/>
  <c r="O1458" i="1"/>
  <c r="O1459" i="1" s="1"/>
  <c r="N1429" i="1"/>
  <c r="O1429" i="1"/>
  <c r="F1022" i="2"/>
  <c r="F1008" i="2"/>
  <c r="I1020" i="2"/>
  <c r="O1921" i="1" l="1"/>
  <c r="O2068" i="1"/>
  <c r="Q1118" i="17"/>
  <c r="H277" i="15"/>
  <c r="H279" i="15" s="1"/>
  <c r="H280" i="15" s="1"/>
  <c r="K1293" i="17"/>
  <c r="J1231" i="17"/>
  <c r="M1231" i="17" s="1"/>
  <c r="Q1231" i="17"/>
  <c r="M1116" i="17"/>
  <c r="J1117" i="17"/>
  <c r="L1300" i="17"/>
  <c r="L1299" i="17"/>
  <c r="N1237" i="17"/>
  <c r="L1258" i="17"/>
  <c r="L1265" i="17"/>
  <c r="N1203" i="17"/>
  <c r="L1284" i="17"/>
  <c r="H265" i="15"/>
  <c r="L1290" i="17"/>
  <c r="K1246" i="17"/>
  <c r="Q1184" i="17"/>
  <c r="J1184" i="17"/>
  <c r="K1189" i="17"/>
  <c r="J1218" i="17"/>
  <c r="M1218" i="17" s="1"/>
  <c r="K1280" i="17"/>
  <c r="Q1218" i="17"/>
  <c r="Q1127" i="17"/>
  <c r="K1296" i="17"/>
  <c r="Q1234" i="17"/>
  <c r="J1234" i="17"/>
  <c r="K1279" i="17"/>
  <c r="Q1217" i="17"/>
  <c r="J1217" i="17"/>
  <c r="M1217" i="17" s="1"/>
  <c r="J1238" i="17"/>
  <c r="M1238" i="17" s="1"/>
  <c r="Q1238" i="17"/>
  <c r="K1300" i="17"/>
  <c r="M1154" i="17"/>
  <c r="N1154" i="17"/>
  <c r="L1271" i="17"/>
  <c r="N1126" i="17"/>
  <c r="K1295" i="17"/>
  <c r="Q1233" i="17"/>
  <c r="J1233" i="17"/>
  <c r="M1233" i="17" s="1"/>
  <c r="N1116" i="17"/>
  <c r="Q1201" i="17"/>
  <c r="K1263" i="17"/>
  <c r="J1201" i="17"/>
  <c r="M1201" i="17" s="1"/>
  <c r="K1253" i="17"/>
  <c r="Q1191" i="17"/>
  <c r="J1191" i="17"/>
  <c r="M1191" i="17" s="1"/>
  <c r="G292" i="15"/>
  <c r="G294" i="15" s="1"/>
  <c r="K1180" i="17"/>
  <c r="L1272" i="17"/>
  <c r="L1249" i="17"/>
  <c r="N1187" i="17"/>
  <c r="N1812" i="1"/>
  <c r="O1812" i="1"/>
  <c r="Q1204" i="17"/>
  <c r="K1266" i="17"/>
  <c r="J1204" i="17"/>
  <c r="M1204" i="17" s="1"/>
  <c r="L1145" i="17"/>
  <c r="K1275" i="17"/>
  <c r="J1213" i="17"/>
  <c r="M1213" i="17" s="1"/>
  <c r="Q1213" i="17"/>
  <c r="L1289" i="17"/>
  <c r="N1227" i="17"/>
  <c r="L1344" i="17"/>
  <c r="M1124" i="17"/>
  <c r="N1124" i="17"/>
  <c r="N1169" i="17"/>
  <c r="N1170" i="17"/>
  <c r="N1131" i="17"/>
  <c r="L1292" i="17"/>
  <c r="L1179" i="17"/>
  <c r="O1749" i="1"/>
  <c r="O1956" i="1"/>
  <c r="M2137" i="1"/>
  <c r="L1298" i="17"/>
  <c r="K1262" i="17"/>
  <c r="J1200" i="17"/>
  <c r="M1200" i="17" s="1"/>
  <c r="Q1200" i="17"/>
  <c r="L1291" i="17"/>
  <c r="N1229" i="17"/>
  <c r="L1136" i="17"/>
  <c r="Q1282" i="17"/>
  <c r="K1344" i="17"/>
  <c r="J1282" i="17"/>
  <c r="M1282" i="17" s="1"/>
  <c r="L1257" i="17"/>
  <c r="G285" i="15"/>
  <c r="G288" i="15" s="1"/>
  <c r="K1136" i="17"/>
  <c r="N1191" i="17"/>
  <c r="L1253" i="17"/>
  <c r="K1257" i="17"/>
  <c r="Q1195" i="17"/>
  <c r="J1195" i="17"/>
  <c r="M1195" i="17" s="1"/>
  <c r="K1252" i="17"/>
  <c r="K1197" i="17"/>
  <c r="G301" i="15" s="1"/>
  <c r="Q1190" i="17"/>
  <c r="J1190" i="17"/>
  <c r="J1188" i="17"/>
  <c r="M1188" i="17" s="1"/>
  <c r="K1250" i="17"/>
  <c r="Q1188" i="17"/>
  <c r="L1267" i="17"/>
  <c r="L1275" i="17"/>
  <c r="N1213" i="17"/>
  <c r="K1247" i="17"/>
  <c r="J1185" i="17"/>
  <c r="M1185" i="17" s="1"/>
  <c r="Q1185" i="17"/>
  <c r="L1295" i="17"/>
  <c r="N1233" i="17"/>
  <c r="N1159" i="17"/>
  <c r="K1267" i="17"/>
  <c r="J1205" i="17"/>
  <c r="M1205" i="17" s="1"/>
  <c r="Q1205" i="17"/>
  <c r="L1250" i="17"/>
  <c r="N1188" i="17"/>
  <c r="L1118" i="17"/>
  <c r="N1200" i="17"/>
  <c r="L1262" i="17"/>
  <c r="L1266" i="17"/>
  <c r="N1204" i="17"/>
  <c r="K1298" i="17"/>
  <c r="Q1236" i="17"/>
  <c r="J1236" i="17"/>
  <c r="M1236" i="17" s="1"/>
  <c r="L1287" i="17"/>
  <c r="M1065" i="17"/>
  <c r="J1074" i="17"/>
  <c r="M1074" i="17" s="1"/>
  <c r="K1287" i="17"/>
  <c r="Q1225" i="17"/>
  <c r="J1225" i="17"/>
  <c r="M1225" i="17" s="1"/>
  <c r="L1340" i="17"/>
  <c r="N1173" i="17"/>
  <c r="K1289" i="17"/>
  <c r="J1227" i="17"/>
  <c r="M1227" i="17" s="1"/>
  <c r="Q1227" i="17"/>
  <c r="K1254" i="17"/>
  <c r="Q1192" i="17"/>
  <c r="J1192" i="17"/>
  <c r="M1192" i="17" s="1"/>
  <c r="Q1186" i="17"/>
  <c r="K1248" i="17"/>
  <c r="J1186" i="17"/>
  <c r="L1293" i="17"/>
  <c r="N1231" i="17"/>
  <c r="L1294" i="17"/>
  <c r="N1232" i="17"/>
  <c r="L1255" i="17"/>
  <c r="N1168" i="17"/>
  <c r="K1255" i="17"/>
  <c r="Q1193" i="17"/>
  <c r="J1193" i="17"/>
  <c r="M1193" i="17" s="1"/>
  <c r="K1294" i="17"/>
  <c r="Q1232" i="17"/>
  <c r="J1232" i="17"/>
  <c r="M1232" i="17" s="1"/>
  <c r="L1285" i="17"/>
  <c r="K1291" i="17"/>
  <c r="J1229" i="17"/>
  <c r="M1229" i="17" s="1"/>
  <c r="Q1229" i="17"/>
  <c r="L1256" i="17"/>
  <c r="M1128" i="17"/>
  <c r="J1135" i="17"/>
  <c r="M1135" i="17" s="1"/>
  <c r="K1286" i="17"/>
  <c r="Q1224" i="17"/>
  <c r="J1224" i="17"/>
  <c r="M1224" i="17" s="1"/>
  <c r="K1283" i="17"/>
  <c r="J1221" i="17"/>
  <c r="M1221" i="17" s="1"/>
  <c r="Q1221" i="17"/>
  <c r="L1283" i="17"/>
  <c r="L1254" i="17"/>
  <c r="N1192" i="17"/>
  <c r="K1278" i="17"/>
  <c r="J1216" i="17"/>
  <c r="Q1216" i="17"/>
  <c r="N994" i="17"/>
  <c r="Q1144" i="17"/>
  <c r="Q1145" i="17" s="1"/>
  <c r="H289" i="15" s="1"/>
  <c r="H291" i="15" s="1"/>
  <c r="K1276" i="17"/>
  <c r="J1214" i="17"/>
  <c r="N1214" i="17" s="1"/>
  <c r="Q1214" i="17"/>
  <c r="L1206" i="17"/>
  <c r="L1261" i="17"/>
  <c r="N1138" i="17"/>
  <c r="M1146" i="17"/>
  <c r="J1203" i="17"/>
  <c r="K1265" i="17"/>
  <c r="Q1203" i="17"/>
  <c r="N1074" i="17"/>
  <c r="L1310" i="17"/>
  <c r="N1224" i="17"/>
  <c r="L1286" i="17"/>
  <c r="M1137" i="17"/>
  <c r="J1144" i="17"/>
  <c r="M1144" i="17" s="1"/>
  <c r="Q1228" i="17"/>
  <c r="K1290" i="17"/>
  <c r="J1228" i="17"/>
  <c r="M1228" i="17" s="1"/>
  <c r="L2028" i="1"/>
  <c r="G1924" i="13"/>
  <c r="J1924" i="13" s="1"/>
  <c r="K1919" i="1"/>
  <c r="N1140" i="17"/>
  <c r="K1277" i="17"/>
  <c r="Q1215" i="17"/>
  <c r="J1215" i="17"/>
  <c r="M1215" i="17" s="1"/>
  <c r="N1157" i="17"/>
  <c r="L1197" i="17"/>
  <c r="L1252" i="17"/>
  <c r="N1190" i="17"/>
  <c r="L1297" i="17"/>
  <c r="N1235" i="17"/>
  <c r="L1288" i="17"/>
  <c r="K1288" i="17"/>
  <c r="Q1226" i="17"/>
  <c r="J1226" i="17"/>
  <c r="M1226" i="17" s="1"/>
  <c r="N1177" i="17"/>
  <c r="N1156" i="17"/>
  <c r="N1155" i="17"/>
  <c r="L1270" i="17"/>
  <c r="L1240" i="17"/>
  <c r="D270" i="15"/>
  <c r="O1935" i="1"/>
  <c r="O2046" i="1"/>
  <c r="N1073" i="17"/>
  <c r="L1277" i="17"/>
  <c r="N1215" i="17"/>
  <c r="L1246" i="17"/>
  <c r="L1189" i="17"/>
  <c r="K1301" i="17"/>
  <c r="J1239" i="17"/>
  <c r="M1239" i="17" s="1"/>
  <c r="Q1239" i="17"/>
  <c r="M1122" i="17"/>
  <c r="J1127" i="17"/>
  <c r="N1127" i="17" s="1"/>
  <c r="Q1135" i="17"/>
  <c r="H286" i="15" s="1"/>
  <c r="L1247" i="17"/>
  <c r="N1185" i="17"/>
  <c r="G277" i="15"/>
  <c r="G279" i="15" s="1"/>
  <c r="G280" i="15" s="1"/>
  <c r="K1118" i="17"/>
  <c r="Q1230" i="17"/>
  <c r="K1292" i="17"/>
  <c r="J1230" i="17"/>
  <c r="M1230" i="17" s="1"/>
  <c r="J1083" i="17"/>
  <c r="M1083" i="17" s="1"/>
  <c r="M1172" i="17"/>
  <c r="N1172" i="17"/>
  <c r="L1263" i="17"/>
  <c r="N1201" i="17"/>
  <c r="Q1202" i="17"/>
  <c r="K1264" i="17"/>
  <c r="J1202" i="17"/>
  <c r="M1202" i="17" s="1"/>
  <c r="Q1222" i="17"/>
  <c r="K1284" i="17"/>
  <c r="J1222" i="17"/>
  <c r="M1222" i="17" s="1"/>
  <c r="K1258" i="17"/>
  <c r="J1196" i="17"/>
  <c r="M1196" i="17" s="1"/>
  <c r="Q1196" i="17"/>
  <c r="K1297" i="17"/>
  <c r="Q1235" i="17"/>
  <c r="J1235" i="17"/>
  <c r="M1235" i="17" s="1"/>
  <c r="K1249" i="17"/>
  <c r="Q1187" i="17"/>
  <c r="J1187" i="17"/>
  <c r="M1187" i="17" s="1"/>
  <c r="K1270" i="17"/>
  <c r="J1208" i="17"/>
  <c r="Q1208" i="17"/>
  <c r="K1271" i="17"/>
  <c r="Q1209" i="17"/>
  <c r="J1209" i="17"/>
  <c r="M1209" i="17" s="1"/>
  <c r="N1012" i="17"/>
  <c r="N1162" i="17"/>
  <c r="Q1199" i="17"/>
  <c r="K1261" i="17"/>
  <c r="K1206" i="17"/>
  <c r="K1207" i="17" s="1"/>
  <c r="G304" i="15" s="1"/>
  <c r="G306" i="15" s="1"/>
  <c r="J1199" i="17"/>
  <c r="N1199" i="17" s="1"/>
  <c r="N1125" i="17"/>
  <c r="L1264" i="17"/>
  <c r="N1202" i="17"/>
  <c r="Q1210" i="17"/>
  <c r="K1272" i="17"/>
  <c r="J1210" i="17"/>
  <c r="M1210" i="17" s="1"/>
  <c r="L1281" i="17"/>
  <c r="N1219" i="17"/>
  <c r="J1219" i="17"/>
  <c r="M1219" i="17" s="1"/>
  <c r="N1135" i="17"/>
  <c r="N1165" i="17"/>
  <c r="N1220" i="17"/>
  <c r="K1285" i="17"/>
  <c r="Q1223" i="17"/>
  <c r="J1223" i="17"/>
  <c r="M1223" i="17" s="1"/>
  <c r="L1301" i="17"/>
  <c r="N1239" i="17"/>
  <c r="K1212" i="17"/>
  <c r="Q1150" i="17"/>
  <c r="Q1178" i="17" s="1"/>
  <c r="Q1179" i="17" s="1"/>
  <c r="J1150" i="17"/>
  <c r="J1178" i="17" s="1"/>
  <c r="K1256" i="17"/>
  <c r="Q1194" i="17"/>
  <c r="J1194" i="17"/>
  <c r="M1194" i="17" s="1"/>
  <c r="L1280" i="17"/>
  <c r="N1218" i="17"/>
  <c r="L1279" i="17"/>
  <c r="N1217" i="17"/>
  <c r="K1299" i="17"/>
  <c r="Q1237" i="17"/>
  <c r="J1237" i="17"/>
  <c r="M1237" i="17" s="1"/>
  <c r="M1055" i="17"/>
  <c r="J1056" i="17"/>
  <c r="M1056" i="17" s="1"/>
  <c r="O1928" i="1"/>
  <c r="G1861" i="13"/>
  <c r="F271" i="15" s="1"/>
  <c r="O2044" i="1"/>
  <c r="O2037" i="1"/>
  <c r="O2059" i="1"/>
  <c r="L2210" i="1"/>
  <c r="L2211" i="1" s="1"/>
  <c r="O2308" i="1"/>
  <c r="O2030" i="1"/>
  <c r="O2319" i="1"/>
  <c r="N2319" i="1"/>
  <c r="J1755" i="13"/>
  <c r="J1812" i="13" s="1"/>
  <c r="F258" i="15"/>
  <c r="J2228" i="13"/>
  <c r="J2244" i="13" s="1"/>
  <c r="J2245" i="13" s="1"/>
  <c r="I322" i="15" s="1"/>
  <c r="I324" i="15" s="1"/>
  <c r="I258" i="15"/>
  <c r="I265" i="15" s="1"/>
  <c r="L1948" i="1"/>
  <c r="G1755" i="13"/>
  <c r="O1957" i="1"/>
  <c r="O1951" i="1"/>
  <c r="O2067" i="1"/>
  <c r="O2061" i="1"/>
  <c r="O2047" i="1"/>
  <c r="O2070" i="1"/>
  <c r="O2064" i="1"/>
  <c r="O2338" i="1"/>
  <c r="G2228" i="13"/>
  <c r="G2244" i="13" s="1"/>
  <c r="G2245" i="13" s="1"/>
  <c r="F322" i="15" s="1"/>
  <c r="F324" i="15" s="1"/>
  <c r="N2223" i="1"/>
  <c r="O2223" i="1"/>
  <c r="L2186" i="1"/>
  <c r="G2082" i="13"/>
  <c r="J2082" i="13" s="1"/>
  <c r="K2077" i="1"/>
  <c r="O2077" i="1" s="1"/>
  <c r="L2184" i="1"/>
  <c r="G2080" i="13"/>
  <c r="J2080" i="13" s="1"/>
  <c r="K2075" i="1"/>
  <c r="L2188" i="1"/>
  <c r="G2084" i="13"/>
  <c r="J2084" i="13" s="1"/>
  <c r="K2079" i="1"/>
  <c r="O2079" i="1" s="1"/>
  <c r="M2180" i="1"/>
  <c r="L2192" i="1"/>
  <c r="G2088" i="13"/>
  <c r="J2088" i="13" s="1"/>
  <c r="K2083" i="1"/>
  <c r="L2185" i="1"/>
  <c r="G2081" i="13"/>
  <c r="J2081" i="13" s="1"/>
  <c r="K2076" i="1"/>
  <c r="O2076" i="1" s="1"/>
  <c r="N2227" i="1"/>
  <c r="N2201" i="1"/>
  <c r="K2204" i="1"/>
  <c r="G2318" i="13"/>
  <c r="K2313" i="1"/>
  <c r="L2316" i="1"/>
  <c r="N2328" i="1"/>
  <c r="K2331" i="1"/>
  <c r="O2331" i="1" s="1"/>
  <c r="O2328" i="1"/>
  <c r="G2336" i="13"/>
  <c r="J2333" i="13"/>
  <c r="J2336" i="13" s="1"/>
  <c r="N2198" i="1"/>
  <c r="O2198" i="1"/>
  <c r="N2205" i="1"/>
  <c r="G2322" i="13"/>
  <c r="K2317" i="1"/>
  <c r="O2317" i="1" s="1"/>
  <c r="N2346" i="1"/>
  <c r="N2329" i="1"/>
  <c r="O2329" i="1"/>
  <c r="M2276" i="1"/>
  <c r="M2171" i="1"/>
  <c r="L2256" i="1"/>
  <c r="G2152" i="13"/>
  <c r="J2152" i="13" s="1"/>
  <c r="K2147" i="1"/>
  <c r="N2147" i="1" s="1"/>
  <c r="G2095" i="13"/>
  <c r="J2090" i="13"/>
  <c r="J2095" i="13" s="1"/>
  <c r="M2252" i="1"/>
  <c r="M2141" i="1"/>
  <c r="M2247" i="1"/>
  <c r="N2029" i="1"/>
  <c r="L2247" i="1"/>
  <c r="G2143" i="13"/>
  <c r="K2138" i="1"/>
  <c r="M2251" i="1"/>
  <c r="M2149" i="1"/>
  <c r="M2302" i="1"/>
  <c r="K2174" i="1"/>
  <c r="N2174" i="1" s="1"/>
  <c r="L2283" i="1"/>
  <c r="G2179" i="13"/>
  <c r="J2179" i="13" s="1"/>
  <c r="M2199" i="1"/>
  <c r="M2304" i="1"/>
  <c r="K2151" i="1"/>
  <c r="N2151" i="1" s="1"/>
  <c r="L2260" i="1"/>
  <c r="G2156" i="13"/>
  <c r="J2156" i="13" s="1"/>
  <c r="L2252" i="1"/>
  <c r="G2148" i="13"/>
  <c r="J2148" i="13" s="1"/>
  <c r="K2143" i="1"/>
  <c r="N2143" i="1" s="1"/>
  <c r="L2157" i="1"/>
  <c r="L2259" i="1"/>
  <c r="G2155" i="13"/>
  <c r="K2150" i="1"/>
  <c r="K2146" i="1"/>
  <c r="N2146" i="1" s="1"/>
  <c r="L2255" i="1"/>
  <c r="G2151" i="13"/>
  <c r="J2151" i="13" s="1"/>
  <c r="K2196" i="1"/>
  <c r="L2306" i="1"/>
  <c r="G2201" i="13"/>
  <c r="J2201" i="13" s="1"/>
  <c r="L2253" i="1"/>
  <c r="K2144" i="1"/>
  <c r="N2144" i="1" s="1"/>
  <c r="G2149" i="13"/>
  <c r="J2149" i="13" s="1"/>
  <c r="M2283" i="1"/>
  <c r="K2175" i="1"/>
  <c r="N2175" i="1" s="1"/>
  <c r="L2284" i="1"/>
  <c r="G2180" i="13"/>
  <c r="J2180" i="13" s="1"/>
  <c r="N2031" i="1"/>
  <c r="O2031" i="1"/>
  <c r="L2249" i="1"/>
  <c r="G2145" i="13"/>
  <c r="J2145" i="13" s="1"/>
  <c r="K2140" i="1"/>
  <c r="G2338" i="13"/>
  <c r="J2338" i="13" s="1"/>
  <c r="K2333" i="1"/>
  <c r="K2208" i="1"/>
  <c r="L2320" i="1"/>
  <c r="G2213" i="13"/>
  <c r="J2213" i="13" s="1"/>
  <c r="N2100" i="1"/>
  <c r="O2100" i="1"/>
  <c r="M2316" i="1"/>
  <c r="O2313" i="1"/>
  <c r="N2127" i="1"/>
  <c r="O2127" i="1"/>
  <c r="O2239" i="1"/>
  <c r="O2341" i="1"/>
  <c r="N2332" i="1"/>
  <c r="K2336" i="1"/>
  <c r="N2336" i="1" s="1"/>
  <c r="O2202" i="1"/>
  <c r="O2205" i="1"/>
  <c r="G2320" i="13"/>
  <c r="J2320" i="13" s="1"/>
  <c r="K2315" i="1"/>
  <c r="N2315" i="1" s="1"/>
  <c r="O2226" i="1"/>
  <c r="M2240" i="1"/>
  <c r="M2241" i="1" s="1"/>
  <c r="O2117" i="1"/>
  <c r="G2106" i="13"/>
  <c r="G2107" i="13" s="1"/>
  <c r="O2234" i="1"/>
  <c r="G2349" i="13"/>
  <c r="O2332" i="1"/>
  <c r="G2344" i="13"/>
  <c r="J2342" i="13"/>
  <c r="J2344" i="13" s="1"/>
  <c r="O2342" i="1"/>
  <c r="O2343" i="1"/>
  <c r="K2236" i="1"/>
  <c r="K2131" i="1"/>
  <c r="O2131" i="1" s="1"/>
  <c r="O2132" i="1" s="1"/>
  <c r="O2346" i="1"/>
  <c r="K2052" i="1"/>
  <c r="N2052" i="1" s="1"/>
  <c r="N2049" i="1"/>
  <c r="L2267" i="1"/>
  <c r="G2163" i="13"/>
  <c r="K2158" i="1"/>
  <c r="O2158" i="1" s="1"/>
  <c r="L2161" i="1"/>
  <c r="G2164" i="13"/>
  <c r="J2164" i="13" s="1"/>
  <c r="K2159" i="1"/>
  <c r="N2159" i="1" s="1"/>
  <c r="K2162" i="1"/>
  <c r="L2271" i="1"/>
  <c r="G2167" i="13"/>
  <c r="L2165" i="1"/>
  <c r="L2261" i="1"/>
  <c r="G2157" i="13"/>
  <c r="J2157" i="13" s="1"/>
  <c r="K2152" i="1"/>
  <c r="N2152" i="1" s="1"/>
  <c r="O2049" i="1"/>
  <c r="M2161" i="1"/>
  <c r="M2267" i="1"/>
  <c r="M2248" i="1"/>
  <c r="M2282" i="1"/>
  <c r="M2091" i="1"/>
  <c r="M2104" i="1" s="1"/>
  <c r="N2122" i="1"/>
  <c r="O2122" i="1"/>
  <c r="L2254" i="1"/>
  <c r="G2150" i="13"/>
  <c r="J2150" i="13" s="1"/>
  <c r="K2145" i="1"/>
  <c r="N2145" i="1" s="1"/>
  <c r="O2042" i="1"/>
  <c r="L2272" i="1"/>
  <c r="G2168" i="13"/>
  <c r="J2168" i="13" s="1"/>
  <c r="K2163" i="1"/>
  <c r="N2163" i="1" s="1"/>
  <c r="K2179" i="1"/>
  <c r="N2179" i="1" s="1"/>
  <c r="L2289" i="1"/>
  <c r="G2184" i="13"/>
  <c r="J2184" i="13" s="1"/>
  <c r="L2263" i="1"/>
  <c r="G2159" i="13"/>
  <c r="J2159" i="13" s="1"/>
  <c r="K2154" i="1"/>
  <c r="N2154" i="1" s="1"/>
  <c r="M2284" i="1"/>
  <c r="L2277" i="1"/>
  <c r="G2173" i="13"/>
  <c r="J2173" i="13" s="1"/>
  <c r="K2168" i="1"/>
  <c r="N2168" i="1" s="1"/>
  <c r="N2033" i="1"/>
  <c r="K2040" i="1"/>
  <c r="N2040" i="1" s="1"/>
  <c r="K2142" i="1"/>
  <c r="O2142" i="1" s="1"/>
  <c r="L2251" i="1"/>
  <c r="G2147" i="13"/>
  <c r="L2149" i="1"/>
  <c r="G2076" i="13"/>
  <c r="J2068" i="13"/>
  <c r="J2076" i="13" s="1"/>
  <c r="O2043" i="1"/>
  <c r="M2287" i="1"/>
  <c r="O2036" i="1"/>
  <c r="M2271" i="1"/>
  <c r="O2162" i="1"/>
  <c r="M2165" i="1"/>
  <c r="L2265" i="1"/>
  <c r="G2161" i="13"/>
  <c r="J2161" i="13" s="1"/>
  <c r="K2156" i="1"/>
  <c r="N2156" i="1" s="1"/>
  <c r="K2169" i="1"/>
  <c r="N2169" i="1" s="1"/>
  <c r="L2278" i="1"/>
  <c r="G2174" i="13"/>
  <c r="J2174" i="13" s="1"/>
  <c r="M2273" i="1"/>
  <c r="M2253" i="1"/>
  <c r="M2256" i="1"/>
  <c r="N2074" i="1"/>
  <c r="L2293" i="1"/>
  <c r="G2188" i="13"/>
  <c r="K2183" i="1"/>
  <c r="O2183" i="1" s="1"/>
  <c r="O2050" i="1"/>
  <c r="M2294" i="1"/>
  <c r="N2058" i="1"/>
  <c r="K2062" i="1"/>
  <c r="L2276" i="1"/>
  <c r="G2172" i="13"/>
  <c r="L2171" i="1"/>
  <c r="L2181" i="1" s="1"/>
  <c r="K2167" i="1"/>
  <c r="L2189" i="1"/>
  <c r="G2085" i="13"/>
  <c r="J2085" i="13" s="1"/>
  <c r="K2080" i="1"/>
  <c r="O2080" i="1" s="1"/>
  <c r="M1948" i="1"/>
  <c r="L2191" i="1"/>
  <c r="G2086" i="13"/>
  <c r="J2086" i="13" s="1"/>
  <c r="K2082" i="1"/>
  <c r="O2082" i="1" s="1"/>
  <c r="O1934" i="1"/>
  <c r="L2187" i="1"/>
  <c r="G2083" i="13"/>
  <c r="J2083" i="13" s="1"/>
  <c r="K2078" i="1"/>
  <c r="O2078" i="1" s="1"/>
  <c r="M2345" i="1"/>
  <c r="K2340" i="1"/>
  <c r="G2209" i="13"/>
  <c r="J2206" i="13"/>
  <c r="J2209" i="13" s="1"/>
  <c r="K2310" i="1"/>
  <c r="G2315" i="13"/>
  <c r="J2315" i="13" s="1"/>
  <c r="J2210" i="13"/>
  <c r="G2353" i="13"/>
  <c r="J2350" i="13"/>
  <c r="J2353" i="13" s="1"/>
  <c r="O2334" i="1"/>
  <c r="M2072" i="1"/>
  <c r="O2062" i="1"/>
  <c r="K2090" i="1"/>
  <c r="N2090" i="1" s="1"/>
  <c r="N2085" i="1"/>
  <c r="K2194" i="1"/>
  <c r="L2304" i="1"/>
  <c r="G2199" i="13"/>
  <c r="L2199" i="1"/>
  <c r="M2057" i="1"/>
  <c r="J2034" i="13"/>
  <c r="M2157" i="1"/>
  <c r="M2259" i="1"/>
  <c r="O2150" i="1"/>
  <c r="M2285" i="1"/>
  <c r="M2279" i="1"/>
  <c r="M2262" i="1"/>
  <c r="M2257" i="1"/>
  <c r="O2146" i="1"/>
  <c r="M2255" i="1"/>
  <c r="O2156" i="1"/>
  <c r="M2265" i="1"/>
  <c r="G2053" i="13"/>
  <c r="J2046" i="13"/>
  <c r="J2053" i="13" s="1"/>
  <c r="N2041" i="1"/>
  <c r="K2048" i="1"/>
  <c r="N2048" i="1" s="1"/>
  <c r="M2278" i="1"/>
  <c r="M2272" i="1"/>
  <c r="N2087" i="1"/>
  <c r="O2087" i="1"/>
  <c r="O2065" i="1"/>
  <c r="M2277" i="1"/>
  <c r="N2220" i="1"/>
  <c r="O2220" i="1"/>
  <c r="N2099" i="1"/>
  <c r="O2099" i="1"/>
  <c r="L2322" i="1"/>
  <c r="G2214" i="13"/>
  <c r="J2214" i="13" s="1"/>
  <c r="K2209" i="1"/>
  <c r="O2201" i="1"/>
  <c r="O2204" i="1"/>
  <c r="M2211" i="1"/>
  <c r="K2314" i="1"/>
  <c r="N2314" i="1" s="1"/>
  <c r="G2319" i="13"/>
  <c r="J2319" i="13" s="1"/>
  <c r="N2095" i="1"/>
  <c r="M2132" i="1"/>
  <c r="N2218" i="1"/>
  <c r="O2218" i="1"/>
  <c r="N2350" i="1"/>
  <c r="K2352" i="1"/>
  <c r="N2352" i="1" s="1"/>
  <c r="O2351" i="1"/>
  <c r="L2336" i="1"/>
  <c r="J2337" i="13"/>
  <c r="M2323" i="1"/>
  <c r="M2339" i="1"/>
  <c r="K2101" i="1"/>
  <c r="K2102" i="1" s="1"/>
  <c r="J2106" i="13"/>
  <c r="J2107" i="13" s="1"/>
  <c r="K2347" i="1"/>
  <c r="N2347" i="1" s="1"/>
  <c r="J2349" i="13"/>
  <c r="O2336" i="1"/>
  <c r="K2337" i="1"/>
  <c r="O2337" i="1" s="1"/>
  <c r="O2335" i="1"/>
  <c r="O2330" i="1"/>
  <c r="M2349" i="1"/>
  <c r="G2057" i="13"/>
  <c r="J2054" i="13"/>
  <c r="J2057" i="13" s="1"/>
  <c r="G2061" i="13"/>
  <c r="J2058" i="13"/>
  <c r="J2061" i="13" s="1"/>
  <c r="K2056" i="1"/>
  <c r="N2056" i="1" s="1"/>
  <c r="N2053" i="1"/>
  <c r="M2281" i="1"/>
  <c r="M2289" i="1"/>
  <c r="K2148" i="1"/>
  <c r="N2148" i="1" s="1"/>
  <c r="L2257" i="1"/>
  <c r="G2153" i="13"/>
  <c r="J2153" i="13" s="1"/>
  <c r="K2153" i="1"/>
  <c r="N2153" i="1" s="1"/>
  <c r="L2262" i="1"/>
  <c r="G2158" i="13"/>
  <c r="J2158" i="13" s="1"/>
  <c r="M2269" i="1"/>
  <c r="L2269" i="1"/>
  <c r="G2165" i="13"/>
  <c r="J2165" i="13" s="1"/>
  <c r="K2160" i="1"/>
  <c r="N2160" i="1" s="1"/>
  <c r="M2193" i="1"/>
  <c r="M2293" i="1"/>
  <c r="K2139" i="1"/>
  <c r="N2139" i="1" s="1"/>
  <c r="L2248" i="1"/>
  <c r="G2144" i="13"/>
  <c r="J2144" i="13" s="1"/>
  <c r="L2344" i="1"/>
  <c r="K2231" i="1"/>
  <c r="L2232" i="1"/>
  <c r="L2240" i="1" s="1"/>
  <c r="L2241" i="1" s="1"/>
  <c r="M2286" i="1"/>
  <c r="M2260" i="1"/>
  <c r="M2263" i="1"/>
  <c r="M2264" i="1"/>
  <c r="O2066" i="1"/>
  <c r="K2177" i="1"/>
  <c r="N2177" i="1" s="1"/>
  <c r="L2286" i="1"/>
  <c r="G2182" i="13"/>
  <c r="J2182" i="13" s="1"/>
  <c r="J2038" i="13"/>
  <c r="J2045" i="13" s="1"/>
  <c r="G2045" i="13"/>
  <c r="N2063" i="1"/>
  <c r="K2071" i="1"/>
  <c r="N2071" i="1" s="1"/>
  <c r="L2281" i="1"/>
  <c r="G2177" i="13"/>
  <c r="K2172" i="1"/>
  <c r="O2152" i="1"/>
  <c r="M2261" i="1"/>
  <c r="K2155" i="1"/>
  <c r="N2155" i="1" s="1"/>
  <c r="L2264" i="1"/>
  <c r="G2160" i="13"/>
  <c r="J2160" i="13" s="1"/>
  <c r="L2282" i="1"/>
  <c r="G2178" i="13"/>
  <c r="J2178" i="13" s="1"/>
  <c r="K2173" i="1"/>
  <c r="N2173" i="1" s="1"/>
  <c r="K2164" i="1"/>
  <c r="N2164" i="1" s="1"/>
  <c r="L2273" i="1"/>
  <c r="G2169" i="13"/>
  <c r="J2169" i="13" s="1"/>
  <c r="L2287" i="1"/>
  <c r="G2183" i="13"/>
  <c r="J2183" i="13" s="1"/>
  <c r="K2178" i="1"/>
  <c r="N2178" i="1" s="1"/>
  <c r="M2254" i="1"/>
  <c r="O2056" i="1"/>
  <c r="O2055" i="1"/>
  <c r="O2035" i="1"/>
  <c r="O2038" i="1"/>
  <c r="L2084" i="1"/>
  <c r="L2091" i="1" s="1"/>
  <c r="L2104" i="1" s="1"/>
  <c r="L2105" i="1" s="1"/>
  <c r="J2079" i="13"/>
  <c r="L2285" i="1"/>
  <c r="G2181" i="13"/>
  <c r="J2181" i="13" s="1"/>
  <c r="K2176" i="1"/>
  <c r="N2176" i="1" s="1"/>
  <c r="M2268" i="1"/>
  <c r="L2279" i="1"/>
  <c r="G2175" i="13"/>
  <c r="J2175" i="13" s="1"/>
  <c r="K2170" i="1"/>
  <c r="N2170" i="1" s="1"/>
  <c r="L2072" i="1"/>
  <c r="G2067" i="13"/>
  <c r="J2063" i="13"/>
  <c r="J2067" i="13" s="1"/>
  <c r="O1959" i="1"/>
  <c r="O1945" i="1"/>
  <c r="O1925" i="1"/>
  <c r="O1955" i="1"/>
  <c r="O1958" i="1"/>
  <c r="O1927" i="1"/>
  <c r="O1992" i="1"/>
  <c r="O1920" i="1"/>
  <c r="O1832" i="1"/>
  <c r="O1884" i="1"/>
  <c r="O1929" i="1"/>
  <c r="J1846" i="13"/>
  <c r="I270" i="15" s="1"/>
  <c r="E274" i="15"/>
  <c r="D276" i="15"/>
  <c r="E276" i="15" s="1"/>
  <c r="L1915" i="1"/>
  <c r="G1812" i="13"/>
  <c r="M1963" i="1"/>
  <c r="G1952" i="13"/>
  <c r="J1949" i="13"/>
  <c r="J1952" i="13" s="1"/>
  <c r="N1976" i="1"/>
  <c r="K1981" i="1"/>
  <c r="N1981" i="1" s="1"/>
  <c r="G1973" i="13"/>
  <c r="J1973" i="13" s="1"/>
  <c r="K1968" i="1"/>
  <c r="O1968" i="1" s="1"/>
  <c r="K1966" i="1"/>
  <c r="G1971" i="13"/>
  <c r="J1971" i="13" s="1"/>
  <c r="M1886" i="1"/>
  <c r="M1887" i="1" s="1"/>
  <c r="G1998" i="13"/>
  <c r="O1661" i="1"/>
  <c r="K1672" i="1"/>
  <c r="N1661" i="1"/>
  <c r="J1929" i="13"/>
  <c r="J1936" i="13" s="1"/>
  <c r="G1936" i="13"/>
  <c r="K1962" i="1"/>
  <c r="N1962" i="1" s="1"/>
  <c r="N1954" i="1"/>
  <c r="K1970" i="1"/>
  <c r="O1970" i="1" s="1"/>
  <c r="G1975" i="13"/>
  <c r="J1975" i="13" s="1"/>
  <c r="N1978" i="1"/>
  <c r="O1978" i="1"/>
  <c r="O1874" i="1"/>
  <c r="N1874" i="1"/>
  <c r="O1824" i="1"/>
  <c r="O1976" i="1"/>
  <c r="N2013" i="1"/>
  <c r="O2013" i="1"/>
  <c r="N1761" i="1"/>
  <c r="K1768" i="1"/>
  <c r="O1761" i="1"/>
  <c r="O1930" i="1"/>
  <c r="K1973" i="1"/>
  <c r="O1973" i="1" s="1"/>
  <c r="G1977" i="13"/>
  <c r="J1977" i="13" s="1"/>
  <c r="O1938" i="1"/>
  <c r="G1944" i="13"/>
  <c r="J1937" i="13"/>
  <c r="J1944" i="13" s="1"/>
  <c r="N1867" i="1"/>
  <c r="O1867" i="1"/>
  <c r="K1974" i="1"/>
  <c r="G1979" i="13"/>
  <c r="J1979" i="13" s="1"/>
  <c r="L1975" i="1"/>
  <c r="L1982" i="1" s="1"/>
  <c r="L1995" i="1" s="1"/>
  <c r="L1996" i="1" s="1"/>
  <c r="J1970" i="13"/>
  <c r="G1873" i="13"/>
  <c r="G1880" i="13" s="1"/>
  <c r="G1891" i="13" s="1"/>
  <c r="G1892" i="13" s="1"/>
  <c r="F274" i="15" s="1"/>
  <c r="F276" i="15" s="1"/>
  <c r="G1972" i="13"/>
  <c r="J1972" i="13" s="1"/>
  <c r="K1967" i="1"/>
  <c r="O1967" i="1" s="1"/>
  <c r="N1949" i="1"/>
  <c r="K1953" i="1"/>
  <c r="G1958" i="13"/>
  <c r="J1954" i="13"/>
  <c r="J1958" i="13" s="1"/>
  <c r="K2022" i="1"/>
  <c r="G1948" i="13"/>
  <c r="J1945" i="13"/>
  <c r="J1948" i="13" s="1"/>
  <c r="F265" i="15"/>
  <c r="G1846" i="13"/>
  <c r="F270" i="15" s="1"/>
  <c r="O1949" i="1"/>
  <c r="K1947" i="1"/>
  <c r="N1947" i="1" s="1"/>
  <c r="N1944" i="1"/>
  <c r="J1981" i="13"/>
  <c r="G1986" i="13"/>
  <c r="N1859" i="1"/>
  <c r="O1859" i="1"/>
  <c r="M1857" i="1"/>
  <c r="O1836" i="1"/>
  <c r="N1905" i="1"/>
  <c r="O1905" i="1"/>
  <c r="K1913" i="1"/>
  <c r="J1998" i="13"/>
  <c r="N2005" i="1"/>
  <c r="O2005" i="1"/>
  <c r="O1936" i="1"/>
  <c r="N1924" i="1"/>
  <c r="K1931" i="1"/>
  <c r="N1931" i="1" s="1"/>
  <c r="G1967" i="13"/>
  <c r="J1959" i="13"/>
  <c r="J1967" i="13" s="1"/>
  <c r="K1971" i="1"/>
  <c r="O1971" i="1" s="1"/>
  <c r="G1976" i="13"/>
  <c r="J1976" i="13" s="1"/>
  <c r="O2014" i="1"/>
  <c r="J1986" i="13"/>
  <c r="O1840" i="1"/>
  <c r="O1926" i="1"/>
  <c r="K1868" i="1"/>
  <c r="O1941" i="1"/>
  <c r="J1861" i="13"/>
  <c r="I271" i="15" s="1"/>
  <c r="N1846" i="1"/>
  <c r="K1856" i="1"/>
  <c r="N1856" i="1" s="1"/>
  <c r="O1954" i="1"/>
  <c r="O1855" i="1"/>
  <c r="O1961" i="1"/>
  <c r="O2008" i="1"/>
  <c r="M1982" i="1"/>
  <c r="O1952" i="1"/>
  <c r="K1993" i="1"/>
  <c r="N1993" i="1" s="1"/>
  <c r="N1986" i="1"/>
  <c r="O1933" i="1"/>
  <c r="O2018" i="1"/>
  <c r="N1932" i="1"/>
  <c r="K1939" i="1"/>
  <c r="N1939" i="1" s="1"/>
  <c r="O1960" i="1"/>
  <c r="O1947" i="1"/>
  <c r="O1946" i="1"/>
  <c r="K1969" i="1"/>
  <c r="O1969" i="1" s="1"/>
  <c r="G1974" i="13"/>
  <c r="J1974" i="13" s="1"/>
  <c r="N1965" i="1"/>
  <c r="J1873" i="13"/>
  <c r="J1880" i="13" s="1"/>
  <c r="J1891" i="13" s="1"/>
  <c r="J1892" i="13" s="1"/>
  <c r="I274" i="15" s="1"/>
  <c r="I276" i="15" s="1"/>
  <c r="O1950" i="1"/>
  <c r="L1963" i="1"/>
  <c r="L1964" i="1" s="1"/>
  <c r="N1940" i="1"/>
  <c r="K1943" i="1"/>
  <c r="N1943" i="1" s="1"/>
  <c r="D265" i="15"/>
  <c r="E265" i="15" s="1"/>
  <c r="E258" i="15"/>
  <c r="O1643" i="1"/>
  <c r="N1643" i="1"/>
  <c r="N1922" i="1"/>
  <c r="O1922" i="1"/>
  <c r="K1923" i="1"/>
  <c r="K1841" i="1"/>
  <c r="O1816" i="1"/>
  <c r="N1816" i="1"/>
  <c r="J1927" i="13"/>
  <c r="J1928" i="13" s="1"/>
  <c r="G1928" i="13"/>
  <c r="N1594" i="1"/>
  <c r="O1594" i="1"/>
  <c r="N1734" i="1"/>
  <c r="K1750" i="1"/>
  <c r="O1734" i="1"/>
  <c r="D273" i="15"/>
  <c r="E270" i="15"/>
  <c r="O1487" i="1"/>
  <c r="N987" i="2"/>
  <c r="F987" i="2"/>
  <c r="N986" i="2"/>
  <c r="F986" i="2"/>
  <c r="N985" i="2"/>
  <c r="F985" i="2"/>
  <c r="N984" i="2"/>
  <c r="F984" i="2"/>
  <c r="N983" i="2"/>
  <c r="F983" i="2"/>
  <c r="N982" i="2"/>
  <c r="F982" i="2"/>
  <c r="N981" i="2"/>
  <c r="F981" i="2"/>
  <c r="N980" i="2"/>
  <c r="F980" i="2"/>
  <c r="N979" i="2"/>
  <c r="F979" i="2"/>
  <c r="N978" i="2"/>
  <c r="F978" i="2"/>
  <c r="N977" i="2"/>
  <c r="F977" i="2"/>
  <c r="N976" i="2"/>
  <c r="F976" i="2"/>
  <c r="N975" i="2"/>
  <c r="F975" i="2"/>
  <c r="N974" i="2"/>
  <c r="F974" i="2"/>
  <c r="N973" i="2"/>
  <c r="F973" i="2"/>
  <c r="N972" i="2"/>
  <c r="F972" i="2"/>
  <c r="N971" i="2"/>
  <c r="F971" i="2"/>
  <c r="N970" i="2"/>
  <c r="F970" i="2"/>
  <c r="N969" i="2"/>
  <c r="F969" i="2"/>
  <c r="N968" i="2"/>
  <c r="F968" i="2"/>
  <c r="N967" i="2"/>
  <c r="F967" i="2"/>
  <c r="N966" i="2"/>
  <c r="F966" i="2"/>
  <c r="N965" i="2"/>
  <c r="F965" i="2"/>
  <c r="N964" i="2"/>
  <c r="F964" i="2"/>
  <c r="N963" i="2"/>
  <c r="F963" i="2"/>
  <c r="N962" i="2"/>
  <c r="F962" i="2"/>
  <c r="N961" i="2"/>
  <c r="F961" i="2"/>
  <c r="N960" i="2"/>
  <c r="F960" i="2"/>
  <c r="N958" i="2"/>
  <c r="F958" i="2"/>
  <c r="H957" i="2"/>
  <c r="G957" i="2"/>
  <c r="E957" i="2"/>
  <c r="D957" i="2"/>
  <c r="N956" i="2"/>
  <c r="I956" i="2"/>
  <c r="F956" i="2"/>
  <c r="N955" i="2"/>
  <c r="F955" i="2"/>
  <c r="N954" i="2"/>
  <c r="F954" i="2"/>
  <c r="I954" i="2" s="1"/>
  <c r="N953" i="2"/>
  <c r="F953" i="2"/>
  <c r="H952" i="2"/>
  <c r="G952" i="2"/>
  <c r="E952" i="2"/>
  <c r="D952" i="2"/>
  <c r="N951" i="2"/>
  <c r="F951" i="2"/>
  <c r="N950" i="2"/>
  <c r="F950" i="2"/>
  <c r="N949" i="2"/>
  <c r="N952" i="2" s="1"/>
  <c r="F949" i="2"/>
  <c r="N948" i="2"/>
  <c r="F948" i="2"/>
  <c r="N947" i="2"/>
  <c r="F947" i="2"/>
  <c r="N946" i="2"/>
  <c r="F946" i="2"/>
  <c r="N945" i="2"/>
  <c r="F945" i="2"/>
  <c r="H943" i="2"/>
  <c r="G943" i="2"/>
  <c r="N941" i="2"/>
  <c r="F941" i="2"/>
  <c r="N940" i="2"/>
  <c r="F940" i="2"/>
  <c r="F939" i="2"/>
  <c r="N938" i="2"/>
  <c r="F938" i="2"/>
  <c r="H937" i="2"/>
  <c r="G937" i="2"/>
  <c r="N936" i="2"/>
  <c r="F936" i="2"/>
  <c r="N935" i="2"/>
  <c r="F935" i="2"/>
  <c r="N934" i="2"/>
  <c r="F934" i="2"/>
  <c r="N933" i="2"/>
  <c r="F933" i="2"/>
  <c r="N932" i="2"/>
  <c r="F932" i="2"/>
  <c r="N931" i="2"/>
  <c r="F931" i="2"/>
  <c r="N930" i="2"/>
  <c r="F930" i="2"/>
  <c r="O1981" i="1" l="1"/>
  <c r="O2154" i="1"/>
  <c r="O2314" i="1"/>
  <c r="O2090" i="1"/>
  <c r="O2315" i="1"/>
  <c r="H292" i="15"/>
  <c r="H294" i="15" s="1"/>
  <c r="J1179" i="17"/>
  <c r="M1178" i="17"/>
  <c r="N1178" i="17"/>
  <c r="L1343" i="17"/>
  <c r="J1281" i="17"/>
  <c r="M1281" i="17" s="1"/>
  <c r="M1208" i="17"/>
  <c r="K1311" i="17"/>
  <c r="J1249" i="17"/>
  <c r="M1249" i="17" s="1"/>
  <c r="Q1249" i="17"/>
  <c r="Q1284" i="17"/>
  <c r="K1346" i="17"/>
  <c r="J1284" i="17"/>
  <c r="M1284" i="17" s="1"/>
  <c r="Q1292" i="17"/>
  <c r="K1354" i="17"/>
  <c r="J1292" i="17"/>
  <c r="M1292" i="17" s="1"/>
  <c r="L1198" i="17"/>
  <c r="L1339" i="17"/>
  <c r="N1277" i="17"/>
  <c r="N1197" i="17"/>
  <c r="K1339" i="17"/>
  <c r="J1277" i="17"/>
  <c r="M1277" i="17" s="1"/>
  <c r="Q1277" i="17"/>
  <c r="L2137" i="1"/>
  <c r="G2033" i="13"/>
  <c r="K2028" i="1"/>
  <c r="L2032" i="1"/>
  <c r="L2057" i="1" s="1"/>
  <c r="J1265" i="17"/>
  <c r="K1327" i="17"/>
  <c r="Q1265" i="17"/>
  <c r="N1194" i="17"/>
  <c r="K1353" i="17"/>
  <c r="J1291" i="17"/>
  <c r="M1291" i="17" s="1"/>
  <c r="Q1291" i="17"/>
  <c r="K1317" i="17"/>
  <c r="Q1255" i="17"/>
  <c r="J1255" i="17"/>
  <c r="M1255" i="17" s="1"/>
  <c r="M1186" i="17"/>
  <c r="N1186" i="17"/>
  <c r="K1351" i="17"/>
  <c r="Q1289" i="17"/>
  <c r="J1289" i="17"/>
  <c r="M1289" i="17" s="1"/>
  <c r="L1324" i="17"/>
  <c r="K1329" i="17"/>
  <c r="Q1267" i="17"/>
  <c r="J1267" i="17"/>
  <c r="M1267" i="17" s="1"/>
  <c r="L1337" i="17"/>
  <c r="Q1250" i="17"/>
  <c r="K1312" i="17"/>
  <c r="J1250" i="17"/>
  <c r="M1250" i="17" s="1"/>
  <c r="K1319" i="17"/>
  <c r="Q1257" i="17"/>
  <c r="J1257" i="17"/>
  <c r="M1257" i="17" s="1"/>
  <c r="Q1344" i="17"/>
  <c r="J1344" i="17"/>
  <c r="M1344" i="17" s="1"/>
  <c r="K1324" i="17"/>
  <c r="Q1262" i="17"/>
  <c r="J1262" i="17"/>
  <c r="M1262" i="17" s="1"/>
  <c r="M2246" i="1"/>
  <c r="K1337" i="17"/>
  <c r="Q1275" i="17"/>
  <c r="J1275" i="17"/>
  <c r="M1275" i="17" s="1"/>
  <c r="Q1266" i="17"/>
  <c r="K1328" i="17"/>
  <c r="J1266" i="17"/>
  <c r="M1266" i="17" s="1"/>
  <c r="K1315" i="17"/>
  <c r="Q1253" i="17"/>
  <c r="J1253" i="17"/>
  <c r="M1253" i="17" s="1"/>
  <c r="J1280" i="17"/>
  <c r="M1280" i="17" s="1"/>
  <c r="K1342" i="17"/>
  <c r="Q1280" i="17"/>
  <c r="M1184" i="17"/>
  <c r="J1189" i="17"/>
  <c r="L1352" i="17"/>
  <c r="M1117" i="17"/>
  <c r="J1118" i="17"/>
  <c r="M1118" i="17" s="1"/>
  <c r="K1355" i="17"/>
  <c r="Q1293" i="17"/>
  <c r="J1293" i="17"/>
  <c r="M1293" i="17" s="1"/>
  <c r="N957" i="2"/>
  <c r="O1962" i="1"/>
  <c r="O2145" i="1"/>
  <c r="L1341" i="17"/>
  <c r="N1279" i="17"/>
  <c r="K1274" i="17"/>
  <c r="Q1212" i="17"/>
  <c r="J1212" i="17"/>
  <c r="J1240" i="17" s="1"/>
  <c r="L1326" i="17"/>
  <c r="Q1261" i="17"/>
  <c r="K1323" i="17"/>
  <c r="J1261" i="17"/>
  <c r="K1268" i="17"/>
  <c r="N1056" i="17"/>
  <c r="Q1271" i="17"/>
  <c r="K1333" i="17"/>
  <c r="J1271" i="17"/>
  <c r="M1271" i="17" s="1"/>
  <c r="K1332" i="17"/>
  <c r="J1270" i="17"/>
  <c r="Q1270" i="17"/>
  <c r="K1302" i="17"/>
  <c r="K1303" i="17" s="1"/>
  <c r="L1309" i="17"/>
  <c r="N1247" i="17"/>
  <c r="N1184" i="17"/>
  <c r="L1241" i="17"/>
  <c r="J1288" i="17"/>
  <c r="M1288" i="17" s="1"/>
  <c r="K1350" i="17"/>
  <c r="Q1288" i="17"/>
  <c r="L1359" i="17"/>
  <c r="N1297" i="17"/>
  <c r="L1316" i="17"/>
  <c r="K1348" i="17"/>
  <c r="Q1286" i="17"/>
  <c r="J1286" i="17"/>
  <c r="M1286" i="17" s="1"/>
  <c r="L1318" i="17"/>
  <c r="N1223" i="17"/>
  <c r="K1356" i="17"/>
  <c r="Q1294" i="17"/>
  <c r="J1294" i="17"/>
  <c r="M1294" i="17" s="1"/>
  <c r="L1356" i="17"/>
  <c r="Q1248" i="17"/>
  <c r="K1310" i="17"/>
  <c r="J1248" i="17"/>
  <c r="K1316" i="17"/>
  <c r="Q1254" i="17"/>
  <c r="J1254" i="17"/>
  <c r="M1254" i="17" s="1"/>
  <c r="N1225" i="17"/>
  <c r="K1360" i="17"/>
  <c r="Q1298" i="17"/>
  <c r="J1298" i="17"/>
  <c r="M1298" i="17" s="1"/>
  <c r="L1312" i="17"/>
  <c r="N1267" i="17"/>
  <c r="L1329" i="17"/>
  <c r="K1314" i="17"/>
  <c r="J1252" i="17"/>
  <c r="Q1252" i="17"/>
  <c r="K1259" i="17"/>
  <c r="G316" i="15" s="1"/>
  <c r="N1253" i="17"/>
  <c r="L1315" i="17"/>
  <c r="N1257" i="17"/>
  <c r="L1319" i="17"/>
  <c r="L1353" i="17"/>
  <c r="N1291" i="17"/>
  <c r="L1360" i="17"/>
  <c r="L1180" i="17"/>
  <c r="N1179" i="17"/>
  <c r="N1282" i="17"/>
  <c r="L1351" i="17"/>
  <c r="N1289" i="17"/>
  <c r="N1144" i="17"/>
  <c r="L1311" i="17"/>
  <c r="N1249" i="17"/>
  <c r="G295" i="15"/>
  <c r="N1209" i="17"/>
  <c r="Q1300" i="17"/>
  <c r="K1362" i="17"/>
  <c r="J1300" i="17"/>
  <c r="M1300" i="17" s="1"/>
  <c r="K1358" i="17"/>
  <c r="Q1296" i="17"/>
  <c r="J1296" i="17"/>
  <c r="Q1189" i="17"/>
  <c r="L1327" i="17"/>
  <c r="N1265" i="17"/>
  <c r="L1361" i="17"/>
  <c r="N1083" i="17"/>
  <c r="F937" i="2"/>
  <c r="F952" i="2"/>
  <c r="L2073" i="1"/>
  <c r="K1318" i="17"/>
  <c r="Q1256" i="17"/>
  <c r="J1256" i="17"/>
  <c r="M1256" i="17" s="1"/>
  <c r="K1347" i="17"/>
  <c r="J1285" i="17"/>
  <c r="M1285" i="17" s="1"/>
  <c r="Q1285" i="17"/>
  <c r="Q1272" i="17"/>
  <c r="K1334" i="17"/>
  <c r="J1272" i="17"/>
  <c r="M1272" i="17" s="1"/>
  <c r="J1145" i="17"/>
  <c r="M1145" i="17" s="1"/>
  <c r="K1240" i="17"/>
  <c r="K1241" i="17" s="1"/>
  <c r="K1320" i="17"/>
  <c r="Q1258" i="17"/>
  <c r="J1258" i="17"/>
  <c r="M1258" i="17" s="1"/>
  <c r="L1325" i="17"/>
  <c r="L1308" i="17"/>
  <c r="N1246" i="17"/>
  <c r="L1251" i="17"/>
  <c r="N1208" i="17"/>
  <c r="N1226" i="17"/>
  <c r="N1919" i="1"/>
  <c r="O1919" i="1"/>
  <c r="Q1290" i="17"/>
  <c r="K1352" i="17"/>
  <c r="J1290" i="17"/>
  <c r="M1290" i="17" s="1"/>
  <c r="L1348" i="17"/>
  <c r="N1286" i="17"/>
  <c r="L1268" i="17"/>
  <c r="L1323" i="17"/>
  <c r="K1338" i="17"/>
  <c r="Q1276" i="17"/>
  <c r="J1276" i="17"/>
  <c r="N1276" i="17" s="1"/>
  <c r="M1216" i="17"/>
  <c r="N1216" i="17"/>
  <c r="N1221" i="17"/>
  <c r="K1345" i="17"/>
  <c r="J1283" i="17"/>
  <c r="M1283" i="17" s="1"/>
  <c r="Q1283" i="17"/>
  <c r="L1347" i="17"/>
  <c r="N1285" i="17"/>
  <c r="N1193" i="17"/>
  <c r="K1349" i="17"/>
  <c r="Q1287" i="17"/>
  <c r="J1287" i="17"/>
  <c r="M1287" i="17" s="1"/>
  <c r="L1349" i="17"/>
  <c r="N1117" i="17"/>
  <c r="K1309" i="17"/>
  <c r="J1247" i="17"/>
  <c r="M1247" i="17" s="1"/>
  <c r="Q1247" i="17"/>
  <c r="N1205" i="17"/>
  <c r="M1190" i="17"/>
  <c r="J1197" i="17"/>
  <c r="M1197" i="17" s="1"/>
  <c r="N1195" i="17"/>
  <c r="N1236" i="17"/>
  <c r="N1292" i="17"/>
  <c r="L1354" i="17"/>
  <c r="N1344" i="17"/>
  <c r="N1145" i="17"/>
  <c r="N1210" i="17"/>
  <c r="Q1263" i="17"/>
  <c r="K1325" i="17"/>
  <c r="J1263" i="17"/>
  <c r="M1263" i="17" s="1"/>
  <c r="L1333" i="17"/>
  <c r="N1271" i="17"/>
  <c r="Q1240" i="17"/>
  <c r="Q1241" i="17" s="1"/>
  <c r="K1341" i="17"/>
  <c r="Q1279" i="17"/>
  <c r="J1279" i="17"/>
  <c r="M1279" i="17" s="1"/>
  <c r="H285" i="15"/>
  <c r="H288" i="15" s="1"/>
  <c r="Q1136" i="17"/>
  <c r="Q1180" i="17" s="1"/>
  <c r="K1308" i="17"/>
  <c r="J1246" i="17"/>
  <c r="Q1246" i="17"/>
  <c r="K1251" i="17"/>
  <c r="N1222" i="17"/>
  <c r="N1196" i="17"/>
  <c r="N1238" i="17"/>
  <c r="K1361" i="17"/>
  <c r="J1299" i="17"/>
  <c r="M1299" i="17" s="1"/>
  <c r="Q1299" i="17"/>
  <c r="L1342" i="17"/>
  <c r="N1280" i="17"/>
  <c r="L1363" i="17"/>
  <c r="M1199" i="17"/>
  <c r="J1206" i="17"/>
  <c r="M1206" i="17" s="1"/>
  <c r="K1359" i="17"/>
  <c r="J1297" i="17"/>
  <c r="M1297" i="17" s="1"/>
  <c r="Q1297" i="17"/>
  <c r="K1326" i="17"/>
  <c r="Q1264" i="17"/>
  <c r="J1264" i="17"/>
  <c r="M1264" i="17" s="1"/>
  <c r="M1127" i="17"/>
  <c r="J1136" i="17"/>
  <c r="M1136" i="17" s="1"/>
  <c r="K1363" i="17"/>
  <c r="Q1301" i="17"/>
  <c r="J1301" i="17"/>
  <c r="M1301" i="17" s="1"/>
  <c r="L1332" i="17"/>
  <c r="L1302" i="17"/>
  <c r="L1350" i="17"/>
  <c r="N1288" i="17"/>
  <c r="L1259" i="17"/>
  <c r="L1314" i="17"/>
  <c r="N1252" i="17"/>
  <c r="Q1206" i="17"/>
  <c r="Q1207" i="17" s="1"/>
  <c r="H304" i="15" s="1"/>
  <c r="H306" i="15" s="1"/>
  <c r="L1207" i="17"/>
  <c r="K1340" i="17"/>
  <c r="Q1278" i="17"/>
  <c r="J1278" i="17"/>
  <c r="L1345" i="17"/>
  <c r="N1283" i="17"/>
  <c r="L1317" i="17"/>
  <c r="N1255" i="17"/>
  <c r="L1355" i="17"/>
  <c r="N1293" i="17"/>
  <c r="L1328" i="17"/>
  <c r="N1118" i="17"/>
  <c r="L1357" i="17"/>
  <c r="Q1197" i="17"/>
  <c r="H301" i="15" s="1"/>
  <c r="N1230" i="17"/>
  <c r="L1334" i="17"/>
  <c r="N1272" i="17"/>
  <c r="K1357" i="17"/>
  <c r="Q1295" i="17"/>
  <c r="J1295" i="17"/>
  <c r="M1295" i="17" s="1"/>
  <c r="M1234" i="17"/>
  <c r="N1234" i="17"/>
  <c r="G300" i="15"/>
  <c r="G303" i="15" s="1"/>
  <c r="K1198" i="17"/>
  <c r="N1228" i="17"/>
  <c r="L1346" i="17"/>
  <c r="N1284" i="17"/>
  <c r="L1320" i="17"/>
  <c r="L1362" i="17"/>
  <c r="N1300" i="17"/>
  <c r="F273" i="15"/>
  <c r="K1975" i="1"/>
  <c r="M1964" i="1"/>
  <c r="O2151" i="1"/>
  <c r="O2163" i="1"/>
  <c r="O2147" i="1"/>
  <c r="G1862" i="13"/>
  <c r="G1919" i="13" s="1"/>
  <c r="O2159" i="1"/>
  <c r="O2052" i="1"/>
  <c r="O2179" i="1"/>
  <c r="J2341" i="13"/>
  <c r="J2357" i="13" s="1"/>
  <c r="J2358" i="13" s="1"/>
  <c r="I337" i="15" s="1"/>
  <c r="I339" i="15" s="1"/>
  <c r="O2168" i="1"/>
  <c r="O2169" i="1"/>
  <c r="O2040" i="1"/>
  <c r="O2144" i="1"/>
  <c r="O2175" i="1"/>
  <c r="O2174" i="1"/>
  <c r="G1968" i="13"/>
  <c r="F286" i="15" s="1"/>
  <c r="J2077" i="13"/>
  <c r="I301" i="15" s="1"/>
  <c r="G2089" i="13"/>
  <c r="G2096" i="13" s="1"/>
  <c r="G2109" i="13" s="1"/>
  <c r="G2110" i="13" s="1"/>
  <c r="F304" i="15" s="1"/>
  <c r="F306" i="15" s="1"/>
  <c r="G2341" i="13"/>
  <c r="G2357" i="13" s="1"/>
  <c r="G2358" i="13" s="1"/>
  <c r="F337" i="15" s="1"/>
  <c r="F339" i="15" s="1"/>
  <c r="L2133" i="1"/>
  <c r="L2323" i="1"/>
  <c r="L2324" i="1" s="1"/>
  <c r="J2089" i="13"/>
  <c r="J2096" i="13" s="1"/>
  <c r="J2109" i="13" s="1"/>
  <c r="J2110" i="13" s="1"/>
  <c r="I304" i="15" s="1"/>
  <c r="I306" i="15" s="1"/>
  <c r="N2102" i="1"/>
  <c r="O2102" i="1"/>
  <c r="G2290" i="13"/>
  <c r="J2290" i="13" s="1"/>
  <c r="K2285" i="1"/>
  <c r="N2285" i="1" s="1"/>
  <c r="G2292" i="13"/>
  <c r="J2292" i="13" s="1"/>
  <c r="K2287" i="1"/>
  <c r="N2287" i="1" s="1"/>
  <c r="K2273" i="1"/>
  <c r="N2273" i="1" s="1"/>
  <c r="G2278" i="13"/>
  <c r="J2278" i="13" s="1"/>
  <c r="K2282" i="1"/>
  <c r="N2282" i="1" s="1"/>
  <c r="G2287" i="13"/>
  <c r="J2287" i="13" s="1"/>
  <c r="K2264" i="1"/>
  <c r="N2264" i="1" s="1"/>
  <c r="G2269" i="13"/>
  <c r="J2269" i="13" s="1"/>
  <c r="K2180" i="1"/>
  <c r="N2180" i="1" s="1"/>
  <c r="N2172" i="1"/>
  <c r="K2281" i="1"/>
  <c r="O2281" i="1" s="1"/>
  <c r="G2286" i="13"/>
  <c r="K2286" i="1"/>
  <c r="N2286" i="1" s="1"/>
  <c r="G2291" i="13"/>
  <c r="J2291" i="13" s="1"/>
  <c r="O2264" i="1"/>
  <c r="N2231" i="1"/>
  <c r="O2231" i="1"/>
  <c r="M2303" i="1"/>
  <c r="G2274" i="13"/>
  <c r="J2274" i="13" s="1"/>
  <c r="K2269" i="1"/>
  <c r="N2269" i="1" s="1"/>
  <c r="O2160" i="1"/>
  <c r="K2262" i="1"/>
  <c r="N2262" i="1" s="1"/>
  <c r="G2267" i="13"/>
  <c r="J2267" i="13" s="1"/>
  <c r="K2257" i="1"/>
  <c r="N2257" i="1" s="1"/>
  <c r="G2262" i="13"/>
  <c r="J2262" i="13" s="1"/>
  <c r="N2209" i="1"/>
  <c r="O2209" i="1"/>
  <c r="G2327" i="13"/>
  <c r="J2327" i="13" s="1"/>
  <c r="K2322" i="1"/>
  <c r="O2153" i="1"/>
  <c r="O2170" i="1"/>
  <c r="O2285" i="1"/>
  <c r="G2309" i="13"/>
  <c r="K2304" i="1"/>
  <c r="O2304" i="1" s="1"/>
  <c r="L2311" i="1"/>
  <c r="G2215" i="13"/>
  <c r="G2216" i="13" s="1"/>
  <c r="N2310" i="1"/>
  <c r="O2310" i="1"/>
  <c r="O2352" i="1"/>
  <c r="N2340" i="1"/>
  <c r="N2167" i="1"/>
  <c r="K2171" i="1"/>
  <c r="O2171" i="1" s="1"/>
  <c r="G2176" i="13"/>
  <c r="J2172" i="13"/>
  <c r="J2176" i="13" s="1"/>
  <c r="K2072" i="1"/>
  <c r="N2062" i="1"/>
  <c r="N2183" i="1"/>
  <c r="G2298" i="13"/>
  <c r="K2293" i="1"/>
  <c r="O2293" i="1" s="1"/>
  <c r="K2278" i="1"/>
  <c r="N2278" i="1" s="1"/>
  <c r="G2283" i="13"/>
  <c r="J2283" i="13" s="1"/>
  <c r="G2270" i="13"/>
  <c r="J2270" i="13" s="1"/>
  <c r="K2265" i="1"/>
  <c r="N2265" i="1" s="1"/>
  <c r="O2178" i="1"/>
  <c r="K2251" i="1"/>
  <c r="O2251" i="1" s="1"/>
  <c r="G2256" i="13"/>
  <c r="L2258" i="1"/>
  <c r="G2282" i="13"/>
  <c r="J2282" i="13" s="1"/>
  <c r="K2277" i="1"/>
  <c r="N2277" i="1" s="1"/>
  <c r="O2173" i="1"/>
  <c r="O2139" i="1"/>
  <c r="G2266" i="13"/>
  <c r="J2266" i="13" s="1"/>
  <c r="K2261" i="1"/>
  <c r="N2261" i="1" s="1"/>
  <c r="G2170" i="13"/>
  <c r="J2167" i="13"/>
  <c r="J2170" i="13" s="1"/>
  <c r="K2165" i="1"/>
  <c r="N2165" i="1" s="1"/>
  <c r="N2162" i="1"/>
  <c r="G2273" i="13"/>
  <c r="J2273" i="13" s="1"/>
  <c r="K2268" i="1"/>
  <c r="N2268" i="1" s="1"/>
  <c r="G2166" i="13"/>
  <c r="J2163" i="13"/>
  <c r="J2166" i="13" s="1"/>
  <c r="N2236" i="1"/>
  <c r="O2236" i="1"/>
  <c r="N2208" i="1"/>
  <c r="O2208" i="1"/>
  <c r="N2140" i="1"/>
  <c r="O2140" i="1"/>
  <c r="G2254" i="13"/>
  <c r="J2254" i="13" s="1"/>
  <c r="K2249" i="1"/>
  <c r="K2284" i="1"/>
  <c r="N2284" i="1" s="1"/>
  <c r="G2289" i="13"/>
  <c r="J2289" i="13" s="1"/>
  <c r="G2258" i="13"/>
  <c r="J2258" i="13" s="1"/>
  <c r="K2253" i="1"/>
  <c r="N2253" i="1" s="1"/>
  <c r="K2306" i="1"/>
  <c r="G2311" i="13"/>
  <c r="J2311" i="13" s="1"/>
  <c r="G2162" i="13"/>
  <c r="J2155" i="13"/>
  <c r="J2162" i="13" s="1"/>
  <c r="M2311" i="1"/>
  <c r="O2048" i="1"/>
  <c r="N2138" i="1"/>
  <c r="G2252" i="13"/>
  <c r="K2247" i="1"/>
  <c r="O2247" i="1" s="1"/>
  <c r="M2250" i="1"/>
  <c r="O2143" i="1"/>
  <c r="G2261" i="13"/>
  <c r="J2261" i="13" s="1"/>
  <c r="K2256" i="1"/>
  <c r="N2256" i="1" s="1"/>
  <c r="M2181" i="1"/>
  <c r="J2322" i="13"/>
  <c r="N2313" i="1"/>
  <c r="K2316" i="1"/>
  <c r="N2204" i="1"/>
  <c r="N2083" i="1"/>
  <c r="O2083" i="1"/>
  <c r="L2302" i="1"/>
  <c r="G2307" i="13" s="1"/>
  <c r="G2197" i="13"/>
  <c r="J2197" i="13" s="1"/>
  <c r="K2192" i="1"/>
  <c r="M2290" i="1"/>
  <c r="N2075" i="1"/>
  <c r="O2075" i="1"/>
  <c r="K2184" i="1"/>
  <c r="L2294" i="1"/>
  <c r="G2299" i="13" s="1"/>
  <c r="G2189" i="13"/>
  <c r="J2189" i="13" s="1"/>
  <c r="G2284" i="13"/>
  <c r="J2284" i="13" s="1"/>
  <c r="K2279" i="1"/>
  <c r="N2279" i="1" s="1"/>
  <c r="O2268" i="1"/>
  <c r="J2177" i="13"/>
  <c r="J2185" i="13" s="1"/>
  <c r="G2185" i="13"/>
  <c r="O2155" i="1"/>
  <c r="O2177" i="1"/>
  <c r="K2344" i="1"/>
  <c r="L2345" i="1"/>
  <c r="L2353" i="1" s="1"/>
  <c r="L2354" i="1" s="1"/>
  <c r="K2248" i="1"/>
  <c r="N2248" i="1" s="1"/>
  <c r="G2253" i="13"/>
  <c r="J2253" i="13" s="1"/>
  <c r="M2200" i="1"/>
  <c r="M2213" i="1" s="1"/>
  <c r="O2172" i="1"/>
  <c r="N2337" i="1"/>
  <c r="K2339" i="1"/>
  <c r="N2339" i="1" s="1"/>
  <c r="O2347" i="1"/>
  <c r="N2101" i="1"/>
  <c r="O2101" i="1"/>
  <c r="M2353" i="1"/>
  <c r="O2148" i="1"/>
  <c r="O2176" i="1"/>
  <c r="M2266" i="1"/>
  <c r="M2073" i="1"/>
  <c r="G2204" i="13"/>
  <c r="J2199" i="13"/>
  <c r="J2204" i="13" s="1"/>
  <c r="N2194" i="1"/>
  <c r="K2199" i="1"/>
  <c r="N2199" i="1" s="1"/>
  <c r="O2072" i="1"/>
  <c r="J2215" i="13"/>
  <c r="J2216" i="13" s="1"/>
  <c r="O2340" i="1"/>
  <c r="L2297" i="1"/>
  <c r="G2302" i="13" s="1"/>
  <c r="G2192" i="13"/>
  <c r="J2192" i="13" s="1"/>
  <c r="K2187" i="1"/>
  <c r="O2187" i="1" s="1"/>
  <c r="L2301" i="1"/>
  <c r="G2305" i="13" s="1"/>
  <c r="G2195" i="13"/>
  <c r="J2195" i="13" s="1"/>
  <c r="K2191" i="1"/>
  <c r="O2191" i="1" s="1"/>
  <c r="L2299" i="1"/>
  <c r="G2304" i="13" s="1"/>
  <c r="G2194" i="13"/>
  <c r="J2194" i="13" s="1"/>
  <c r="K2189" i="1"/>
  <c r="O2189" i="1" s="1"/>
  <c r="G2281" i="13"/>
  <c r="K2276" i="1"/>
  <c r="L2280" i="1"/>
  <c r="L2291" i="1" s="1"/>
  <c r="L2193" i="1"/>
  <c r="L2200" i="1" s="1"/>
  <c r="L2213" i="1" s="1"/>
  <c r="L2214" i="1" s="1"/>
  <c r="J2188" i="13"/>
  <c r="K2084" i="1"/>
  <c r="O2164" i="1"/>
  <c r="M2274" i="1"/>
  <c r="O2287" i="1"/>
  <c r="G2077" i="13"/>
  <c r="F301" i="15" s="1"/>
  <c r="J2147" i="13"/>
  <c r="J2154" i="13" s="1"/>
  <c r="G2154" i="13"/>
  <c r="N2142" i="1"/>
  <c r="K2149" i="1"/>
  <c r="N2149" i="1" s="1"/>
  <c r="G2268" i="13"/>
  <c r="J2268" i="13" s="1"/>
  <c r="K2263" i="1"/>
  <c r="N2263" i="1" s="1"/>
  <c r="K2289" i="1"/>
  <c r="N2289" i="1" s="1"/>
  <c r="G2294" i="13"/>
  <c r="J2294" i="13" s="1"/>
  <c r="G2277" i="13"/>
  <c r="J2277" i="13" s="1"/>
  <c r="K2272" i="1"/>
  <c r="N2272" i="1" s="1"/>
  <c r="G2259" i="13"/>
  <c r="J2259" i="13" s="1"/>
  <c r="K2254" i="1"/>
  <c r="N2254" i="1" s="1"/>
  <c r="M2105" i="1"/>
  <c r="M2270" i="1"/>
  <c r="K2271" i="1"/>
  <c r="G2276" i="13"/>
  <c r="L2274" i="1"/>
  <c r="N2158" i="1"/>
  <c r="K2161" i="1"/>
  <c r="N2161" i="1" s="1"/>
  <c r="G2272" i="13"/>
  <c r="K2267" i="1"/>
  <c r="L2270" i="1"/>
  <c r="N2131" i="1"/>
  <c r="N2132" i="1" s="1"/>
  <c r="K2132" i="1"/>
  <c r="D307" i="15" s="1"/>
  <c r="M2324" i="1"/>
  <c r="O2316" i="1"/>
  <c r="K2320" i="1"/>
  <c r="K2323" i="1" s="1"/>
  <c r="N2323" i="1" s="1"/>
  <c r="G2325" i="13"/>
  <c r="J2325" i="13" s="1"/>
  <c r="N2333" i="1"/>
  <c r="O2333" i="1"/>
  <c r="N2196" i="1"/>
  <c r="O2196" i="1"/>
  <c r="K2255" i="1"/>
  <c r="N2255" i="1" s="1"/>
  <c r="G2260" i="13"/>
  <c r="J2260" i="13" s="1"/>
  <c r="N2150" i="1"/>
  <c r="K2157" i="1"/>
  <c r="N2157" i="1" s="1"/>
  <c r="L2266" i="1"/>
  <c r="G2264" i="13"/>
  <c r="K2259" i="1"/>
  <c r="O2259" i="1" s="1"/>
  <c r="G2257" i="13"/>
  <c r="J2257" i="13" s="1"/>
  <c r="K2252" i="1"/>
  <c r="N2252" i="1" s="1"/>
  <c r="K2260" i="1"/>
  <c r="N2260" i="1" s="1"/>
  <c r="G2265" i="13"/>
  <c r="J2265" i="13" s="1"/>
  <c r="O2194" i="1"/>
  <c r="K2283" i="1"/>
  <c r="N2283" i="1" s="1"/>
  <c r="G2288" i="13"/>
  <c r="J2288" i="13" s="1"/>
  <c r="M2258" i="1"/>
  <c r="J2143" i="13"/>
  <c r="O2138" i="1"/>
  <c r="M2166" i="1"/>
  <c r="O2167" i="1"/>
  <c r="M2280" i="1"/>
  <c r="O2276" i="1"/>
  <c r="K2349" i="1"/>
  <c r="N2349" i="1" s="1"/>
  <c r="N2317" i="1"/>
  <c r="K2210" i="1"/>
  <c r="K2211" i="1" s="1"/>
  <c r="N2331" i="1"/>
  <c r="G2321" i="13"/>
  <c r="J2318" i="13"/>
  <c r="J2321" i="13" s="1"/>
  <c r="K2232" i="1"/>
  <c r="L2295" i="1"/>
  <c r="G2300" i="13" s="1"/>
  <c r="G2190" i="13"/>
  <c r="J2190" i="13" s="1"/>
  <c r="K2185" i="1"/>
  <c r="O2185" i="1" s="1"/>
  <c r="O2071" i="1"/>
  <c r="L2298" i="1"/>
  <c r="G2303" i="13" s="1"/>
  <c r="G2193" i="13"/>
  <c r="J2193" i="13" s="1"/>
  <c r="K2188" i="1"/>
  <c r="O2188" i="1" s="1"/>
  <c r="L2296" i="1"/>
  <c r="G2301" i="13" s="1"/>
  <c r="G2191" i="13"/>
  <c r="J2191" i="13" s="1"/>
  <c r="K2186" i="1"/>
  <c r="O2186" i="1" s="1"/>
  <c r="J1862" i="13"/>
  <c r="J1919" i="13" s="1"/>
  <c r="O1943" i="1"/>
  <c r="O1931" i="1"/>
  <c r="M1915" i="1"/>
  <c r="J1968" i="13"/>
  <c r="I286" i="15" s="1"/>
  <c r="J1953" i="13"/>
  <c r="I285" i="15" s="1"/>
  <c r="O1993" i="1"/>
  <c r="N1975" i="1"/>
  <c r="K1982" i="1"/>
  <c r="O1982" i="1" s="1"/>
  <c r="M1995" i="1"/>
  <c r="N1868" i="1"/>
  <c r="K1875" i="1"/>
  <c r="O1868" i="1"/>
  <c r="K1963" i="1"/>
  <c r="N1953" i="1"/>
  <c r="G1980" i="13"/>
  <c r="G1987" i="13" s="1"/>
  <c r="G2000" i="13" s="1"/>
  <c r="G2001" i="13" s="1"/>
  <c r="F289" i="15" s="1"/>
  <c r="F291" i="15" s="1"/>
  <c r="K1673" i="1"/>
  <c r="K1701" i="1" s="1"/>
  <c r="O1701" i="1" s="1"/>
  <c r="N1672" i="1"/>
  <c r="N1673" i="1" s="1"/>
  <c r="O1672" i="1"/>
  <c r="O1673" i="1" s="1"/>
  <c r="N1966" i="1"/>
  <c r="O1966" i="1"/>
  <c r="O1953" i="1"/>
  <c r="I273" i="15"/>
  <c r="I280" i="15" s="1"/>
  <c r="G1953" i="13"/>
  <c r="L2024" i="1"/>
  <c r="F280" i="15"/>
  <c r="N1913" i="1"/>
  <c r="N1914" i="1" s="1"/>
  <c r="K1914" i="1"/>
  <c r="O1913" i="1"/>
  <c r="O1914" i="1" s="1"/>
  <c r="O1939" i="1"/>
  <c r="N2022" i="1"/>
  <c r="N2023" i="1" s="1"/>
  <c r="K2023" i="1"/>
  <c r="D292" i="15" s="1"/>
  <c r="O2022" i="1"/>
  <c r="O2023" i="1" s="1"/>
  <c r="J1980" i="13"/>
  <c r="J1987" i="13" s="1"/>
  <c r="J2000" i="13" s="1"/>
  <c r="J2001" i="13" s="1"/>
  <c r="I289" i="15" s="1"/>
  <c r="I291" i="15" s="1"/>
  <c r="N1974" i="1"/>
  <c r="O1974" i="1"/>
  <c r="O1768" i="1"/>
  <c r="K1779" i="1"/>
  <c r="N1768" i="1"/>
  <c r="O1975" i="1"/>
  <c r="O1856" i="1"/>
  <c r="O1963" i="1"/>
  <c r="N1923" i="1"/>
  <c r="O1923" i="1"/>
  <c r="K1948" i="1"/>
  <c r="D285" i="15" s="1"/>
  <c r="E285" i="15" s="1"/>
  <c r="E273" i="15"/>
  <c r="D280" i="15"/>
  <c r="E280" i="15" s="1"/>
  <c r="O1750" i="1"/>
  <c r="N1750" i="1"/>
  <c r="K1857" i="1"/>
  <c r="O1841" i="1"/>
  <c r="N1841" i="1"/>
  <c r="F957" i="2"/>
  <c r="F943" i="2"/>
  <c r="I955" i="2"/>
  <c r="N922" i="2"/>
  <c r="F922" i="2"/>
  <c r="N921" i="2"/>
  <c r="F921" i="2"/>
  <c r="N920" i="2"/>
  <c r="F920" i="2"/>
  <c r="N919" i="2"/>
  <c r="F919" i="2"/>
  <c r="N918" i="2"/>
  <c r="F918" i="2"/>
  <c r="N917" i="2"/>
  <c r="F917" i="2"/>
  <c r="N916" i="2"/>
  <c r="F916" i="2"/>
  <c r="N915" i="2"/>
  <c r="F915" i="2"/>
  <c r="N914" i="2"/>
  <c r="F914" i="2"/>
  <c r="N913" i="2"/>
  <c r="F913" i="2"/>
  <c r="N912" i="2"/>
  <c r="F912" i="2"/>
  <c r="N911" i="2"/>
  <c r="F911" i="2"/>
  <c r="N910" i="2"/>
  <c r="F910" i="2"/>
  <c r="N909" i="2"/>
  <c r="F909" i="2"/>
  <c r="N908" i="2"/>
  <c r="F908" i="2"/>
  <c r="N907" i="2"/>
  <c r="F907" i="2"/>
  <c r="N906" i="2"/>
  <c r="F906" i="2"/>
  <c r="N905" i="2"/>
  <c r="F905" i="2"/>
  <c r="N904" i="2"/>
  <c r="F904" i="2"/>
  <c r="N903" i="2"/>
  <c r="F903" i="2"/>
  <c r="N902" i="2"/>
  <c r="F902" i="2"/>
  <c r="N901" i="2"/>
  <c r="F901" i="2"/>
  <c r="N900" i="2"/>
  <c r="F900" i="2"/>
  <c r="N899" i="2"/>
  <c r="F899" i="2"/>
  <c r="N898" i="2"/>
  <c r="F898" i="2"/>
  <c r="N897" i="2"/>
  <c r="F897" i="2"/>
  <c r="N896" i="2"/>
  <c r="F896" i="2"/>
  <c r="N895" i="2"/>
  <c r="F895" i="2"/>
  <c r="N893" i="2"/>
  <c r="F893" i="2"/>
  <c r="H892" i="2"/>
  <c r="G892" i="2"/>
  <c r="E892" i="2"/>
  <c r="D892" i="2"/>
  <c r="N891" i="2"/>
  <c r="F891" i="2"/>
  <c r="I891" i="2" s="1"/>
  <c r="N890" i="2"/>
  <c r="F890" i="2"/>
  <c r="N889" i="2"/>
  <c r="F889" i="2"/>
  <c r="I889" i="2" s="1"/>
  <c r="N888" i="2"/>
  <c r="F888" i="2"/>
  <c r="H887" i="2"/>
  <c r="G887" i="2"/>
  <c r="E887" i="2"/>
  <c r="D887" i="2"/>
  <c r="N886" i="2"/>
  <c r="F886" i="2"/>
  <c r="N885" i="2"/>
  <c r="F885" i="2"/>
  <c r="N884" i="2"/>
  <c r="F884" i="2"/>
  <c r="N883" i="2"/>
  <c r="F883" i="2"/>
  <c r="N882" i="2"/>
  <c r="F882" i="2"/>
  <c r="N881" i="2"/>
  <c r="F881" i="2"/>
  <c r="N880" i="2"/>
  <c r="F880" i="2"/>
  <c r="H878" i="2"/>
  <c r="G878" i="2"/>
  <c r="F878" i="2" s="1"/>
  <c r="N876" i="2"/>
  <c r="F876" i="2"/>
  <c r="N875" i="2"/>
  <c r="F875" i="2"/>
  <c r="F874" i="2"/>
  <c r="N873" i="2"/>
  <c r="F873" i="2"/>
  <c r="H872" i="2"/>
  <c r="G872" i="2"/>
  <c r="N871" i="2"/>
  <c r="F871" i="2"/>
  <c r="N870" i="2"/>
  <c r="F870" i="2"/>
  <c r="N869" i="2"/>
  <c r="F869" i="2"/>
  <c r="N868" i="2"/>
  <c r="F868" i="2"/>
  <c r="N867" i="2"/>
  <c r="F867" i="2"/>
  <c r="N866" i="2"/>
  <c r="F866" i="2"/>
  <c r="N865" i="2"/>
  <c r="F865" i="2"/>
  <c r="O2339" i="1" l="1"/>
  <c r="M1240" i="17"/>
  <c r="J1241" i="17"/>
  <c r="N1240" i="17"/>
  <c r="Q1326" i="17"/>
  <c r="J1326" i="17"/>
  <c r="M1326" i="17" s="1"/>
  <c r="J1361" i="17"/>
  <c r="M1361" i="17" s="1"/>
  <c r="Q1361" i="17"/>
  <c r="J1308" i="17"/>
  <c r="Q1308" i="17"/>
  <c r="K1313" i="17"/>
  <c r="J1309" i="17"/>
  <c r="M1309" i="17" s="1"/>
  <c r="Q1309" i="17"/>
  <c r="J1345" i="17"/>
  <c r="M1345" i="17" s="1"/>
  <c r="Q1345" i="17"/>
  <c r="L1330" i="17"/>
  <c r="N1323" i="17"/>
  <c r="K1242" i="17"/>
  <c r="G307" i="15"/>
  <c r="G309" i="15" s="1"/>
  <c r="G310" i="15" s="1"/>
  <c r="N1361" i="17"/>
  <c r="M1296" i="17"/>
  <c r="N1296" i="17"/>
  <c r="J1362" i="17"/>
  <c r="M1362" i="17" s="1"/>
  <c r="Q1362" i="17"/>
  <c r="G318" i="15"/>
  <c r="Q1310" i="17"/>
  <c r="J1310" i="17"/>
  <c r="N1256" i="17"/>
  <c r="Q1348" i="17"/>
  <c r="J1348" i="17"/>
  <c r="M1348" i="17" s="1"/>
  <c r="Q1350" i="17"/>
  <c r="J1350" i="17"/>
  <c r="M1350" i="17" s="1"/>
  <c r="Q1333" i="17"/>
  <c r="J1333" i="17"/>
  <c r="M1333" i="17" s="1"/>
  <c r="M1261" i="17"/>
  <c r="J1268" i="17"/>
  <c r="M1268" i="17" s="1"/>
  <c r="M1189" i="17"/>
  <c r="J1198" i="17"/>
  <c r="M1198" i="17" s="1"/>
  <c r="Q1351" i="17"/>
  <c r="J1351" i="17"/>
  <c r="M1351" i="17" s="1"/>
  <c r="J1353" i="17"/>
  <c r="M1353" i="17" s="1"/>
  <c r="Q1353" i="17"/>
  <c r="L2246" i="1"/>
  <c r="G2142" i="13"/>
  <c r="K2137" i="1"/>
  <c r="L2141" i="1"/>
  <c r="L2166" i="1" s="1"/>
  <c r="L2182" i="1" s="1"/>
  <c r="L2242" i="1" s="1"/>
  <c r="N1198" i="17"/>
  <c r="L1364" i="17"/>
  <c r="Q1357" i="17"/>
  <c r="J1357" i="17"/>
  <c r="M1357" i="17" s="1"/>
  <c r="N1136" i="17"/>
  <c r="Q1340" i="17"/>
  <c r="J1340" i="17"/>
  <c r="N1350" i="17"/>
  <c r="G315" i="15"/>
  <c r="K1260" i="17"/>
  <c r="Q1341" i="17"/>
  <c r="J1341" i="17"/>
  <c r="M1341" i="17" s="1"/>
  <c r="N1347" i="17"/>
  <c r="L1269" i="17"/>
  <c r="N1268" i="17"/>
  <c r="Q1352" i="17"/>
  <c r="J1352" i="17"/>
  <c r="M1352" i="17" s="1"/>
  <c r="N1308" i="17"/>
  <c r="L1313" i="17"/>
  <c r="N1311" i="17"/>
  <c r="N1298" i="17"/>
  <c r="Q1259" i="17"/>
  <c r="H316" i="15" s="1"/>
  <c r="N1254" i="17"/>
  <c r="M1270" i="17"/>
  <c r="Q1323" i="17"/>
  <c r="J1323" i="17"/>
  <c r="K1330" i="17"/>
  <c r="K1331" i="17" s="1"/>
  <c r="G334" i="15" s="1"/>
  <c r="G336" i="15" s="1"/>
  <c r="N1341" i="17"/>
  <c r="Q1328" i="17"/>
  <c r="J1328" i="17"/>
  <c r="M1328" i="17" s="1"/>
  <c r="Q1337" i="17"/>
  <c r="J1337" i="17"/>
  <c r="M1337" i="17" s="1"/>
  <c r="Q1312" i="17"/>
  <c r="J1312" i="17"/>
  <c r="M1312" i="17" s="1"/>
  <c r="N1262" i="17"/>
  <c r="J1317" i="17"/>
  <c r="M1317" i="17" s="1"/>
  <c r="Q1317" i="17"/>
  <c r="Q1346" i="17"/>
  <c r="J1346" i="17"/>
  <c r="M1346" i="17" s="1"/>
  <c r="Q1311" i="17"/>
  <c r="J1311" i="17"/>
  <c r="M1311" i="17" s="1"/>
  <c r="N1281" i="17"/>
  <c r="M1179" i="17"/>
  <c r="J1180" i="17"/>
  <c r="M1180" i="17" s="1"/>
  <c r="N887" i="2"/>
  <c r="O2199" i="1"/>
  <c r="O2248" i="1"/>
  <c r="O2269" i="1"/>
  <c r="N1258" i="17"/>
  <c r="H303" i="15"/>
  <c r="N1266" i="17"/>
  <c r="N1355" i="17"/>
  <c r="N1345" i="17"/>
  <c r="N1206" i="17"/>
  <c r="L1321" i="17"/>
  <c r="N1314" i="17"/>
  <c r="L1303" i="17"/>
  <c r="N1301" i="17"/>
  <c r="Q1251" i="17"/>
  <c r="H307" i="15"/>
  <c r="H309" i="15" s="1"/>
  <c r="H310" i="15" s="1"/>
  <c r="Q1325" i="17"/>
  <c r="J1325" i="17"/>
  <c r="M1325" i="17" s="1"/>
  <c r="N1287" i="17"/>
  <c r="J1349" i="17"/>
  <c r="M1349" i="17" s="1"/>
  <c r="Q1349" i="17"/>
  <c r="J1338" i="17"/>
  <c r="N1338" i="17" s="1"/>
  <c r="Q1338" i="17"/>
  <c r="J1318" i="17"/>
  <c r="M1318" i="17" s="1"/>
  <c r="Q1318" i="17"/>
  <c r="N1327" i="17"/>
  <c r="Q1358" i="17"/>
  <c r="J1358" i="17"/>
  <c r="J1259" i="17"/>
  <c r="M1259" i="17" s="1"/>
  <c r="M1252" i="17"/>
  <c r="N1250" i="17"/>
  <c r="Q1360" i="17"/>
  <c r="J1360" i="17"/>
  <c r="M1360" i="17" s="1"/>
  <c r="J1316" i="17"/>
  <c r="M1316" i="17" s="1"/>
  <c r="Q1316" i="17"/>
  <c r="N1294" i="17"/>
  <c r="Q1356" i="17"/>
  <c r="J1356" i="17"/>
  <c r="M1356" i="17" s="1"/>
  <c r="N1316" i="17"/>
  <c r="N1309" i="17"/>
  <c r="J1332" i="17"/>
  <c r="N1332" i="17" s="1"/>
  <c r="Q1332" i="17"/>
  <c r="N1290" i="17"/>
  <c r="Q1324" i="17"/>
  <c r="J1324" i="17"/>
  <c r="M1324" i="17" s="1"/>
  <c r="Q1268" i="17"/>
  <c r="N2028" i="1"/>
  <c r="O2028" i="1"/>
  <c r="K2032" i="1"/>
  <c r="Q1354" i="17"/>
  <c r="J1354" i="17"/>
  <c r="M1354" i="17" s="1"/>
  <c r="N1343" i="17"/>
  <c r="J1343" i="17"/>
  <c r="M1343" i="17" s="1"/>
  <c r="H295" i="15"/>
  <c r="N892" i="2"/>
  <c r="O2256" i="1"/>
  <c r="F892" i="2"/>
  <c r="O2149" i="1"/>
  <c r="O2165" i="1"/>
  <c r="O2279" i="1"/>
  <c r="N1334" i="17"/>
  <c r="N1295" i="17"/>
  <c r="N1328" i="17"/>
  <c r="M1278" i="17"/>
  <c r="N1278" i="17"/>
  <c r="N1259" i="17"/>
  <c r="N1270" i="17"/>
  <c r="Q1363" i="17"/>
  <c r="J1363" i="17"/>
  <c r="M1363" i="17" s="1"/>
  <c r="J1359" i="17"/>
  <c r="M1359" i="17" s="1"/>
  <c r="Q1359" i="17"/>
  <c r="N1363" i="17"/>
  <c r="M1246" i="17"/>
  <c r="J1251" i="17"/>
  <c r="N1354" i="17"/>
  <c r="N1349" i="17"/>
  <c r="N1261" i="17"/>
  <c r="N1348" i="17"/>
  <c r="L1260" i="17"/>
  <c r="N1263" i="17"/>
  <c r="Q1320" i="17"/>
  <c r="J1320" i="17"/>
  <c r="M1320" i="17" s="1"/>
  <c r="Q1334" i="17"/>
  <c r="J1334" i="17"/>
  <c r="M1334" i="17" s="1"/>
  <c r="Q1347" i="17"/>
  <c r="J1347" i="17"/>
  <c r="M1347" i="17" s="1"/>
  <c r="N1299" i="17"/>
  <c r="H300" i="15"/>
  <c r="Q1198" i="17"/>
  <c r="Q1242" i="17" s="1"/>
  <c r="J1314" i="17"/>
  <c r="K1321" i="17"/>
  <c r="G331" i="15" s="1"/>
  <c r="Q1314" i="17"/>
  <c r="N1312" i="17"/>
  <c r="M1248" i="17"/>
  <c r="N1248" i="17"/>
  <c r="N1356" i="17"/>
  <c r="J1207" i="17"/>
  <c r="M1207" i="17" s="1"/>
  <c r="L1242" i="17"/>
  <c r="N1241" i="17"/>
  <c r="G322" i="15"/>
  <c r="G324" i="15" s="1"/>
  <c r="K1269" i="17"/>
  <c r="K1304" i="17" s="1"/>
  <c r="G319" i="15"/>
  <c r="G321" i="15" s="1"/>
  <c r="N1264" i="17"/>
  <c r="K1336" i="17"/>
  <c r="K1364" i="17" s="1"/>
  <c r="K1365" i="17" s="1"/>
  <c r="Q1274" i="17"/>
  <c r="Q1302" i="17" s="1"/>
  <c r="Q1303" i="17" s="1"/>
  <c r="J1274" i="17"/>
  <c r="J1302" i="17" s="1"/>
  <c r="J1355" i="17"/>
  <c r="M1355" i="17" s="1"/>
  <c r="Q1355" i="17"/>
  <c r="N1352" i="17"/>
  <c r="J1342" i="17"/>
  <c r="M1342" i="17" s="1"/>
  <c r="Q1342" i="17"/>
  <c r="Q1315" i="17"/>
  <c r="J1315" i="17"/>
  <c r="M1315" i="17" s="1"/>
  <c r="Q1319" i="17"/>
  <c r="J1319" i="17"/>
  <c r="M1319" i="17" s="1"/>
  <c r="N1275" i="17"/>
  <c r="Q1329" i="17"/>
  <c r="J1329" i="17"/>
  <c r="M1329" i="17" s="1"/>
  <c r="J1327" i="17"/>
  <c r="Q1327" i="17"/>
  <c r="J2033" i="13"/>
  <c r="J2037" i="13" s="1"/>
  <c r="J2062" i="13" s="1"/>
  <c r="J2078" i="13" s="1"/>
  <c r="J2137" i="13" s="1"/>
  <c r="G2037" i="13"/>
  <c r="G2062" i="13" s="1"/>
  <c r="G2078" i="13" s="1"/>
  <c r="G2137" i="13" s="1"/>
  <c r="J1339" i="17"/>
  <c r="M1339" i="17" s="1"/>
  <c r="Q1339" i="17"/>
  <c r="N1189" i="17"/>
  <c r="O2252" i="1"/>
  <c r="O2282" i="1"/>
  <c r="G2186" i="13"/>
  <c r="F316" i="15" s="1"/>
  <c r="O2180" i="1"/>
  <c r="O2273" i="1"/>
  <c r="G1969" i="13"/>
  <c r="G2028" i="13" s="1"/>
  <c r="O2262" i="1"/>
  <c r="O2257" i="1"/>
  <c r="F285" i="15"/>
  <c r="F288" i="15" s="1"/>
  <c r="F295" i="15" s="1"/>
  <c r="J1969" i="13"/>
  <c r="J2028" i="13" s="1"/>
  <c r="O2286" i="1"/>
  <c r="L2303" i="1"/>
  <c r="L2312" i="1" s="1"/>
  <c r="L2326" i="1" s="1"/>
  <c r="L2327" i="1" s="1"/>
  <c r="I288" i="15"/>
  <c r="I295" i="15" s="1"/>
  <c r="N2211" i="1"/>
  <c r="O2211" i="1"/>
  <c r="G2271" i="13"/>
  <c r="J2264" i="13"/>
  <c r="J2271" i="13" s="1"/>
  <c r="O2283" i="1"/>
  <c r="N2320" i="1"/>
  <c r="O2320" i="1"/>
  <c r="O2267" i="1"/>
  <c r="N2267" i="1"/>
  <c r="K2270" i="1"/>
  <c r="N2270" i="1" s="1"/>
  <c r="K2274" i="1"/>
  <c r="N2274" i="1" s="1"/>
  <c r="N2271" i="1"/>
  <c r="O2271" i="1"/>
  <c r="J2198" i="13"/>
  <c r="J2205" i="13" s="1"/>
  <c r="J2218" i="13" s="1"/>
  <c r="J2219" i="13" s="1"/>
  <c r="I319" i="15" s="1"/>
  <c r="I321" i="15" s="1"/>
  <c r="G2285" i="13"/>
  <c r="J2281" i="13"/>
  <c r="J2285" i="13" s="1"/>
  <c r="J2305" i="13"/>
  <c r="K2301" i="1"/>
  <c r="O2301" i="1" s="1"/>
  <c r="O2323" i="1"/>
  <c r="M2214" i="1"/>
  <c r="N2344" i="1"/>
  <c r="O2344" i="1"/>
  <c r="O2263" i="1"/>
  <c r="N2184" i="1"/>
  <c r="O2184" i="1"/>
  <c r="N2316" i="1"/>
  <c r="K2324" i="1"/>
  <c r="N2324" i="1" s="1"/>
  <c r="G2328" i="13"/>
  <c r="G2329" i="13" s="1"/>
  <c r="J2252" i="13"/>
  <c r="N2249" i="1"/>
  <c r="O2249" i="1"/>
  <c r="O2161" i="1"/>
  <c r="N2251" i="1"/>
  <c r="K2258" i="1"/>
  <c r="N2258" i="1" s="1"/>
  <c r="J2298" i="13"/>
  <c r="D301" i="15"/>
  <c r="E301" i="15" s="1"/>
  <c r="N2072" i="1"/>
  <c r="K2345" i="1"/>
  <c r="K2311" i="1"/>
  <c r="N2311" i="1" s="1"/>
  <c r="N2304" i="1"/>
  <c r="O2255" i="1"/>
  <c r="O2278" i="1"/>
  <c r="O2277" i="1"/>
  <c r="K2290" i="1"/>
  <c r="N2290" i="1" s="1"/>
  <c r="N2281" i="1"/>
  <c r="O2254" i="1"/>
  <c r="J2303" i="13"/>
  <c r="K2298" i="1"/>
  <c r="O2298" i="1" s="1"/>
  <c r="J2300" i="13"/>
  <c r="K2295" i="1"/>
  <c r="O2295" i="1" s="1"/>
  <c r="N2210" i="1"/>
  <c r="O2210" i="1"/>
  <c r="M2182" i="1"/>
  <c r="J2301" i="13"/>
  <c r="K2296" i="1"/>
  <c r="O2296" i="1" s="1"/>
  <c r="N2232" i="1"/>
  <c r="K2240" i="1"/>
  <c r="O2232" i="1"/>
  <c r="M2291" i="1"/>
  <c r="N2259" i="1"/>
  <c r="K2266" i="1"/>
  <c r="N2266" i="1" s="1"/>
  <c r="D309" i="15"/>
  <c r="E309" i="15" s="1"/>
  <c r="E307" i="15"/>
  <c r="J2272" i="13"/>
  <c r="J2275" i="13" s="1"/>
  <c r="G2275" i="13"/>
  <c r="G2279" i="13"/>
  <c r="J2276" i="13"/>
  <c r="J2279" i="13" s="1"/>
  <c r="N2084" i="1"/>
  <c r="K2091" i="1"/>
  <c r="O2084" i="1"/>
  <c r="G2198" i="13"/>
  <c r="G2205" i="13" s="1"/>
  <c r="G2218" i="13" s="1"/>
  <c r="G2219" i="13" s="1"/>
  <c r="F319" i="15" s="1"/>
  <c r="F321" i="15" s="1"/>
  <c r="N2276" i="1"/>
  <c r="K2280" i="1"/>
  <c r="J2304" i="13"/>
  <c r="K2299" i="1"/>
  <c r="O2299" i="1" s="1"/>
  <c r="J2302" i="13"/>
  <c r="K2297" i="1"/>
  <c r="O2297" i="1" s="1"/>
  <c r="M2133" i="1"/>
  <c r="M2354" i="1"/>
  <c r="F300" i="15"/>
  <c r="F303" i="15" s="1"/>
  <c r="F310" i="15" s="1"/>
  <c r="O2289" i="1"/>
  <c r="K2294" i="1"/>
  <c r="J2299" i="13"/>
  <c r="N2192" i="1"/>
  <c r="O2192" i="1"/>
  <c r="J2307" i="13"/>
  <c r="K2302" i="1"/>
  <c r="J2328" i="13"/>
  <c r="J2329" i="13" s="1"/>
  <c r="M2275" i="1"/>
  <c r="N2247" i="1"/>
  <c r="N2306" i="1"/>
  <c r="O2306" i="1"/>
  <c r="O2284" i="1"/>
  <c r="G2263" i="13"/>
  <c r="J2256" i="13"/>
  <c r="J2263" i="13" s="1"/>
  <c r="O2253" i="1"/>
  <c r="N2293" i="1"/>
  <c r="K2193" i="1"/>
  <c r="J2186" i="13"/>
  <c r="I316" i="15" s="1"/>
  <c r="N2171" i="1"/>
  <c r="K2181" i="1"/>
  <c r="G2316" i="13"/>
  <c r="J2309" i="13"/>
  <c r="J2316" i="13" s="1"/>
  <c r="O2157" i="1"/>
  <c r="O2265" i="1"/>
  <c r="O2272" i="1"/>
  <c r="N2322" i="1"/>
  <c r="O2322" i="1"/>
  <c r="O2349" i="1"/>
  <c r="M2312" i="1"/>
  <c r="O2260" i="1"/>
  <c r="J2286" i="13"/>
  <c r="J2295" i="13" s="1"/>
  <c r="G2295" i="13"/>
  <c r="O2261" i="1"/>
  <c r="N1701" i="1"/>
  <c r="K1780" i="1"/>
  <c r="K1808" i="1" s="1"/>
  <c r="O1808" i="1" s="1"/>
  <c r="N1779" i="1"/>
  <c r="N1780" i="1" s="1"/>
  <c r="O1779" i="1"/>
  <c r="O1780" i="1" s="1"/>
  <c r="D294" i="15"/>
  <c r="E294" i="15" s="1"/>
  <c r="E292" i="15"/>
  <c r="N1875" i="1"/>
  <c r="K1886" i="1"/>
  <c r="O1875" i="1"/>
  <c r="K1995" i="1"/>
  <c r="N1982" i="1"/>
  <c r="D286" i="15"/>
  <c r="N1963" i="1"/>
  <c r="M1996" i="1"/>
  <c r="M2024" i="1" s="1"/>
  <c r="O1857" i="1"/>
  <c r="N1857" i="1"/>
  <c r="K1964" i="1"/>
  <c r="O1948" i="1"/>
  <c r="N1948" i="1"/>
  <c r="F872" i="2"/>
  <c r="F887" i="2"/>
  <c r="I890" i="2"/>
  <c r="M1302" i="17" l="1"/>
  <c r="J1303" i="17"/>
  <c r="N1302" i="17"/>
  <c r="H322" i="15"/>
  <c r="H324" i="15" s="1"/>
  <c r="G337" i="15"/>
  <c r="G339" i="15" s="1"/>
  <c r="K1366" i="17"/>
  <c r="L1322" i="17"/>
  <c r="I300" i="15"/>
  <c r="I303" i="15" s="1"/>
  <c r="I310" i="15" s="1"/>
  <c r="Q1330" i="17"/>
  <c r="N1242" i="17"/>
  <c r="J1321" i="17"/>
  <c r="M1314" i="17"/>
  <c r="N1207" i="17"/>
  <c r="N1339" i="17"/>
  <c r="H319" i="15"/>
  <c r="H321" i="15" s="1"/>
  <c r="Q1269" i="17"/>
  <c r="Q1304" i="17" s="1"/>
  <c r="N1359" i="17"/>
  <c r="N1315" i="17"/>
  <c r="N1321" i="17"/>
  <c r="M1340" i="17"/>
  <c r="N1340" i="17"/>
  <c r="G2251" i="13"/>
  <c r="K2246" i="1"/>
  <c r="L2250" i="1"/>
  <c r="L2275" i="1" s="1"/>
  <c r="L2292" i="1" s="1"/>
  <c r="M1310" i="17"/>
  <c r="N1310" i="17"/>
  <c r="N1319" i="17"/>
  <c r="L1331" i="17"/>
  <c r="M1308" i="17"/>
  <c r="J1313" i="17"/>
  <c r="M1313" i="17" s="1"/>
  <c r="O2032" i="1"/>
  <c r="N2032" i="1"/>
  <c r="K2057" i="1"/>
  <c r="M1358" i="17"/>
  <c r="N1358" i="17"/>
  <c r="J1330" i="17"/>
  <c r="M1330" i="17" s="1"/>
  <c r="M1323" i="17"/>
  <c r="N1346" i="17"/>
  <c r="J1269" i="17"/>
  <c r="M1269" i="17" s="1"/>
  <c r="N1360" i="17"/>
  <c r="N1333" i="17"/>
  <c r="M1241" i="17"/>
  <c r="J1242" i="17"/>
  <c r="M1242" i="17" s="1"/>
  <c r="M1251" i="17"/>
  <c r="J1260" i="17"/>
  <c r="M1260" i="17" s="1"/>
  <c r="H315" i="15"/>
  <c r="H318" i="15" s="1"/>
  <c r="Q1260" i="17"/>
  <c r="L1365" i="17"/>
  <c r="N1364" i="17"/>
  <c r="J2142" i="13"/>
  <c r="J2146" i="13" s="1"/>
  <c r="J2171" i="13" s="1"/>
  <c r="I315" i="15" s="1"/>
  <c r="G2146" i="13"/>
  <c r="G2171" i="13" s="1"/>
  <c r="N1337" i="17"/>
  <c r="Q1313" i="17"/>
  <c r="N1357" i="17"/>
  <c r="Q1336" i="17"/>
  <c r="Q1364" i="17" s="1"/>
  <c r="Q1365" i="17" s="1"/>
  <c r="J1336" i="17"/>
  <c r="G325" i="15"/>
  <c r="N1353" i="17"/>
  <c r="N1251" i="17"/>
  <c r="Q1321" i="17"/>
  <c r="H331" i="15" s="1"/>
  <c r="N1180" i="17"/>
  <c r="N1260" i="17"/>
  <c r="N1320" i="17"/>
  <c r="M1332" i="17"/>
  <c r="J1364" i="17"/>
  <c r="L1304" i="17"/>
  <c r="N1303" i="17"/>
  <c r="N1318" i="17"/>
  <c r="N1342" i="17"/>
  <c r="N1362" i="17"/>
  <c r="N2137" i="1"/>
  <c r="K2141" i="1"/>
  <c r="O2137" i="1"/>
  <c r="N1324" i="17"/>
  <c r="N1326" i="17"/>
  <c r="N1329" i="17"/>
  <c r="N1351" i="17"/>
  <c r="N1325" i="17"/>
  <c r="G330" i="15"/>
  <c r="G333" i="15" s="1"/>
  <c r="K1322" i="17"/>
  <c r="N1317" i="17"/>
  <c r="O2311" i="1"/>
  <c r="N1808" i="1"/>
  <c r="O2274" i="1"/>
  <c r="L2355" i="1"/>
  <c r="K2303" i="1"/>
  <c r="N2303" i="1" s="1"/>
  <c r="M2326" i="1"/>
  <c r="D316" i="15"/>
  <c r="E316" i="15" s="1"/>
  <c r="N2181" i="1"/>
  <c r="K2312" i="1"/>
  <c r="N2302" i="1"/>
  <c r="O2302" i="1"/>
  <c r="N2280" i="1"/>
  <c r="K2291" i="1"/>
  <c r="O2291" i="1" s="1"/>
  <c r="O2091" i="1"/>
  <c r="K2104" i="1"/>
  <c r="N2091" i="1"/>
  <c r="I318" i="15"/>
  <c r="O2280" i="1"/>
  <c r="O2240" i="1"/>
  <c r="O2241" i="1" s="1"/>
  <c r="N2240" i="1"/>
  <c r="N2241" i="1" s="1"/>
  <c r="K2241" i="1"/>
  <c r="D322" i="15" s="1"/>
  <c r="M2242" i="1"/>
  <c r="N2345" i="1"/>
  <c r="O2345" i="1"/>
  <c r="K2353" i="1"/>
  <c r="G2308" i="13"/>
  <c r="G2317" i="13" s="1"/>
  <c r="G2331" i="13" s="1"/>
  <c r="G2332" i="13" s="1"/>
  <c r="F334" i="15" s="1"/>
  <c r="F336" i="15" s="1"/>
  <c r="G2296" i="13"/>
  <c r="F331" i="15" s="1"/>
  <c r="N2193" i="1"/>
  <c r="K2200" i="1"/>
  <c r="O2193" i="1"/>
  <c r="M2292" i="1"/>
  <c r="N2294" i="1"/>
  <c r="O2294" i="1"/>
  <c r="O2266" i="1"/>
  <c r="O2270" i="1"/>
  <c r="J2187" i="13"/>
  <c r="J2246" i="13" s="1"/>
  <c r="J2308" i="13"/>
  <c r="J2317" i="13" s="1"/>
  <c r="J2331" i="13" s="1"/>
  <c r="J2332" i="13" s="1"/>
  <c r="O2181" i="1"/>
  <c r="O2290" i="1"/>
  <c r="J2296" i="13"/>
  <c r="I331" i="15" s="1"/>
  <c r="I325" i="15"/>
  <c r="F315" i="15"/>
  <c r="F318" i="15" s="1"/>
  <c r="F325" i="15" s="1"/>
  <c r="G2187" i="13"/>
  <c r="G2246" i="13" s="1"/>
  <c r="O2324" i="1"/>
  <c r="O2258" i="1"/>
  <c r="E286" i="15"/>
  <c r="D288" i="15"/>
  <c r="K1996" i="1"/>
  <c r="D289" i="15" s="1"/>
  <c r="N1995" i="1"/>
  <c r="N1996" i="1" s="1"/>
  <c r="O1886" i="1"/>
  <c r="O1887" i="1" s="1"/>
  <c r="N1886" i="1"/>
  <c r="N1887" i="1" s="1"/>
  <c r="K1887" i="1"/>
  <c r="K1915" i="1" s="1"/>
  <c r="N1915" i="1" s="1"/>
  <c r="O1995" i="1"/>
  <c r="O1996" i="1" s="1"/>
  <c r="N1964" i="1"/>
  <c r="O1964" i="1"/>
  <c r="K2024" i="1"/>
  <c r="G21" i="15"/>
  <c r="H21" i="15"/>
  <c r="H337" i="15" l="1"/>
  <c r="H339" i="15" s="1"/>
  <c r="N2246" i="1"/>
  <c r="O2246" i="1"/>
  <c r="K2250" i="1"/>
  <c r="N1269" i="17"/>
  <c r="G340" i="15"/>
  <c r="J1304" i="17"/>
  <c r="M1304" i="17" s="1"/>
  <c r="M1303" i="17"/>
  <c r="N1304" i="17"/>
  <c r="N1330" i="17"/>
  <c r="H325" i="15"/>
  <c r="J1365" i="17"/>
  <c r="M1364" i="17"/>
  <c r="J1331" i="17"/>
  <c r="M1331" i="17" s="1"/>
  <c r="L1366" i="17"/>
  <c r="N1365" i="17"/>
  <c r="N1331" i="17"/>
  <c r="Q1331" i="17"/>
  <c r="Q1366" i="17" s="1"/>
  <c r="H334" i="15"/>
  <c r="H336" i="15" s="1"/>
  <c r="O2303" i="1"/>
  <c r="O2141" i="1"/>
  <c r="N2141" i="1"/>
  <c r="K2166" i="1"/>
  <c r="O1915" i="1"/>
  <c r="H330" i="15"/>
  <c r="H333" i="15" s="1"/>
  <c r="Q1322" i="17"/>
  <c r="O2057" i="1"/>
  <c r="N2057" i="1"/>
  <c r="D300" i="15"/>
  <c r="K2073" i="1"/>
  <c r="J2251" i="13"/>
  <c r="J2255" i="13" s="1"/>
  <c r="J2280" i="13" s="1"/>
  <c r="I330" i="15" s="1"/>
  <c r="I333" i="15" s="1"/>
  <c r="G2255" i="13"/>
  <c r="G2280" i="13" s="1"/>
  <c r="G2297" i="13" s="1"/>
  <c r="G2359" i="13" s="1"/>
  <c r="J1322" i="17"/>
  <c r="M1322" i="17" s="1"/>
  <c r="M1321" i="17"/>
  <c r="N1313" i="17"/>
  <c r="N2353" i="1"/>
  <c r="N2354" i="1" s="1"/>
  <c r="K2354" i="1"/>
  <c r="D337" i="15" s="1"/>
  <c r="O2353" i="1"/>
  <c r="O2354" i="1" s="1"/>
  <c r="D324" i="15"/>
  <c r="E324" i="15" s="1"/>
  <c r="E322" i="15"/>
  <c r="M2327" i="1"/>
  <c r="M2355" i="1" s="1"/>
  <c r="I334" i="15"/>
  <c r="I336" i="15" s="1"/>
  <c r="O2200" i="1"/>
  <c r="N2200" i="1"/>
  <c r="K2213" i="1"/>
  <c r="F330" i="15"/>
  <c r="F333" i="15" s="1"/>
  <c r="F340" i="15" s="1"/>
  <c r="N2104" i="1"/>
  <c r="N2105" i="1" s="1"/>
  <c r="K2105" i="1"/>
  <c r="O2104" i="1"/>
  <c r="O2105" i="1" s="1"/>
  <c r="D331" i="15"/>
  <c r="E331" i="15" s="1"/>
  <c r="N2291" i="1"/>
  <c r="K2326" i="1"/>
  <c r="O2326" i="1" s="1"/>
  <c r="O2327" i="1" s="1"/>
  <c r="N2312" i="1"/>
  <c r="O2312" i="1"/>
  <c r="E288" i="15"/>
  <c r="E289" i="15"/>
  <c r="D291" i="15"/>
  <c r="E291" i="15" s="1"/>
  <c r="N2024" i="1"/>
  <c r="O2024" i="1"/>
  <c r="N857" i="2"/>
  <c r="F857" i="2"/>
  <c r="N856" i="2"/>
  <c r="F856" i="2"/>
  <c r="N855" i="2"/>
  <c r="F855" i="2"/>
  <c r="N854" i="2"/>
  <c r="F854" i="2"/>
  <c r="N853" i="2"/>
  <c r="F853" i="2"/>
  <c r="N852" i="2"/>
  <c r="F852" i="2"/>
  <c r="N851" i="2"/>
  <c r="F851" i="2"/>
  <c r="N850" i="2"/>
  <c r="F850" i="2"/>
  <c r="N849" i="2"/>
  <c r="F849" i="2"/>
  <c r="N848" i="2"/>
  <c r="F848" i="2"/>
  <c r="N847" i="2"/>
  <c r="F847" i="2"/>
  <c r="N846" i="2"/>
  <c r="F846" i="2"/>
  <c r="N845" i="2"/>
  <c r="F845" i="2"/>
  <c r="N844" i="2"/>
  <c r="F844" i="2"/>
  <c r="N843" i="2"/>
  <c r="F843" i="2"/>
  <c r="N842" i="2"/>
  <c r="F842" i="2"/>
  <c r="N841" i="2"/>
  <c r="F841" i="2"/>
  <c r="N840" i="2"/>
  <c r="F840" i="2"/>
  <c r="N839" i="2"/>
  <c r="F839" i="2"/>
  <c r="N838" i="2"/>
  <c r="F838" i="2"/>
  <c r="N837" i="2"/>
  <c r="F837" i="2"/>
  <c r="N836" i="2"/>
  <c r="F836" i="2"/>
  <c r="N835" i="2"/>
  <c r="F835" i="2"/>
  <c r="N834" i="2"/>
  <c r="F834" i="2"/>
  <c r="N833" i="2"/>
  <c r="F833" i="2"/>
  <c r="N832" i="2"/>
  <c r="F832" i="2"/>
  <c r="N831" i="2"/>
  <c r="F831" i="2"/>
  <c r="N830" i="2"/>
  <c r="F830" i="2"/>
  <c r="N828" i="2"/>
  <c r="F828" i="2"/>
  <c r="H827" i="2"/>
  <c r="G827" i="2"/>
  <c r="E827" i="2"/>
  <c r="D827" i="2"/>
  <c r="N826" i="2"/>
  <c r="F826" i="2"/>
  <c r="I826" i="2" s="1"/>
  <c r="N825" i="2"/>
  <c r="F825" i="2"/>
  <c r="N824" i="2"/>
  <c r="F824" i="2"/>
  <c r="I824" i="2" s="1"/>
  <c r="N823" i="2"/>
  <c r="F823" i="2"/>
  <c r="H822" i="2"/>
  <c r="G822" i="2"/>
  <c r="E822" i="2"/>
  <c r="D822" i="2"/>
  <c r="N821" i="2"/>
  <c r="F821" i="2"/>
  <c r="N820" i="2"/>
  <c r="F820" i="2"/>
  <c r="N819" i="2"/>
  <c r="F819" i="2"/>
  <c r="N818" i="2"/>
  <c r="F818" i="2"/>
  <c r="N817" i="2"/>
  <c r="F817" i="2"/>
  <c r="N816" i="2"/>
  <c r="F816" i="2"/>
  <c r="N815" i="2"/>
  <c r="F815" i="2"/>
  <c r="H813" i="2"/>
  <c r="G813" i="2"/>
  <c r="N811" i="2"/>
  <c r="F811" i="2"/>
  <c r="N810" i="2"/>
  <c r="F810" i="2"/>
  <c r="F809" i="2"/>
  <c r="N808" i="2"/>
  <c r="F808" i="2"/>
  <c r="H807" i="2"/>
  <c r="G807" i="2"/>
  <c r="N806" i="2"/>
  <c r="F806" i="2"/>
  <c r="N805" i="2"/>
  <c r="F805" i="2"/>
  <c r="N804" i="2"/>
  <c r="F804" i="2"/>
  <c r="N803" i="2"/>
  <c r="F803" i="2"/>
  <c r="N802" i="2"/>
  <c r="F802" i="2"/>
  <c r="N801" i="2"/>
  <c r="F801" i="2"/>
  <c r="N800" i="2"/>
  <c r="F800" i="2"/>
  <c r="J2297" i="13" l="1"/>
  <c r="J2359" i="13" s="1"/>
  <c r="D303" i="15"/>
  <c r="E303" i="15" s="1"/>
  <c r="E300" i="15"/>
  <c r="N827" i="2"/>
  <c r="J1366" i="17"/>
  <c r="M1366" i="17" s="1"/>
  <c r="M1365" i="17"/>
  <c r="N822" i="2"/>
  <c r="D315" i="15"/>
  <c r="K2182" i="1"/>
  <c r="O2166" i="1"/>
  <c r="N2166" i="1"/>
  <c r="O2250" i="1"/>
  <c r="N2250" i="1"/>
  <c r="K2275" i="1"/>
  <c r="F827" i="2"/>
  <c r="O2073" i="1"/>
  <c r="N2073" i="1"/>
  <c r="N1322" i="17"/>
  <c r="H340" i="15"/>
  <c r="N2213" i="1"/>
  <c r="N2214" i="1" s="1"/>
  <c r="K2214" i="1"/>
  <c r="O2213" i="1"/>
  <c r="O2214" i="1" s="1"/>
  <c r="D339" i="15"/>
  <c r="E339" i="15" s="1"/>
  <c r="E337" i="15"/>
  <c r="I340" i="15"/>
  <c r="K2327" i="1"/>
  <c r="D334" i="15" s="1"/>
  <c r="N2326" i="1"/>
  <c r="N2327" i="1" s="1"/>
  <c r="D304" i="15"/>
  <c r="K2133" i="1"/>
  <c r="D295" i="15"/>
  <c r="E295" i="15" s="1"/>
  <c r="F807" i="2"/>
  <c r="F822" i="2"/>
  <c r="F813" i="2"/>
  <c r="I825" i="2"/>
  <c r="N1366" i="17" l="1"/>
  <c r="O2275" i="1"/>
  <c r="N2275" i="1"/>
  <c r="K2292" i="1"/>
  <c r="D330" i="15"/>
  <c r="N2182" i="1"/>
  <c r="O2182" i="1"/>
  <c r="D318" i="15"/>
  <c r="E318" i="15" s="1"/>
  <c r="E315" i="15"/>
  <c r="N2133" i="1"/>
  <c r="O2133" i="1"/>
  <c r="D319" i="15"/>
  <c r="K2242" i="1"/>
  <c r="D306" i="15"/>
  <c r="E304" i="15"/>
  <c r="D336" i="15"/>
  <c r="E336" i="15" s="1"/>
  <c r="E334" i="15"/>
  <c r="H18" i="15"/>
  <c r="E16" i="15"/>
  <c r="O2292" i="1" l="1"/>
  <c r="N2292" i="1"/>
  <c r="K2355" i="1"/>
  <c r="E330" i="15"/>
  <c r="D333" i="15"/>
  <c r="E333" i="15" s="1"/>
  <c r="N2242" i="1"/>
  <c r="O2242" i="1"/>
  <c r="E306" i="15"/>
  <c r="D310" i="15"/>
  <c r="E310" i="15" s="1"/>
  <c r="D321" i="15"/>
  <c r="E319" i="15"/>
  <c r="D340" i="15"/>
  <c r="E340" i="15" s="1"/>
  <c r="G18" i="15"/>
  <c r="N792" i="2"/>
  <c r="F792" i="2"/>
  <c r="N791" i="2"/>
  <c r="F791" i="2"/>
  <c r="N790" i="2"/>
  <c r="F790" i="2"/>
  <c r="N789" i="2"/>
  <c r="F789" i="2"/>
  <c r="N788" i="2"/>
  <c r="F788" i="2"/>
  <c r="N787" i="2"/>
  <c r="F787" i="2"/>
  <c r="N786" i="2"/>
  <c r="F786" i="2"/>
  <c r="N785" i="2"/>
  <c r="F785" i="2"/>
  <c r="N784" i="2"/>
  <c r="F784" i="2"/>
  <c r="N783" i="2"/>
  <c r="F783" i="2"/>
  <c r="N782" i="2"/>
  <c r="F782" i="2"/>
  <c r="N781" i="2"/>
  <c r="F781" i="2"/>
  <c r="N780" i="2"/>
  <c r="F780" i="2"/>
  <c r="N779" i="2"/>
  <c r="F779" i="2"/>
  <c r="N778" i="2"/>
  <c r="F778" i="2"/>
  <c r="N777" i="2"/>
  <c r="F777" i="2"/>
  <c r="N776" i="2"/>
  <c r="F776" i="2"/>
  <c r="N775" i="2"/>
  <c r="F775" i="2"/>
  <c r="N774" i="2"/>
  <c r="F774" i="2"/>
  <c r="N773" i="2"/>
  <c r="F773" i="2"/>
  <c r="N772" i="2"/>
  <c r="F772" i="2"/>
  <c r="N771" i="2"/>
  <c r="F771" i="2"/>
  <c r="N770" i="2"/>
  <c r="F770" i="2"/>
  <c r="N769" i="2"/>
  <c r="F769" i="2"/>
  <c r="N768" i="2"/>
  <c r="F768" i="2"/>
  <c r="N767" i="2"/>
  <c r="F767" i="2"/>
  <c r="N766" i="2"/>
  <c r="F766" i="2"/>
  <c r="N765" i="2"/>
  <c r="F765" i="2"/>
  <c r="N763" i="2"/>
  <c r="F763" i="2"/>
  <c r="H762" i="2"/>
  <c r="G762" i="2"/>
  <c r="E762" i="2"/>
  <c r="D762" i="2"/>
  <c r="N761" i="2"/>
  <c r="I761" i="2"/>
  <c r="F761" i="2"/>
  <c r="N760" i="2"/>
  <c r="F760" i="2"/>
  <c r="N759" i="2"/>
  <c r="F759" i="2"/>
  <c r="I759" i="2" s="1"/>
  <c r="N758" i="2"/>
  <c r="F758" i="2"/>
  <c r="H757" i="2"/>
  <c r="G757" i="2"/>
  <c r="E757" i="2"/>
  <c r="D757" i="2"/>
  <c r="N756" i="2"/>
  <c r="F756" i="2"/>
  <c r="N755" i="2"/>
  <c r="F755" i="2"/>
  <c r="N754" i="2"/>
  <c r="N757" i="2" s="1"/>
  <c r="F754" i="2"/>
  <c r="N753" i="2"/>
  <c r="F753" i="2"/>
  <c r="N752" i="2"/>
  <c r="F752" i="2"/>
  <c r="N751" i="2"/>
  <c r="F751" i="2"/>
  <c r="N750" i="2"/>
  <c r="F750" i="2"/>
  <c r="H748" i="2"/>
  <c r="G748" i="2"/>
  <c r="N746" i="2"/>
  <c r="F746" i="2"/>
  <c r="N745" i="2"/>
  <c r="F745" i="2"/>
  <c r="F744" i="2"/>
  <c r="N743" i="2"/>
  <c r="F743" i="2"/>
  <c r="H742" i="2"/>
  <c r="G742" i="2"/>
  <c r="N741" i="2"/>
  <c r="F741" i="2"/>
  <c r="N740" i="2"/>
  <c r="F740" i="2"/>
  <c r="N739" i="2"/>
  <c r="F739" i="2"/>
  <c r="N738" i="2"/>
  <c r="F738" i="2"/>
  <c r="N737" i="2"/>
  <c r="F737" i="2"/>
  <c r="N736" i="2"/>
  <c r="F736" i="2"/>
  <c r="N735" i="2"/>
  <c r="F735" i="2"/>
  <c r="N2355" i="1" l="1"/>
  <c r="O2355" i="1"/>
  <c r="F762" i="2"/>
  <c r="F742" i="2"/>
  <c r="N762" i="2"/>
  <c r="E321" i="15"/>
  <c r="D325" i="15"/>
  <c r="E325" i="15" s="1"/>
  <c r="E22" i="15"/>
  <c r="D24" i="15"/>
  <c r="E24" i="15" s="1"/>
  <c r="I24" i="15"/>
  <c r="F757" i="2"/>
  <c r="F748" i="2"/>
  <c r="I760" i="2"/>
  <c r="F24" i="15" l="1"/>
  <c r="F21" i="15"/>
  <c r="I21" i="15"/>
  <c r="E19" i="15"/>
  <c r="D21" i="15"/>
  <c r="E21" i="15" s="1"/>
  <c r="G24" i="15"/>
  <c r="G25" i="15" s="1"/>
  <c r="H24" i="15" l="1"/>
  <c r="H25" i="15" s="1"/>
  <c r="F18" i="15" l="1"/>
  <c r="F25" i="15" s="1"/>
  <c r="D18" i="15"/>
  <c r="E15" i="15"/>
  <c r="I18" i="15"/>
  <c r="I25" i="15" s="1"/>
  <c r="N727" i="2"/>
  <c r="F727" i="2"/>
  <c r="N726" i="2"/>
  <c r="F726" i="2"/>
  <c r="N725" i="2"/>
  <c r="F725" i="2"/>
  <c r="N724" i="2"/>
  <c r="F724" i="2"/>
  <c r="N723" i="2"/>
  <c r="F723" i="2"/>
  <c r="N722" i="2"/>
  <c r="F722" i="2"/>
  <c r="N721" i="2"/>
  <c r="F721" i="2"/>
  <c r="N720" i="2"/>
  <c r="F720" i="2"/>
  <c r="N719" i="2"/>
  <c r="F719" i="2"/>
  <c r="N718" i="2"/>
  <c r="F718" i="2"/>
  <c r="N717" i="2"/>
  <c r="F717" i="2"/>
  <c r="N716" i="2"/>
  <c r="F716" i="2"/>
  <c r="N715" i="2"/>
  <c r="F715" i="2"/>
  <c r="N714" i="2"/>
  <c r="F714" i="2"/>
  <c r="N713" i="2"/>
  <c r="F713" i="2"/>
  <c r="N712" i="2"/>
  <c r="F712" i="2"/>
  <c r="N711" i="2"/>
  <c r="F711" i="2"/>
  <c r="N710" i="2"/>
  <c r="F710" i="2"/>
  <c r="N709" i="2"/>
  <c r="F709" i="2"/>
  <c r="N708" i="2"/>
  <c r="F708" i="2"/>
  <c r="N707" i="2"/>
  <c r="F707" i="2"/>
  <c r="N706" i="2"/>
  <c r="F706" i="2"/>
  <c r="N705" i="2"/>
  <c r="F705" i="2"/>
  <c r="N704" i="2"/>
  <c r="F704" i="2"/>
  <c r="N703" i="2"/>
  <c r="F703" i="2"/>
  <c r="N702" i="2"/>
  <c r="F702" i="2"/>
  <c r="N701" i="2"/>
  <c r="F701" i="2"/>
  <c r="N700" i="2"/>
  <c r="F700" i="2"/>
  <c r="N698" i="2"/>
  <c r="F698" i="2"/>
  <c r="H697" i="2"/>
  <c r="G697" i="2"/>
  <c r="E697" i="2"/>
  <c r="D697" i="2"/>
  <c r="N696" i="2"/>
  <c r="I696" i="2"/>
  <c r="F696" i="2"/>
  <c r="N695" i="2"/>
  <c r="F695" i="2"/>
  <c r="I695" i="2" s="1"/>
  <c r="N694" i="2"/>
  <c r="F694" i="2"/>
  <c r="I694" i="2" s="1"/>
  <c r="N693" i="2"/>
  <c r="N697" i="2" s="1"/>
  <c r="F693" i="2"/>
  <c r="H692" i="2"/>
  <c r="G692" i="2"/>
  <c r="E692" i="2"/>
  <c r="D692" i="2"/>
  <c r="N691" i="2"/>
  <c r="F691" i="2"/>
  <c r="N690" i="2"/>
  <c r="F690" i="2"/>
  <c r="N689" i="2"/>
  <c r="F689" i="2"/>
  <c r="N688" i="2"/>
  <c r="F688" i="2"/>
  <c r="N687" i="2"/>
  <c r="F687" i="2"/>
  <c r="N686" i="2"/>
  <c r="F686" i="2"/>
  <c r="N685" i="2"/>
  <c r="F685" i="2"/>
  <c r="H683" i="2"/>
  <c r="G683" i="2"/>
  <c r="N681" i="2"/>
  <c r="F681" i="2"/>
  <c r="N680" i="2"/>
  <c r="F680" i="2"/>
  <c r="F679" i="2"/>
  <c r="N678" i="2"/>
  <c r="F678" i="2"/>
  <c r="H677" i="2"/>
  <c r="G677" i="2"/>
  <c r="N676" i="2"/>
  <c r="F676" i="2"/>
  <c r="N675" i="2"/>
  <c r="F675" i="2"/>
  <c r="N674" i="2"/>
  <c r="F674" i="2"/>
  <c r="N673" i="2"/>
  <c r="F673" i="2"/>
  <c r="N672" i="2"/>
  <c r="F672" i="2"/>
  <c r="N671" i="2"/>
  <c r="F671" i="2"/>
  <c r="N670" i="2"/>
  <c r="F670" i="2"/>
  <c r="F677" i="2" s="1"/>
  <c r="N692" i="2" l="1"/>
  <c r="E18" i="15"/>
  <c r="D25" i="15"/>
  <c r="E25" i="15" s="1"/>
  <c r="F683" i="2"/>
  <c r="F692" i="2"/>
  <c r="F697" i="2"/>
  <c r="N662" i="2"/>
  <c r="F662" i="2"/>
  <c r="N661" i="2"/>
  <c r="F661" i="2"/>
  <c r="N660" i="2"/>
  <c r="F660" i="2"/>
  <c r="N659" i="2"/>
  <c r="F659" i="2"/>
  <c r="N658" i="2"/>
  <c r="F658" i="2"/>
  <c r="N657" i="2"/>
  <c r="F657" i="2"/>
  <c r="N656" i="2"/>
  <c r="F656" i="2"/>
  <c r="N655" i="2"/>
  <c r="F655" i="2"/>
  <c r="N654" i="2"/>
  <c r="F654" i="2"/>
  <c r="N653" i="2"/>
  <c r="F653" i="2"/>
  <c r="N652" i="2"/>
  <c r="F652" i="2"/>
  <c r="N651" i="2"/>
  <c r="F651" i="2"/>
  <c r="N650" i="2"/>
  <c r="F650" i="2"/>
  <c r="N649" i="2"/>
  <c r="F649" i="2"/>
  <c r="N648" i="2"/>
  <c r="F648" i="2"/>
  <c r="N647" i="2"/>
  <c r="F647" i="2"/>
  <c r="N646" i="2"/>
  <c r="F646" i="2"/>
  <c r="N645" i="2"/>
  <c r="F645" i="2"/>
  <c r="N644" i="2"/>
  <c r="F644" i="2"/>
  <c r="N643" i="2"/>
  <c r="F643" i="2"/>
  <c r="N642" i="2"/>
  <c r="F642" i="2"/>
  <c r="N641" i="2"/>
  <c r="F641" i="2"/>
  <c r="N640" i="2"/>
  <c r="F640" i="2"/>
  <c r="N639" i="2"/>
  <c r="F639" i="2"/>
  <c r="N638" i="2"/>
  <c r="F638" i="2"/>
  <c r="N637" i="2"/>
  <c r="F637" i="2"/>
  <c r="N636" i="2"/>
  <c r="F636" i="2"/>
  <c r="N635" i="2"/>
  <c r="F635" i="2"/>
  <c r="N633" i="2"/>
  <c r="F633" i="2"/>
  <c r="H632" i="2"/>
  <c r="G632" i="2"/>
  <c r="E632" i="2"/>
  <c r="D632" i="2"/>
  <c r="N631" i="2"/>
  <c r="F631" i="2"/>
  <c r="I631" i="2" s="1"/>
  <c r="N630" i="2"/>
  <c r="I630" i="2"/>
  <c r="F630" i="2"/>
  <c r="N629" i="2"/>
  <c r="F629" i="2"/>
  <c r="I629" i="2" s="1"/>
  <c r="N628" i="2"/>
  <c r="F628" i="2"/>
  <c r="F632" i="2" s="1"/>
  <c r="H627" i="2"/>
  <c r="G627" i="2"/>
  <c r="E627" i="2"/>
  <c r="D627" i="2"/>
  <c r="N626" i="2"/>
  <c r="F626" i="2"/>
  <c r="N625" i="2"/>
  <c r="F625" i="2"/>
  <c r="N624" i="2"/>
  <c r="N627" i="2" s="1"/>
  <c r="F624" i="2"/>
  <c r="N623" i="2"/>
  <c r="F623" i="2"/>
  <c r="N622" i="2"/>
  <c r="F622" i="2"/>
  <c r="N621" i="2"/>
  <c r="F621" i="2"/>
  <c r="N620" i="2"/>
  <c r="F620" i="2"/>
  <c r="H618" i="2"/>
  <c r="G618" i="2"/>
  <c r="F618" i="2" s="1"/>
  <c r="N616" i="2"/>
  <c r="F616" i="2"/>
  <c r="N615" i="2"/>
  <c r="F615" i="2"/>
  <c r="F614" i="2"/>
  <c r="N613" i="2"/>
  <c r="F613" i="2"/>
  <c r="H612" i="2"/>
  <c r="G612" i="2"/>
  <c r="N611" i="2"/>
  <c r="F611" i="2"/>
  <c r="N610" i="2"/>
  <c r="F610" i="2"/>
  <c r="N609" i="2"/>
  <c r="F609" i="2"/>
  <c r="N608" i="2"/>
  <c r="F608" i="2"/>
  <c r="N607" i="2"/>
  <c r="F607" i="2"/>
  <c r="N606" i="2"/>
  <c r="F606" i="2"/>
  <c r="N605" i="2"/>
  <c r="F605" i="2"/>
  <c r="N632" i="2" l="1"/>
  <c r="F627" i="2"/>
  <c r="F612" i="2"/>
  <c r="N597" i="2" l="1"/>
  <c r="F597" i="2"/>
  <c r="N596" i="2"/>
  <c r="F596" i="2"/>
  <c r="N595" i="2"/>
  <c r="F595" i="2"/>
  <c r="N594" i="2"/>
  <c r="F594" i="2"/>
  <c r="N593" i="2"/>
  <c r="F593" i="2"/>
  <c r="N592" i="2"/>
  <c r="F592" i="2"/>
  <c r="N591" i="2"/>
  <c r="F591" i="2"/>
  <c r="N590" i="2"/>
  <c r="F590" i="2"/>
  <c r="N589" i="2"/>
  <c r="F589" i="2"/>
  <c r="N588" i="2"/>
  <c r="F588" i="2"/>
  <c r="N587" i="2"/>
  <c r="F587" i="2"/>
  <c r="N586" i="2"/>
  <c r="F586" i="2"/>
  <c r="N585" i="2"/>
  <c r="F585" i="2"/>
  <c r="N584" i="2"/>
  <c r="F584" i="2"/>
  <c r="N583" i="2"/>
  <c r="F583" i="2"/>
  <c r="N582" i="2"/>
  <c r="F582" i="2"/>
  <c r="N581" i="2"/>
  <c r="F581" i="2"/>
  <c r="N580" i="2"/>
  <c r="F580" i="2"/>
  <c r="N579" i="2"/>
  <c r="F579" i="2"/>
  <c r="N578" i="2"/>
  <c r="F578" i="2"/>
  <c r="N577" i="2"/>
  <c r="F577" i="2"/>
  <c r="N576" i="2"/>
  <c r="F576" i="2"/>
  <c r="N575" i="2"/>
  <c r="F575" i="2"/>
  <c r="N574" i="2"/>
  <c r="F574" i="2"/>
  <c r="N573" i="2"/>
  <c r="F573" i="2"/>
  <c r="N572" i="2"/>
  <c r="F572" i="2"/>
  <c r="N571" i="2"/>
  <c r="F571" i="2"/>
  <c r="N570" i="2"/>
  <c r="F570" i="2"/>
  <c r="N568" i="2"/>
  <c r="F568" i="2"/>
  <c r="H567" i="2"/>
  <c r="G567" i="2"/>
  <c r="E567" i="2"/>
  <c r="D567" i="2"/>
  <c r="N566" i="2"/>
  <c r="F566" i="2"/>
  <c r="I566" i="2" s="1"/>
  <c r="N565" i="2"/>
  <c r="F565" i="2"/>
  <c r="I565" i="2" s="1"/>
  <c r="N564" i="2"/>
  <c r="F564" i="2"/>
  <c r="I564" i="2" s="1"/>
  <c r="N563" i="2"/>
  <c r="F563" i="2"/>
  <c r="H562" i="2"/>
  <c r="G562" i="2"/>
  <c r="E562" i="2"/>
  <c r="D562" i="2"/>
  <c r="N561" i="2"/>
  <c r="F561" i="2"/>
  <c r="N560" i="2"/>
  <c r="F560" i="2"/>
  <c r="N559" i="2"/>
  <c r="F559" i="2"/>
  <c r="N558" i="2"/>
  <c r="F558" i="2"/>
  <c r="N557" i="2"/>
  <c r="F557" i="2"/>
  <c r="N556" i="2"/>
  <c r="F556" i="2"/>
  <c r="N555" i="2"/>
  <c r="F555" i="2"/>
  <c r="H553" i="2"/>
  <c r="G553" i="2"/>
  <c r="F553" i="2" s="1"/>
  <c r="N551" i="2"/>
  <c r="F551" i="2"/>
  <c r="N550" i="2"/>
  <c r="F550" i="2"/>
  <c r="F549" i="2"/>
  <c r="N548" i="2"/>
  <c r="F548" i="2"/>
  <c r="H547" i="2"/>
  <c r="G547" i="2"/>
  <c r="N546" i="2"/>
  <c r="F546" i="2"/>
  <c r="N545" i="2"/>
  <c r="F545" i="2"/>
  <c r="N544" i="2"/>
  <c r="F544" i="2"/>
  <c r="N543" i="2"/>
  <c r="F543" i="2"/>
  <c r="N542" i="2"/>
  <c r="F542" i="2"/>
  <c r="N541" i="2"/>
  <c r="F541" i="2"/>
  <c r="N540" i="2"/>
  <c r="F540" i="2"/>
  <c r="F562" i="2" l="1"/>
  <c r="N567" i="2"/>
  <c r="N562" i="2"/>
  <c r="F547" i="2"/>
  <c r="F567" i="2"/>
  <c r="N532" i="2" l="1"/>
  <c r="F532" i="2"/>
  <c r="N531" i="2"/>
  <c r="F531" i="2"/>
  <c r="N530" i="2"/>
  <c r="F530" i="2"/>
  <c r="N529" i="2"/>
  <c r="F529" i="2"/>
  <c r="N528" i="2"/>
  <c r="F528" i="2"/>
  <c r="N527" i="2"/>
  <c r="F527" i="2"/>
  <c r="N526" i="2"/>
  <c r="F526" i="2"/>
  <c r="N525" i="2"/>
  <c r="F525" i="2"/>
  <c r="N524" i="2"/>
  <c r="F524" i="2"/>
  <c r="N523" i="2"/>
  <c r="F523" i="2"/>
  <c r="N522" i="2"/>
  <c r="F522" i="2"/>
  <c r="N521" i="2"/>
  <c r="F521" i="2"/>
  <c r="N520" i="2"/>
  <c r="F520" i="2"/>
  <c r="N519" i="2"/>
  <c r="F519" i="2"/>
  <c r="N518" i="2"/>
  <c r="F518" i="2"/>
  <c r="N517" i="2"/>
  <c r="F517" i="2"/>
  <c r="N516" i="2"/>
  <c r="F516" i="2"/>
  <c r="N515" i="2"/>
  <c r="F515" i="2"/>
  <c r="N514" i="2"/>
  <c r="F514" i="2"/>
  <c r="N513" i="2"/>
  <c r="F513" i="2"/>
  <c r="N512" i="2"/>
  <c r="F512" i="2"/>
  <c r="N511" i="2"/>
  <c r="F511" i="2"/>
  <c r="N510" i="2"/>
  <c r="F510" i="2"/>
  <c r="N509" i="2"/>
  <c r="F509" i="2"/>
  <c r="N508" i="2"/>
  <c r="F508" i="2"/>
  <c r="N507" i="2"/>
  <c r="F507" i="2"/>
  <c r="N506" i="2"/>
  <c r="F506" i="2"/>
  <c r="N505" i="2"/>
  <c r="F505" i="2"/>
  <c r="N503" i="2"/>
  <c r="F503" i="2"/>
  <c r="H502" i="2"/>
  <c r="G502" i="2"/>
  <c r="E502" i="2"/>
  <c r="D502" i="2"/>
  <c r="N501" i="2"/>
  <c r="I501" i="2"/>
  <c r="F501" i="2"/>
  <c r="N500" i="2"/>
  <c r="F500" i="2"/>
  <c r="N499" i="2"/>
  <c r="F499" i="2"/>
  <c r="I499" i="2" s="1"/>
  <c r="N498" i="2"/>
  <c r="F498" i="2"/>
  <c r="H497" i="2"/>
  <c r="G497" i="2"/>
  <c r="E497" i="2"/>
  <c r="D497" i="2"/>
  <c r="N496" i="2"/>
  <c r="F496" i="2"/>
  <c r="N495" i="2"/>
  <c r="F495" i="2"/>
  <c r="N494" i="2"/>
  <c r="F494" i="2"/>
  <c r="N493" i="2"/>
  <c r="F493" i="2"/>
  <c r="N492" i="2"/>
  <c r="F492" i="2"/>
  <c r="N491" i="2"/>
  <c r="F491" i="2"/>
  <c r="N490" i="2"/>
  <c r="F490" i="2"/>
  <c r="H488" i="2"/>
  <c r="G488" i="2"/>
  <c r="N486" i="2"/>
  <c r="F486" i="2"/>
  <c r="N485" i="2"/>
  <c r="F485" i="2"/>
  <c r="F484" i="2"/>
  <c r="N483" i="2"/>
  <c r="F483" i="2"/>
  <c r="N481" i="2"/>
  <c r="F481" i="2"/>
  <c r="N480" i="2"/>
  <c r="F480" i="2"/>
  <c r="N479" i="2"/>
  <c r="F479" i="2"/>
  <c r="N478" i="2"/>
  <c r="F478" i="2"/>
  <c r="H482" i="2"/>
  <c r="G482" i="2"/>
  <c r="N476" i="2"/>
  <c r="F476" i="2"/>
  <c r="N475" i="2"/>
  <c r="F475" i="2"/>
  <c r="H412" i="2"/>
  <c r="H417" i="2" s="1"/>
  <c r="G412" i="2"/>
  <c r="N467" i="2"/>
  <c r="F467" i="2"/>
  <c r="N466" i="2"/>
  <c r="F466" i="2"/>
  <c r="N465" i="2"/>
  <c r="F465" i="2"/>
  <c r="N464" i="2"/>
  <c r="F464" i="2"/>
  <c r="N463" i="2"/>
  <c r="F463" i="2"/>
  <c r="N462" i="2"/>
  <c r="F462" i="2"/>
  <c r="N461" i="2"/>
  <c r="F461" i="2"/>
  <c r="N460" i="2"/>
  <c r="F460" i="2"/>
  <c r="N459" i="2"/>
  <c r="F459" i="2"/>
  <c r="N458" i="2"/>
  <c r="F458" i="2"/>
  <c r="N457" i="2"/>
  <c r="F457" i="2"/>
  <c r="N456" i="2"/>
  <c r="F456" i="2"/>
  <c r="N455" i="2"/>
  <c r="F455" i="2"/>
  <c r="N454" i="2"/>
  <c r="F454" i="2"/>
  <c r="N453" i="2"/>
  <c r="F453" i="2"/>
  <c r="N452" i="2"/>
  <c r="F452" i="2"/>
  <c r="N451" i="2"/>
  <c r="F451" i="2"/>
  <c r="N450" i="2"/>
  <c r="F450" i="2"/>
  <c r="N449" i="2"/>
  <c r="F449" i="2"/>
  <c r="N448" i="2"/>
  <c r="F448" i="2"/>
  <c r="N447" i="2"/>
  <c r="F447" i="2"/>
  <c r="N446" i="2"/>
  <c r="F446" i="2"/>
  <c r="N445" i="2"/>
  <c r="F445" i="2"/>
  <c r="N444" i="2"/>
  <c r="F444" i="2"/>
  <c r="N443" i="2"/>
  <c r="F443" i="2"/>
  <c r="N442" i="2"/>
  <c r="F442" i="2"/>
  <c r="N441" i="2"/>
  <c r="F441" i="2"/>
  <c r="N440" i="2"/>
  <c r="F440" i="2"/>
  <c r="N438" i="2"/>
  <c r="F438" i="2"/>
  <c r="H437" i="2"/>
  <c r="G437" i="2"/>
  <c r="E437" i="2"/>
  <c r="D437" i="2"/>
  <c r="N436" i="2"/>
  <c r="F436" i="2"/>
  <c r="I436" i="2" s="1"/>
  <c r="N435" i="2"/>
  <c r="F435" i="2"/>
  <c r="I435" i="2" s="1"/>
  <c r="N434" i="2"/>
  <c r="I434" i="2"/>
  <c r="F434" i="2"/>
  <c r="N433" i="2"/>
  <c r="F433" i="2"/>
  <c r="H432" i="2"/>
  <c r="G432" i="2"/>
  <c r="E432" i="2"/>
  <c r="D432" i="2"/>
  <c r="N431" i="2"/>
  <c r="F431" i="2"/>
  <c r="N430" i="2"/>
  <c r="F430" i="2"/>
  <c r="N429" i="2"/>
  <c r="N432" i="2" s="1"/>
  <c r="F429" i="2"/>
  <c r="N428" i="2"/>
  <c r="F428" i="2"/>
  <c r="N427" i="2"/>
  <c r="F427" i="2"/>
  <c r="N426" i="2"/>
  <c r="F426" i="2"/>
  <c r="N425" i="2"/>
  <c r="F425" i="2"/>
  <c r="H423" i="2"/>
  <c r="G423" i="2"/>
  <c r="N421" i="2"/>
  <c r="F421" i="2"/>
  <c r="N420" i="2"/>
  <c r="F420" i="2"/>
  <c r="F419" i="2"/>
  <c r="N418" i="2"/>
  <c r="F418" i="2"/>
  <c r="N416" i="2"/>
  <c r="F416" i="2"/>
  <c r="N415" i="2"/>
  <c r="F415" i="2"/>
  <c r="N414" i="2"/>
  <c r="F414" i="2"/>
  <c r="N413" i="2"/>
  <c r="F413" i="2"/>
  <c r="N411" i="2"/>
  <c r="F411" i="2"/>
  <c r="N410" i="2"/>
  <c r="F410" i="2"/>
  <c r="G417" i="2" l="1"/>
  <c r="F412" i="2"/>
  <c r="F437" i="2"/>
  <c r="N412" i="2"/>
  <c r="N502" i="2"/>
  <c r="F417" i="2"/>
  <c r="N437" i="2"/>
  <c r="F502" i="2"/>
  <c r="N497" i="2"/>
  <c r="F497" i="2"/>
  <c r="F488" i="2"/>
  <c r="N477" i="2"/>
  <c r="I500" i="2"/>
  <c r="F477" i="2"/>
  <c r="F482" i="2" s="1"/>
  <c r="F432" i="2"/>
  <c r="F423" i="2"/>
  <c r="H347" i="2" l="1"/>
  <c r="N402" i="2"/>
  <c r="F402" i="2"/>
  <c r="N401" i="2"/>
  <c r="F401" i="2"/>
  <c r="N400" i="2"/>
  <c r="F400" i="2"/>
  <c r="N399" i="2"/>
  <c r="F399" i="2"/>
  <c r="N398" i="2"/>
  <c r="F398" i="2"/>
  <c r="N397" i="2"/>
  <c r="F397" i="2"/>
  <c r="N396" i="2"/>
  <c r="F396" i="2"/>
  <c r="N395" i="2"/>
  <c r="F395" i="2"/>
  <c r="N394" i="2"/>
  <c r="F394" i="2"/>
  <c r="N393" i="2"/>
  <c r="F393" i="2"/>
  <c r="N392" i="2"/>
  <c r="F392" i="2"/>
  <c r="N391" i="2"/>
  <c r="F391" i="2"/>
  <c r="N390" i="2"/>
  <c r="F390" i="2"/>
  <c r="N389" i="2"/>
  <c r="F389" i="2"/>
  <c r="N388" i="2"/>
  <c r="F388" i="2"/>
  <c r="N387" i="2"/>
  <c r="F387" i="2"/>
  <c r="N386" i="2"/>
  <c r="F386" i="2"/>
  <c r="N385" i="2"/>
  <c r="F385" i="2"/>
  <c r="N384" i="2"/>
  <c r="F384" i="2"/>
  <c r="N383" i="2"/>
  <c r="F383" i="2"/>
  <c r="N382" i="2"/>
  <c r="F382" i="2"/>
  <c r="N381" i="2"/>
  <c r="F381" i="2"/>
  <c r="N380" i="2"/>
  <c r="F380" i="2"/>
  <c r="N379" i="2"/>
  <c r="F379" i="2"/>
  <c r="N378" i="2"/>
  <c r="F378" i="2"/>
  <c r="N377" i="2"/>
  <c r="F377" i="2"/>
  <c r="N376" i="2"/>
  <c r="F376" i="2"/>
  <c r="N375" i="2"/>
  <c r="F375" i="2"/>
  <c r="N373" i="2"/>
  <c r="F373" i="2"/>
  <c r="H372" i="2"/>
  <c r="G372" i="2"/>
  <c r="E372" i="2"/>
  <c r="D372" i="2"/>
  <c r="N371" i="2"/>
  <c r="I371" i="2"/>
  <c r="F371" i="2"/>
  <c r="N370" i="2"/>
  <c r="F370" i="2"/>
  <c r="F372" i="2" s="1"/>
  <c r="N369" i="2"/>
  <c r="I369" i="2"/>
  <c r="F369" i="2"/>
  <c r="N368" i="2"/>
  <c r="N372" i="2" s="1"/>
  <c r="F368" i="2"/>
  <c r="H367" i="2"/>
  <c r="G367" i="2"/>
  <c r="E367" i="2"/>
  <c r="D367" i="2"/>
  <c r="N366" i="2"/>
  <c r="F366" i="2"/>
  <c r="N365" i="2"/>
  <c r="F365" i="2"/>
  <c r="N364" i="2"/>
  <c r="F364" i="2"/>
  <c r="N363" i="2"/>
  <c r="F363" i="2"/>
  <c r="N362" i="2"/>
  <c r="F362" i="2"/>
  <c r="N361" i="2"/>
  <c r="F361" i="2"/>
  <c r="N360" i="2"/>
  <c r="F360" i="2"/>
  <c r="H358" i="2"/>
  <c r="G358" i="2"/>
  <c r="N356" i="2"/>
  <c r="F356" i="2"/>
  <c r="N355" i="2"/>
  <c r="F355" i="2"/>
  <c r="F354" i="2"/>
  <c r="N353" i="2"/>
  <c r="F353" i="2"/>
  <c r="N351" i="2"/>
  <c r="F351" i="2"/>
  <c r="N350" i="2"/>
  <c r="F350" i="2"/>
  <c r="N349" i="2"/>
  <c r="F349" i="2"/>
  <c r="N348" i="2"/>
  <c r="F348" i="2"/>
  <c r="H352" i="2"/>
  <c r="G352" i="2"/>
  <c r="N346" i="2"/>
  <c r="F346" i="2"/>
  <c r="N345" i="2"/>
  <c r="F345" i="2"/>
  <c r="N367" i="2" l="1"/>
  <c r="F358" i="2"/>
  <c r="F367" i="2"/>
  <c r="N347" i="2"/>
  <c r="I370" i="2"/>
  <c r="F347" i="2"/>
  <c r="F352" i="2" s="1"/>
  <c r="H282" i="2" l="1"/>
  <c r="H287" i="2" s="1"/>
  <c r="G282" i="2"/>
  <c r="N282" i="2" s="1"/>
  <c r="N337" i="2"/>
  <c r="F337" i="2"/>
  <c r="N336" i="2"/>
  <c r="F336" i="2"/>
  <c r="N335" i="2"/>
  <c r="F335" i="2"/>
  <c r="N334" i="2"/>
  <c r="F334" i="2"/>
  <c r="N333" i="2"/>
  <c r="F333" i="2"/>
  <c r="N332" i="2"/>
  <c r="F332" i="2"/>
  <c r="N331" i="2"/>
  <c r="F331" i="2"/>
  <c r="N330" i="2"/>
  <c r="F330" i="2"/>
  <c r="N329" i="2"/>
  <c r="F329" i="2"/>
  <c r="N328" i="2"/>
  <c r="F328" i="2"/>
  <c r="N327" i="2"/>
  <c r="F327" i="2"/>
  <c r="N326" i="2"/>
  <c r="F326" i="2"/>
  <c r="N325" i="2"/>
  <c r="F325" i="2"/>
  <c r="N324" i="2"/>
  <c r="F324" i="2"/>
  <c r="N323" i="2"/>
  <c r="F323" i="2"/>
  <c r="N322" i="2"/>
  <c r="F322" i="2"/>
  <c r="N321" i="2"/>
  <c r="F321" i="2"/>
  <c r="N320" i="2"/>
  <c r="F320" i="2"/>
  <c r="N319" i="2"/>
  <c r="F319" i="2"/>
  <c r="N318" i="2"/>
  <c r="F318" i="2"/>
  <c r="N317" i="2"/>
  <c r="F317" i="2"/>
  <c r="N316" i="2"/>
  <c r="F316" i="2"/>
  <c r="N315" i="2"/>
  <c r="F315" i="2"/>
  <c r="N314" i="2"/>
  <c r="F314" i="2"/>
  <c r="N313" i="2"/>
  <c r="F313" i="2"/>
  <c r="N312" i="2"/>
  <c r="F312" i="2"/>
  <c r="N311" i="2"/>
  <c r="F311" i="2"/>
  <c r="N310" i="2"/>
  <c r="F310" i="2"/>
  <c r="N308" i="2"/>
  <c r="F308" i="2"/>
  <c r="H307" i="2"/>
  <c r="G307" i="2"/>
  <c r="E307" i="2"/>
  <c r="D307" i="2"/>
  <c r="N306" i="2"/>
  <c r="F306" i="2"/>
  <c r="I306" i="2" s="1"/>
  <c r="N305" i="2"/>
  <c r="F305" i="2"/>
  <c r="I305" i="2" s="1"/>
  <c r="N304" i="2"/>
  <c r="F304" i="2"/>
  <c r="I304" i="2" s="1"/>
  <c r="N303" i="2"/>
  <c r="F303" i="2"/>
  <c r="H302" i="2"/>
  <c r="G302" i="2"/>
  <c r="E302" i="2"/>
  <c r="D302" i="2"/>
  <c r="N301" i="2"/>
  <c r="F301" i="2"/>
  <c r="N300" i="2"/>
  <c r="F300" i="2"/>
  <c r="N299" i="2"/>
  <c r="F299" i="2"/>
  <c r="N298" i="2"/>
  <c r="F298" i="2"/>
  <c r="N297" i="2"/>
  <c r="F297" i="2"/>
  <c r="N296" i="2"/>
  <c r="F296" i="2"/>
  <c r="N295" i="2"/>
  <c r="F295" i="2"/>
  <c r="H293" i="2"/>
  <c r="G293" i="2"/>
  <c r="F293" i="2" s="1"/>
  <c r="N291" i="2"/>
  <c r="F291" i="2"/>
  <c r="N290" i="2"/>
  <c r="F290" i="2"/>
  <c r="F289" i="2"/>
  <c r="N288" i="2"/>
  <c r="F288" i="2"/>
  <c r="N286" i="2"/>
  <c r="F286" i="2"/>
  <c r="N285" i="2"/>
  <c r="F285" i="2"/>
  <c r="N284" i="2"/>
  <c r="F284" i="2"/>
  <c r="N283" i="2"/>
  <c r="F283" i="2"/>
  <c r="N281" i="2"/>
  <c r="F281" i="2"/>
  <c r="N280" i="2"/>
  <c r="F280" i="2"/>
  <c r="G287" i="2" l="1"/>
  <c r="N307" i="2"/>
  <c r="N302" i="2"/>
  <c r="F302" i="2"/>
  <c r="F307" i="2"/>
  <c r="F282" i="2"/>
  <c r="F287" i="2" s="1"/>
  <c r="H217" i="2" l="1"/>
  <c r="H152" i="2" l="1"/>
  <c r="G152" i="2"/>
  <c r="N272" i="2"/>
  <c r="F272" i="2"/>
  <c r="N271" i="2"/>
  <c r="F271" i="2"/>
  <c r="N270" i="2"/>
  <c r="F270" i="2"/>
  <c r="N269" i="2"/>
  <c r="F269" i="2"/>
  <c r="N268" i="2"/>
  <c r="F268" i="2"/>
  <c r="N267" i="2"/>
  <c r="F267" i="2"/>
  <c r="N266" i="2"/>
  <c r="F266" i="2"/>
  <c r="N265" i="2"/>
  <c r="F265" i="2"/>
  <c r="N264" i="2"/>
  <c r="F264" i="2"/>
  <c r="N263" i="2"/>
  <c r="F263" i="2"/>
  <c r="N262" i="2"/>
  <c r="F262" i="2"/>
  <c r="N261" i="2"/>
  <c r="F261" i="2"/>
  <c r="N260" i="2"/>
  <c r="F260" i="2"/>
  <c r="N259" i="2"/>
  <c r="F259" i="2"/>
  <c r="N258" i="2"/>
  <c r="F258" i="2"/>
  <c r="N257" i="2"/>
  <c r="F257" i="2"/>
  <c r="N256" i="2"/>
  <c r="F256" i="2"/>
  <c r="N255" i="2"/>
  <c r="F255" i="2"/>
  <c r="N254" i="2"/>
  <c r="F254" i="2"/>
  <c r="N253" i="2"/>
  <c r="F253" i="2"/>
  <c r="N252" i="2"/>
  <c r="F252" i="2"/>
  <c r="N251" i="2"/>
  <c r="F251" i="2"/>
  <c r="N250" i="2"/>
  <c r="F250" i="2"/>
  <c r="N249" i="2"/>
  <c r="F249" i="2"/>
  <c r="N248" i="2"/>
  <c r="F248" i="2"/>
  <c r="N247" i="2"/>
  <c r="F247" i="2"/>
  <c r="N246" i="2"/>
  <c r="F246" i="2"/>
  <c r="N245" i="2"/>
  <c r="F245" i="2"/>
  <c r="N243" i="2"/>
  <c r="F243" i="2"/>
  <c r="H242" i="2"/>
  <c r="G242" i="2"/>
  <c r="E242" i="2"/>
  <c r="D242" i="2"/>
  <c r="N241" i="2"/>
  <c r="F241" i="2"/>
  <c r="I241" i="2" s="1"/>
  <c r="N240" i="2"/>
  <c r="F240" i="2"/>
  <c r="I240" i="2" s="1"/>
  <c r="N239" i="2"/>
  <c r="F239" i="2"/>
  <c r="I239" i="2" s="1"/>
  <c r="N238" i="2"/>
  <c r="F238" i="2"/>
  <c r="H237" i="2"/>
  <c r="G237" i="2"/>
  <c r="E237" i="2"/>
  <c r="D237" i="2"/>
  <c r="N236" i="2"/>
  <c r="F236" i="2"/>
  <c r="N235" i="2"/>
  <c r="F235" i="2"/>
  <c r="N234" i="2"/>
  <c r="N237" i="2" s="1"/>
  <c r="F234" i="2"/>
  <c r="N233" i="2"/>
  <c r="F233" i="2"/>
  <c r="N232" i="2"/>
  <c r="F232" i="2"/>
  <c r="N231" i="2"/>
  <c r="F231" i="2"/>
  <c r="N230" i="2"/>
  <c r="F230" i="2"/>
  <c r="H228" i="2"/>
  <c r="G228" i="2"/>
  <c r="N226" i="2"/>
  <c r="F226" i="2"/>
  <c r="N225" i="2"/>
  <c r="F225" i="2"/>
  <c r="F224" i="2"/>
  <c r="N223" i="2"/>
  <c r="F223" i="2"/>
  <c r="H222" i="2"/>
  <c r="G222" i="2"/>
  <c r="N221" i="2"/>
  <c r="F221" i="2"/>
  <c r="N220" i="2"/>
  <c r="F220" i="2"/>
  <c r="N219" i="2"/>
  <c r="F219" i="2"/>
  <c r="N218" i="2"/>
  <c r="F218" i="2"/>
  <c r="N217" i="2"/>
  <c r="F217" i="2"/>
  <c r="N216" i="2"/>
  <c r="F216" i="2"/>
  <c r="N215" i="2"/>
  <c r="F215" i="2"/>
  <c r="F237" i="2" l="1"/>
  <c r="F228" i="2"/>
  <c r="F222" i="2"/>
  <c r="N242" i="2"/>
  <c r="F242" i="2"/>
  <c r="N207" i="2" l="1"/>
  <c r="F207" i="2"/>
  <c r="N206" i="2"/>
  <c r="F206" i="2"/>
  <c r="N205" i="2"/>
  <c r="F205" i="2"/>
  <c r="N204" i="2"/>
  <c r="F204" i="2"/>
  <c r="N203" i="2"/>
  <c r="F203" i="2"/>
  <c r="N202" i="2"/>
  <c r="F202" i="2"/>
  <c r="N201" i="2"/>
  <c r="F201" i="2"/>
  <c r="N200" i="2"/>
  <c r="F200" i="2"/>
  <c r="N199" i="2"/>
  <c r="F199" i="2"/>
  <c r="N198" i="2"/>
  <c r="F198" i="2"/>
  <c r="N197" i="2"/>
  <c r="F197" i="2"/>
  <c r="N196" i="2"/>
  <c r="F196" i="2"/>
  <c r="N195" i="2"/>
  <c r="F195" i="2"/>
  <c r="N194" i="2"/>
  <c r="F194" i="2"/>
  <c r="N193" i="2"/>
  <c r="F193" i="2"/>
  <c r="N192" i="2"/>
  <c r="F192" i="2"/>
  <c r="N191" i="2"/>
  <c r="F191" i="2"/>
  <c r="N190" i="2"/>
  <c r="F190" i="2"/>
  <c r="N189" i="2"/>
  <c r="F189" i="2"/>
  <c r="N188" i="2"/>
  <c r="F188" i="2"/>
  <c r="N187" i="2"/>
  <c r="F187" i="2"/>
  <c r="N186" i="2"/>
  <c r="F186" i="2"/>
  <c r="N185" i="2"/>
  <c r="F185" i="2"/>
  <c r="N184" i="2"/>
  <c r="F184" i="2"/>
  <c r="N183" i="2"/>
  <c r="F183" i="2"/>
  <c r="N182" i="2"/>
  <c r="F182" i="2"/>
  <c r="N181" i="2"/>
  <c r="F181" i="2"/>
  <c r="N180" i="2"/>
  <c r="F180" i="2"/>
  <c r="N178" i="2"/>
  <c r="F178" i="2"/>
  <c r="H177" i="2"/>
  <c r="G177" i="2"/>
  <c r="E177" i="2"/>
  <c r="D177" i="2"/>
  <c r="N176" i="2"/>
  <c r="F176" i="2"/>
  <c r="I176" i="2" s="1"/>
  <c r="N175" i="2"/>
  <c r="I175" i="2"/>
  <c r="F175" i="2"/>
  <c r="N174" i="2"/>
  <c r="F174" i="2"/>
  <c r="I174" i="2" s="1"/>
  <c r="N173" i="2"/>
  <c r="N177" i="2" s="1"/>
  <c r="F173" i="2"/>
  <c r="F177" i="2" s="1"/>
  <c r="H172" i="2"/>
  <c r="G172" i="2"/>
  <c r="E172" i="2"/>
  <c r="D172" i="2"/>
  <c r="N171" i="2"/>
  <c r="F171" i="2"/>
  <c r="N170" i="2"/>
  <c r="F170" i="2"/>
  <c r="N169" i="2"/>
  <c r="N172" i="2" s="1"/>
  <c r="F169" i="2"/>
  <c r="N168" i="2"/>
  <c r="F168" i="2"/>
  <c r="N167" i="2"/>
  <c r="F167" i="2"/>
  <c r="N166" i="2"/>
  <c r="F166" i="2"/>
  <c r="N165" i="2"/>
  <c r="F165" i="2"/>
  <c r="F172" i="2" s="1"/>
  <c r="H163" i="2"/>
  <c r="F163" i="2" s="1"/>
  <c r="G163" i="2"/>
  <c r="N161" i="2"/>
  <c r="F161" i="2"/>
  <c r="N160" i="2"/>
  <c r="F160" i="2"/>
  <c r="F159" i="2"/>
  <c r="N158" i="2"/>
  <c r="F158" i="2"/>
  <c r="H157" i="2"/>
  <c r="G157" i="2"/>
  <c r="N156" i="2"/>
  <c r="F156" i="2"/>
  <c r="N155" i="2"/>
  <c r="F155" i="2"/>
  <c r="N154" i="2"/>
  <c r="F154" i="2"/>
  <c r="N153" i="2"/>
  <c r="F153" i="2"/>
  <c r="N152" i="2"/>
  <c r="F152" i="2"/>
  <c r="N151" i="2"/>
  <c r="F151" i="2"/>
  <c r="N150" i="2"/>
  <c r="F150" i="2"/>
  <c r="F157" i="2" l="1"/>
  <c r="N142" i="2"/>
  <c r="F142" i="2"/>
  <c r="N141" i="2"/>
  <c r="F141" i="2"/>
  <c r="N140" i="2"/>
  <c r="F140" i="2"/>
  <c r="N139" i="2"/>
  <c r="F139" i="2"/>
  <c r="N138" i="2"/>
  <c r="F138" i="2"/>
  <c r="N137" i="2"/>
  <c r="F137" i="2"/>
  <c r="N136" i="2"/>
  <c r="F136" i="2"/>
  <c r="N135" i="2"/>
  <c r="F135" i="2"/>
  <c r="N134" i="2"/>
  <c r="F134" i="2"/>
  <c r="N133" i="2"/>
  <c r="F133" i="2"/>
  <c r="N132" i="2"/>
  <c r="F132" i="2"/>
  <c r="N131" i="2"/>
  <c r="F131" i="2"/>
  <c r="N130" i="2"/>
  <c r="F130" i="2"/>
  <c r="N129" i="2"/>
  <c r="F129" i="2"/>
  <c r="N128" i="2"/>
  <c r="F128" i="2"/>
  <c r="N127" i="2"/>
  <c r="F127" i="2"/>
  <c r="N126" i="2"/>
  <c r="F126" i="2"/>
  <c r="N125" i="2"/>
  <c r="F125" i="2"/>
  <c r="N124" i="2"/>
  <c r="F124" i="2"/>
  <c r="N123" i="2"/>
  <c r="F123" i="2"/>
  <c r="N122" i="2"/>
  <c r="F122" i="2"/>
  <c r="N121" i="2"/>
  <c r="F121" i="2"/>
  <c r="N120" i="2"/>
  <c r="F120" i="2"/>
  <c r="N119" i="2"/>
  <c r="F119" i="2"/>
  <c r="N118" i="2"/>
  <c r="F118" i="2"/>
  <c r="N117" i="2"/>
  <c r="F117" i="2"/>
  <c r="N116" i="2"/>
  <c r="F116" i="2"/>
  <c r="N115" i="2"/>
  <c r="F115" i="2"/>
  <c r="N113" i="2"/>
  <c r="F113" i="2"/>
  <c r="E112" i="2"/>
  <c r="D112" i="2"/>
  <c r="N111" i="2"/>
  <c r="F111" i="2"/>
  <c r="I111" i="2" s="1"/>
  <c r="N110" i="2"/>
  <c r="F110" i="2"/>
  <c r="I110" i="2" s="1"/>
  <c r="N109" i="2"/>
  <c r="F109" i="2"/>
  <c r="I109" i="2" s="1"/>
  <c r="N108" i="2"/>
  <c r="N112" i="2" s="1"/>
  <c r="H112" i="2"/>
  <c r="G112" i="2"/>
  <c r="H107" i="2"/>
  <c r="G107" i="2"/>
  <c r="E107" i="2"/>
  <c r="D107" i="2"/>
  <c r="N106" i="2"/>
  <c r="F106" i="2"/>
  <c r="N105" i="2"/>
  <c r="F105" i="2"/>
  <c r="N104" i="2"/>
  <c r="F104" i="2"/>
  <c r="N103" i="2"/>
  <c r="F103" i="2"/>
  <c r="N102" i="2"/>
  <c r="F102" i="2"/>
  <c r="N101" i="2"/>
  <c r="F101" i="2"/>
  <c r="N100" i="2"/>
  <c r="F100" i="2"/>
  <c r="H98" i="2"/>
  <c r="G98" i="2"/>
  <c r="N96" i="2"/>
  <c r="F96" i="2"/>
  <c r="N95" i="2"/>
  <c r="F95" i="2"/>
  <c r="F94" i="2"/>
  <c r="N93" i="2"/>
  <c r="F93" i="2"/>
  <c r="H92" i="2"/>
  <c r="G92" i="2"/>
  <c r="N91" i="2"/>
  <c r="F91" i="2"/>
  <c r="N90" i="2"/>
  <c r="F90" i="2"/>
  <c r="N89" i="2"/>
  <c r="F89" i="2"/>
  <c r="N88" i="2"/>
  <c r="F88" i="2"/>
  <c r="N87" i="2"/>
  <c r="F87" i="2"/>
  <c r="F92" i="2" s="1"/>
  <c r="N86" i="2"/>
  <c r="F86" i="2"/>
  <c r="N85" i="2"/>
  <c r="F85" i="2"/>
  <c r="H43" i="2"/>
  <c r="G43" i="2"/>
  <c r="F98" i="2" l="1"/>
  <c r="N107" i="2"/>
  <c r="F107" i="2"/>
  <c r="F108" i="2"/>
  <c r="F112" i="2" s="1"/>
  <c r="K75" i="2" l="1"/>
  <c r="K140" i="2" s="1"/>
  <c r="K205" i="2" s="1"/>
  <c r="K270" i="2" s="1"/>
  <c r="K335" i="2" s="1"/>
  <c r="K400" i="2" s="1"/>
  <c r="K465" i="2" s="1"/>
  <c r="K530" i="2" s="1"/>
  <c r="K595" i="2" s="1"/>
  <c r="K660" i="2" s="1"/>
  <c r="K725" i="2" s="1"/>
  <c r="K790" i="2" s="1"/>
  <c r="K855" i="2" s="1"/>
  <c r="K920" i="2" s="1"/>
  <c r="K985" i="2" s="1"/>
  <c r="K1050" i="2" s="1"/>
  <c r="K76" i="2"/>
  <c r="K141" i="2" s="1"/>
  <c r="K206" i="2" s="1"/>
  <c r="K271" i="2" s="1"/>
  <c r="K77" i="2"/>
  <c r="K142" i="2" s="1"/>
  <c r="K207" i="2" s="1"/>
  <c r="K272" i="2" s="1"/>
  <c r="K337" i="2" s="1"/>
  <c r="K402" i="2" s="1"/>
  <c r="K467" i="2" s="1"/>
  <c r="K532" i="2" s="1"/>
  <c r="K597" i="2" s="1"/>
  <c r="K662" i="2" s="1"/>
  <c r="K727" i="2" s="1"/>
  <c r="K792" i="2" s="1"/>
  <c r="K857" i="2" s="1"/>
  <c r="K922" i="2" s="1"/>
  <c r="K987" i="2" s="1"/>
  <c r="K1052" i="2" s="1"/>
  <c r="K69" i="2"/>
  <c r="K134" i="2" s="1"/>
  <c r="K199" i="2" s="1"/>
  <c r="K264" i="2" s="1"/>
  <c r="K329" i="2" s="1"/>
  <c r="K394" i="2" s="1"/>
  <c r="K459" i="2" s="1"/>
  <c r="K524" i="2" s="1"/>
  <c r="K589" i="2" s="1"/>
  <c r="K654" i="2" s="1"/>
  <c r="K719" i="2" s="1"/>
  <c r="K784" i="2" s="1"/>
  <c r="K849" i="2" s="1"/>
  <c r="K914" i="2" s="1"/>
  <c r="K979" i="2" s="1"/>
  <c r="K1044" i="2" s="1"/>
  <c r="K70" i="2"/>
  <c r="K135" i="2" s="1"/>
  <c r="K200" i="2" s="1"/>
  <c r="K265" i="2" s="1"/>
  <c r="K330" i="2" s="1"/>
  <c r="K395" i="2" s="1"/>
  <c r="K460" i="2" s="1"/>
  <c r="K525" i="2" s="1"/>
  <c r="K590" i="2" s="1"/>
  <c r="K655" i="2" s="1"/>
  <c r="K720" i="2" s="1"/>
  <c r="K785" i="2" s="1"/>
  <c r="K850" i="2" s="1"/>
  <c r="K915" i="2" s="1"/>
  <c r="K980" i="2" s="1"/>
  <c r="K1045" i="2" s="1"/>
  <c r="K71" i="2"/>
  <c r="K136" i="2" s="1"/>
  <c r="K201" i="2" s="1"/>
  <c r="K266" i="2" s="1"/>
  <c r="K331" i="2" s="1"/>
  <c r="K396" i="2" s="1"/>
  <c r="K461" i="2" s="1"/>
  <c r="K526" i="2" s="1"/>
  <c r="K591" i="2" s="1"/>
  <c r="K656" i="2" s="1"/>
  <c r="K721" i="2" s="1"/>
  <c r="K786" i="2" s="1"/>
  <c r="K851" i="2" s="1"/>
  <c r="K916" i="2" s="1"/>
  <c r="K981" i="2" s="1"/>
  <c r="K1046" i="2" s="1"/>
  <c r="K72" i="2"/>
  <c r="K137" i="2" s="1"/>
  <c r="K202" i="2" s="1"/>
  <c r="K267" i="2" s="1"/>
  <c r="K73" i="2"/>
  <c r="K138" i="2" s="1"/>
  <c r="K203" i="2" s="1"/>
  <c r="K268" i="2" s="1"/>
  <c r="K333" i="2" s="1"/>
  <c r="K398" i="2" s="1"/>
  <c r="K463" i="2" s="1"/>
  <c r="K528" i="2" s="1"/>
  <c r="K593" i="2" s="1"/>
  <c r="K658" i="2" s="1"/>
  <c r="K723" i="2" s="1"/>
  <c r="K788" i="2" s="1"/>
  <c r="K853" i="2" s="1"/>
  <c r="K918" i="2" s="1"/>
  <c r="K983" i="2" s="1"/>
  <c r="K1048" i="2" s="1"/>
  <c r="K74" i="2"/>
  <c r="K139" i="2" s="1"/>
  <c r="K204" i="2" s="1"/>
  <c r="K269" i="2" s="1"/>
  <c r="K334" i="2" s="1"/>
  <c r="K399" i="2" s="1"/>
  <c r="K464" i="2" s="1"/>
  <c r="K529" i="2" s="1"/>
  <c r="K594" i="2" s="1"/>
  <c r="K659" i="2" s="1"/>
  <c r="K724" i="2" s="1"/>
  <c r="K789" i="2" s="1"/>
  <c r="K854" i="2" s="1"/>
  <c r="K919" i="2" s="1"/>
  <c r="K984" i="2" s="1"/>
  <c r="K1049" i="2" s="1"/>
  <c r="K63" i="2"/>
  <c r="K128" i="2" s="1"/>
  <c r="K193" i="2" s="1"/>
  <c r="K258" i="2" s="1"/>
  <c r="K323" i="2" s="1"/>
  <c r="K388" i="2" s="1"/>
  <c r="K453" i="2" s="1"/>
  <c r="K518" i="2" s="1"/>
  <c r="K583" i="2" s="1"/>
  <c r="K648" i="2" s="1"/>
  <c r="K713" i="2" s="1"/>
  <c r="K778" i="2" s="1"/>
  <c r="K843" i="2" s="1"/>
  <c r="K908" i="2" s="1"/>
  <c r="K973" i="2" s="1"/>
  <c r="K1038" i="2" s="1"/>
  <c r="K64" i="2"/>
  <c r="K129" i="2" s="1"/>
  <c r="K194" i="2" s="1"/>
  <c r="K259" i="2" s="1"/>
  <c r="K324" i="2" s="1"/>
  <c r="K389" i="2" s="1"/>
  <c r="K454" i="2" s="1"/>
  <c r="K519" i="2" s="1"/>
  <c r="K584" i="2" s="1"/>
  <c r="K649" i="2" s="1"/>
  <c r="K714" i="2" s="1"/>
  <c r="K779" i="2" s="1"/>
  <c r="K844" i="2" s="1"/>
  <c r="K909" i="2" s="1"/>
  <c r="K974" i="2" s="1"/>
  <c r="K1039" i="2" s="1"/>
  <c r="K65" i="2"/>
  <c r="K130" i="2" s="1"/>
  <c r="K66" i="2"/>
  <c r="K131" i="2" s="1"/>
  <c r="K196" i="2" s="1"/>
  <c r="K261" i="2" s="1"/>
  <c r="K326" i="2" s="1"/>
  <c r="K391" i="2" s="1"/>
  <c r="K456" i="2" s="1"/>
  <c r="K521" i="2" s="1"/>
  <c r="K586" i="2" s="1"/>
  <c r="K651" i="2" s="1"/>
  <c r="K716" i="2" s="1"/>
  <c r="K781" i="2" s="1"/>
  <c r="K846" i="2" s="1"/>
  <c r="K911" i="2" s="1"/>
  <c r="K976" i="2" s="1"/>
  <c r="K1041" i="2" s="1"/>
  <c r="K67" i="2"/>
  <c r="K132" i="2" s="1"/>
  <c r="K197" i="2" s="1"/>
  <c r="K262" i="2" s="1"/>
  <c r="K327" i="2" s="1"/>
  <c r="K392" i="2" s="1"/>
  <c r="K457" i="2" s="1"/>
  <c r="K522" i="2" s="1"/>
  <c r="K587" i="2" s="1"/>
  <c r="K652" i="2" s="1"/>
  <c r="K717" i="2" s="1"/>
  <c r="K782" i="2" s="1"/>
  <c r="K847" i="2" s="1"/>
  <c r="K912" i="2" s="1"/>
  <c r="K977" i="2" s="1"/>
  <c r="K1042" i="2" s="1"/>
  <c r="K68" i="2"/>
  <c r="K133" i="2" s="1"/>
  <c r="K198" i="2" s="1"/>
  <c r="K263" i="2" s="1"/>
  <c r="K58" i="2"/>
  <c r="K123" i="2" s="1"/>
  <c r="K188" i="2" s="1"/>
  <c r="K253" i="2" s="1"/>
  <c r="K318" i="2" s="1"/>
  <c r="K383" i="2" s="1"/>
  <c r="K448" i="2" s="1"/>
  <c r="K513" i="2" s="1"/>
  <c r="K578" i="2" s="1"/>
  <c r="K643" i="2" s="1"/>
  <c r="K708" i="2" s="1"/>
  <c r="K773" i="2" s="1"/>
  <c r="K838" i="2" s="1"/>
  <c r="K59" i="2"/>
  <c r="K124" i="2" s="1"/>
  <c r="K189" i="2" s="1"/>
  <c r="K254" i="2" s="1"/>
  <c r="K319" i="2" s="1"/>
  <c r="K384" i="2" s="1"/>
  <c r="K449" i="2" s="1"/>
  <c r="K514" i="2" s="1"/>
  <c r="K579" i="2" s="1"/>
  <c r="K644" i="2" s="1"/>
  <c r="K709" i="2" s="1"/>
  <c r="K774" i="2" s="1"/>
  <c r="K839" i="2" s="1"/>
  <c r="K904" i="2" s="1"/>
  <c r="K969" i="2" s="1"/>
  <c r="K1034" i="2" s="1"/>
  <c r="K60" i="2"/>
  <c r="K125" i="2" s="1"/>
  <c r="K190" i="2" s="1"/>
  <c r="K255" i="2" s="1"/>
  <c r="K320" i="2" s="1"/>
  <c r="K385" i="2" s="1"/>
  <c r="K450" i="2" s="1"/>
  <c r="K515" i="2" s="1"/>
  <c r="K580" i="2" s="1"/>
  <c r="K645" i="2" s="1"/>
  <c r="K710" i="2" s="1"/>
  <c r="K775" i="2" s="1"/>
  <c r="K840" i="2" s="1"/>
  <c r="K905" i="2" s="1"/>
  <c r="K970" i="2" s="1"/>
  <c r="K1035" i="2" s="1"/>
  <c r="K61" i="2"/>
  <c r="K126" i="2" s="1"/>
  <c r="K62" i="2"/>
  <c r="K127" i="2" s="1"/>
  <c r="K192" i="2" s="1"/>
  <c r="K257" i="2" s="1"/>
  <c r="K322" i="2" s="1"/>
  <c r="K387" i="2" s="1"/>
  <c r="K452" i="2" s="1"/>
  <c r="K517" i="2" s="1"/>
  <c r="K52" i="2"/>
  <c r="K117" i="2" s="1"/>
  <c r="K182" i="2" s="1"/>
  <c r="K247" i="2" s="1"/>
  <c r="K312" i="2" s="1"/>
  <c r="K377" i="2" s="1"/>
  <c r="K442" i="2" s="1"/>
  <c r="K507" i="2" s="1"/>
  <c r="K572" i="2" s="1"/>
  <c r="K637" i="2" s="1"/>
  <c r="K702" i="2" s="1"/>
  <c r="K767" i="2" s="1"/>
  <c r="K832" i="2" s="1"/>
  <c r="K897" i="2" s="1"/>
  <c r="K962" i="2" s="1"/>
  <c r="K1027" i="2" s="1"/>
  <c r="K53" i="2"/>
  <c r="K118" i="2" s="1"/>
  <c r="K54" i="2"/>
  <c r="K119" i="2" s="1"/>
  <c r="K184" i="2" s="1"/>
  <c r="K249" i="2" s="1"/>
  <c r="K314" i="2" s="1"/>
  <c r="K379" i="2" s="1"/>
  <c r="K444" i="2" s="1"/>
  <c r="K509" i="2" s="1"/>
  <c r="K574" i="2" s="1"/>
  <c r="K639" i="2" s="1"/>
  <c r="K704" i="2" s="1"/>
  <c r="K769" i="2" s="1"/>
  <c r="K834" i="2" s="1"/>
  <c r="K899" i="2" s="1"/>
  <c r="K964" i="2" s="1"/>
  <c r="K55" i="2"/>
  <c r="K120" i="2" s="1"/>
  <c r="K185" i="2" s="1"/>
  <c r="K250" i="2" s="1"/>
  <c r="K315" i="2" s="1"/>
  <c r="K380" i="2" s="1"/>
  <c r="K445" i="2" s="1"/>
  <c r="K510" i="2" s="1"/>
  <c r="K575" i="2" s="1"/>
  <c r="K640" i="2" s="1"/>
  <c r="K705" i="2" s="1"/>
  <c r="K770" i="2" s="1"/>
  <c r="K835" i="2" s="1"/>
  <c r="K900" i="2" s="1"/>
  <c r="K965" i="2" s="1"/>
  <c r="K1030" i="2" s="1"/>
  <c r="K56" i="2"/>
  <c r="K121" i="2" s="1"/>
  <c r="K186" i="2" s="1"/>
  <c r="K251" i="2" s="1"/>
  <c r="K316" i="2" s="1"/>
  <c r="K381" i="2" s="1"/>
  <c r="K446" i="2" s="1"/>
  <c r="K511" i="2" s="1"/>
  <c r="K576" i="2" s="1"/>
  <c r="K641" i="2" s="1"/>
  <c r="K706" i="2" s="1"/>
  <c r="K771" i="2" s="1"/>
  <c r="K836" i="2" s="1"/>
  <c r="K901" i="2" s="1"/>
  <c r="K966" i="2" s="1"/>
  <c r="K1031" i="2" s="1"/>
  <c r="K57" i="2"/>
  <c r="K122" i="2" s="1"/>
  <c r="K187" i="2" s="1"/>
  <c r="K252" i="2" s="1"/>
  <c r="J69" i="2"/>
  <c r="J134" i="2" s="1"/>
  <c r="J70" i="2"/>
  <c r="J135" i="2" s="1"/>
  <c r="J71" i="2"/>
  <c r="J136" i="2" s="1"/>
  <c r="J72" i="2"/>
  <c r="J137" i="2" s="1"/>
  <c r="J73" i="2"/>
  <c r="J138" i="2" s="1"/>
  <c r="J74" i="2"/>
  <c r="J139" i="2" s="1"/>
  <c r="J75" i="2"/>
  <c r="J140" i="2" s="1"/>
  <c r="J76" i="2"/>
  <c r="J141" i="2" s="1"/>
  <c r="J77" i="2"/>
  <c r="J142" i="2" s="1"/>
  <c r="J60" i="2"/>
  <c r="J125" i="2" s="1"/>
  <c r="J61" i="2"/>
  <c r="J126" i="2" s="1"/>
  <c r="J62" i="2"/>
  <c r="J127" i="2" s="1"/>
  <c r="J63" i="2"/>
  <c r="J128" i="2" s="1"/>
  <c r="J64" i="2"/>
  <c r="J129" i="2" s="1"/>
  <c r="J65" i="2"/>
  <c r="J130" i="2" s="1"/>
  <c r="J66" i="2"/>
  <c r="J131" i="2" s="1"/>
  <c r="J67" i="2"/>
  <c r="J132" i="2" s="1"/>
  <c r="J68" i="2"/>
  <c r="J133" i="2" s="1"/>
  <c r="J52" i="2"/>
  <c r="J117" i="2" s="1"/>
  <c r="J53" i="2"/>
  <c r="J118" i="2" s="1"/>
  <c r="J54" i="2"/>
  <c r="J119" i="2" s="1"/>
  <c r="J55" i="2"/>
  <c r="J120" i="2" s="1"/>
  <c r="J56" i="2"/>
  <c r="J121" i="2" s="1"/>
  <c r="J57" i="2"/>
  <c r="J122" i="2" s="1"/>
  <c r="J58" i="2"/>
  <c r="J123" i="2" s="1"/>
  <c r="J59" i="2"/>
  <c r="J124" i="2" s="1"/>
  <c r="K51" i="2"/>
  <c r="K116" i="2" s="1"/>
  <c r="K181" i="2" s="1"/>
  <c r="K246" i="2" s="1"/>
  <c r="K311" i="2" s="1"/>
  <c r="K376" i="2" s="1"/>
  <c r="K441" i="2" s="1"/>
  <c r="K506" i="2" s="1"/>
  <c r="K571" i="2" s="1"/>
  <c r="K636" i="2" s="1"/>
  <c r="K701" i="2" s="1"/>
  <c r="J51" i="2"/>
  <c r="J116" i="2" s="1"/>
  <c r="K50" i="2"/>
  <c r="K115" i="2" s="1"/>
  <c r="K180" i="2" s="1"/>
  <c r="K245" i="2" s="1"/>
  <c r="K310" i="2" s="1"/>
  <c r="K375" i="2" s="1"/>
  <c r="J50" i="2"/>
  <c r="J115" i="2" s="1"/>
  <c r="K48" i="2"/>
  <c r="K113" i="2" s="1"/>
  <c r="K178" i="2" s="1"/>
  <c r="K243" i="2" s="1"/>
  <c r="J48" i="2"/>
  <c r="J113" i="2" s="1"/>
  <c r="K45" i="2"/>
  <c r="K110" i="2" s="1"/>
  <c r="K175" i="2" s="1"/>
  <c r="K240" i="2" s="1"/>
  <c r="K305" i="2" s="1"/>
  <c r="K370" i="2" s="1"/>
  <c r="K435" i="2" s="1"/>
  <c r="K500" i="2" s="1"/>
  <c r="K565" i="2" s="1"/>
  <c r="K630" i="2" s="1"/>
  <c r="K695" i="2" s="1"/>
  <c r="K760" i="2" s="1"/>
  <c r="K825" i="2" s="1"/>
  <c r="K890" i="2" s="1"/>
  <c r="K955" i="2" s="1"/>
  <c r="K1020" i="2" s="1"/>
  <c r="K46" i="2"/>
  <c r="K111" i="2" s="1"/>
  <c r="K176" i="2" s="1"/>
  <c r="K241" i="2" s="1"/>
  <c r="K306" i="2" s="1"/>
  <c r="K371" i="2" s="1"/>
  <c r="K436" i="2" s="1"/>
  <c r="K501" i="2" s="1"/>
  <c r="K566" i="2" s="1"/>
  <c r="K631" i="2" s="1"/>
  <c r="K696" i="2" s="1"/>
  <c r="K761" i="2" s="1"/>
  <c r="K826" i="2" s="1"/>
  <c r="K891" i="2" s="1"/>
  <c r="K956" i="2" s="1"/>
  <c r="K1021" i="2" s="1"/>
  <c r="J45" i="2"/>
  <c r="J110" i="2" s="1"/>
  <c r="J46" i="2"/>
  <c r="J111" i="2" s="1"/>
  <c r="K44" i="2"/>
  <c r="K109" i="2" s="1"/>
  <c r="K174" i="2" s="1"/>
  <c r="K239" i="2" s="1"/>
  <c r="K304" i="2" s="1"/>
  <c r="K369" i="2" s="1"/>
  <c r="K434" i="2" s="1"/>
  <c r="K499" i="2" s="1"/>
  <c r="K564" i="2" s="1"/>
  <c r="K629" i="2" s="1"/>
  <c r="K694" i="2" s="1"/>
  <c r="K759" i="2" s="1"/>
  <c r="K824" i="2" s="1"/>
  <c r="K889" i="2" s="1"/>
  <c r="K954" i="2" s="1"/>
  <c r="K1019" i="2" s="1"/>
  <c r="J44" i="2"/>
  <c r="J109" i="2" s="1"/>
  <c r="K43" i="2"/>
  <c r="K108" i="2" s="1"/>
  <c r="J43" i="2"/>
  <c r="J108" i="2" s="1"/>
  <c r="K37" i="2"/>
  <c r="K102" i="2" s="1"/>
  <c r="K167" i="2" s="1"/>
  <c r="K232" i="2" s="1"/>
  <c r="K38" i="2"/>
  <c r="K103" i="2" s="1"/>
  <c r="K168" i="2" s="1"/>
  <c r="K233" i="2" s="1"/>
  <c r="K298" i="2" s="1"/>
  <c r="K363" i="2" s="1"/>
  <c r="K428" i="2" s="1"/>
  <c r="K493" i="2" s="1"/>
  <c r="K558" i="2" s="1"/>
  <c r="K623" i="2" s="1"/>
  <c r="K688" i="2" s="1"/>
  <c r="K753" i="2" s="1"/>
  <c r="K818" i="2" s="1"/>
  <c r="K883" i="2" s="1"/>
  <c r="K948" i="2" s="1"/>
  <c r="K1013" i="2" s="1"/>
  <c r="K39" i="2"/>
  <c r="K104" i="2" s="1"/>
  <c r="K169" i="2" s="1"/>
  <c r="K234" i="2" s="1"/>
  <c r="K299" i="2" s="1"/>
  <c r="K364" i="2" s="1"/>
  <c r="K429" i="2" s="1"/>
  <c r="K494" i="2" s="1"/>
  <c r="K559" i="2" s="1"/>
  <c r="K624" i="2" s="1"/>
  <c r="K689" i="2" s="1"/>
  <c r="K754" i="2" s="1"/>
  <c r="K819" i="2" s="1"/>
  <c r="K884" i="2" s="1"/>
  <c r="K949" i="2" s="1"/>
  <c r="K1014" i="2" s="1"/>
  <c r="K40" i="2"/>
  <c r="K105" i="2" s="1"/>
  <c r="K170" i="2" s="1"/>
  <c r="K235" i="2" s="1"/>
  <c r="K41" i="2"/>
  <c r="K106" i="2" s="1"/>
  <c r="K171" i="2" s="1"/>
  <c r="K236" i="2" s="1"/>
  <c r="K301" i="2" s="1"/>
  <c r="K366" i="2" s="1"/>
  <c r="K431" i="2" s="1"/>
  <c r="K496" i="2" s="1"/>
  <c r="K561" i="2" s="1"/>
  <c r="K626" i="2" s="1"/>
  <c r="K691" i="2" s="1"/>
  <c r="K756" i="2" s="1"/>
  <c r="K821" i="2" s="1"/>
  <c r="K886" i="2" s="1"/>
  <c r="K951" i="2" s="1"/>
  <c r="K1016" i="2" s="1"/>
  <c r="J37" i="2"/>
  <c r="J102" i="2" s="1"/>
  <c r="J38" i="2"/>
  <c r="J103" i="2" s="1"/>
  <c r="J39" i="2"/>
  <c r="J104" i="2" s="1"/>
  <c r="J40" i="2"/>
  <c r="J105" i="2" s="1"/>
  <c r="J41" i="2"/>
  <c r="J106" i="2" s="1"/>
  <c r="K36" i="2"/>
  <c r="K101" i="2" s="1"/>
  <c r="K166" i="2" s="1"/>
  <c r="K231" i="2" s="1"/>
  <c r="K296" i="2" s="1"/>
  <c r="K361" i="2" s="1"/>
  <c r="K426" i="2" s="1"/>
  <c r="K491" i="2" s="1"/>
  <c r="K556" i="2" s="1"/>
  <c r="K621" i="2" s="1"/>
  <c r="K686" i="2" s="1"/>
  <c r="K751" i="2" s="1"/>
  <c r="K816" i="2" s="1"/>
  <c r="K881" i="2" s="1"/>
  <c r="K946" i="2" s="1"/>
  <c r="K1011" i="2" s="1"/>
  <c r="J36" i="2"/>
  <c r="J101" i="2" s="1"/>
  <c r="K35" i="2"/>
  <c r="K100" i="2" s="1"/>
  <c r="J35" i="2"/>
  <c r="J100" i="2" s="1"/>
  <c r="K30" i="2"/>
  <c r="K95" i="2" s="1"/>
  <c r="K160" i="2" s="1"/>
  <c r="K225" i="2" s="1"/>
  <c r="K290" i="2" s="1"/>
  <c r="K355" i="2" s="1"/>
  <c r="K420" i="2" s="1"/>
  <c r="K485" i="2" s="1"/>
  <c r="K550" i="2" s="1"/>
  <c r="K615" i="2" s="1"/>
  <c r="K680" i="2" s="1"/>
  <c r="K745" i="2" s="1"/>
  <c r="K810" i="2" s="1"/>
  <c r="K875" i="2" s="1"/>
  <c r="K940" i="2" s="1"/>
  <c r="K1005" i="2" s="1"/>
  <c r="K31" i="2"/>
  <c r="K96" i="2" s="1"/>
  <c r="K161" i="2" s="1"/>
  <c r="K226" i="2" s="1"/>
  <c r="K291" i="2" s="1"/>
  <c r="K356" i="2" s="1"/>
  <c r="K421" i="2" s="1"/>
  <c r="K486" i="2" s="1"/>
  <c r="K551" i="2" s="1"/>
  <c r="K616" i="2" s="1"/>
  <c r="K681" i="2" s="1"/>
  <c r="K746" i="2" s="1"/>
  <c r="K811" i="2" s="1"/>
  <c r="K876" i="2" s="1"/>
  <c r="K941" i="2" s="1"/>
  <c r="K1006" i="2" s="1"/>
  <c r="K32" i="2"/>
  <c r="K97" i="2" s="1"/>
  <c r="K162" i="2" s="1"/>
  <c r="K227" i="2" s="1"/>
  <c r="J30" i="2"/>
  <c r="J95" i="2" s="1"/>
  <c r="J31" i="2"/>
  <c r="J96" i="2" s="1"/>
  <c r="J32" i="2"/>
  <c r="J97" i="2" s="1"/>
  <c r="K29" i="2"/>
  <c r="K94" i="2" s="1"/>
  <c r="K159" i="2" s="1"/>
  <c r="K224" i="2" s="1"/>
  <c r="K289" i="2" s="1"/>
  <c r="K354" i="2" s="1"/>
  <c r="K419" i="2" s="1"/>
  <c r="K484" i="2" s="1"/>
  <c r="K549" i="2" s="1"/>
  <c r="K614" i="2" s="1"/>
  <c r="K679" i="2" s="1"/>
  <c r="K744" i="2" s="1"/>
  <c r="K809" i="2" s="1"/>
  <c r="K874" i="2" s="1"/>
  <c r="K939" i="2" s="1"/>
  <c r="K1004" i="2" s="1"/>
  <c r="J29" i="2"/>
  <c r="J94" i="2" s="1"/>
  <c r="K28" i="2"/>
  <c r="K93" i="2" s="1"/>
  <c r="J28" i="2"/>
  <c r="J93" i="2" s="1"/>
  <c r="K22" i="2"/>
  <c r="K87" i="2" s="1"/>
  <c r="K152" i="2" s="1"/>
  <c r="K217" i="2" s="1"/>
  <c r="K23" i="2"/>
  <c r="K88" i="2" s="1"/>
  <c r="K153" i="2" s="1"/>
  <c r="K218" i="2" s="1"/>
  <c r="K283" i="2" s="1"/>
  <c r="K348" i="2" s="1"/>
  <c r="K413" i="2" s="1"/>
  <c r="K478" i="2" s="1"/>
  <c r="K543" i="2" s="1"/>
  <c r="K608" i="2" s="1"/>
  <c r="K673" i="2" s="1"/>
  <c r="K738" i="2" s="1"/>
  <c r="K803" i="2" s="1"/>
  <c r="K868" i="2" s="1"/>
  <c r="K933" i="2" s="1"/>
  <c r="K998" i="2" s="1"/>
  <c r="K24" i="2"/>
  <c r="K89" i="2" s="1"/>
  <c r="K154" i="2" s="1"/>
  <c r="K219" i="2" s="1"/>
  <c r="K25" i="2"/>
  <c r="K90" i="2" s="1"/>
  <c r="K26" i="2"/>
  <c r="K91" i="2" s="1"/>
  <c r="K156" i="2" s="1"/>
  <c r="K221" i="2" s="1"/>
  <c r="K286" i="2" s="1"/>
  <c r="K351" i="2" s="1"/>
  <c r="K416" i="2" s="1"/>
  <c r="K481" i="2" s="1"/>
  <c r="K546" i="2" s="1"/>
  <c r="K611" i="2" s="1"/>
  <c r="K676" i="2" s="1"/>
  <c r="K741" i="2" s="1"/>
  <c r="K806" i="2" s="1"/>
  <c r="K871" i="2" s="1"/>
  <c r="K936" i="2" s="1"/>
  <c r="K1001" i="2" s="1"/>
  <c r="J22" i="2"/>
  <c r="J87" i="2" s="1"/>
  <c r="J23" i="2"/>
  <c r="J88" i="2" s="1"/>
  <c r="J24" i="2"/>
  <c r="J89" i="2" s="1"/>
  <c r="J25" i="2"/>
  <c r="J90" i="2" s="1"/>
  <c r="J26" i="2"/>
  <c r="J91" i="2" s="1"/>
  <c r="K21" i="2"/>
  <c r="K86" i="2" s="1"/>
  <c r="K151" i="2" s="1"/>
  <c r="K216" i="2" s="1"/>
  <c r="K281" i="2" s="1"/>
  <c r="K346" i="2" s="1"/>
  <c r="K411" i="2" s="1"/>
  <c r="K476" i="2" s="1"/>
  <c r="K541" i="2" s="1"/>
  <c r="K606" i="2" s="1"/>
  <c r="K671" i="2" s="1"/>
  <c r="K736" i="2" s="1"/>
  <c r="K801" i="2" s="1"/>
  <c r="K866" i="2" s="1"/>
  <c r="K931" i="2" s="1"/>
  <c r="K996" i="2" s="1"/>
  <c r="J21" i="2"/>
  <c r="J86" i="2" s="1"/>
  <c r="K20" i="2"/>
  <c r="K85" i="2" s="1"/>
  <c r="J20" i="2"/>
  <c r="J85" i="2" s="1"/>
  <c r="J160" i="2" l="1"/>
  <c r="O95" i="2"/>
  <c r="I95" i="2"/>
  <c r="L95" i="2"/>
  <c r="J171" i="2"/>
  <c r="L106" i="2"/>
  <c r="O106" i="2"/>
  <c r="I106" i="2"/>
  <c r="J167" i="2"/>
  <c r="L102" i="2"/>
  <c r="O102" i="2"/>
  <c r="I102" i="2"/>
  <c r="J174" i="2"/>
  <c r="O109" i="2"/>
  <c r="L109" i="2"/>
  <c r="J180" i="2"/>
  <c r="O115" i="2"/>
  <c r="L115" i="2"/>
  <c r="I115" i="2"/>
  <c r="O124" i="2"/>
  <c r="J189" i="2"/>
  <c r="L124" i="2"/>
  <c r="I124" i="2"/>
  <c r="O120" i="2"/>
  <c r="J185" i="2"/>
  <c r="L120" i="2"/>
  <c r="I120" i="2"/>
  <c r="J198" i="2"/>
  <c r="I133" i="2"/>
  <c r="O133" i="2"/>
  <c r="L133" i="2"/>
  <c r="J194" i="2"/>
  <c r="O129" i="2"/>
  <c r="L129" i="2"/>
  <c r="I129" i="2"/>
  <c r="J190" i="2"/>
  <c r="L125" i="2"/>
  <c r="O125" i="2"/>
  <c r="I125" i="2"/>
  <c r="J204" i="2"/>
  <c r="O139" i="2"/>
  <c r="L139" i="2"/>
  <c r="I139" i="2"/>
  <c r="J200" i="2"/>
  <c r="O135" i="2"/>
  <c r="L135" i="2"/>
  <c r="I135" i="2"/>
  <c r="K582" i="2"/>
  <c r="K647" i="2" s="1"/>
  <c r="K712" i="2" s="1"/>
  <c r="K777" i="2" s="1"/>
  <c r="K842" i="2" s="1"/>
  <c r="K907" i="2" s="1"/>
  <c r="K972" i="2" s="1"/>
  <c r="K1037" i="2" s="1"/>
  <c r="K903" i="2"/>
  <c r="K968" i="2" s="1"/>
  <c r="K1033" i="2" s="1"/>
  <c r="I130" i="2"/>
  <c r="K195" i="2"/>
  <c r="K260" i="2" s="1"/>
  <c r="J153" i="2"/>
  <c r="I88" i="2"/>
  <c r="O88" i="2"/>
  <c r="K158" i="2"/>
  <c r="K98" i="2"/>
  <c r="J150" i="2"/>
  <c r="I85" i="2"/>
  <c r="J92" i="2"/>
  <c r="L85" i="2"/>
  <c r="O85" i="2"/>
  <c r="O87" i="2"/>
  <c r="J152" i="2"/>
  <c r="L87" i="2"/>
  <c r="I87" i="2"/>
  <c r="J159" i="2"/>
  <c r="I94" i="2"/>
  <c r="O94" i="2"/>
  <c r="J165" i="2"/>
  <c r="I100" i="2"/>
  <c r="J107" i="2"/>
  <c r="L100" i="2"/>
  <c r="O100" i="2"/>
  <c r="K150" i="2"/>
  <c r="K92" i="2"/>
  <c r="L90" i="2"/>
  <c r="J155" i="2"/>
  <c r="O90" i="2"/>
  <c r="K292" i="2"/>
  <c r="K165" i="2"/>
  <c r="K107" i="2"/>
  <c r="O105" i="2"/>
  <c r="J170" i="2"/>
  <c r="L105" i="2"/>
  <c r="I105" i="2"/>
  <c r="K440" i="2"/>
  <c r="J188" i="2"/>
  <c r="O123" i="2"/>
  <c r="L123" i="2"/>
  <c r="I123" i="2"/>
  <c r="J184" i="2"/>
  <c r="O119" i="2"/>
  <c r="I119" i="2"/>
  <c r="L119" i="2"/>
  <c r="J197" i="2"/>
  <c r="O132" i="2"/>
  <c r="L132" i="2"/>
  <c r="I132" i="2"/>
  <c r="J193" i="2"/>
  <c r="L128" i="2"/>
  <c r="I128" i="2"/>
  <c r="O128" i="2"/>
  <c r="J207" i="2"/>
  <c r="O142" i="2"/>
  <c r="L142" i="2"/>
  <c r="I142" i="2"/>
  <c r="J203" i="2"/>
  <c r="I138" i="2"/>
  <c r="O138" i="2"/>
  <c r="L138" i="2"/>
  <c r="J199" i="2"/>
  <c r="O134" i="2"/>
  <c r="I134" i="2"/>
  <c r="L134" i="2"/>
  <c r="K1029" i="2"/>
  <c r="I126" i="2"/>
  <c r="K191" i="2"/>
  <c r="K256" i="2" s="1"/>
  <c r="K328" i="2"/>
  <c r="K332" i="2"/>
  <c r="K284" i="2"/>
  <c r="K349" i="2" s="1"/>
  <c r="J161" i="2"/>
  <c r="I96" i="2"/>
  <c r="O96" i="2"/>
  <c r="L96" i="2"/>
  <c r="J156" i="2"/>
  <c r="O91" i="2"/>
  <c r="I91" i="2"/>
  <c r="K282" i="2"/>
  <c r="K297" i="2"/>
  <c r="K362" i="2" s="1"/>
  <c r="J151" i="2"/>
  <c r="O86" i="2"/>
  <c r="I86" i="2"/>
  <c r="J154" i="2"/>
  <c r="L89" i="2"/>
  <c r="O89" i="2"/>
  <c r="I89" i="2"/>
  <c r="I90" i="2"/>
  <c r="K155" i="2"/>
  <c r="K220" i="2" s="1"/>
  <c r="K285" i="2" s="1"/>
  <c r="K350" i="2" s="1"/>
  <c r="K415" i="2" s="1"/>
  <c r="K480" i="2" s="1"/>
  <c r="K545" i="2" s="1"/>
  <c r="K610" i="2" s="1"/>
  <c r="K675" i="2" s="1"/>
  <c r="K740" i="2" s="1"/>
  <c r="K805" i="2" s="1"/>
  <c r="K870" i="2" s="1"/>
  <c r="K935" i="2" s="1"/>
  <c r="K1000" i="2" s="1"/>
  <c r="J158" i="2"/>
  <c r="O93" i="2"/>
  <c r="J98" i="2"/>
  <c r="I98" i="2" s="1"/>
  <c r="I93" i="2"/>
  <c r="L93" i="2"/>
  <c r="J162" i="2"/>
  <c r="O97" i="2"/>
  <c r="L97" i="2"/>
  <c r="I97" i="2"/>
  <c r="J166" i="2"/>
  <c r="O101" i="2"/>
  <c r="L101" i="2"/>
  <c r="I101" i="2"/>
  <c r="J169" i="2"/>
  <c r="O104" i="2"/>
  <c r="L104" i="2"/>
  <c r="I104" i="2"/>
  <c r="I107" i="2" s="1"/>
  <c r="K300" i="2"/>
  <c r="J173" i="2"/>
  <c r="O108" i="2"/>
  <c r="L108" i="2"/>
  <c r="J112" i="2"/>
  <c r="L112" i="2" s="1"/>
  <c r="I108" i="2"/>
  <c r="I112" i="2" s="1"/>
  <c r="J176" i="2"/>
  <c r="O111" i="2"/>
  <c r="L111" i="2"/>
  <c r="J178" i="2"/>
  <c r="O113" i="2"/>
  <c r="I113" i="2"/>
  <c r="L113" i="2"/>
  <c r="J181" i="2"/>
  <c r="L116" i="2"/>
  <c r="I116" i="2"/>
  <c r="O116" i="2"/>
  <c r="J187" i="2"/>
  <c r="I122" i="2"/>
  <c r="O122" i="2"/>
  <c r="L122" i="2"/>
  <c r="O131" i="2"/>
  <c r="J196" i="2"/>
  <c r="I131" i="2"/>
  <c r="J192" i="2"/>
  <c r="O127" i="2"/>
  <c r="I127" i="2"/>
  <c r="L127" i="2"/>
  <c r="J206" i="2"/>
  <c r="O141" i="2"/>
  <c r="I141" i="2"/>
  <c r="L141" i="2"/>
  <c r="O137" i="2"/>
  <c r="J202" i="2"/>
  <c r="I137" i="2"/>
  <c r="L137" i="2"/>
  <c r="K317" i="2"/>
  <c r="K382" i="2" s="1"/>
  <c r="K336" i="2"/>
  <c r="J168" i="2"/>
  <c r="I103" i="2"/>
  <c r="O103" i="2"/>
  <c r="K173" i="2"/>
  <c r="K112" i="2"/>
  <c r="K114" i="2" s="1"/>
  <c r="J175" i="2"/>
  <c r="O110" i="2"/>
  <c r="L110" i="2"/>
  <c r="K308" i="2"/>
  <c r="K373" i="2" s="1"/>
  <c r="K766" i="2"/>
  <c r="K831" i="2" s="1"/>
  <c r="K896" i="2" s="1"/>
  <c r="K961" i="2" s="1"/>
  <c r="K1026" i="2" s="1"/>
  <c r="J186" i="2"/>
  <c r="O121" i="2"/>
  <c r="I121" i="2"/>
  <c r="L121" i="2"/>
  <c r="J182" i="2"/>
  <c r="L117" i="2"/>
  <c r="O117" i="2"/>
  <c r="I117" i="2"/>
  <c r="O130" i="2"/>
  <c r="J195" i="2"/>
  <c r="L130" i="2"/>
  <c r="J191" i="2"/>
  <c r="O126" i="2"/>
  <c r="L126" i="2"/>
  <c r="J205" i="2"/>
  <c r="L140" i="2"/>
  <c r="O140" i="2"/>
  <c r="I140" i="2"/>
  <c r="J201" i="2"/>
  <c r="L136" i="2"/>
  <c r="O136" i="2"/>
  <c r="I136" i="2"/>
  <c r="K183" i="2"/>
  <c r="K143" i="2"/>
  <c r="J183" i="2"/>
  <c r="O118" i="2"/>
  <c r="O143" i="2" s="1"/>
  <c r="J143" i="2"/>
  <c r="I118" i="2"/>
  <c r="L118" i="2"/>
  <c r="K438" i="2" l="1"/>
  <c r="K503" i="2" s="1"/>
  <c r="K568" i="2" s="1"/>
  <c r="K633" i="2" s="1"/>
  <c r="K698" i="2" s="1"/>
  <c r="K763" i="2" s="1"/>
  <c r="L175" i="2"/>
  <c r="J240" i="2"/>
  <c r="O175" i="2"/>
  <c r="K447" i="2"/>
  <c r="K512" i="2" s="1"/>
  <c r="K577" i="2" s="1"/>
  <c r="K642" i="2" s="1"/>
  <c r="K707" i="2" s="1"/>
  <c r="K772" i="2" s="1"/>
  <c r="L202" i="2"/>
  <c r="J267" i="2"/>
  <c r="I202" i="2"/>
  <c r="O202" i="2"/>
  <c r="L187" i="2"/>
  <c r="J252" i="2"/>
  <c r="I187" i="2"/>
  <c r="O187" i="2"/>
  <c r="O181" i="2"/>
  <c r="J246" i="2"/>
  <c r="L181" i="2"/>
  <c r="I181" i="2"/>
  <c r="L178" i="2"/>
  <c r="J243" i="2"/>
  <c r="I178" i="2"/>
  <c r="O178" i="2"/>
  <c r="J238" i="2"/>
  <c r="L173" i="2"/>
  <c r="I173" i="2"/>
  <c r="I177" i="2" s="1"/>
  <c r="J177" i="2"/>
  <c r="L177" i="2" s="1"/>
  <c r="O173" i="2"/>
  <c r="J216" i="2"/>
  <c r="O151" i="2"/>
  <c r="I151" i="2"/>
  <c r="K414" i="2"/>
  <c r="K479" i="2" s="1"/>
  <c r="K544" i="2" s="1"/>
  <c r="K609" i="2" s="1"/>
  <c r="K674" i="2" s="1"/>
  <c r="K739" i="2" s="1"/>
  <c r="K393" i="2"/>
  <c r="K215" i="2"/>
  <c r="K157" i="2"/>
  <c r="I159" i="2"/>
  <c r="J224" i="2"/>
  <c r="O159" i="2"/>
  <c r="O200" i="2"/>
  <c r="J265" i="2"/>
  <c r="I200" i="2"/>
  <c r="L200" i="2"/>
  <c r="O204" i="2"/>
  <c r="J269" i="2"/>
  <c r="L204" i="2"/>
  <c r="I204" i="2"/>
  <c r="O190" i="2"/>
  <c r="J255" i="2"/>
  <c r="L190" i="2"/>
  <c r="I190" i="2"/>
  <c r="O194" i="2"/>
  <c r="J259" i="2"/>
  <c r="L194" i="2"/>
  <c r="I194" i="2"/>
  <c r="L198" i="2"/>
  <c r="J263" i="2"/>
  <c r="I198" i="2"/>
  <c r="O198" i="2"/>
  <c r="I180" i="2"/>
  <c r="J245" i="2"/>
  <c r="L180" i="2"/>
  <c r="O180" i="2"/>
  <c r="O182" i="2"/>
  <c r="J247" i="2"/>
  <c r="I182" i="2"/>
  <c r="L182" i="2"/>
  <c r="O186" i="2"/>
  <c r="J251" i="2"/>
  <c r="L186" i="2"/>
  <c r="I186" i="2"/>
  <c r="O168" i="2"/>
  <c r="J233" i="2"/>
  <c r="I168" i="2"/>
  <c r="L206" i="2"/>
  <c r="J271" i="2"/>
  <c r="I206" i="2"/>
  <c r="O206" i="2"/>
  <c r="I192" i="2"/>
  <c r="J257" i="2"/>
  <c r="O192" i="2"/>
  <c r="L192" i="2"/>
  <c r="K365" i="2"/>
  <c r="L154" i="2"/>
  <c r="J219" i="2"/>
  <c r="I154" i="2"/>
  <c r="O154" i="2"/>
  <c r="K427" i="2"/>
  <c r="K492" i="2" s="1"/>
  <c r="K557" i="2" s="1"/>
  <c r="I199" i="2"/>
  <c r="J264" i="2"/>
  <c r="O199" i="2"/>
  <c r="L199" i="2"/>
  <c r="I203" i="2"/>
  <c r="J268" i="2"/>
  <c r="L203" i="2"/>
  <c r="O203" i="2"/>
  <c r="I207" i="2"/>
  <c r="J272" i="2"/>
  <c r="O207" i="2"/>
  <c r="L207" i="2"/>
  <c r="O193" i="2"/>
  <c r="J258" i="2"/>
  <c r="L193" i="2"/>
  <c r="I193" i="2"/>
  <c r="J262" i="2"/>
  <c r="O197" i="2"/>
  <c r="I197" i="2"/>
  <c r="L197" i="2"/>
  <c r="I184" i="2"/>
  <c r="J249" i="2"/>
  <c r="O184" i="2"/>
  <c r="L184" i="2"/>
  <c r="J253" i="2"/>
  <c r="I188" i="2"/>
  <c r="L188" i="2"/>
  <c r="O188" i="2"/>
  <c r="K172" i="2"/>
  <c r="K230" i="2"/>
  <c r="I155" i="2"/>
  <c r="J220" i="2"/>
  <c r="L155" i="2"/>
  <c r="O155" i="2"/>
  <c r="O107" i="2"/>
  <c r="J172" i="2"/>
  <c r="J230" i="2"/>
  <c r="L165" i="2"/>
  <c r="I165" i="2"/>
  <c r="O165" i="2"/>
  <c r="O92" i="2"/>
  <c r="J215" i="2"/>
  <c r="L150" i="2"/>
  <c r="I150" i="2"/>
  <c r="J157" i="2"/>
  <c r="O150" i="2"/>
  <c r="O157" i="2" s="1"/>
  <c r="L195" i="2"/>
  <c r="J260" i="2"/>
  <c r="I195" i="2"/>
  <c r="O195" i="2"/>
  <c r="L191" i="2"/>
  <c r="J256" i="2"/>
  <c r="I191" i="2"/>
  <c r="O191" i="2"/>
  <c r="K177" i="2"/>
  <c r="K238" i="2"/>
  <c r="K401" i="2"/>
  <c r="O169" i="2"/>
  <c r="J234" i="2"/>
  <c r="I169" i="2"/>
  <c r="L169" i="2"/>
  <c r="O166" i="2"/>
  <c r="J231" i="2"/>
  <c r="I166" i="2"/>
  <c r="L166" i="2"/>
  <c r="L162" i="2"/>
  <c r="J227" i="2"/>
  <c r="O162" i="2"/>
  <c r="I162" i="2"/>
  <c r="K397" i="2"/>
  <c r="I256" i="2"/>
  <c r="K321" i="2"/>
  <c r="K386" i="2" s="1"/>
  <c r="L170" i="2"/>
  <c r="J235" i="2"/>
  <c r="I170" i="2"/>
  <c r="O170" i="2"/>
  <c r="K357" i="2"/>
  <c r="O98" i="2"/>
  <c r="O153" i="2"/>
  <c r="J218" i="2"/>
  <c r="I153" i="2"/>
  <c r="I143" i="2"/>
  <c r="O201" i="2"/>
  <c r="J266" i="2"/>
  <c r="L201" i="2"/>
  <c r="I201" i="2"/>
  <c r="O205" i="2"/>
  <c r="J270" i="2"/>
  <c r="I205" i="2"/>
  <c r="L205" i="2"/>
  <c r="O196" i="2"/>
  <c r="J261" i="2"/>
  <c r="I196" i="2"/>
  <c r="O176" i="2"/>
  <c r="J241" i="2"/>
  <c r="L176" i="2"/>
  <c r="O112" i="2"/>
  <c r="O114" i="2" s="1"/>
  <c r="I158" i="2"/>
  <c r="J223" i="2"/>
  <c r="O158" i="2"/>
  <c r="J163" i="2"/>
  <c r="L158" i="2"/>
  <c r="K347" i="2"/>
  <c r="O156" i="2"/>
  <c r="J221" i="2"/>
  <c r="I156" i="2"/>
  <c r="O161" i="2"/>
  <c r="J226" i="2"/>
  <c r="L161" i="2"/>
  <c r="I161" i="2"/>
  <c r="K505" i="2"/>
  <c r="L107" i="2"/>
  <c r="J114" i="2"/>
  <c r="I114" i="2" s="1"/>
  <c r="J217" i="2"/>
  <c r="I152" i="2"/>
  <c r="L152" i="2"/>
  <c r="O152" i="2"/>
  <c r="I92" i="2"/>
  <c r="K163" i="2"/>
  <c r="K223" i="2"/>
  <c r="I260" i="2"/>
  <c r="K325" i="2"/>
  <c r="K390" i="2" s="1"/>
  <c r="O185" i="2"/>
  <c r="J250" i="2"/>
  <c r="L185" i="2"/>
  <c r="I185" i="2"/>
  <c r="O189" i="2"/>
  <c r="J254" i="2"/>
  <c r="L189" i="2"/>
  <c r="I189" i="2"/>
  <c r="L174" i="2"/>
  <c r="J239" i="2"/>
  <c r="O174" i="2"/>
  <c r="L167" i="2"/>
  <c r="J232" i="2"/>
  <c r="I167" i="2"/>
  <c r="O167" i="2"/>
  <c r="I171" i="2"/>
  <c r="J236" i="2"/>
  <c r="L171" i="2"/>
  <c r="O171" i="2"/>
  <c r="I160" i="2"/>
  <c r="J225" i="2"/>
  <c r="O160" i="2"/>
  <c r="L160" i="2"/>
  <c r="K248" i="2"/>
  <c r="K208" i="2"/>
  <c r="J248" i="2"/>
  <c r="O183" i="2"/>
  <c r="O208" i="2" s="1"/>
  <c r="L183" i="2"/>
  <c r="I183" i="2"/>
  <c r="J208" i="2"/>
  <c r="I208" i="2" s="1"/>
  <c r="O239" i="2" l="1"/>
  <c r="J304" i="2"/>
  <c r="L239" i="2"/>
  <c r="L250" i="2"/>
  <c r="J315" i="2"/>
  <c r="I250" i="2"/>
  <c r="O250" i="2"/>
  <c r="J286" i="2"/>
  <c r="O221" i="2"/>
  <c r="I221" i="2"/>
  <c r="I172" i="2"/>
  <c r="K295" i="2"/>
  <c r="K237" i="2"/>
  <c r="O249" i="2"/>
  <c r="J314" i="2"/>
  <c r="I249" i="2"/>
  <c r="L249" i="2"/>
  <c r="L258" i="2"/>
  <c r="J323" i="2"/>
  <c r="I258" i="2"/>
  <c r="O258" i="2"/>
  <c r="O268" i="2"/>
  <c r="J333" i="2"/>
  <c r="L268" i="2"/>
  <c r="I268" i="2"/>
  <c r="O257" i="2"/>
  <c r="J322" i="2"/>
  <c r="L257" i="2"/>
  <c r="I257" i="2"/>
  <c r="O271" i="2"/>
  <c r="J336" i="2"/>
  <c r="L271" i="2"/>
  <c r="I271" i="2"/>
  <c r="O216" i="2"/>
  <c r="J281" i="2"/>
  <c r="I216" i="2"/>
  <c r="L246" i="2"/>
  <c r="J311" i="2"/>
  <c r="O246" i="2"/>
  <c r="I246" i="2"/>
  <c r="O252" i="2"/>
  <c r="J317" i="2"/>
  <c r="L252" i="2"/>
  <c r="I252" i="2"/>
  <c r="O267" i="2"/>
  <c r="J332" i="2"/>
  <c r="L267" i="2"/>
  <c r="I267" i="2"/>
  <c r="O225" i="2"/>
  <c r="J290" i="2"/>
  <c r="I225" i="2"/>
  <c r="L225" i="2"/>
  <c r="O236" i="2"/>
  <c r="J301" i="2"/>
  <c r="I236" i="2"/>
  <c r="L236" i="2"/>
  <c r="O232" i="2"/>
  <c r="J297" i="2"/>
  <c r="L232" i="2"/>
  <c r="I232" i="2"/>
  <c r="L226" i="2"/>
  <c r="J291" i="2"/>
  <c r="I226" i="2"/>
  <c r="O226" i="2"/>
  <c r="I163" i="2"/>
  <c r="K422" i="2"/>
  <c r="K487" i="2" s="1"/>
  <c r="O235" i="2"/>
  <c r="J300" i="2"/>
  <c r="L235" i="2"/>
  <c r="I235" i="2"/>
  <c r="K462" i="2"/>
  <c r="K527" i="2" s="1"/>
  <c r="K592" i="2" s="1"/>
  <c r="J292" i="2"/>
  <c r="O227" i="2"/>
  <c r="L227" i="2"/>
  <c r="I227" i="2"/>
  <c r="I231" i="2"/>
  <c r="J296" i="2"/>
  <c r="L231" i="2"/>
  <c r="O231" i="2"/>
  <c r="J299" i="2"/>
  <c r="O234" i="2"/>
  <c r="I234" i="2"/>
  <c r="I237" i="2" s="1"/>
  <c r="L234" i="2"/>
  <c r="K242" i="2"/>
  <c r="K303" i="2"/>
  <c r="O256" i="2"/>
  <c r="J321" i="2"/>
  <c r="L256" i="2"/>
  <c r="O260" i="2"/>
  <c r="J325" i="2"/>
  <c r="L260" i="2"/>
  <c r="I157" i="2"/>
  <c r="O99" i="2"/>
  <c r="O145" i="2" s="1"/>
  <c r="L230" i="2"/>
  <c r="J295" i="2"/>
  <c r="I230" i="2"/>
  <c r="O230" i="2"/>
  <c r="J237" i="2"/>
  <c r="K179" i="2"/>
  <c r="O253" i="2"/>
  <c r="J318" i="2"/>
  <c r="I253" i="2"/>
  <c r="L253" i="2"/>
  <c r="J327" i="2"/>
  <c r="L262" i="2"/>
  <c r="O262" i="2"/>
  <c r="I262" i="2"/>
  <c r="K280" i="2"/>
  <c r="K222" i="2"/>
  <c r="O177" i="2"/>
  <c r="O179" i="2" s="1"/>
  <c r="O210" i="2" s="1"/>
  <c r="I238" i="2"/>
  <c r="I242" i="2" s="1"/>
  <c r="J303" i="2"/>
  <c r="O238" i="2"/>
  <c r="O242" i="2" s="1"/>
  <c r="J242" i="2"/>
  <c r="L242" i="2" s="1"/>
  <c r="L238" i="2"/>
  <c r="O240" i="2"/>
  <c r="J305" i="2"/>
  <c r="L240" i="2"/>
  <c r="L254" i="2"/>
  <c r="J319" i="2"/>
  <c r="I254" i="2"/>
  <c r="O254" i="2"/>
  <c r="K288" i="2"/>
  <c r="K228" i="2"/>
  <c r="L215" i="2"/>
  <c r="J280" i="2"/>
  <c r="I215" i="2"/>
  <c r="O215" i="2"/>
  <c r="J222" i="2"/>
  <c r="I222" i="2" s="1"/>
  <c r="O272" i="2"/>
  <c r="J337" i="2"/>
  <c r="L272" i="2"/>
  <c r="I272" i="2"/>
  <c r="O264" i="2"/>
  <c r="J329" i="2"/>
  <c r="L264" i="2"/>
  <c r="I264" i="2"/>
  <c r="K430" i="2"/>
  <c r="K495" i="2" s="1"/>
  <c r="K560" i="2" s="1"/>
  <c r="K804" i="2"/>
  <c r="K869" i="2" s="1"/>
  <c r="K934" i="2" s="1"/>
  <c r="O243" i="2"/>
  <c r="J308" i="2"/>
  <c r="L243" i="2"/>
  <c r="I243" i="2"/>
  <c r="K455" i="2"/>
  <c r="K520" i="2" s="1"/>
  <c r="K585" i="2" s="1"/>
  <c r="K650" i="2" s="1"/>
  <c r="K715" i="2" s="1"/>
  <c r="K780" i="2" s="1"/>
  <c r="J282" i="2"/>
  <c r="L217" i="2"/>
  <c r="O217" i="2"/>
  <c r="I217" i="2"/>
  <c r="K570" i="2"/>
  <c r="K412" i="2"/>
  <c r="K477" i="2" s="1"/>
  <c r="O163" i="2"/>
  <c r="O164" i="2" s="1"/>
  <c r="J326" i="2"/>
  <c r="O261" i="2"/>
  <c r="I261" i="2"/>
  <c r="I270" i="2"/>
  <c r="J335" i="2"/>
  <c r="L270" i="2"/>
  <c r="O270" i="2"/>
  <c r="I266" i="2"/>
  <c r="J331" i="2"/>
  <c r="L266" i="2"/>
  <c r="O266" i="2"/>
  <c r="J283" i="2"/>
  <c r="O218" i="2"/>
  <c r="I218" i="2"/>
  <c r="O172" i="2"/>
  <c r="L172" i="2"/>
  <c r="J179" i="2"/>
  <c r="I179" i="2" s="1"/>
  <c r="O220" i="2"/>
  <c r="J285" i="2"/>
  <c r="I220" i="2"/>
  <c r="L220" i="2"/>
  <c r="K622" i="2"/>
  <c r="K687" i="2" s="1"/>
  <c r="K752" i="2" s="1"/>
  <c r="O219" i="2"/>
  <c r="J284" i="2"/>
  <c r="L219" i="2"/>
  <c r="I219" i="2"/>
  <c r="O224" i="2"/>
  <c r="J289" i="2"/>
  <c r="I224" i="2"/>
  <c r="K458" i="2"/>
  <c r="K523" i="2" s="1"/>
  <c r="K588" i="2" s="1"/>
  <c r="K653" i="2" s="1"/>
  <c r="K718" i="2" s="1"/>
  <c r="K783" i="2" s="1"/>
  <c r="K848" i="2" s="1"/>
  <c r="K913" i="2" s="1"/>
  <c r="K978" i="2" s="1"/>
  <c r="K1043" i="2" s="1"/>
  <c r="K837" i="2"/>
  <c r="J228" i="2"/>
  <c r="J288" i="2"/>
  <c r="I223" i="2"/>
  <c r="L223" i="2"/>
  <c r="O223" i="2"/>
  <c r="O228" i="2" s="1"/>
  <c r="L241" i="2"/>
  <c r="J306" i="2"/>
  <c r="O241" i="2"/>
  <c r="K451" i="2"/>
  <c r="K516" i="2" s="1"/>
  <c r="K581" i="2" s="1"/>
  <c r="K646" i="2" s="1"/>
  <c r="K711" i="2" s="1"/>
  <c r="K776" i="2" s="1"/>
  <c r="K466" i="2"/>
  <c r="K531" i="2" s="1"/>
  <c r="K596" i="2" s="1"/>
  <c r="J298" i="2"/>
  <c r="O233" i="2"/>
  <c r="I233" i="2"/>
  <c r="I251" i="2"/>
  <c r="J316" i="2"/>
  <c r="L251" i="2"/>
  <c r="O251" i="2"/>
  <c r="I247" i="2"/>
  <c r="J312" i="2"/>
  <c r="L247" i="2"/>
  <c r="O247" i="2"/>
  <c r="O245" i="2"/>
  <c r="J310" i="2"/>
  <c r="I245" i="2"/>
  <c r="L245" i="2"/>
  <c r="O263" i="2"/>
  <c r="J328" i="2"/>
  <c r="L263" i="2"/>
  <c r="I263" i="2"/>
  <c r="J324" i="2"/>
  <c r="I259" i="2"/>
  <c r="O259" i="2"/>
  <c r="L259" i="2"/>
  <c r="I255" i="2"/>
  <c r="J320" i="2"/>
  <c r="O255" i="2"/>
  <c r="L255" i="2"/>
  <c r="L269" i="2"/>
  <c r="J334" i="2"/>
  <c r="I269" i="2"/>
  <c r="O269" i="2"/>
  <c r="L265" i="2"/>
  <c r="J330" i="2"/>
  <c r="I265" i="2"/>
  <c r="O265" i="2"/>
  <c r="K828" i="2"/>
  <c r="K893" i="2" s="1"/>
  <c r="K958" i="2" s="1"/>
  <c r="K1023" i="2" s="1"/>
  <c r="K313" i="2"/>
  <c r="K273" i="2"/>
  <c r="J313" i="2"/>
  <c r="J378" i="2" s="1"/>
  <c r="L248" i="2"/>
  <c r="I248" i="2"/>
  <c r="O248" i="2"/>
  <c r="J273" i="2"/>
  <c r="K338" i="2" l="1"/>
  <c r="K378" i="2"/>
  <c r="J293" i="2"/>
  <c r="J353" i="2"/>
  <c r="I288" i="2"/>
  <c r="L288" i="2"/>
  <c r="O288" i="2"/>
  <c r="K841" i="2"/>
  <c r="O325" i="2"/>
  <c r="J390" i="2"/>
  <c r="L325" i="2"/>
  <c r="I325" i="2"/>
  <c r="L334" i="2"/>
  <c r="J399" i="2"/>
  <c r="I334" i="2"/>
  <c r="O334" i="2"/>
  <c r="J385" i="2"/>
  <c r="O320" i="2"/>
  <c r="L320" i="2"/>
  <c r="I320" i="2"/>
  <c r="O328" i="2"/>
  <c r="J393" i="2"/>
  <c r="L328" i="2"/>
  <c r="I328" i="2"/>
  <c r="I312" i="2"/>
  <c r="J377" i="2"/>
  <c r="L312" i="2"/>
  <c r="O312" i="2"/>
  <c r="O289" i="2"/>
  <c r="J354" i="2"/>
  <c r="I289" i="2"/>
  <c r="I331" i="2"/>
  <c r="J396" i="2"/>
  <c r="L331" i="2"/>
  <c r="O331" i="2"/>
  <c r="K999" i="2"/>
  <c r="O318" i="2"/>
  <c r="J383" i="2"/>
  <c r="I318" i="2"/>
  <c r="L318" i="2"/>
  <c r="K307" i="2"/>
  <c r="K368" i="2"/>
  <c r="K552" i="2"/>
  <c r="O281" i="2"/>
  <c r="J346" i="2"/>
  <c r="I281" i="2"/>
  <c r="O322" i="2"/>
  <c r="J387" i="2"/>
  <c r="I322" i="2"/>
  <c r="L322" i="2"/>
  <c r="L323" i="2"/>
  <c r="J388" i="2"/>
  <c r="I323" i="2"/>
  <c r="O323" i="2"/>
  <c r="O378" i="2"/>
  <c r="J443" i="2"/>
  <c r="L378" i="2"/>
  <c r="J389" i="2"/>
  <c r="O324" i="2"/>
  <c r="L324" i="2"/>
  <c r="I324" i="2"/>
  <c r="K661" i="2"/>
  <c r="K726" i="2" s="1"/>
  <c r="J348" i="2"/>
  <c r="O283" i="2"/>
  <c r="I283" i="2"/>
  <c r="K635" i="2"/>
  <c r="O282" i="2"/>
  <c r="J347" i="2"/>
  <c r="L282" i="2"/>
  <c r="I282" i="2"/>
  <c r="I228" i="2"/>
  <c r="L319" i="2"/>
  <c r="J384" i="2"/>
  <c r="I319" i="2"/>
  <c r="O319" i="2"/>
  <c r="I303" i="2"/>
  <c r="I307" i="2" s="1"/>
  <c r="J368" i="2"/>
  <c r="O303" i="2"/>
  <c r="L303" i="2"/>
  <c r="J307" i="2"/>
  <c r="L307" i="2" s="1"/>
  <c r="K345" i="2"/>
  <c r="K287" i="2"/>
  <c r="I327" i="2"/>
  <c r="J392" i="2"/>
  <c r="O327" i="2"/>
  <c r="L327" i="2"/>
  <c r="J364" i="2"/>
  <c r="O299" i="2"/>
  <c r="L299" i="2"/>
  <c r="I299" i="2"/>
  <c r="O292" i="2"/>
  <c r="J357" i="2"/>
  <c r="L292" i="2"/>
  <c r="I292" i="2"/>
  <c r="L291" i="2"/>
  <c r="J356" i="2"/>
  <c r="I291" i="2"/>
  <c r="O291" i="2"/>
  <c r="O297" i="2"/>
  <c r="J362" i="2"/>
  <c r="L297" i="2"/>
  <c r="I297" i="2"/>
  <c r="O301" i="2"/>
  <c r="J366" i="2"/>
  <c r="I301" i="2"/>
  <c r="L301" i="2"/>
  <c r="O290" i="2"/>
  <c r="J355" i="2"/>
  <c r="I290" i="2"/>
  <c r="L290" i="2"/>
  <c r="O332" i="2"/>
  <c r="J397" i="2"/>
  <c r="L332" i="2"/>
  <c r="I332" i="2"/>
  <c r="O317" i="2"/>
  <c r="J382" i="2"/>
  <c r="L317" i="2"/>
  <c r="I317" i="2"/>
  <c r="L311" i="2"/>
  <c r="J376" i="2"/>
  <c r="O311" i="2"/>
  <c r="I311" i="2"/>
  <c r="O304" i="2"/>
  <c r="J369" i="2"/>
  <c r="L304" i="2"/>
  <c r="J244" i="2"/>
  <c r="L237" i="2"/>
  <c r="L330" i="2"/>
  <c r="J395" i="2"/>
  <c r="O330" i="2"/>
  <c r="I330" i="2"/>
  <c r="O310" i="2"/>
  <c r="J375" i="2"/>
  <c r="I310" i="2"/>
  <c r="L310" i="2"/>
  <c r="J381" i="2"/>
  <c r="I316" i="2"/>
  <c r="O316" i="2"/>
  <c r="L316" i="2"/>
  <c r="J363" i="2"/>
  <c r="O298" i="2"/>
  <c r="I298" i="2"/>
  <c r="O284" i="2"/>
  <c r="J349" i="2"/>
  <c r="L284" i="2"/>
  <c r="I284" i="2"/>
  <c r="I335" i="2"/>
  <c r="J400" i="2"/>
  <c r="O335" i="2"/>
  <c r="L335" i="2"/>
  <c r="J391" i="2"/>
  <c r="O326" i="2"/>
  <c r="I326" i="2"/>
  <c r="O305" i="2"/>
  <c r="J370" i="2"/>
  <c r="L305" i="2"/>
  <c r="O237" i="2"/>
  <c r="O244" i="2" s="1"/>
  <c r="O275" i="2" s="1"/>
  <c r="I296" i="2"/>
  <c r="J361" i="2"/>
  <c r="O296" i="2"/>
  <c r="L296" i="2"/>
  <c r="O336" i="2"/>
  <c r="J401" i="2"/>
  <c r="L336" i="2"/>
  <c r="I336" i="2"/>
  <c r="O333" i="2"/>
  <c r="J398" i="2"/>
  <c r="I333" i="2"/>
  <c r="L333" i="2"/>
  <c r="O314" i="2"/>
  <c r="J379" i="2"/>
  <c r="I314" i="2"/>
  <c r="L314" i="2"/>
  <c r="O273" i="2"/>
  <c r="L306" i="2"/>
  <c r="J371" i="2"/>
  <c r="O306" i="2"/>
  <c r="K902" i="2"/>
  <c r="K817" i="2"/>
  <c r="K882" i="2" s="1"/>
  <c r="K947" i="2" s="1"/>
  <c r="K1012" i="2" s="1"/>
  <c r="O285" i="2"/>
  <c r="J350" i="2"/>
  <c r="I285" i="2"/>
  <c r="L285" i="2"/>
  <c r="K542" i="2"/>
  <c r="K607" i="2" s="1"/>
  <c r="K672" i="2" s="1"/>
  <c r="K737" i="2" s="1"/>
  <c r="K802" i="2" s="1"/>
  <c r="K867" i="2" s="1"/>
  <c r="K845" i="2"/>
  <c r="K910" i="2" s="1"/>
  <c r="O308" i="2"/>
  <c r="J373" i="2"/>
  <c r="L308" i="2"/>
  <c r="I308" i="2"/>
  <c r="K625" i="2"/>
  <c r="K690" i="2" s="1"/>
  <c r="K755" i="2" s="1"/>
  <c r="O329" i="2"/>
  <c r="J394" i="2"/>
  <c r="L329" i="2"/>
  <c r="I329" i="2"/>
  <c r="O337" i="2"/>
  <c r="J402" i="2"/>
  <c r="I337" i="2"/>
  <c r="L337" i="2"/>
  <c r="K353" i="2"/>
  <c r="K293" i="2"/>
  <c r="I293" i="2" s="1"/>
  <c r="L295" i="2"/>
  <c r="J360" i="2"/>
  <c r="I295" i="2"/>
  <c r="J302" i="2"/>
  <c r="O295" i="2"/>
  <c r="O302" i="2" s="1"/>
  <c r="O321" i="2"/>
  <c r="J386" i="2"/>
  <c r="L321" i="2"/>
  <c r="I321" i="2"/>
  <c r="K657" i="2"/>
  <c r="K722" i="2" s="1"/>
  <c r="K787" i="2" s="1"/>
  <c r="O300" i="2"/>
  <c r="J365" i="2"/>
  <c r="L300" i="2"/>
  <c r="I300" i="2"/>
  <c r="K244" i="2"/>
  <c r="L315" i="2"/>
  <c r="J380" i="2"/>
  <c r="I315" i="2"/>
  <c r="O315" i="2"/>
  <c r="O222" i="2"/>
  <c r="O229" i="2" s="1"/>
  <c r="J345" i="2"/>
  <c r="I280" i="2"/>
  <c r="J287" i="2"/>
  <c r="O280" i="2"/>
  <c r="O287" i="2" s="1"/>
  <c r="L280" i="2"/>
  <c r="K360" i="2"/>
  <c r="K302" i="2"/>
  <c r="K309" i="2" s="1"/>
  <c r="J351" i="2"/>
  <c r="I286" i="2"/>
  <c r="O286" i="2"/>
  <c r="I273" i="2"/>
  <c r="J338" i="2"/>
  <c r="I338" i="2" s="1"/>
  <c r="I313" i="2"/>
  <c r="O313" i="2"/>
  <c r="O338" i="2" s="1"/>
  <c r="L313" i="2"/>
  <c r="I244" i="2" l="1"/>
  <c r="I302" i="2"/>
  <c r="I287" i="2"/>
  <c r="O307" i="2"/>
  <c r="O309" i="2" s="1"/>
  <c r="O340" i="2" s="1"/>
  <c r="J413" i="2"/>
  <c r="O348" i="2"/>
  <c r="I348" i="2"/>
  <c r="J508" i="2"/>
  <c r="L443" i="2"/>
  <c r="O443" i="2"/>
  <c r="L388" i="2"/>
  <c r="J453" i="2"/>
  <c r="I388" i="2"/>
  <c r="O388" i="2"/>
  <c r="O387" i="2"/>
  <c r="J452" i="2"/>
  <c r="L387" i="2"/>
  <c r="I387" i="2"/>
  <c r="J358" i="2"/>
  <c r="J418" i="2"/>
  <c r="L353" i="2"/>
  <c r="I353" i="2"/>
  <c r="O353" i="2"/>
  <c r="J416" i="2"/>
  <c r="O351" i="2"/>
  <c r="I351" i="2"/>
  <c r="L302" i="2"/>
  <c r="J309" i="2"/>
  <c r="I309" i="2" s="1"/>
  <c r="O402" i="2"/>
  <c r="J467" i="2"/>
  <c r="L402" i="2"/>
  <c r="I402" i="2"/>
  <c r="O394" i="2"/>
  <c r="J459" i="2"/>
  <c r="L394" i="2"/>
  <c r="I394" i="2"/>
  <c r="K975" i="2"/>
  <c r="K1040" i="2" s="1"/>
  <c r="O375" i="2"/>
  <c r="J440" i="2"/>
  <c r="L375" i="2"/>
  <c r="I375" i="2"/>
  <c r="J403" i="2"/>
  <c r="L395" i="2"/>
  <c r="J460" i="2"/>
  <c r="O395" i="2"/>
  <c r="I395" i="2"/>
  <c r="K410" i="2"/>
  <c r="K352" i="2"/>
  <c r="I368" i="2"/>
  <c r="I372" i="2" s="1"/>
  <c r="J433" i="2"/>
  <c r="J372" i="2"/>
  <c r="L372" i="2" s="1"/>
  <c r="L368" i="2"/>
  <c r="O368" i="2"/>
  <c r="L384" i="2"/>
  <c r="J449" i="2"/>
  <c r="I384" i="2"/>
  <c r="O384" i="2"/>
  <c r="K700" i="2"/>
  <c r="K791" i="2"/>
  <c r="K617" i="2"/>
  <c r="K682" i="2" s="1"/>
  <c r="J419" i="2"/>
  <c r="I354" i="2"/>
  <c r="O354" i="2"/>
  <c r="I377" i="2"/>
  <c r="J442" i="2"/>
  <c r="O377" i="2"/>
  <c r="L377" i="2"/>
  <c r="O393" i="2"/>
  <c r="J458" i="2"/>
  <c r="L393" i="2"/>
  <c r="I393" i="2"/>
  <c r="L399" i="2"/>
  <c r="J464" i="2"/>
  <c r="I399" i="2"/>
  <c r="O399" i="2"/>
  <c r="O390" i="2"/>
  <c r="J455" i="2"/>
  <c r="L390" i="2"/>
  <c r="I390" i="2"/>
  <c r="O293" i="2"/>
  <c r="O294" i="2" s="1"/>
  <c r="O365" i="2"/>
  <c r="J430" i="2"/>
  <c r="L365" i="2"/>
  <c r="I365" i="2"/>
  <c r="K367" i="2"/>
  <c r="K425" i="2"/>
  <c r="K852" i="2"/>
  <c r="O386" i="2"/>
  <c r="J451" i="2"/>
  <c r="L386" i="2"/>
  <c r="I386" i="2"/>
  <c r="K418" i="2"/>
  <c r="K358" i="2"/>
  <c r="L371" i="2"/>
  <c r="J436" i="2"/>
  <c r="O371" i="2"/>
  <c r="I400" i="2"/>
  <c r="J465" i="2"/>
  <c r="L400" i="2"/>
  <c r="O400" i="2"/>
  <c r="O349" i="2"/>
  <c r="J414" i="2"/>
  <c r="L349" i="2"/>
  <c r="I349" i="2"/>
  <c r="O363" i="2"/>
  <c r="J428" i="2"/>
  <c r="I363" i="2"/>
  <c r="I381" i="2"/>
  <c r="J446" i="2"/>
  <c r="L381" i="2"/>
  <c r="O381" i="2"/>
  <c r="O369" i="2"/>
  <c r="J434" i="2"/>
  <c r="L369" i="2"/>
  <c r="L376" i="2"/>
  <c r="J441" i="2"/>
  <c r="O376" i="2"/>
  <c r="I376" i="2"/>
  <c r="O382" i="2"/>
  <c r="J447" i="2"/>
  <c r="L382" i="2"/>
  <c r="I382" i="2"/>
  <c r="O397" i="2"/>
  <c r="J462" i="2"/>
  <c r="L397" i="2"/>
  <c r="I397" i="2"/>
  <c r="O355" i="2"/>
  <c r="J420" i="2"/>
  <c r="L355" i="2"/>
  <c r="I355" i="2"/>
  <c r="O366" i="2"/>
  <c r="J431" i="2"/>
  <c r="L366" i="2"/>
  <c r="I366" i="2"/>
  <c r="I367" i="2" s="1"/>
  <c r="O362" i="2"/>
  <c r="J427" i="2"/>
  <c r="L362" i="2"/>
  <c r="I362" i="2"/>
  <c r="O356" i="2"/>
  <c r="J421" i="2"/>
  <c r="I356" i="2"/>
  <c r="L356" i="2"/>
  <c r="L357" i="2"/>
  <c r="J422" i="2"/>
  <c r="O357" i="2"/>
  <c r="I357" i="2"/>
  <c r="I392" i="2"/>
  <c r="J457" i="2"/>
  <c r="O392" i="2"/>
  <c r="L392" i="2"/>
  <c r="O347" i="2"/>
  <c r="J412" i="2"/>
  <c r="L347" i="2"/>
  <c r="I347" i="2"/>
  <c r="J454" i="2"/>
  <c r="O389" i="2"/>
  <c r="I389" i="2"/>
  <c r="L389" i="2"/>
  <c r="I396" i="2"/>
  <c r="J461" i="2"/>
  <c r="L396" i="2"/>
  <c r="O396" i="2"/>
  <c r="J450" i="2"/>
  <c r="I385" i="2"/>
  <c r="L385" i="2"/>
  <c r="O385" i="2"/>
  <c r="I378" i="2"/>
  <c r="K443" i="2"/>
  <c r="K403" i="2"/>
  <c r="O345" i="2"/>
  <c r="O352" i="2" s="1"/>
  <c r="J410" i="2"/>
  <c r="L345" i="2"/>
  <c r="I345" i="2"/>
  <c r="J352" i="2"/>
  <c r="L380" i="2"/>
  <c r="J445" i="2"/>
  <c r="I380" i="2"/>
  <c r="O380" i="2"/>
  <c r="J367" i="2"/>
  <c r="J425" i="2"/>
  <c r="I360" i="2"/>
  <c r="L360" i="2"/>
  <c r="O360" i="2"/>
  <c r="K820" i="2"/>
  <c r="K885" i="2" s="1"/>
  <c r="K950" i="2" s="1"/>
  <c r="K1015" i="2" s="1"/>
  <c r="O373" i="2"/>
  <c r="J438" i="2"/>
  <c r="L373" i="2"/>
  <c r="I373" i="2"/>
  <c r="K932" i="2"/>
  <c r="K997" i="2" s="1"/>
  <c r="O350" i="2"/>
  <c r="J415" i="2"/>
  <c r="L350" i="2"/>
  <c r="I350" i="2"/>
  <c r="K967" i="2"/>
  <c r="K1032" i="2" s="1"/>
  <c r="O379" i="2"/>
  <c r="J444" i="2"/>
  <c r="L379" i="2"/>
  <c r="I379" i="2"/>
  <c r="O398" i="2"/>
  <c r="J463" i="2"/>
  <c r="L398" i="2"/>
  <c r="I398" i="2"/>
  <c r="O401" i="2"/>
  <c r="J466" i="2"/>
  <c r="L401" i="2"/>
  <c r="I401" i="2"/>
  <c r="I361" i="2"/>
  <c r="J426" i="2"/>
  <c r="L361" i="2"/>
  <c r="O361" i="2"/>
  <c r="O370" i="2"/>
  <c r="J435" i="2"/>
  <c r="L370" i="2"/>
  <c r="O391" i="2"/>
  <c r="J456" i="2"/>
  <c r="I391" i="2"/>
  <c r="J429" i="2"/>
  <c r="L364" i="2"/>
  <c r="O364" i="2"/>
  <c r="I364" i="2"/>
  <c r="O346" i="2"/>
  <c r="J411" i="2"/>
  <c r="I346" i="2"/>
  <c r="K372" i="2"/>
  <c r="K433" i="2"/>
  <c r="O383" i="2"/>
  <c r="J448" i="2"/>
  <c r="L383" i="2"/>
  <c r="I383" i="2"/>
  <c r="K906" i="2"/>
  <c r="N77" i="2"/>
  <c r="O77" i="2"/>
  <c r="F77" i="2"/>
  <c r="N76" i="2"/>
  <c r="O76" i="2"/>
  <c r="F76" i="2"/>
  <c r="N75" i="2"/>
  <c r="I75" i="2"/>
  <c r="F75" i="2"/>
  <c r="N74" i="2"/>
  <c r="L74" i="2"/>
  <c r="I74" i="2"/>
  <c r="F74" i="2"/>
  <c r="N73" i="2"/>
  <c r="L73" i="2"/>
  <c r="O73" i="2"/>
  <c r="F73" i="2"/>
  <c r="N72" i="2"/>
  <c r="O72" i="2"/>
  <c r="F72" i="2"/>
  <c r="N71" i="2"/>
  <c r="F71" i="2"/>
  <c r="N70" i="2"/>
  <c r="O70" i="2"/>
  <c r="F70" i="2"/>
  <c r="N69" i="2"/>
  <c r="L69" i="2"/>
  <c r="O69" i="2"/>
  <c r="F69" i="2"/>
  <c r="N68" i="2"/>
  <c r="O68" i="2"/>
  <c r="F68" i="2"/>
  <c r="N67" i="2"/>
  <c r="F67" i="2"/>
  <c r="N66" i="2"/>
  <c r="O66" i="2"/>
  <c r="F66" i="2"/>
  <c r="N65" i="2"/>
  <c r="O65" i="2"/>
  <c r="F65" i="2"/>
  <c r="N64" i="2"/>
  <c r="F64" i="2"/>
  <c r="N63" i="2"/>
  <c r="L63" i="2"/>
  <c r="O63" i="2"/>
  <c r="I63" i="2"/>
  <c r="F63" i="2"/>
  <c r="N62" i="2"/>
  <c r="O62" i="2"/>
  <c r="F62" i="2"/>
  <c r="N61" i="2"/>
  <c r="O61" i="2"/>
  <c r="F61" i="2"/>
  <c r="N60" i="2"/>
  <c r="F60" i="2"/>
  <c r="N59" i="2"/>
  <c r="L59" i="2"/>
  <c r="O59" i="2"/>
  <c r="F59" i="2"/>
  <c r="N58" i="2"/>
  <c r="O58" i="2"/>
  <c r="F58" i="2"/>
  <c r="N57" i="2"/>
  <c r="O57" i="2"/>
  <c r="F57" i="2"/>
  <c r="N56" i="2"/>
  <c r="F56" i="2"/>
  <c r="N55" i="2"/>
  <c r="O55" i="2"/>
  <c r="F55" i="2"/>
  <c r="N54" i="2"/>
  <c r="L54" i="2"/>
  <c r="O54" i="2"/>
  <c r="F54" i="2"/>
  <c r="N53" i="2"/>
  <c r="O53" i="2"/>
  <c r="F53" i="2"/>
  <c r="N52" i="2"/>
  <c r="I52" i="2"/>
  <c r="F52" i="2"/>
  <c r="N51" i="2"/>
  <c r="O51" i="2"/>
  <c r="F51" i="2"/>
  <c r="N50" i="2"/>
  <c r="L50" i="2"/>
  <c r="O50" i="2"/>
  <c r="F50" i="2"/>
  <c r="N48" i="2"/>
  <c r="O48" i="2"/>
  <c r="F48" i="2"/>
  <c r="H47" i="2"/>
  <c r="G47" i="2"/>
  <c r="E47" i="2"/>
  <c r="D47" i="2"/>
  <c r="N46" i="2"/>
  <c r="O46" i="2"/>
  <c r="I46" i="2"/>
  <c r="F46" i="2"/>
  <c r="N45" i="2"/>
  <c r="L45" i="2"/>
  <c r="O45" i="2"/>
  <c r="F45" i="2"/>
  <c r="I45" i="2" s="1"/>
  <c r="N44" i="2"/>
  <c r="O44" i="2"/>
  <c r="F44" i="2"/>
  <c r="I44" i="2" s="1"/>
  <c r="N43" i="2"/>
  <c r="N47" i="2" s="1"/>
  <c r="K47" i="2"/>
  <c r="F43" i="2"/>
  <c r="H42" i="2"/>
  <c r="G42" i="2"/>
  <c r="E42" i="2"/>
  <c r="D42" i="2"/>
  <c r="N41" i="2"/>
  <c r="O41" i="2"/>
  <c r="F41" i="2"/>
  <c r="N40" i="2"/>
  <c r="O40" i="2"/>
  <c r="F40" i="2"/>
  <c r="N39" i="2"/>
  <c r="F39" i="2"/>
  <c r="N38" i="2"/>
  <c r="O38" i="2"/>
  <c r="F38" i="2"/>
  <c r="N37" i="2"/>
  <c r="O37" i="2"/>
  <c r="F37" i="2"/>
  <c r="N36" i="2"/>
  <c r="I36" i="2"/>
  <c r="F36" i="2"/>
  <c r="N35" i="2"/>
  <c r="K42" i="2"/>
  <c r="L35" i="2"/>
  <c r="I35" i="2"/>
  <c r="F35" i="2"/>
  <c r="H33" i="2"/>
  <c r="G33" i="2"/>
  <c r="F33" i="2" s="1"/>
  <c r="N31" i="2"/>
  <c r="L31" i="2"/>
  <c r="I31" i="2"/>
  <c r="O31" i="2"/>
  <c r="F31" i="2"/>
  <c r="N30" i="2"/>
  <c r="O30" i="2"/>
  <c r="F30" i="2"/>
  <c r="O29" i="2"/>
  <c r="I29" i="2"/>
  <c r="F29" i="2"/>
  <c r="N28" i="2"/>
  <c r="L28" i="2"/>
  <c r="O28" i="2"/>
  <c r="F28" i="2"/>
  <c r="H27" i="2"/>
  <c r="G27" i="2"/>
  <c r="N26" i="2"/>
  <c r="O26" i="2"/>
  <c r="F26" i="2"/>
  <c r="N25" i="2"/>
  <c r="O25" i="2"/>
  <c r="F25" i="2"/>
  <c r="N24" i="2"/>
  <c r="O24" i="2"/>
  <c r="F24" i="2"/>
  <c r="N23" i="2"/>
  <c r="O23" i="2"/>
  <c r="F23" i="2"/>
  <c r="N22" i="2"/>
  <c r="O22" i="2"/>
  <c r="F22" i="2"/>
  <c r="N21" i="2"/>
  <c r="O21" i="2"/>
  <c r="F21" i="2"/>
  <c r="N20" i="2"/>
  <c r="J27" i="2"/>
  <c r="F20" i="2"/>
  <c r="O456" i="2" l="1"/>
  <c r="J521" i="2"/>
  <c r="I456" i="2"/>
  <c r="I414" i="2"/>
  <c r="J479" i="2"/>
  <c r="O414" i="2"/>
  <c r="L414" i="2"/>
  <c r="O449" i="2"/>
  <c r="J514" i="2"/>
  <c r="L449" i="2"/>
  <c r="I449" i="2"/>
  <c r="K475" i="2"/>
  <c r="K417" i="2"/>
  <c r="O440" i="2"/>
  <c r="J505" i="2"/>
  <c r="L440" i="2"/>
  <c r="I440" i="2"/>
  <c r="J468" i="2"/>
  <c r="O411" i="2"/>
  <c r="J476" i="2"/>
  <c r="I411" i="2"/>
  <c r="O415" i="2"/>
  <c r="J480" i="2"/>
  <c r="L415" i="2"/>
  <c r="I415" i="2"/>
  <c r="L434" i="2"/>
  <c r="J499" i="2"/>
  <c r="O434" i="2"/>
  <c r="O446" i="2"/>
  <c r="J511" i="2"/>
  <c r="L446" i="2"/>
  <c r="I446" i="2"/>
  <c r="I451" i="2"/>
  <c r="J516" i="2"/>
  <c r="O451" i="2"/>
  <c r="L451" i="2"/>
  <c r="K490" i="2"/>
  <c r="K432" i="2"/>
  <c r="I430" i="2"/>
  <c r="J495" i="2"/>
  <c r="L430" i="2"/>
  <c r="O430" i="2"/>
  <c r="K765" i="2"/>
  <c r="J437" i="2"/>
  <c r="L437" i="2" s="1"/>
  <c r="J498" i="2"/>
  <c r="I433" i="2"/>
  <c r="I437" i="2" s="1"/>
  <c r="L433" i="2"/>
  <c r="O433" i="2"/>
  <c r="I403" i="2"/>
  <c r="O403" i="2"/>
  <c r="O448" i="2"/>
  <c r="J513" i="2"/>
  <c r="L448" i="2"/>
  <c r="I448" i="2"/>
  <c r="O428" i="2"/>
  <c r="J493" i="2"/>
  <c r="I428" i="2"/>
  <c r="O465" i="2"/>
  <c r="J530" i="2"/>
  <c r="I465" i="2"/>
  <c r="L465" i="2"/>
  <c r="K747" i="2"/>
  <c r="K437" i="2"/>
  <c r="K498" i="2"/>
  <c r="O429" i="2"/>
  <c r="L429" i="2"/>
  <c r="J494" i="2"/>
  <c r="I429" i="2"/>
  <c r="J432" i="2"/>
  <c r="L425" i="2"/>
  <c r="J490" i="2"/>
  <c r="I425" i="2"/>
  <c r="O425" i="2"/>
  <c r="O445" i="2"/>
  <c r="J510" i="2"/>
  <c r="L445" i="2"/>
  <c r="I445" i="2"/>
  <c r="K508" i="2"/>
  <c r="K468" i="2"/>
  <c r="O461" i="2"/>
  <c r="I461" i="2"/>
  <c r="L461" i="2"/>
  <c r="J526" i="2"/>
  <c r="O412" i="2"/>
  <c r="I412" i="2"/>
  <c r="L412" i="2"/>
  <c r="J477" i="2"/>
  <c r="O457" i="2"/>
  <c r="J522" i="2"/>
  <c r="I457" i="2"/>
  <c r="L457" i="2"/>
  <c r="O422" i="2"/>
  <c r="J487" i="2"/>
  <c r="L422" i="2"/>
  <c r="I422" i="2"/>
  <c r="O421" i="2"/>
  <c r="L421" i="2"/>
  <c r="J486" i="2"/>
  <c r="I421" i="2"/>
  <c r="I427" i="2"/>
  <c r="J492" i="2"/>
  <c r="L427" i="2"/>
  <c r="O427" i="2"/>
  <c r="O431" i="2"/>
  <c r="J496" i="2"/>
  <c r="L431" i="2"/>
  <c r="I431" i="2"/>
  <c r="I432" i="2" s="1"/>
  <c r="O420" i="2"/>
  <c r="J485" i="2"/>
  <c r="I420" i="2"/>
  <c r="L420" i="2"/>
  <c r="I462" i="2"/>
  <c r="J527" i="2"/>
  <c r="L462" i="2"/>
  <c r="O462" i="2"/>
  <c r="I447" i="2"/>
  <c r="J512" i="2"/>
  <c r="L447" i="2"/>
  <c r="O447" i="2"/>
  <c r="I441" i="2"/>
  <c r="O441" i="2"/>
  <c r="J506" i="2"/>
  <c r="L441" i="2"/>
  <c r="K423" i="2"/>
  <c r="K483" i="2"/>
  <c r="K374" i="2"/>
  <c r="K856" i="2"/>
  <c r="O372" i="2"/>
  <c r="O416" i="2"/>
  <c r="J481" i="2"/>
  <c r="I416" i="2"/>
  <c r="O418" i="2"/>
  <c r="J483" i="2"/>
  <c r="I418" i="2"/>
  <c r="L418" i="2"/>
  <c r="J423" i="2"/>
  <c r="I423" i="2" s="1"/>
  <c r="O452" i="2"/>
  <c r="J517" i="2"/>
  <c r="L452" i="2"/>
  <c r="I452" i="2"/>
  <c r="O453" i="2"/>
  <c r="J518" i="2"/>
  <c r="L453" i="2"/>
  <c r="I453" i="2"/>
  <c r="O508" i="2"/>
  <c r="J573" i="2"/>
  <c r="L508" i="2"/>
  <c r="I508" i="2"/>
  <c r="O413" i="2"/>
  <c r="J478" i="2"/>
  <c r="I413" i="2"/>
  <c r="K971" i="2"/>
  <c r="K1036" i="2" s="1"/>
  <c r="O435" i="2"/>
  <c r="J500" i="2"/>
  <c r="L435" i="2"/>
  <c r="O426" i="2"/>
  <c r="I426" i="2"/>
  <c r="L426" i="2"/>
  <c r="J491" i="2"/>
  <c r="I466" i="2"/>
  <c r="J531" i="2"/>
  <c r="O466" i="2"/>
  <c r="L466" i="2"/>
  <c r="O463" i="2"/>
  <c r="J528" i="2"/>
  <c r="I463" i="2"/>
  <c r="L463" i="2"/>
  <c r="O444" i="2"/>
  <c r="J509" i="2"/>
  <c r="I444" i="2"/>
  <c r="L444" i="2"/>
  <c r="I438" i="2"/>
  <c r="J503" i="2"/>
  <c r="L438" i="2"/>
  <c r="O438" i="2"/>
  <c r="O367" i="2"/>
  <c r="O374" i="2" s="1"/>
  <c r="L367" i="2"/>
  <c r="J374" i="2"/>
  <c r="I374" i="2" s="1"/>
  <c r="J417" i="2"/>
  <c r="J475" i="2"/>
  <c r="O410" i="2"/>
  <c r="O417" i="2" s="1"/>
  <c r="L410" i="2"/>
  <c r="I410" i="2"/>
  <c r="O450" i="2"/>
  <c r="I450" i="2"/>
  <c r="L450" i="2"/>
  <c r="J515" i="2"/>
  <c r="O454" i="2"/>
  <c r="L454" i="2"/>
  <c r="I454" i="2"/>
  <c r="J519" i="2"/>
  <c r="O436" i="2"/>
  <c r="J501" i="2"/>
  <c r="L436" i="2"/>
  <c r="K917" i="2"/>
  <c r="I455" i="2"/>
  <c r="J520" i="2"/>
  <c r="O455" i="2"/>
  <c r="L455" i="2"/>
  <c r="O464" i="2"/>
  <c r="J529" i="2"/>
  <c r="L464" i="2"/>
  <c r="I464" i="2"/>
  <c r="I458" i="2"/>
  <c r="J523" i="2"/>
  <c r="O458" i="2"/>
  <c r="L458" i="2"/>
  <c r="O442" i="2"/>
  <c r="J507" i="2"/>
  <c r="I442" i="2"/>
  <c r="L442" i="2"/>
  <c r="I419" i="2"/>
  <c r="O419" i="2"/>
  <c r="J484" i="2"/>
  <c r="I352" i="2"/>
  <c r="O460" i="2"/>
  <c r="L460" i="2"/>
  <c r="I460" i="2"/>
  <c r="J525" i="2"/>
  <c r="O459" i="2"/>
  <c r="J524" i="2"/>
  <c r="L459" i="2"/>
  <c r="I459" i="2"/>
  <c r="O467" i="2"/>
  <c r="J532" i="2"/>
  <c r="L467" i="2"/>
  <c r="I467" i="2"/>
  <c r="O358" i="2"/>
  <c r="O359" i="2" s="1"/>
  <c r="I358" i="2"/>
  <c r="I443" i="2"/>
  <c r="L55" i="2"/>
  <c r="I58" i="2"/>
  <c r="I59" i="2"/>
  <c r="L62" i="2"/>
  <c r="F27" i="2"/>
  <c r="L20" i="2"/>
  <c r="I23" i="2"/>
  <c r="L25" i="2"/>
  <c r="L51" i="2"/>
  <c r="I55" i="2"/>
  <c r="L58" i="2"/>
  <c r="K33" i="2"/>
  <c r="I20" i="2"/>
  <c r="L22" i="2"/>
  <c r="L30" i="2"/>
  <c r="J33" i="2"/>
  <c r="N42" i="2"/>
  <c r="L41" i="2"/>
  <c r="L46" i="2"/>
  <c r="I51" i="2"/>
  <c r="I71" i="2"/>
  <c r="L77" i="2"/>
  <c r="K78" i="2"/>
  <c r="L70" i="2"/>
  <c r="I70" i="2"/>
  <c r="I67" i="2"/>
  <c r="I64" i="2"/>
  <c r="I60" i="2"/>
  <c r="I56" i="2"/>
  <c r="I43" i="2"/>
  <c r="I47" i="2" s="1"/>
  <c r="I39" i="2"/>
  <c r="F42" i="2"/>
  <c r="J42" i="2"/>
  <c r="L42" i="2" s="1"/>
  <c r="K27" i="2"/>
  <c r="I27" i="2" s="1"/>
  <c r="I26" i="2"/>
  <c r="K49" i="2"/>
  <c r="O43" i="2"/>
  <c r="O47" i="2" s="1"/>
  <c r="F47" i="2"/>
  <c r="O60" i="2"/>
  <c r="O64" i="2"/>
  <c r="O71" i="2"/>
  <c r="J78" i="2"/>
  <c r="O20" i="2"/>
  <c r="O27" i="2" s="1"/>
  <c r="I22" i="2"/>
  <c r="L24" i="2"/>
  <c r="I25" i="2"/>
  <c r="I28" i="2"/>
  <c r="I30" i="2"/>
  <c r="L32" i="2"/>
  <c r="O35" i="2"/>
  <c r="L37" i="2"/>
  <c r="I38" i="2"/>
  <c r="L40" i="2"/>
  <c r="I41" i="2"/>
  <c r="L44" i="2"/>
  <c r="L48" i="2"/>
  <c r="I50" i="2"/>
  <c r="L53" i="2"/>
  <c r="I54" i="2"/>
  <c r="L57" i="2"/>
  <c r="L61" i="2"/>
  <c r="I62" i="2"/>
  <c r="L65" i="2"/>
  <c r="I66" i="2"/>
  <c r="L68" i="2"/>
  <c r="I69" i="2"/>
  <c r="L72" i="2"/>
  <c r="I73" i="2"/>
  <c r="O74" i="2"/>
  <c r="L76" i="2"/>
  <c r="I77" i="2"/>
  <c r="O36" i="2"/>
  <c r="O39" i="2"/>
  <c r="O56" i="2"/>
  <c r="O75" i="2"/>
  <c r="I24" i="2"/>
  <c r="I32" i="2"/>
  <c r="O32" i="2"/>
  <c r="O33" i="2" s="1"/>
  <c r="L36" i="2"/>
  <c r="I37" i="2"/>
  <c r="L39" i="2"/>
  <c r="I40" i="2"/>
  <c r="L43" i="2"/>
  <c r="I48" i="2"/>
  <c r="L52" i="2"/>
  <c r="I53" i="2"/>
  <c r="L56" i="2"/>
  <c r="I57" i="2"/>
  <c r="L60" i="2"/>
  <c r="I61" i="2"/>
  <c r="L64" i="2"/>
  <c r="I65" i="2"/>
  <c r="L67" i="2"/>
  <c r="I68" i="2"/>
  <c r="L71" i="2"/>
  <c r="I72" i="2"/>
  <c r="L75" i="2"/>
  <c r="I76" i="2"/>
  <c r="J47" i="2"/>
  <c r="L47" i="2" s="1"/>
  <c r="O52" i="2"/>
  <c r="O67" i="2"/>
  <c r="I21" i="2"/>
  <c r="O532" i="2" l="1"/>
  <c r="J597" i="2"/>
  <c r="L532" i="2"/>
  <c r="I532" i="2"/>
  <c r="O524" i="2"/>
  <c r="J589" i="2"/>
  <c r="L524" i="2"/>
  <c r="I524" i="2"/>
  <c r="I507" i="2"/>
  <c r="J572" i="2"/>
  <c r="O507" i="2"/>
  <c r="L507" i="2"/>
  <c r="O523" i="2"/>
  <c r="J588" i="2"/>
  <c r="L523" i="2"/>
  <c r="I523" i="2"/>
  <c r="L529" i="2"/>
  <c r="J594" i="2"/>
  <c r="I529" i="2"/>
  <c r="O529" i="2"/>
  <c r="O520" i="2"/>
  <c r="J585" i="2"/>
  <c r="I520" i="2"/>
  <c r="L520" i="2"/>
  <c r="O500" i="2"/>
  <c r="J565" i="2"/>
  <c r="L500" i="2"/>
  <c r="K921" i="2"/>
  <c r="K502" i="2"/>
  <c r="K563" i="2"/>
  <c r="I498" i="2"/>
  <c r="I502" i="2" s="1"/>
  <c r="J563" i="2"/>
  <c r="O498" i="2"/>
  <c r="L498" i="2"/>
  <c r="J502" i="2"/>
  <c r="L502" i="2" s="1"/>
  <c r="K439" i="2"/>
  <c r="O516" i="2"/>
  <c r="J581" i="2"/>
  <c r="L516" i="2"/>
  <c r="I516" i="2"/>
  <c r="I511" i="2"/>
  <c r="J576" i="2"/>
  <c r="O511" i="2"/>
  <c r="L511" i="2"/>
  <c r="O480" i="2"/>
  <c r="J545" i="2"/>
  <c r="L480" i="2"/>
  <c r="I480" i="2"/>
  <c r="O505" i="2"/>
  <c r="J570" i="2"/>
  <c r="L505" i="2"/>
  <c r="I505" i="2"/>
  <c r="J533" i="2"/>
  <c r="O501" i="2"/>
  <c r="J566" i="2"/>
  <c r="L501" i="2"/>
  <c r="O503" i="2"/>
  <c r="J568" i="2"/>
  <c r="L503" i="2"/>
  <c r="I503" i="2"/>
  <c r="O509" i="2"/>
  <c r="J574" i="2"/>
  <c r="L509" i="2"/>
  <c r="I509" i="2"/>
  <c r="O528" i="2"/>
  <c r="J593" i="2"/>
  <c r="L528" i="2"/>
  <c r="I528" i="2"/>
  <c r="O531" i="2"/>
  <c r="J596" i="2"/>
  <c r="L531" i="2"/>
  <c r="I531" i="2"/>
  <c r="J543" i="2"/>
  <c r="O478" i="2"/>
  <c r="I478" i="2"/>
  <c r="O573" i="2"/>
  <c r="J638" i="2"/>
  <c r="L573" i="2"/>
  <c r="L518" i="2"/>
  <c r="J583" i="2"/>
  <c r="I518" i="2"/>
  <c r="O518" i="2"/>
  <c r="O517" i="2"/>
  <c r="J582" i="2"/>
  <c r="L517" i="2"/>
  <c r="I517" i="2"/>
  <c r="J546" i="2"/>
  <c r="I481" i="2"/>
  <c r="O481" i="2"/>
  <c r="J542" i="2"/>
  <c r="L477" i="2"/>
  <c r="O477" i="2"/>
  <c r="I477" i="2"/>
  <c r="I526" i="2"/>
  <c r="J591" i="2"/>
  <c r="O526" i="2"/>
  <c r="L526" i="2"/>
  <c r="J575" i="2"/>
  <c r="O510" i="2"/>
  <c r="L510" i="2"/>
  <c r="I510" i="2"/>
  <c r="J555" i="2"/>
  <c r="I490" i="2"/>
  <c r="L490" i="2"/>
  <c r="J497" i="2"/>
  <c r="O490" i="2"/>
  <c r="J559" i="2"/>
  <c r="O494" i="2"/>
  <c r="L494" i="2"/>
  <c r="I494" i="2"/>
  <c r="O493" i="2"/>
  <c r="J558" i="2"/>
  <c r="I493" i="2"/>
  <c r="O513" i="2"/>
  <c r="J578" i="2"/>
  <c r="L513" i="2"/>
  <c r="I513" i="2"/>
  <c r="O437" i="2"/>
  <c r="K555" i="2"/>
  <c r="K497" i="2"/>
  <c r="K504" i="2" s="1"/>
  <c r="I468" i="2"/>
  <c r="J590" i="2"/>
  <c r="O525" i="2"/>
  <c r="L525" i="2"/>
  <c r="I525" i="2"/>
  <c r="K982" i="2"/>
  <c r="K1047" i="2" s="1"/>
  <c r="O475" i="2"/>
  <c r="J540" i="2"/>
  <c r="L475" i="2"/>
  <c r="J482" i="2"/>
  <c r="I475" i="2"/>
  <c r="J488" i="2"/>
  <c r="J548" i="2"/>
  <c r="L483" i="2"/>
  <c r="O483" i="2"/>
  <c r="I483" i="2"/>
  <c r="I506" i="2"/>
  <c r="O506" i="2"/>
  <c r="L506" i="2"/>
  <c r="J571" i="2"/>
  <c r="O486" i="2"/>
  <c r="J551" i="2"/>
  <c r="L486" i="2"/>
  <c r="I486" i="2"/>
  <c r="K573" i="2"/>
  <c r="K533" i="2"/>
  <c r="K812" i="2"/>
  <c r="K877" i="2" s="1"/>
  <c r="I530" i="2"/>
  <c r="J595" i="2"/>
  <c r="O530" i="2"/>
  <c r="L530" i="2"/>
  <c r="O495" i="2"/>
  <c r="J560" i="2"/>
  <c r="L495" i="2"/>
  <c r="I495" i="2"/>
  <c r="I417" i="2"/>
  <c r="L514" i="2"/>
  <c r="J579" i="2"/>
  <c r="I514" i="2"/>
  <c r="O514" i="2"/>
  <c r="O479" i="2"/>
  <c r="J544" i="2"/>
  <c r="I479" i="2"/>
  <c r="L479" i="2"/>
  <c r="O521" i="2"/>
  <c r="J586" i="2"/>
  <c r="I521" i="2"/>
  <c r="J549" i="2"/>
  <c r="I484" i="2"/>
  <c r="O484" i="2"/>
  <c r="I519" i="2"/>
  <c r="J584" i="2"/>
  <c r="L519" i="2"/>
  <c r="O519" i="2"/>
  <c r="I515" i="2"/>
  <c r="J580" i="2"/>
  <c r="L515" i="2"/>
  <c r="O515" i="2"/>
  <c r="O439" i="2"/>
  <c r="I491" i="2"/>
  <c r="J556" i="2"/>
  <c r="L491" i="2"/>
  <c r="O491" i="2"/>
  <c r="O423" i="2"/>
  <c r="O424" i="2" s="1"/>
  <c r="K548" i="2"/>
  <c r="K488" i="2"/>
  <c r="O468" i="2"/>
  <c r="O512" i="2"/>
  <c r="J577" i="2"/>
  <c r="I512" i="2"/>
  <c r="L512" i="2"/>
  <c r="O527" i="2"/>
  <c r="J592" i="2"/>
  <c r="I527" i="2"/>
  <c r="L527" i="2"/>
  <c r="O485" i="2"/>
  <c r="J550" i="2"/>
  <c r="L485" i="2"/>
  <c r="I485" i="2"/>
  <c r="O496" i="2"/>
  <c r="J561" i="2"/>
  <c r="L496" i="2"/>
  <c r="I496" i="2"/>
  <c r="O492" i="2"/>
  <c r="J557" i="2"/>
  <c r="I492" i="2"/>
  <c r="L492" i="2"/>
  <c r="O487" i="2"/>
  <c r="J552" i="2"/>
  <c r="L487" i="2"/>
  <c r="I487" i="2"/>
  <c r="J587" i="2"/>
  <c r="L522" i="2"/>
  <c r="O522" i="2"/>
  <c r="I522" i="2"/>
  <c r="O432" i="2"/>
  <c r="L432" i="2"/>
  <c r="J439" i="2"/>
  <c r="I439" i="2" s="1"/>
  <c r="O405" i="2"/>
  <c r="K830" i="2"/>
  <c r="O499" i="2"/>
  <c r="J564" i="2"/>
  <c r="L499" i="2"/>
  <c r="O476" i="2"/>
  <c r="J541" i="2"/>
  <c r="I476" i="2"/>
  <c r="K540" i="2"/>
  <c r="K482" i="2"/>
  <c r="I42" i="2"/>
  <c r="I33" i="2"/>
  <c r="I78" i="2"/>
  <c r="O78" i="2"/>
  <c r="J49" i="2"/>
  <c r="O34" i="2"/>
  <c r="O42" i="2"/>
  <c r="O49" i="2" s="1"/>
  <c r="O541" i="2" l="1"/>
  <c r="J606" i="2"/>
  <c r="I541" i="2"/>
  <c r="O470" i="2"/>
  <c r="K942" i="2"/>
  <c r="J636" i="2"/>
  <c r="L571" i="2"/>
  <c r="O571" i="2"/>
  <c r="I571" i="2"/>
  <c r="I488" i="2"/>
  <c r="L540" i="2"/>
  <c r="J605" i="2"/>
  <c r="I540" i="2"/>
  <c r="O540" i="2"/>
  <c r="J547" i="2"/>
  <c r="L497" i="2"/>
  <c r="J504" i="2"/>
  <c r="I504" i="2" s="1"/>
  <c r="O596" i="2"/>
  <c r="J661" i="2"/>
  <c r="L596" i="2"/>
  <c r="I596" i="2"/>
  <c r="O593" i="2"/>
  <c r="J658" i="2"/>
  <c r="L593" i="2"/>
  <c r="I593" i="2"/>
  <c r="O574" i="2"/>
  <c r="J639" i="2"/>
  <c r="L574" i="2"/>
  <c r="I574" i="2"/>
  <c r="O568" i="2"/>
  <c r="J633" i="2"/>
  <c r="L568" i="2"/>
  <c r="I568" i="2"/>
  <c r="L566" i="2"/>
  <c r="J631" i="2"/>
  <c r="O566" i="2"/>
  <c r="J651" i="2"/>
  <c r="O586" i="2"/>
  <c r="I586" i="2"/>
  <c r="O544" i="2"/>
  <c r="J609" i="2"/>
  <c r="L544" i="2"/>
  <c r="I544" i="2"/>
  <c r="L579" i="2"/>
  <c r="J644" i="2"/>
  <c r="I579" i="2"/>
  <c r="O579" i="2"/>
  <c r="O488" i="2"/>
  <c r="J623" i="2"/>
  <c r="O558" i="2"/>
  <c r="I558" i="2"/>
  <c r="O482" i="2"/>
  <c r="O489" i="2" s="1"/>
  <c r="O582" i="2"/>
  <c r="J647" i="2"/>
  <c r="L582" i="2"/>
  <c r="I582" i="2"/>
  <c r="L583" i="2"/>
  <c r="J648" i="2"/>
  <c r="I583" i="2"/>
  <c r="O583" i="2"/>
  <c r="L638" i="2"/>
  <c r="J703" i="2"/>
  <c r="O638" i="2"/>
  <c r="J608" i="2"/>
  <c r="O543" i="2"/>
  <c r="I543" i="2"/>
  <c r="O570" i="2"/>
  <c r="J635" i="2"/>
  <c r="I570" i="2"/>
  <c r="L570" i="2"/>
  <c r="J598" i="2"/>
  <c r="O545" i="2"/>
  <c r="J610" i="2"/>
  <c r="I545" i="2"/>
  <c r="L545" i="2"/>
  <c r="I576" i="2"/>
  <c r="J641" i="2"/>
  <c r="O576" i="2"/>
  <c r="L576" i="2"/>
  <c r="O581" i="2"/>
  <c r="J646" i="2"/>
  <c r="L581" i="2"/>
  <c r="I581" i="2"/>
  <c r="K567" i="2"/>
  <c r="K628" i="2"/>
  <c r="K547" i="2"/>
  <c r="K605" i="2"/>
  <c r="K895" i="2"/>
  <c r="O552" i="2"/>
  <c r="J617" i="2"/>
  <c r="L552" i="2"/>
  <c r="I552" i="2"/>
  <c r="O557" i="2"/>
  <c r="J622" i="2"/>
  <c r="L557" i="2"/>
  <c r="I557" i="2"/>
  <c r="O561" i="2"/>
  <c r="J626" i="2"/>
  <c r="I561" i="2"/>
  <c r="L561" i="2"/>
  <c r="O550" i="2"/>
  <c r="J615" i="2"/>
  <c r="I550" i="2"/>
  <c r="L550" i="2"/>
  <c r="O592" i="2"/>
  <c r="J657" i="2"/>
  <c r="L592" i="2"/>
  <c r="I592" i="2"/>
  <c r="O577" i="2"/>
  <c r="J642" i="2"/>
  <c r="L577" i="2"/>
  <c r="I577" i="2"/>
  <c r="K613" i="2"/>
  <c r="K553" i="2"/>
  <c r="I556" i="2"/>
  <c r="J621" i="2"/>
  <c r="L556" i="2"/>
  <c r="O556" i="2"/>
  <c r="O560" i="2"/>
  <c r="J625" i="2"/>
  <c r="L560" i="2"/>
  <c r="I560" i="2"/>
  <c r="I595" i="2"/>
  <c r="J660" i="2"/>
  <c r="O595" i="2"/>
  <c r="L595" i="2"/>
  <c r="L551" i="2"/>
  <c r="J616" i="2"/>
  <c r="I551" i="2"/>
  <c r="O551" i="2"/>
  <c r="O533" i="2"/>
  <c r="I482" i="2"/>
  <c r="K620" i="2"/>
  <c r="K562" i="2"/>
  <c r="O578" i="2"/>
  <c r="J643" i="2"/>
  <c r="L578" i="2"/>
  <c r="I578" i="2"/>
  <c r="J624" i="2"/>
  <c r="I559" i="2"/>
  <c r="L559" i="2"/>
  <c r="O559" i="2"/>
  <c r="I591" i="2"/>
  <c r="J656" i="2"/>
  <c r="L591" i="2"/>
  <c r="O591" i="2"/>
  <c r="J611" i="2"/>
  <c r="O546" i="2"/>
  <c r="I546" i="2"/>
  <c r="I533" i="2"/>
  <c r="O502" i="2"/>
  <c r="O565" i="2"/>
  <c r="J630" i="2"/>
  <c r="L565" i="2"/>
  <c r="O585" i="2"/>
  <c r="J650" i="2"/>
  <c r="L585" i="2"/>
  <c r="I585" i="2"/>
  <c r="L594" i="2"/>
  <c r="J659" i="2"/>
  <c r="I594" i="2"/>
  <c r="O594" i="2"/>
  <c r="O588" i="2"/>
  <c r="J653" i="2"/>
  <c r="L588" i="2"/>
  <c r="I588" i="2"/>
  <c r="I572" i="2"/>
  <c r="J637" i="2"/>
  <c r="L572" i="2"/>
  <c r="O572" i="2"/>
  <c r="O589" i="2"/>
  <c r="J654" i="2"/>
  <c r="I589" i="2"/>
  <c r="L589" i="2"/>
  <c r="O597" i="2"/>
  <c r="J662" i="2"/>
  <c r="L597" i="2"/>
  <c r="I597" i="2"/>
  <c r="O564" i="2"/>
  <c r="J629" i="2"/>
  <c r="L564" i="2"/>
  <c r="J652" i="2"/>
  <c r="L587" i="2"/>
  <c r="I587" i="2"/>
  <c r="O587" i="2"/>
  <c r="I580" i="2"/>
  <c r="J645" i="2"/>
  <c r="L580" i="2"/>
  <c r="O580" i="2"/>
  <c r="J649" i="2"/>
  <c r="L584" i="2"/>
  <c r="I584" i="2"/>
  <c r="O584" i="2"/>
  <c r="O549" i="2"/>
  <c r="J614" i="2"/>
  <c r="I549" i="2"/>
  <c r="K638" i="2"/>
  <c r="I638" i="2" s="1"/>
  <c r="K598" i="2"/>
  <c r="J553" i="2"/>
  <c r="I553" i="2" s="1"/>
  <c r="J613" i="2"/>
  <c r="I548" i="2"/>
  <c r="L548" i="2"/>
  <c r="O548" i="2"/>
  <c r="O553" i="2" s="1"/>
  <c r="L590" i="2"/>
  <c r="J655" i="2"/>
  <c r="O590" i="2"/>
  <c r="I590" i="2"/>
  <c r="I497" i="2"/>
  <c r="O497" i="2"/>
  <c r="L555" i="2"/>
  <c r="J620" i="2"/>
  <c r="I555" i="2"/>
  <c r="O555" i="2"/>
  <c r="O562" i="2" s="1"/>
  <c r="J562" i="2"/>
  <c r="L575" i="2"/>
  <c r="J640" i="2"/>
  <c r="I575" i="2"/>
  <c r="O575" i="2"/>
  <c r="O542" i="2"/>
  <c r="J607" i="2"/>
  <c r="L542" i="2"/>
  <c r="I542" i="2"/>
  <c r="I573" i="2"/>
  <c r="I563" i="2"/>
  <c r="I567" i="2" s="1"/>
  <c r="J628" i="2"/>
  <c r="J567" i="2"/>
  <c r="L567" i="2" s="1"/>
  <c r="O563" i="2"/>
  <c r="O567" i="2" s="1"/>
  <c r="L563" i="2"/>
  <c r="K986" i="2"/>
  <c r="K1051" i="2" s="1"/>
  <c r="I49" i="2"/>
  <c r="O80" i="2"/>
  <c r="O624" i="2" l="1"/>
  <c r="J689" i="2"/>
  <c r="I624" i="2"/>
  <c r="L624" i="2"/>
  <c r="J627" i="2"/>
  <c r="J685" i="2"/>
  <c r="L620" i="2"/>
  <c r="I620" i="2"/>
  <c r="O620" i="2"/>
  <c r="I614" i="2"/>
  <c r="J679" i="2"/>
  <c r="O614" i="2"/>
  <c r="O616" i="2"/>
  <c r="J681" i="2"/>
  <c r="L616" i="2"/>
  <c r="I616" i="2"/>
  <c r="O660" i="2"/>
  <c r="J725" i="2"/>
  <c r="I660" i="2"/>
  <c r="L660" i="2"/>
  <c r="O631" i="2"/>
  <c r="J696" i="2"/>
  <c r="L631" i="2"/>
  <c r="L633" i="2"/>
  <c r="J698" i="2"/>
  <c r="I633" i="2"/>
  <c r="O633" i="2"/>
  <c r="O639" i="2"/>
  <c r="J704" i="2"/>
  <c r="I639" i="2"/>
  <c r="L639" i="2"/>
  <c r="O658" i="2"/>
  <c r="J723" i="2"/>
  <c r="I658" i="2"/>
  <c r="L658" i="2"/>
  <c r="L661" i="2"/>
  <c r="J726" i="2"/>
  <c r="I661" i="2"/>
  <c r="O661" i="2"/>
  <c r="I547" i="2"/>
  <c r="L562" i="2"/>
  <c r="J569" i="2"/>
  <c r="I569" i="2" s="1"/>
  <c r="O649" i="2"/>
  <c r="J714" i="2"/>
  <c r="I649" i="2"/>
  <c r="L649" i="2"/>
  <c r="O652" i="2"/>
  <c r="J717" i="2"/>
  <c r="L652" i="2"/>
  <c r="I652" i="2"/>
  <c r="K569" i="2"/>
  <c r="K960" i="2"/>
  <c r="K632" i="2"/>
  <c r="K693" i="2"/>
  <c r="L646" i="2"/>
  <c r="J711" i="2"/>
  <c r="I646" i="2"/>
  <c r="O646" i="2"/>
  <c r="O641" i="2"/>
  <c r="J706" i="2"/>
  <c r="L641" i="2"/>
  <c r="I641" i="2"/>
  <c r="I610" i="2"/>
  <c r="J675" i="2"/>
  <c r="L610" i="2"/>
  <c r="O610" i="2"/>
  <c r="O703" i="2"/>
  <c r="J768" i="2"/>
  <c r="L703" i="2"/>
  <c r="O648" i="2"/>
  <c r="J713" i="2"/>
  <c r="L648" i="2"/>
  <c r="I648" i="2"/>
  <c r="O647" i="2"/>
  <c r="J712" i="2"/>
  <c r="I647" i="2"/>
  <c r="L647" i="2"/>
  <c r="O569" i="2"/>
  <c r="O547" i="2"/>
  <c r="O554" i="2" s="1"/>
  <c r="O636" i="2"/>
  <c r="J701" i="2"/>
  <c r="I636" i="2"/>
  <c r="L636" i="2"/>
  <c r="O645" i="2"/>
  <c r="J710" i="2"/>
  <c r="L645" i="2"/>
  <c r="I645" i="2"/>
  <c r="O611" i="2"/>
  <c r="J676" i="2"/>
  <c r="I611" i="2"/>
  <c r="O621" i="2"/>
  <c r="J686" i="2"/>
  <c r="L621" i="2"/>
  <c r="I621" i="2"/>
  <c r="O504" i="2"/>
  <c r="O535" i="2" s="1"/>
  <c r="O655" i="2"/>
  <c r="J720" i="2"/>
  <c r="L655" i="2"/>
  <c r="I655" i="2"/>
  <c r="K703" i="2"/>
  <c r="I703" i="2" s="1"/>
  <c r="K663" i="2"/>
  <c r="O630" i="2"/>
  <c r="J695" i="2"/>
  <c r="L630" i="2"/>
  <c r="L657" i="2"/>
  <c r="J722" i="2"/>
  <c r="I657" i="2"/>
  <c r="O657" i="2"/>
  <c r="O626" i="2"/>
  <c r="J691" i="2"/>
  <c r="L626" i="2"/>
  <c r="I626" i="2"/>
  <c r="L617" i="2"/>
  <c r="J682" i="2"/>
  <c r="O617" i="2"/>
  <c r="I617" i="2"/>
  <c r="O623" i="2"/>
  <c r="J688" i="2"/>
  <c r="I623" i="2"/>
  <c r="O644" i="2"/>
  <c r="J709" i="2"/>
  <c r="L644" i="2"/>
  <c r="I644" i="2"/>
  <c r="L609" i="2"/>
  <c r="J674" i="2"/>
  <c r="I609" i="2"/>
  <c r="O609" i="2"/>
  <c r="O651" i="2"/>
  <c r="J716" i="2"/>
  <c r="I651" i="2"/>
  <c r="K1007" i="2"/>
  <c r="J671" i="2"/>
  <c r="O606" i="2"/>
  <c r="I606" i="2"/>
  <c r="L625" i="2"/>
  <c r="J690" i="2"/>
  <c r="I625" i="2"/>
  <c r="O625" i="2"/>
  <c r="J632" i="2"/>
  <c r="L632" i="2" s="1"/>
  <c r="J693" i="2"/>
  <c r="L628" i="2"/>
  <c r="I628" i="2"/>
  <c r="I632" i="2" s="1"/>
  <c r="O628" i="2"/>
  <c r="K627" i="2"/>
  <c r="K634" i="2" s="1"/>
  <c r="K685" i="2"/>
  <c r="L642" i="2"/>
  <c r="J707" i="2"/>
  <c r="I642" i="2"/>
  <c r="O642" i="2"/>
  <c r="O615" i="2"/>
  <c r="J680" i="2"/>
  <c r="I615" i="2"/>
  <c r="L615" i="2"/>
  <c r="L622" i="2"/>
  <c r="J687" i="2"/>
  <c r="I622" i="2"/>
  <c r="O622" i="2"/>
  <c r="J700" i="2"/>
  <c r="L635" i="2"/>
  <c r="O635" i="2"/>
  <c r="J663" i="2"/>
  <c r="I663" i="2" s="1"/>
  <c r="I635" i="2"/>
  <c r="O608" i="2"/>
  <c r="J673" i="2"/>
  <c r="I608" i="2"/>
  <c r="J672" i="2"/>
  <c r="I607" i="2"/>
  <c r="O607" i="2"/>
  <c r="L607" i="2"/>
  <c r="O640" i="2"/>
  <c r="J705" i="2"/>
  <c r="L640" i="2"/>
  <c r="I640" i="2"/>
  <c r="O613" i="2"/>
  <c r="O618" i="2" s="1"/>
  <c r="J678" i="2"/>
  <c r="J618" i="2"/>
  <c r="I613" i="2"/>
  <c r="L613" i="2"/>
  <c r="L629" i="2"/>
  <c r="J694" i="2"/>
  <c r="O629" i="2"/>
  <c r="O662" i="2"/>
  <c r="J727" i="2"/>
  <c r="L662" i="2"/>
  <c r="I662" i="2"/>
  <c r="O654" i="2"/>
  <c r="J719" i="2"/>
  <c r="I654" i="2"/>
  <c r="L654" i="2"/>
  <c r="O637" i="2"/>
  <c r="J702" i="2"/>
  <c r="I637" i="2"/>
  <c r="L637" i="2"/>
  <c r="L653" i="2"/>
  <c r="J718" i="2"/>
  <c r="I653" i="2"/>
  <c r="O653" i="2"/>
  <c r="O659" i="2"/>
  <c r="J724" i="2"/>
  <c r="L659" i="2"/>
  <c r="I659" i="2"/>
  <c r="L650" i="2"/>
  <c r="J715" i="2"/>
  <c r="I650" i="2"/>
  <c r="O650" i="2"/>
  <c r="O656" i="2"/>
  <c r="J721" i="2"/>
  <c r="L656" i="2"/>
  <c r="I656" i="2"/>
  <c r="I562" i="2"/>
  <c r="O643" i="2"/>
  <c r="J708" i="2"/>
  <c r="I643" i="2"/>
  <c r="L643" i="2"/>
  <c r="K618" i="2"/>
  <c r="K678" i="2"/>
  <c r="K670" i="2"/>
  <c r="K612" i="2"/>
  <c r="I598" i="2"/>
  <c r="J670" i="2"/>
  <c r="L605" i="2"/>
  <c r="I605" i="2"/>
  <c r="O605" i="2"/>
  <c r="O612" i="2" s="1"/>
  <c r="O619" i="2" s="1"/>
  <c r="J612" i="2"/>
  <c r="I612" i="2" s="1"/>
  <c r="O598" i="2"/>
  <c r="O672" i="2" l="1"/>
  <c r="J737" i="2"/>
  <c r="L672" i="2"/>
  <c r="I672" i="2"/>
  <c r="O700" i="2"/>
  <c r="J765" i="2"/>
  <c r="J728" i="2"/>
  <c r="I700" i="2"/>
  <c r="L700" i="2"/>
  <c r="O695" i="2"/>
  <c r="J760" i="2"/>
  <c r="L695" i="2"/>
  <c r="O712" i="2"/>
  <c r="J777" i="2"/>
  <c r="L712" i="2"/>
  <c r="I712" i="2"/>
  <c r="O713" i="2"/>
  <c r="J778" i="2"/>
  <c r="I713" i="2"/>
  <c r="L713" i="2"/>
  <c r="O768" i="2"/>
  <c r="J833" i="2"/>
  <c r="L768" i="2"/>
  <c r="O675" i="2"/>
  <c r="J740" i="2"/>
  <c r="L675" i="2"/>
  <c r="I675" i="2"/>
  <c r="J771" i="2"/>
  <c r="O706" i="2"/>
  <c r="I706" i="2"/>
  <c r="L706" i="2"/>
  <c r="O711" i="2"/>
  <c r="J776" i="2"/>
  <c r="L711" i="2"/>
  <c r="I711" i="2"/>
  <c r="J744" i="2"/>
  <c r="I679" i="2"/>
  <c r="O679" i="2"/>
  <c r="O600" i="2"/>
  <c r="K735" i="2"/>
  <c r="K677" i="2"/>
  <c r="K750" i="2"/>
  <c r="K692" i="2"/>
  <c r="O688" i="2"/>
  <c r="J753" i="2"/>
  <c r="I688" i="2"/>
  <c r="J683" i="2"/>
  <c r="J747" i="2"/>
  <c r="L682" i="2"/>
  <c r="I682" i="2"/>
  <c r="O682" i="2"/>
  <c r="O691" i="2"/>
  <c r="J756" i="2"/>
  <c r="L691" i="2"/>
  <c r="I691" i="2"/>
  <c r="O722" i="2"/>
  <c r="J787" i="2"/>
  <c r="I722" i="2"/>
  <c r="L722" i="2"/>
  <c r="K1025" i="2"/>
  <c r="O696" i="2"/>
  <c r="J761" i="2"/>
  <c r="L696" i="2"/>
  <c r="I725" i="2"/>
  <c r="J790" i="2"/>
  <c r="O725" i="2"/>
  <c r="L725" i="2"/>
  <c r="O681" i="2"/>
  <c r="J746" i="2"/>
  <c r="I681" i="2"/>
  <c r="L681" i="2"/>
  <c r="J750" i="2"/>
  <c r="I685" i="2"/>
  <c r="L685" i="2"/>
  <c r="J692" i="2"/>
  <c r="O685" i="2"/>
  <c r="J754" i="2"/>
  <c r="L689" i="2"/>
  <c r="I689" i="2"/>
  <c r="O689" i="2"/>
  <c r="J677" i="2"/>
  <c r="J735" i="2"/>
  <c r="L670" i="2"/>
  <c r="I670" i="2"/>
  <c r="O670" i="2"/>
  <c r="K743" i="2"/>
  <c r="K683" i="2"/>
  <c r="O708" i="2"/>
  <c r="J773" i="2"/>
  <c r="L708" i="2"/>
  <c r="I708" i="2"/>
  <c r="O694" i="2"/>
  <c r="J759" i="2"/>
  <c r="L694" i="2"/>
  <c r="I618" i="2"/>
  <c r="J738" i="2"/>
  <c r="O673" i="2"/>
  <c r="I673" i="2"/>
  <c r="O663" i="2"/>
  <c r="I693" i="2"/>
  <c r="I697" i="2" s="1"/>
  <c r="J758" i="2"/>
  <c r="J697" i="2"/>
  <c r="L697" i="2" s="1"/>
  <c r="L693" i="2"/>
  <c r="O693" i="2"/>
  <c r="O690" i="2"/>
  <c r="J755" i="2"/>
  <c r="L690" i="2"/>
  <c r="I690" i="2"/>
  <c r="I692" i="2" s="1"/>
  <c r="O671" i="2"/>
  <c r="J736" i="2"/>
  <c r="I671" i="2"/>
  <c r="O716" i="2"/>
  <c r="J781" i="2"/>
  <c r="I716" i="2"/>
  <c r="O674" i="2"/>
  <c r="J739" i="2"/>
  <c r="I674" i="2"/>
  <c r="L674" i="2"/>
  <c r="O709" i="2"/>
  <c r="J774" i="2"/>
  <c r="I709" i="2"/>
  <c r="L709" i="2"/>
  <c r="L720" i="2"/>
  <c r="J785" i="2"/>
  <c r="I720" i="2"/>
  <c r="O720" i="2"/>
  <c r="J741" i="2"/>
  <c r="O676" i="2"/>
  <c r="I676" i="2"/>
  <c r="J775" i="2"/>
  <c r="I710" i="2"/>
  <c r="O710" i="2"/>
  <c r="L710" i="2"/>
  <c r="O701" i="2"/>
  <c r="J766" i="2"/>
  <c r="L701" i="2"/>
  <c r="I701" i="2"/>
  <c r="K697" i="2"/>
  <c r="K758" i="2"/>
  <c r="I717" i="2"/>
  <c r="J782" i="2"/>
  <c r="L717" i="2"/>
  <c r="O717" i="2"/>
  <c r="I714" i="2"/>
  <c r="J779" i="2"/>
  <c r="L714" i="2"/>
  <c r="O714" i="2"/>
  <c r="O726" i="2"/>
  <c r="J791" i="2"/>
  <c r="L726" i="2"/>
  <c r="I726" i="2"/>
  <c r="O723" i="2"/>
  <c r="J788" i="2"/>
  <c r="L723" i="2"/>
  <c r="I723" i="2"/>
  <c r="O704" i="2"/>
  <c r="J769" i="2"/>
  <c r="L704" i="2"/>
  <c r="I704" i="2"/>
  <c r="O698" i="2"/>
  <c r="J763" i="2"/>
  <c r="I698" i="2"/>
  <c r="L698" i="2"/>
  <c r="O627" i="2"/>
  <c r="J634" i="2"/>
  <c r="I634" i="2" s="1"/>
  <c r="L627" i="2"/>
  <c r="J786" i="2"/>
  <c r="I721" i="2"/>
  <c r="L721" i="2"/>
  <c r="O721" i="2"/>
  <c r="O715" i="2"/>
  <c r="J780" i="2"/>
  <c r="I715" i="2"/>
  <c r="L715" i="2"/>
  <c r="L724" i="2"/>
  <c r="J789" i="2"/>
  <c r="I724" i="2"/>
  <c r="O724" i="2"/>
  <c r="O718" i="2"/>
  <c r="J783" i="2"/>
  <c r="L718" i="2"/>
  <c r="I718" i="2"/>
  <c r="I702" i="2"/>
  <c r="J767" i="2"/>
  <c r="L702" i="2"/>
  <c r="O702" i="2"/>
  <c r="O719" i="2"/>
  <c r="J784" i="2"/>
  <c r="L719" i="2"/>
  <c r="I719" i="2"/>
  <c r="O727" i="2"/>
  <c r="J792" i="2"/>
  <c r="L727" i="2"/>
  <c r="I727" i="2"/>
  <c r="O678" i="2"/>
  <c r="J743" i="2"/>
  <c r="L678" i="2"/>
  <c r="I678" i="2"/>
  <c r="O705" i="2"/>
  <c r="J770" i="2"/>
  <c r="L705" i="2"/>
  <c r="I705" i="2"/>
  <c r="O687" i="2"/>
  <c r="J752" i="2"/>
  <c r="I687" i="2"/>
  <c r="L687" i="2"/>
  <c r="O680" i="2"/>
  <c r="J745" i="2"/>
  <c r="L680" i="2"/>
  <c r="I680" i="2"/>
  <c r="O707" i="2"/>
  <c r="J772" i="2"/>
  <c r="I707" i="2"/>
  <c r="L707" i="2"/>
  <c r="O632" i="2"/>
  <c r="O634" i="2" s="1"/>
  <c r="I627" i="2"/>
  <c r="K768" i="2"/>
  <c r="I768" i="2" s="1"/>
  <c r="K728" i="2"/>
  <c r="I686" i="2"/>
  <c r="J751" i="2"/>
  <c r="O686" i="2"/>
  <c r="L686" i="2"/>
  <c r="O788" i="2" l="1"/>
  <c r="J853" i="2"/>
  <c r="I788" i="2"/>
  <c r="L788" i="2"/>
  <c r="I779" i="2"/>
  <c r="J844" i="2"/>
  <c r="O779" i="2"/>
  <c r="L779" i="2"/>
  <c r="I758" i="2"/>
  <c r="I762" i="2" s="1"/>
  <c r="J823" i="2"/>
  <c r="J762" i="2"/>
  <c r="L762" i="2" s="1"/>
  <c r="L758" i="2"/>
  <c r="O758" i="2"/>
  <c r="O759" i="2"/>
  <c r="J824" i="2"/>
  <c r="L759" i="2"/>
  <c r="O773" i="2"/>
  <c r="J838" i="2"/>
  <c r="I773" i="2"/>
  <c r="L773" i="2"/>
  <c r="L746" i="2"/>
  <c r="J811" i="2"/>
  <c r="I746" i="2"/>
  <c r="O746" i="2"/>
  <c r="O772" i="2"/>
  <c r="J837" i="2"/>
  <c r="L772" i="2"/>
  <c r="I772" i="2"/>
  <c r="O745" i="2"/>
  <c r="J810" i="2"/>
  <c r="I745" i="2"/>
  <c r="L745" i="2"/>
  <c r="O752" i="2"/>
  <c r="J817" i="2"/>
  <c r="L752" i="2"/>
  <c r="I752" i="2"/>
  <c r="L770" i="2"/>
  <c r="J835" i="2"/>
  <c r="I770" i="2"/>
  <c r="O770" i="2"/>
  <c r="J808" i="2"/>
  <c r="L743" i="2"/>
  <c r="I743" i="2"/>
  <c r="O743" i="2"/>
  <c r="J748" i="2"/>
  <c r="O792" i="2"/>
  <c r="J857" i="2"/>
  <c r="I792" i="2"/>
  <c r="L792" i="2"/>
  <c r="O784" i="2"/>
  <c r="J849" i="2"/>
  <c r="I784" i="2"/>
  <c r="L784" i="2"/>
  <c r="I767" i="2"/>
  <c r="J832" i="2"/>
  <c r="O767" i="2"/>
  <c r="L767" i="2"/>
  <c r="O783" i="2"/>
  <c r="J848" i="2"/>
  <c r="I783" i="2"/>
  <c r="L783" i="2"/>
  <c r="L789" i="2"/>
  <c r="J854" i="2"/>
  <c r="I789" i="2"/>
  <c r="O789" i="2"/>
  <c r="O780" i="2"/>
  <c r="J845" i="2"/>
  <c r="L780" i="2"/>
  <c r="I780" i="2"/>
  <c r="L785" i="2"/>
  <c r="J850" i="2"/>
  <c r="I785" i="2"/>
  <c r="O785" i="2"/>
  <c r="L774" i="2"/>
  <c r="J839" i="2"/>
  <c r="I774" i="2"/>
  <c r="O774" i="2"/>
  <c r="O739" i="2"/>
  <c r="J804" i="2"/>
  <c r="L739" i="2"/>
  <c r="I739" i="2"/>
  <c r="O697" i="2"/>
  <c r="J803" i="2"/>
  <c r="O738" i="2"/>
  <c r="I738" i="2"/>
  <c r="O692" i="2"/>
  <c r="O699" i="2" s="1"/>
  <c r="L750" i="2"/>
  <c r="J815" i="2"/>
  <c r="I750" i="2"/>
  <c r="O750" i="2"/>
  <c r="J757" i="2"/>
  <c r="O787" i="2"/>
  <c r="J852" i="2"/>
  <c r="L787" i="2"/>
  <c r="I787" i="2"/>
  <c r="O756" i="2"/>
  <c r="J821" i="2"/>
  <c r="I756" i="2"/>
  <c r="L756" i="2"/>
  <c r="J818" i="2"/>
  <c r="O753" i="2"/>
  <c r="I753" i="2"/>
  <c r="I677" i="2"/>
  <c r="O760" i="2"/>
  <c r="J825" i="2"/>
  <c r="L760" i="2"/>
  <c r="I728" i="2"/>
  <c r="I751" i="2"/>
  <c r="J816" i="2"/>
  <c r="L751" i="2"/>
  <c r="O751" i="2"/>
  <c r="O763" i="2"/>
  <c r="J828" i="2"/>
  <c r="L763" i="2"/>
  <c r="I763" i="2"/>
  <c r="O769" i="2"/>
  <c r="J834" i="2"/>
  <c r="L769" i="2"/>
  <c r="I769" i="2"/>
  <c r="O791" i="2"/>
  <c r="J856" i="2"/>
  <c r="L791" i="2"/>
  <c r="I791" i="2"/>
  <c r="J846" i="2"/>
  <c r="O781" i="2"/>
  <c r="I781" i="2"/>
  <c r="O677" i="2"/>
  <c r="J819" i="2"/>
  <c r="O754" i="2"/>
  <c r="L754" i="2"/>
  <c r="I754" i="2"/>
  <c r="I790" i="2"/>
  <c r="J855" i="2"/>
  <c r="L790" i="2"/>
  <c r="O790" i="2"/>
  <c r="K815" i="2"/>
  <c r="K757" i="2"/>
  <c r="K764" i="2" s="1"/>
  <c r="J851" i="2"/>
  <c r="I786" i="2"/>
  <c r="O786" i="2"/>
  <c r="L786" i="2"/>
  <c r="K762" i="2"/>
  <c r="K823" i="2"/>
  <c r="L766" i="2"/>
  <c r="J831" i="2"/>
  <c r="I766" i="2"/>
  <c r="O766" i="2"/>
  <c r="J806" i="2"/>
  <c r="I741" i="2"/>
  <c r="O741" i="2"/>
  <c r="O665" i="2"/>
  <c r="L692" i="2"/>
  <c r="J699" i="2"/>
  <c r="I699" i="2" s="1"/>
  <c r="L747" i="2"/>
  <c r="J812" i="2"/>
  <c r="O747" i="2"/>
  <c r="I747" i="2"/>
  <c r="K742" i="2"/>
  <c r="K800" i="2"/>
  <c r="O744" i="2"/>
  <c r="J809" i="2"/>
  <c r="I744" i="2"/>
  <c r="O776" i="2"/>
  <c r="J841" i="2"/>
  <c r="L776" i="2"/>
  <c r="I776" i="2"/>
  <c r="O740" i="2"/>
  <c r="J805" i="2"/>
  <c r="I740" i="2"/>
  <c r="L740" i="2"/>
  <c r="O833" i="2"/>
  <c r="J898" i="2"/>
  <c r="L833" i="2"/>
  <c r="L778" i="2"/>
  <c r="J843" i="2"/>
  <c r="I778" i="2"/>
  <c r="O778" i="2"/>
  <c r="O777" i="2"/>
  <c r="J842" i="2"/>
  <c r="I777" i="2"/>
  <c r="L777" i="2"/>
  <c r="O765" i="2"/>
  <c r="J830" i="2"/>
  <c r="J793" i="2"/>
  <c r="L765" i="2"/>
  <c r="I765" i="2"/>
  <c r="O737" i="2"/>
  <c r="J802" i="2"/>
  <c r="I737" i="2"/>
  <c r="L737" i="2"/>
  <c r="J847" i="2"/>
  <c r="I782" i="2"/>
  <c r="O782" i="2"/>
  <c r="L782" i="2"/>
  <c r="K833" i="2"/>
  <c r="K793" i="2"/>
  <c r="I775" i="2"/>
  <c r="J840" i="2"/>
  <c r="L775" i="2"/>
  <c r="O775" i="2"/>
  <c r="O736" i="2"/>
  <c r="J801" i="2"/>
  <c r="I736" i="2"/>
  <c r="O755" i="2"/>
  <c r="J820" i="2"/>
  <c r="L755" i="2"/>
  <c r="I755" i="2"/>
  <c r="K808" i="2"/>
  <c r="K748" i="2"/>
  <c r="L735" i="2"/>
  <c r="J800" i="2"/>
  <c r="I735" i="2"/>
  <c r="O735" i="2"/>
  <c r="J742" i="2"/>
  <c r="I742" i="2" s="1"/>
  <c r="L761" i="2"/>
  <c r="J826" i="2"/>
  <c r="O761" i="2"/>
  <c r="O683" i="2"/>
  <c r="I683" i="2"/>
  <c r="K699" i="2"/>
  <c r="J836" i="2"/>
  <c r="I771" i="2"/>
  <c r="O771" i="2"/>
  <c r="L771" i="2"/>
  <c r="O728" i="2"/>
  <c r="L800" i="2" l="1"/>
  <c r="J865" i="2"/>
  <c r="I800" i="2"/>
  <c r="J807" i="2"/>
  <c r="O800" i="2"/>
  <c r="K898" i="2"/>
  <c r="K858" i="2"/>
  <c r="O842" i="2"/>
  <c r="J907" i="2"/>
  <c r="I842" i="2"/>
  <c r="L842" i="2"/>
  <c r="O898" i="2"/>
  <c r="J963" i="2"/>
  <c r="L898" i="2"/>
  <c r="I898" i="2"/>
  <c r="L831" i="2"/>
  <c r="J896" i="2"/>
  <c r="I831" i="2"/>
  <c r="O831" i="2"/>
  <c r="I855" i="2"/>
  <c r="J920" i="2"/>
  <c r="L855" i="2"/>
  <c r="O855" i="2"/>
  <c r="O828" i="2"/>
  <c r="J893" i="2"/>
  <c r="L828" i="2"/>
  <c r="I828" i="2"/>
  <c r="I840" i="2"/>
  <c r="J905" i="2"/>
  <c r="O840" i="2"/>
  <c r="L840" i="2"/>
  <c r="K880" i="2"/>
  <c r="K822" i="2"/>
  <c r="J884" i="2"/>
  <c r="L819" i="2"/>
  <c r="I819" i="2"/>
  <c r="O819" i="2"/>
  <c r="L815" i="2"/>
  <c r="J880" i="2"/>
  <c r="I815" i="2"/>
  <c r="O815" i="2"/>
  <c r="J822" i="2"/>
  <c r="I836" i="2"/>
  <c r="J901" i="2"/>
  <c r="L836" i="2"/>
  <c r="O836" i="2"/>
  <c r="O742" i="2"/>
  <c r="O820" i="2"/>
  <c r="J885" i="2"/>
  <c r="L820" i="2"/>
  <c r="I820" i="2"/>
  <c r="I833" i="2"/>
  <c r="K827" i="2"/>
  <c r="K888" i="2"/>
  <c r="I757" i="2"/>
  <c r="O684" i="2"/>
  <c r="L757" i="2"/>
  <c r="J764" i="2"/>
  <c r="I764" i="2" s="1"/>
  <c r="J868" i="2"/>
  <c r="O803" i="2"/>
  <c r="I803" i="2"/>
  <c r="J869" i="2"/>
  <c r="I804" i="2"/>
  <c r="L804" i="2"/>
  <c r="O804" i="2"/>
  <c r="L839" i="2"/>
  <c r="J904" i="2"/>
  <c r="I839" i="2"/>
  <c r="O839" i="2"/>
  <c r="L850" i="2"/>
  <c r="J915" i="2"/>
  <c r="I850" i="2"/>
  <c r="O850" i="2"/>
  <c r="O845" i="2"/>
  <c r="J910" i="2"/>
  <c r="L845" i="2"/>
  <c r="I845" i="2"/>
  <c r="L854" i="2"/>
  <c r="J919" i="2"/>
  <c r="I854" i="2"/>
  <c r="O854" i="2"/>
  <c r="O848" i="2"/>
  <c r="J913" i="2"/>
  <c r="I848" i="2"/>
  <c r="L848" i="2"/>
  <c r="I832" i="2"/>
  <c r="J897" i="2"/>
  <c r="L832" i="2"/>
  <c r="O832" i="2"/>
  <c r="O849" i="2"/>
  <c r="J914" i="2"/>
  <c r="I849" i="2"/>
  <c r="L849" i="2"/>
  <c r="O857" i="2"/>
  <c r="J922" i="2"/>
  <c r="I857" i="2"/>
  <c r="L857" i="2"/>
  <c r="O824" i="2"/>
  <c r="J889" i="2"/>
  <c r="L824" i="2"/>
  <c r="J912" i="2"/>
  <c r="I847" i="2"/>
  <c r="O847" i="2"/>
  <c r="L847" i="2"/>
  <c r="O830" i="2"/>
  <c r="J895" i="2"/>
  <c r="L830" i="2"/>
  <c r="J858" i="2"/>
  <c r="I858" i="2" s="1"/>
  <c r="I830" i="2"/>
  <c r="L843" i="2"/>
  <c r="J908" i="2"/>
  <c r="I843" i="2"/>
  <c r="O843" i="2"/>
  <c r="O805" i="2"/>
  <c r="J870" i="2"/>
  <c r="I805" i="2"/>
  <c r="L805" i="2"/>
  <c r="O856" i="2"/>
  <c r="J921" i="2"/>
  <c r="L856" i="2"/>
  <c r="I856" i="2"/>
  <c r="O834" i="2"/>
  <c r="J899" i="2"/>
  <c r="L834" i="2"/>
  <c r="I834" i="2"/>
  <c r="O801" i="2"/>
  <c r="J866" i="2"/>
  <c r="I801" i="2"/>
  <c r="O793" i="2"/>
  <c r="K865" i="2"/>
  <c r="K807" i="2"/>
  <c r="I812" i="2"/>
  <c r="J877" i="2"/>
  <c r="L812" i="2"/>
  <c r="O812" i="2"/>
  <c r="J871" i="2"/>
  <c r="O806" i="2"/>
  <c r="I806" i="2"/>
  <c r="J911" i="2"/>
  <c r="O846" i="2"/>
  <c r="I846" i="2"/>
  <c r="J883" i="2"/>
  <c r="O818" i="2"/>
  <c r="I818" i="2"/>
  <c r="O748" i="2"/>
  <c r="O730" i="2"/>
  <c r="L826" i="2"/>
  <c r="J891" i="2"/>
  <c r="O826" i="2"/>
  <c r="K873" i="2"/>
  <c r="K813" i="2"/>
  <c r="O802" i="2"/>
  <c r="I802" i="2"/>
  <c r="L802" i="2"/>
  <c r="J867" i="2"/>
  <c r="I793" i="2"/>
  <c r="J813" i="2"/>
  <c r="I813" i="2" s="1"/>
  <c r="J874" i="2"/>
  <c r="I809" i="2"/>
  <c r="O809" i="2"/>
  <c r="J916" i="2"/>
  <c r="I851" i="2"/>
  <c r="O851" i="2"/>
  <c r="L851" i="2"/>
  <c r="O757" i="2"/>
  <c r="L835" i="2"/>
  <c r="J900" i="2"/>
  <c r="I835" i="2"/>
  <c r="O835" i="2"/>
  <c r="O817" i="2"/>
  <c r="J882" i="2"/>
  <c r="L817" i="2"/>
  <c r="I817" i="2"/>
  <c r="O810" i="2"/>
  <c r="J875" i="2"/>
  <c r="I810" i="2"/>
  <c r="L810" i="2"/>
  <c r="O837" i="2"/>
  <c r="J902" i="2"/>
  <c r="L837" i="2"/>
  <c r="I837" i="2"/>
  <c r="L811" i="2"/>
  <c r="J876" i="2"/>
  <c r="I811" i="2"/>
  <c r="O811" i="2"/>
  <c r="O838" i="2"/>
  <c r="J903" i="2"/>
  <c r="L838" i="2"/>
  <c r="I838" i="2"/>
  <c r="I823" i="2"/>
  <c r="I827" i="2" s="1"/>
  <c r="J888" i="2"/>
  <c r="J827" i="2"/>
  <c r="L827" i="2" s="1"/>
  <c r="O823" i="2"/>
  <c r="O827" i="2" s="1"/>
  <c r="L823" i="2"/>
  <c r="J909" i="2"/>
  <c r="O844" i="2"/>
  <c r="L844" i="2"/>
  <c r="I844" i="2"/>
  <c r="O853" i="2"/>
  <c r="J918" i="2"/>
  <c r="I853" i="2"/>
  <c r="L853" i="2"/>
  <c r="O841" i="2"/>
  <c r="J906" i="2"/>
  <c r="L841" i="2"/>
  <c r="I841" i="2"/>
  <c r="I816" i="2"/>
  <c r="J881" i="2"/>
  <c r="O816" i="2"/>
  <c r="L816" i="2"/>
  <c r="O825" i="2"/>
  <c r="J890" i="2"/>
  <c r="L825" i="2"/>
  <c r="O821" i="2"/>
  <c r="J886" i="2"/>
  <c r="I821" i="2"/>
  <c r="L821" i="2"/>
  <c r="O852" i="2"/>
  <c r="J917" i="2"/>
  <c r="L852" i="2"/>
  <c r="I852" i="2"/>
  <c r="I748" i="2"/>
  <c r="O808" i="2"/>
  <c r="J873" i="2"/>
  <c r="I808" i="2"/>
  <c r="L808" i="2"/>
  <c r="O762" i="2"/>
  <c r="O764" i="2" s="1"/>
  <c r="J938" i="2" l="1"/>
  <c r="L873" i="2"/>
  <c r="I873" i="2"/>
  <c r="O873" i="2"/>
  <c r="J878" i="2"/>
  <c r="O890" i="2"/>
  <c r="J955" i="2"/>
  <c r="L890" i="2"/>
  <c r="I881" i="2"/>
  <c r="J946" i="2"/>
  <c r="O881" i="2"/>
  <c r="L881" i="2"/>
  <c r="O906" i="2"/>
  <c r="J971" i="2"/>
  <c r="L906" i="2"/>
  <c r="I906" i="2"/>
  <c r="O918" i="2"/>
  <c r="J983" i="2"/>
  <c r="I918" i="2"/>
  <c r="L918" i="2"/>
  <c r="O813" i="2"/>
  <c r="L891" i="2"/>
  <c r="J956" i="2"/>
  <c r="O891" i="2"/>
  <c r="J936" i="2"/>
  <c r="I871" i="2"/>
  <c r="O871" i="2"/>
  <c r="J966" i="2"/>
  <c r="L901" i="2"/>
  <c r="I901" i="2"/>
  <c r="O901" i="2"/>
  <c r="I822" i="2"/>
  <c r="K945" i="2"/>
  <c r="K887" i="2"/>
  <c r="I807" i="2"/>
  <c r="O917" i="2"/>
  <c r="J982" i="2"/>
  <c r="L917" i="2"/>
  <c r="I917" i="2"/>
  <c r="O886" i="2"/>
  <c r="J951" i="2"/>
  <c r="I886" i="2"/>
  <c r="L886" i="2"/>
  <c r="J974" i="2"/>
  <c r="I909" i="2"/>
  <c r="L909" i="2"/>
  <c r="O909" i="2"/>
  <c r="I888" i="2"/>
  <c r="I892" i="2" s="1"/>
  <c r="J953" i="2"/>
  <c r="L888" i="2"/>
  <c r="J892" i="2"/>
  <c r="L892" i="2" s="1"/>
  <c r="O888" i="2"/>
  <c r="O903" i="2"/>
  <c r="J968" i="2"/>
  <c r="I903" i="2"/>
  <c r="L903" i="2"/>
  <c r="L876" i="2"/>
  <c r="J941" i="2"/>
  <c r="I876" i="2"/>
  <c r="O876" i="2"/>
  <c r="O902" i="2"/>
  <c r="J967" i="2"/>
  <c r="L902" i="2"/>
  <c r="I902" i="2"/>
  <c r="O875" i="2"/>
  <c r="J940" i="2"/>
  <c r="I875" i="2"/>
  <c r="L875" i="2"/>
  <c r="O882" i="2"/>
  <c r="J947" i="2"/>
  <c r="L882" i="2"/>
  <c r="I882" i="2"/>
  <c r="L900" i="2"/>
  <c r="J965" i="2"/>
  <c r="I900" i="2"/>
  <c r="O900" i="2"/>
  <c r="J932" i="2"/>
  <c r="I867" i="2"/>
  <c r="O867" i="2"/>
  <c r="L867" i="2"/>
  <c r="J976" i="2"/>
  <c r="O911" i="2"/>
  <c r="I911" i="2"/>
  <c r="O866" i="2"/>
  <c r="J931" i="2"/>
  <c r="I866" i="2"/>
  <c r="O899" i="2"/>
  <c r="J964" i="2"/>
  <c r="L899" i="2"/>
  <c r="I899" i="2"/>
  <c r="O921" i="2"/>
  <c r="J986" i="2"/>
  <c r="L921" i="2"/>
  <c r="I921" i="2"/>
  <c r="O870" i="2"/>
  <c r="J935" i="2"/>
  <c r="I870" i="2"/>
  <c r="L870" i="2"/>
  <c r="L908" i="2"/>
  <c r="J973" i="2"/>
  <c r="I908" i="2"/>
  <c r="O908" i="2"/>
  <c r="O889" i="2"/>
  <c r="J954" i="2"/>
  <c r="L889" i="2"/>
  <c r="O922" i="2"/>
  <c r="J987" i="2"/>
  <c r="I922" i="2"/>
  <c r="L922" i="2"/>
  <c r="O914" i="2"/>
  <c r="J979" i="2"/>
  <c r="I914" i="2"/>
  <c r="L914" i="2"/>
  <c r="I897" i="2"/>
  <c r="J962" i="2"/>
  <c r="O897" i="2"/>
  <c r="L897" i="2"/>
  <c r="O913" i="2"/>
  <c r="J978" i="2"/>
  <c r="L913" i="2"/>
  <c r="I913" i="2"/>
  <c r="L919" i="2"/>
  <c r="J984" i="2"/>
  <c r="I919" i="2"/>
  <c r="O919" i="2"/>
  <c r="O910" i="2"/>
  <c r="J975" i="2"/>
  <c r="L910" i="2"/>
  <c r="I910" i="2"/>
  <c r="L915" i="2"/>
  <c r="J980" i="2"/>
  <c r="I915" i="2"/>
  <c r="O915" i="2"/>
  <c r="L904" i="2"/>
  <c r="J969" i="2"/>
  <c r="I904" i="2"/>
  <c r="O904" i="2"/>
  <c r="J933" i="2"/>
  <c r="O868" i="2"/>
  <c r="I868" i="2"/>
  <c r="O749" i="2"/>
  <c r="L880" i="2"/>
  <c r="J945" i="2"/>
  <c r="I880" i="2"/>
  <c r="O880" i="2"/>
  <c r="J887" i="2"/>
  <c r="O874" i="2"/>
  <c r="J939" i="2"/>
  <c r="I874" i="2"/>
  <c r="K938" i="2"/>
  <c r="K878" i="2"/>
  <c r="J948" i="2"/>
  <c r="O883" i="2"/>
  <c r="I883" i="2"/>
  <c r="K930" i="2"/>
  <c r="K872" i="2"/>
  <c r="O895" i="2"/>
  <c r="J960" i="2"/>
  <c r="I895" i="2"/>
  <c r="L895" i="2"/>
  <c r="J923" i="2"/>
  <c r="J934" i="2"/>
  <c r="I869" i="2"/>
  <c r="O869" i="2"/>
  <c r="L869" i="2"/>
  <c r="K892" i="2"/>
  <c r="K953" i="2"/>
  <c r="J829" i="2"/>
  <c r="L822" i="2"/>
  <c r="J949" i="2"/>
  <c r="I884" i="2"/>
  <c r="L884" i="2"/>
  <c r="O884" i="2"/>
  <c r="K963" i="2"/>
  <c r="K923" i="2"/>
  <c r="L865" i="2"/>
  <c r="J930" i="2"/>
  <c r="O865" i="2"/>
  <c r="I865" i="2"/>
  <c r="J872" i="2"/>
  <c r="I872" i="2" s="1"/>
  <c r="I916" i="2"/>
  <c r="J981" i="2"/>
  <c r="L916" i="2"/>
  <c r="O916" i="2"/>
  <c r="J942" i="2"/>
  <c r="O877" i="2"/>
  <c r="L877" i="2"/>
  <c r="I877" i="2"/>
  <c r="O795" i="2"/>
  <c r="O858" i="2"/>
  <c r="J977" i="2"/>
  <c r="I912" i="2"/>
  <c r="O912" i="2"/>
  <c r="L912" i="2"/>
  <c r="O885" i="2"/>
  <c r="J950" i="2"/>
  <c r="L885" i="2"/>
  <c r="I885" i="2"/>
  <c r="O822" i="2"/>
  <c r="O829" i="2" s="1"/>
  <c r="K829" i="2"/>
  <c r="I905" i="2"/>
  <c r="J970" i="2"/>
  <c r="L905" i="2"/>
  <c r="O905" i="2"/>
  <c r="O893" i="2"/>
  <c r="J958" i="2"/>
  <c r="L893" i="2"/>
  <c r="I893" i="2"/>
  <c r="I920" i="2"/>
  <c r="J985" i="2"/>
  <c r="O920" i="2"/>
  <c r="L920" i="2"/>
  <c r="L896" i="2"/>
  <c r="J961" i="2"/>
  <c r="I896" i="2"/>
  <c r="O896" i="2"/>
  <c r="J1028" i="2"/>
  <c r="I963" i="2"/>
  <c r="L963" i="2"/>
  <c r="O963" i="2"/>
  <c r="O907" i="2"/>
  <c r="J972" i="2"/>
  <c r="I907" i="2"/>
  <c r="L907" i="2"/>
  <c r="O807" i="2"/>
  <c r="O814" i="2" s="1"/>
  <c r="K957" i="2" l="1"/>
  <c r="K1018" i="2"/>
  <c r="K1022" i="2" s="1"/>
  <c r="K937" i="2"/>
  <c r="K995" i="2"/>
  <c r="K1002" i="2" s="1"/>
  <c r="J952" i="2"/>
  <c r="J1010" i="2"/>
  <c r="I945" i="2"/>
  <c r="L945" i="2"/>
  <c r="O945" i="2"/>
  <c r="O980" i="2"/>
  <c r="J1045" i="2"/>
  <c r="L980" i="2"/>
  <c r="I980" i="2"/>
  <c r="I962" i="2"/>
  <c r="J1027" i="2"/>
  <c r="O962" i="2"/>
  <c r="L962" i="2"/>
  <c r="O950" i="2"/>
  <c r="J1015" i="2"/>
  <c r="I950" i="2"/>
  <c r="L950" i="2"/>
  <c r="I829" i="2"/>
  <c r="O948" i="2"/>
  <c r="J1013" i="2"/>
  <c r="I948" i="2"/>
  <c r="J1004" i="2"/>
  <c r="I939" i="2"/>
  <c r="O939" i="2"/>
  <c r="O954" i="2"/>
  <c r="J1019" i="2"/>
  <c r="L954" i="2"/>
  <c r="L973" i="2"/>
  <c r="I973" i="2"/>
  <c r="J1038" i="2"/>
  <c r="O973" i="2"/>
  <c r="O935" i="2"/>
  <c r="J1000" i="2"/>
  <c r="L935" i="2"/>
  <c r="I935" i="2"/>
  <c r="O986" i="2"/>
  <c r="J1051" i="2"/>
  <c r="I986" i="2"/>
  <c r="L986" i="2"/>
  <c r="O964" i="2"/>
  <c r="J1029" i="2"/>
  <c r="L964" i="2"/>
  <c r="I964" i="2"/>
  <c r="O892" i="2"/>
  <c r="I974" i="2"/>
  <c r="J1039" i="2"/>
  <c r="O974" i="2"/>
  <c r="L974" i="2"/>
  <c r="I966" i="2"/>
  <c r="J1031" i="2"/>
  <c r="L966" i="2"/>
  <c r="O966" i="2"/>
  <c r="I977" i="2"/>
  <c r="J1042" i="2"/>
  <c r="O977" i="2"/>
  <c r="L977" i="2"/>
  <c r="O975" i="2"/>
  <c r="J1040" i="2"/>
  <c r="L975" i="2"/>
  <c r="I975" i="2"/>
  <c r="J1043" i="2"/>
  <c r="I978" i="2"/>
  <c r="L978" i="2"/>
  <c r="O978" i="2"/>
  <c r="O987" i="2"/>
  <c r="J1052" i="2"/>
  <c r="L987" i="2"/>
  <c r="I987" i="2"/>
  <c r="O956" i="2"/>
  <c r="J1021" i="2"/>
  <c r="L956" i="2"/>
  <c r="O955" i="2"/>
  <c r="J1020" i="2"/>
  <c r="L955" i="2"/>
  <c r="J1037" i="2"/>
  <c r="I972" i="2"/>
  <c r="O972" i="2"/>
  <c r="L972" i="2"/>
  <c r="O961" i="2"/>
  <c r="J1026" i="2"/>
  <c r="I961" i="2"/>
  <c r="L961" i="2"/>
  <c r="I985" i="2"/>
  <c r="J1050" i="2"/>
  <c r="L985" i="2"/>
  <c r="O985" i="2"/>
  <c r="O958" i="2"/>
  <c r="J1023" i="2"/>
  <c r="L958" i="2"/>
  <c r="I958" i="2"/>
  <c r="I970" i="2"/>
  <c r="J1035" i="2"/>
  <c r="L970" i="2"/>
  <c r="O970" i="2"/>
  <c r="I887" i="2"/>
  <c r="O860" i="2"/>
  <c r="O878" i="2"/>
  <c r="J1046" i="2"/>
  <c r="O981" i="2"/>
  <c r="L981" i="2"/>
  <c r="I981" i="2"/>
  <c r="K1028" i="2"/>
  <c r="K1053" i="2" s="1"/>
  <c r="K988" i="2"/>
  <c r="I949" i="2"/>
  <c r="J1014" i="2"/>
  <c r="O949" i="2"/>
  <c r="L949" i="2"/>
  <c r="O934" i="2"/>
  <c r="J999" i="2"/>
  <c r="L934" i="2"/>
  <c r="I934" i="2"/>
  <c r="L960" i="2"/>
  <c r="J1025" i="2"/>
  <c r="J988" i="2"/>
  <c r="I988" i="2" s="1"/>
  <c r="I960" i="2"/>
  <c r="O960" i="2"/>
  <c r="K1003" i="2"/>
  <c r="K1008" i="2" s="1"/>
  <c r="K943" i="2"/>
  <c r="L887" i="2"/>
  <c r="J894" i="2"/>
  <c r="J998" i="2"/>
  <c r="O933" i="2"/>
  <c r="I933" i="2"/>
  <c r="O965" i="2"/>
  <c r="J1030" i="2"/>
  <c r="I965" i="2"/>
  <c r="L965" i="2"/>
  <c r="O947" i="2"/>
  <c r="J1012" i="2"/>
  <c r="I947" i="2"/>
  <c r="L947" i="2"/>
  <c r="O940" i="2"/>
  <c r="J1005" i="2"/>
  <c r="L940" i="2"/>
  <c r="I940" i="2"/>
  <c r="O967" i="2"/>
  <c r="J1032" i="2"/>
  <c r="L967" i="2"/>
  <c r="I967" i="2"/>
  <c r="O941" i="2"/>
  <c r="J1006" i="2"/>
  <c r="I941" i="2"/>
  <c r="L941" i="2"/>
  <c r="O968" i="2"/>
  <c r="J1033" i="2"/>
  <c r="L968" i="2"/>
  <c r="I968" i="2"/>
  <c r="K894" i="2"/>
  <c r="O983" i="2"/>
  <c r="J1048" i="2"/>
  <c r="L983" i="2"/>
  <c r="I983" i="2"/>
  <c r="O971" i="2"/>
  <c r="J1036" i="2"/>
  <c r="I971" i="2"/>
  <c r="L971" i="2"/>
  <c r="I946" i="2"/>
  <c r="J1011" i="2"/>
  <c r="L946" i="2"/>
  <c r="O946" i="2"/>
  <c r="O969" i="2"/>
  <c r="J1034" i="2"/>
  <c r="L969" i="2"/>
  <c r="I969" i="2"/>
  <c r="O984" i="2"/>
  <c r="J1049" i="2"/>
  <c r="I984" i="2"/>
  <c r="L984" i="2"/>
  <c r="O979" i="2"/>
  <c r="J1044" i="2"/>
  <c r="L979" i="2"/>
  <c r="I979" i="2"/>
  <c r="O872" i="2"/>
  <c r="O879" i="2" s="1"/>
  <c r="O925" i="2" s="1"/>
  <c r="O1028" i="2"/>
  <c r="L1028" i="2"/>
  <c r="I1028" i="2"/>
  <c r="O942" i="2"/>
  <c r="J1007" i="2"/>
  <c r="I942" i="2"/>
  <c r="L942" i="2"/>
  <c r="J995" i="2"/>
  <c r="I930" i="2"/>
  <c r="L930" i="2"/>
  <c r="J937" i="2"/>
  <c r="I937" i="2" s="1"/>
  <c r="O930" i="2"/>
  <c r="I923" i="2"/>
  <c r="O923" i="2"/>
  <c r="O887" i="2"/>
  <c r="O894" i="2" s="1"/>
  <c r="O931" i="2"/>
  <c r="J996" i="2"/>
  <c r="I931" i="2"/>
  <c r="O976" i="2"/>
  <c r="J1041" i="2"/>
  <c r="I976" i="2"/>
  <c r="O932" i="2"/>
  <c r="J997" i="2"/>
  <c r="L932" i="2"/>
  <c r="I932" i="2"/>
  <c r="I953" i="2"/>
  <c r="I957" i="2" s="1"/>
  <c r="J1018" i="2"/>
  <c r="O953" i="2"/>
  <c r="O957" i="2" s="1"/>
  <c r="J957" i="2"/>
  <c r="L957" i="2" s="1"/>
  <c r="L953" i="2"/>
  <c r="O951" i="2"/>
  <c r="J1016" i="2"/>
  <c r="L951" i="2"/>
  <c r="I951" i="2"/>
  <c r="O982" i="2"/>
  <c r="J1047" i="2"/>
  <c r="L982" i="2"/>
  <c r="I982" i="2"/>
  <c r="K952" i="2"/>
  <c r="K959" i="2" s="1"/>
  <c r="K1010" i="2"/>
  <c r="K1017" i="2" s="1"/>
  <c r="K1024" i="2" s="1"/>
  <c r="J1001" i="2"/>
  <c r="O936" i="2"/>
  <c r="I936" i="2"/>
  <c r="I878" i="2"/>
  <c r="J1003" i="2"/>
  <c r="L938" i="2"/>
  <c r="O938" i="2"/>
  <c r="I938" i="2"/>
  <c r="J943" i="2"/>
  <c r="I943" i="2" s="1"/>
  <c r="I1041" i="2" l="1"/>
  <c r="O1041" i="2"/>
  <c r="O937" i="2"/>
  <c r="L995" i="2"/>
  <c r="I995" i="2"/>
  <c r="O995" i="2"/>
  <c r="J1002" i="2"/>
  <c r="I1002" i="2" s="1"/>
  <c r="O997" i="2"/>
  <c r="I997" i="2"/>
  <c r="L997" i="2"/>
  <c r="O988" i="2"/>
  <c r="O1023" i="2"/>
  <c r="L1023" i="2"/>
  <c r="I1023" i="2"/>
  <c r="L1026" i="2"/>
  <c r="I1026" i="2"/>
  <c r="O1026" i="2"/>
  <c r="O1013" i="2"/>
  <c r="I1013" i="2"/>
  <c r="I952" i="2"/>
  <c r="O1037" i="2"/>
  <c r="L1037" i="2"/>
  <c r="I1037" i="2"/>
  <c r="O1015" i="2"/>
  <c r="L1015" i="2"/>
  <c r="I1015" i="2"/>
  <c r="I1027" i="2"/>
  <c r="O1027" i="2"/>
  <c r="L1027" i="2"/>
  <c r="L1045" i="2"/>
  <c r="I1045" i="2"/>
  <c r="O1045" i="2"/>
  <c r="O1047" i="2"/>
  <c r="L1047" i="2"/>
  <c r="I1047" i="2"/>
  <c r="O1016" i="2"/>
  <c r="L1016" i="2"/>
  <c r="I1016" i="2"/>
  <c r="O943" i="2"/>
  <c r="I1018" i="2"/>
  <c r="I1022" i="2" s="1"/>
  <c r="J1022" i="2"/>
  <c r="L1022" i="2" s="1"/>
  <c r="O1018" i="2"/>
  <c r="L1018" i="2"/>
  <c r="I894" i="2"/>
  <c r="I1035" i="2"/>
  <c r="O1035" i="2"/>
  <c r="L1035" i="2"/>
  <c r="I1050" i="2"/>
  <c r="L1050" i="2"/>
  <c r="O1050" i="2"/>
  <c r="J1008" i="2"/>
  <c r="I1008" i="2" s="1"/>
  <c r="L1003" i="2"/>
  <c r="I1003" i="2"/>
  <c r="O1003" i="2"/>
  <c r="O1001" i="2"/>
  <c r="I1001" i="2"/>
  <c r="O996" i="2"/>
  <c r="I996" i="2"/>
  <c r="O1007" i="2"/>
  <c r="I1007" i="2"/>
  <c r="L1007" i="2"/>
  <c r="O1044" i="2"/>
  <c r="L1044" i="2"/>
  <c r="I1044" i="2"/>
  <c r="L1049" i="2"/>
  <c r="I1049" i="2"/>
  <c r="O1049" i="2"/>
  <c r="L1034" i="2"/>
  <c r="I1034" i="2"/>
  <c r="O1034" i="2"/>
  <c r="I1011" i="2"/>
  <c r="O1011" i="2"/>
  <c r="L1011" i="2"/>
  <c r="O1036" i="2"/>
  <c r="L1036" i="2"/>
  <c r="I1036" i="2"/>
  <c r="O1048" i="2"/>
  <c r="L1048" i="2"/>
  <c r="I1048" i="2"/>
  <c r="I1046" i="2"/>
  <c r="O1046" i="2"/>
  <c r="L1046" i="2"/>
  <c r="L1021" i="2"/>
  <c r="O1021" i="2"/>
  <c r="O1052" i="2"/>
  <c r="L1052" i="2"/>
  <c r="I1052" i="2"/>
  <c r="O1040" i="2"/>
  <c r="L1040" i="2"/>
  <c r="I1040" i="2"/>
  <c r="I1042" i="2"/>
  <c r="L1042" i="2"/>
  <c r="O1042" i="2"/>
  <c r="I1031" i="2"/>
  <c r="L1031" i="2"/>
  <c r="O1031" i="2"/>
  <c r="I1039" i="2"/>
  <c r="O1039" i="2"/>
  <c r="L1039" i="2"/>
  <c r="L1038" i="2"/>
  <c r="I1038" i="2"/>
  <c r="O1038" i="2"/>
  <c r="O1019" i="2"/>
  <c r="L1019" i="2"/>
  <c r="I1004" i="2"/>
  <c r="O1004" i="2"/>
  <c r="J1017" i="2"/>
  <c r="I1010" i="2"/>
  <c r="L1010" i="2"/>
  <c r="O1010" i="2"/>
  <c r="O1033" i="2"/>
  <c r="I1033" i="2"/>
  <c r="L1033" i="2"/>
  <c r="O1006" i="2"/>
  <c r="I1006" i="2"/>
  <c r="L1006" i="2"/>
  <c r="O1032" i="2"/>
  <c r="L1032" i="2"/>
  <c r="I1032" i="2"/>
  <c r="O1005" i="2"/>
  <c r="L1005" i="2"/>
  <c r="I1005" i="2"/>
  <c r="O1012" i="2"/>
  <c r="L1012" i="2"/>
  <c r="I1012" i="2"/>
  <c r="L1030" i="2"/>
  <c r="I1030" i="2"/>
  <c r="O1030" i="2"/>
  <c r="O998" i="2"/>
  <c r="I998" i="2"/>
  <c r="L1025" i="2"/>
  <c r="I1025" i="2"/>
  <c r="J1053" i="2"/>
  <c r="I1053" i="2" s="1"/>
  <c r="O1025" i="2"/>
  <c r="O999" i="2"/>
  <c r="L999" i="2"/>
  <c r="I999" i="2"/>
  <c r="I1014" i="2"/>
  <c r="O1014" i="2"/>
  <c r="L1014" i="2"/>
  <c r="O1020" i="2"/>
  <c r="L1020" i="2"/>
  <c r="I1043" i="2"/>
  <c r="O1043" i="2"/>
  <c r="L1043" i="2"/>
  <c r="O1029" i="2"/>
  <c r="I1029" i="2"/>
  <c r="L1029" i="2"/>
  <c r="O1051" i="2"/>
  <c r="L1051" i="2"/>
  <c r="I1051" i="2"/>
  <c r="O1000" i="2"/>
  <c r="L1000" i="2"/>
  <c r="I1000" i="2"/>
  <c r="O952" i="2"/>
  <c r="O959" i="2" s="1"/>
  <c r="L952" i="2"/>
  <c r="J959" i="2"/>
  <c r="I959" i="2" s="1"/>
  <c r="L1017" i="2" l="1"/>
  <c r="J1024" i="2"/>
  <c r="I1024" i="2" s="1"/>
  <c r="O944" i="2"/>
  <c r="O990" i="2" s="1"/>
  <c r="O1053" i="2"/>
  <c r="O1017" i="2"/>
  <c r="O1008" i="2"/>
  <c r="O1022" i="2"/>
  <c r="I1017" i="2"/>
  <c r="O1002" i="2"/>
  <c r="O1009" i="2" l="1"/>
  <c r="O1024" i="2"/>
  <c r="O105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6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2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127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37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3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192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02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04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257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67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69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322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32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34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387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9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99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452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462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464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517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27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29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582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92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94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647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657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659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712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2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24" authorId="0" shapeId="0" xr:uid="{00000000-0006-0000-07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777" authorId="0" shapeId="0" xr:uid="{00000000-0006-0000-07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87" authorId="0" shapeId="0" xr:uid="{00000000-0006-0000-07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89" authorId="0" shapeId="0" xr:uid="{00000000-0006-0000-07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842" authorId="0" shapeId="0" xr:uid="{00000000-0006-0000-07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852" authorId="0" shapeId="0" xr:uid="{00000000-0006-0000-07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854" authorId="0" shapeId="0" xr:uid="{00000000-0006-0000-07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907" authorId="0" shapeId="0" xr:uid="{00000000-0006-0000-07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17" authorId="0" shapeId="0" xr:uid="{00000000-0006-0000-07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19" authorId="0" shapeId="0" xr:uid="{00000000-0006-0000-07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972" authorId="0" shapeId="0" xr:uid="{00000000-0006-0000-07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82" authorId="0" shapeId="0" xr:uid="{00000000-0006-0000-07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84" authorId="0" shapeId="0" xr:uid="{00000000-0006-0000-07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1037" authorId="0" shapeId="0" xr:uid="{00000000-0006-0000-07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047" authorId="0" shapeId="0" xr:uid="{00000000-0006-0000-07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049" authorId="0" shapeId="0" xr:uid="{00000000-0006-0000-07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</commentList>
</comments>
</file>

<file path=xl/sharedStrings.xml><?xml version="1.0" encoding="utf-8"?>
<sst xmlns="http://schemas.openxmlformats.org/spreadsheetml/2006/main" count="22532" uniqueCount="622">
  <si>
    <t xml:space="preserve"> Consolidé</t>
  </si>
  <si>
    <t>Unité</t>
  </si>
  <si>
    <t xml:space="preserve">Ligne </t>
  </si>
  <si>
    <t>Désignations</t>
  </si>
  <si>
    <t>Production Physique</t>
  </si>
  <si>
    <r>
      <t>Production Valorisée (</t>
    </r>
    <r>
      <rPr>
        <sz val="9"/>
        <color rgb="FFFF0000"/>
        <rFont val="Arial"/>
        <family val="2"/>
      </rPr>
      <t>Valeur en DA</t>
    </r>
    <r>
      <rPr>
        <b/>
        <sz val="9"/>
        <color theme="1"/>
        <rFont val="Arial"/>
        <family val="2"/>
      </rPr>
      <t>)</t>
    </r>
  </si>
  <si>
    <r>
      <t>Observations
(</t>
    </r>
    <r>
      <rPr>
        <sz val="9"/>
        <color rgb="FFFF0000"/>
        <rFont val="Arial"/>
        <family val="2"/>
      </rPr>
      <t>Arrêts,…etc.</t>
    </r>
    <r>
      <rPr>
        <b/>
        <sz val="9"/>
        <color theme="1"/>
        <rFont val="Arial"/>
        <family val="2"/>
      </rPr>
      <t>)</t>
    </r>
  </si>
  <si>
    <t>Objectif</t>
  </si>
  <si>
    <t>Cumul Mois</t>
  </si>
  <si>
    <t>Taux de Réal</t>
  </si>
  <si>
    <t>Cout de
 Revient</t>
  </si>
  <si>
    <t>Montant 
Journée</t>
  </si>
  <si>
    <t>Montant Cumulé</t>
  </si>
  <si>
    <t>Brute</t>
  </si>
  <si>
    <t>Conforme</t>
  </si>
  <si>
    <t>Rebut</t>
  </si>
  <si>
    <t>T7 - 5/1</t>
  </si>
  <si>
    <t>T4</t>
  </si>
  <si>
    <t>T5</t>
  </si>
  <si>
    <t>T3</t>
  </si>
  <si>
    <t>T2</t>
  </si>
  <si>
    <t>TOTAL CONSEVRE</t>
  </si>
  <si>
    <t>Ligne 16oZ</t>
  </si>
  <si>
    <t>Ligne Pails</t>
  </si>
  <si>
    <t>PAILS 3 GLYLAC 2000</t>
  </si>
  <si>
    <t>TOTAL DIVERSE</t>
  </si>
  <si>
    <t>Train 1/2 A</t>
  </si>
  <si>
    <t>Bts 1/2 OT   4C+VBI+CB+VSI</t>
  </si>
  <si>
    <t>Train 1/2 B</t>
  </si>
  <si>
    <t>TOTAL 1/2</t>
  </si>
  <si>
    <t>Train 4/4</t>
  </si>
  <si>
    <t>TOTAL 4/4</t>
  </si>
  <si>
    <t xml:space="preserve">Ligne 4OZ </t>
  </si>
  <si>
    <t xml:space="preserve">Pails 20l </t>
  </si>
  <si>
    <t>Cblanc CYLINDRIQUE</t>
  </si>
  <si>
    <t>TOTAL 20 L</t>
  </si>
  <si>
    <t xml:space="preserve">Pails 18 l </t>
  </si>
  <si>
    <t>Pails 18 l C BLANC</t>
  </si>
  <si>
    <t>TOTAL 18 L</t>
  </si>
  <si>
    <t>Pails 10L</t>
  </si>
  <si>
    <t>TOTAL 10 L</t>
  </si>
  <si>
    <t xml:space="preserve">ligne 800 grs </t>
  </si>
  <si>
    <t>TOTAL 1LØ108</t>
  </si>
  <si>
    <t>Train 1/2 l Ø108</t>
  </si>
  <si>
    <t>TOTAL 1/2 L Ø108</t>
  </si>
  <si>
    <t>Ligne 83</t>
  </si>
  <si>
    <t>TOTAL 1 L Ø 83</t>
  </si>
  <si>
    <t>TOTAL 5/1</t>
  </si>
  <si>
    <t>TOTAL 1/4</t>
  </si>
  <si>
    <t xml:space="preserve">TOTAL 4 oz </t>
  </si>
  <si>
    <t xml:space="preserve">TOTAL 4/4 </t>
  </si>
  <si>
    <t xml:space="preserve">TOTAL 16 oz </t>
  </si>
  <si>
    <t>TOTAL 3 L</t>
  </si>
  <si>
    <t xml:space="preserve">TOTAL 4/4 OT </t>
  </si>
  <si>
    <t>TOTAL 4/4 ON</t>
  </si>
  <si>
    <t xml:space="preserve">TOTAL 1/2 OT </t>
  </si>
  <si>
    <t xml:space="preserve">Unité kouba </t>
  </si>
  <si>
    <t>Fds Ø52,6 VBI VOE  734*725*0,16</t>
  </si>
  <si>
    <t>Fds Ø73 VBI VOE  803*772*0,20</t>
  </si>
  <si>
    <t>Fds Ø73 VBI VOE  803*772*0,18</t>
  </si>
  <si>
    <t>Fds Ø153 VBI VOE  888*708*0,28</t>
  </si>
  <si>
    <t>Fds Ø169 FB NU  775*763*0,23</t>
  </si>
  <si>
    <t>Fds Ø169 VBI/ NU  775*763*0,23</t>
  </si>
  <si>
    <t>BCHS Ø180 CB NU  726*717*0,23</t>
  </si>
  <si>
    <t>CABOUCHONS 36*0,30</t>
  </si>
  <si>
    <t>Unité azzaba</t>
  </si>
  <si>
    <t xml:space="preserve">Presse 1/2 A </t>
  </si>
  <si>
    <t>TFS VBI+VOE</t>
  </si>
  <si>
    <t>FB VBI+VOE</t>
  </si>
  <si>
    <t>Presse 1/2 B</t>
  </si>
  <si>
    <t>Presse 4/4</t>
  </si>
  <si>
    <t>Presse 4oz</t>
  </si>
  <si>
    <t>Unité skikda</t>
  </si>
  <si>
    <t>FDS 20L</t>
  </si>
  <si>
    <t>FBN N/INT</t>
  </si>
  <si>
    <t>FBI V/INT</t>
  </si>
  <si>
    <t>FBN PERCE</t>
  </si>
  <si>
    <t>CVS 20L</t>
  </si>
  <si>
    <t>FBI N/INT</t>
  </si>
  <si>
    <t>FDS 10L</t>
  </si>
  <si>
    <t>FBN</t>
  </si>
  <si>
    <t>CVS 10L</t>
  </si>
  <si>
    <t>FBI NI</t>
  </si>
  <si>
    <t>ANSE 10L</t>
  </si>
  <si>
    <t>ANSE</t>
  </si>
  <si>
    <t>FDS D 108</t>
  </si>
  <si>
    <t>FBI OR</t>
  </si>
  <si>
    <t>BCH D108</t>
  </si>
  <si>
    <t>BGS D108</t>
  </si>
  <si>
    <t>FDS D83</t>
  </si>
  <si>
    <t>FDS PERCE 83</t>
  </si>
  <si>
    <t xml:space="preserve">CABOCHONS </t>
  </si>
  <si>
    <t>CABOUCHONS</t>
  </si>
  <si>
    <t>Clients</t>
  </si>
  <si>
    <t>Quantités</t>
  </si>
  <si>
    <t>Journalières</t>
  </si>
  <si>
    <t>Cumulées</t>
  </si>
  <si>
    <t>P.U</t>
  </si>
  <si>
    <t>Montant Journée</t>
  </si>
  <si>
    <t>TELLOISE</t>
  </si>
  <si>
    <t>ICA</t>
  </si>
  <si>
    <t xml:space="preserve">TELLOISE </t>
  </si>
  <si>
    <t>TOTAL AZDU</t>
  </si>
  <si>
    <t>Flash Journalier de Production Accessoires</t>
  </si>
  <si>
    <t>BCHS Ø180 CB VBI  726*717*0,23</t>
  </si>
  <si>
    <t>TOTAL KDU</t>
  </si>
  <si>
    <t xml:space="preserve">TOTAL SKDU </t>
  </si>
  <si>
    <t xml:space="preserve">TOTAL EPE EMB </t>
  </si>
  <si>
    <t>AZDU</t>
  </si>
  <si>
    <t>SKDU</t>
  </si>
  <si>
    <t>KDU</t>
  </si>
  <si>
    <t>TOTAL CONSERVE</t>
  </si>
  <si>
    <t>TOTAL DIVERS</t>
  </si>
  <si>
    <t>Fds Ø99 VBI VOE  850*777*0,21</t>
  </si>
  <si>
    <t>MENAA</t>
  </si>
  <si>
    <t xml:space="preserve">Capacité jour </t>
  </si>
  <si>
    <t xml:space="preserve">BCHS Ø52,6 (sub 10 l) FBN </t>
  </si>
  <si>
    <t>Fds Ø99 VBI VOE  927*911*0,21 (sub)</t>
  </si>
  <si>
    <t>TFS VBI+VOE SUB 1/8</t>
  </si>
  <si>
    <t>FBN SUB 1/8</t>
  </si>
  <si>
    <t>V/INT +4C+CB+VSI</t>
  </si>
  <si>
    <t xml:space="preserve">CAT -CB-ON </t>
  </si>
  <si>
    <t>Bts 1/2  VBI VSIMP OT</t>
  </si>
  <si>
    <t xml:space="preserve">Pails 10 L V/INT 4C+CB+VSI </t>
  </si>
  <si>
    <t xml:space="preserve">FBI V/INT </t>
  </si>
  <si>
    <t>FBN BANDE SUB 1/8</t>
  </si>
  <si>
    <t>BANDES FBN SUB 1/8</t>
  </si>
  <si>
    <t>Bts 4/4 VBI VSIMP ON</t>
  </si>
  <si>
    <t>FBI / V INT SUB</t>
  </si>
  <si>
    <t xml:space="preserve">CAT SICAM CF </t>
  </si>
  <si>
    <t>BANDES TFS FDS SUB 1/8</t>
  </si>
  <si>
    <t xml:space="preserve">CPS 1/12 SUB FDS </t>
  </si>
  <si>
    <t>Bts 16 OZ-NUVSIMP</t>
  </si>
  <si>
    <t>FB VBI+VOE+(VOIE) Ø65</t>
  </si>
  <si>
    <t>TFS VBI+VOE SUB 1/12</t>
  </si>
  <si>
    <t>FDS PERS Ø108</t>
  </si>
  <si>
    <t>BANDES BGS SUBT BCH</t>
  </si>
  <si>
    <t xml:space="preserve">CAT TRISTAR </t>
  </si>
  <si>
    <t>TFS VBI+VOE subt 6 OZ</t>
  </si>
  <si>
    <t>Pails 10 L N/INT CB+4C+VSI</t>
  </si>
  <si>
    <t>TFS VBI+VOE (VOIE)</t>
  </si>
  <si>
    <t>PETROSER</t>
  </si>
  <si>
    <t>FBN SUB 3L ,10L,20L</t>
  </si>
  <si>
    <t xml:space="preserve">C BLANC </t>
  </si>
  <si>
    <t xml:space="preserve">Montant journée </t>
  </si>
  <si>
    <t>Bts 4/4 ON   2C+VBI+VOE sens invers</t>
  </si>
  <si>
    <t>Mois: Septembre 2021</t>
  </si>
  <si>
    <r>
      <t>Journée du:</t>
    </r>
    <r>
      <rPr>
        <b/>
        <sz val="9"/>
        <color rgb="FFFF0000"/>
        <rFont val="Arial"/>
        <family val="2"/>
      </rPr>
      <t xml:space="preserve"> 01/09/2021</t>
    </r>
  </si>
  <si>
    <r>
      <t>Journée du:</t>
    </r>
    <r>
      <rPr>
        <b/>
        <sz val="9"/>
        <color rgb="FFFF0000"/>
        <rFont val="Arial"/>
        <family val="2"/>
      </rPr>
      <t xml:space="preserve"> 02/09/2021</t>
    </r>
  </si>
  <si>
    <r>
      <t>Journée du:</t>
    </r>
    <r>
      <rPr>
        <b/>
        <sz val="9"/>
        <color rgb="FFFF0000"/>
        <rFont val="Arial"/>
        <family val="2"/>
      </rPr>
      <t xml:space="preserve"> 05/09/2021</t>
    </r>
  </si>
  <si>
    <r>
      <t>Journée du:</t>
    </r>
    <r>
      <rPr>
        <b/>
        <sz val="9"/>
        <color rgb="FFFF0000"/>
        <rFont val="Arial"/>
        <family val="2"/>
      </rPr>
      <t xml:space="preserve"> 06/09/2021</t>
    </r>
  </si>
  <si>
    <t>Fds Ø52,6 VBI VOE  sub 926*852*0,16</t>
  </si>
  <si>
    <r>
      <t>Journée du:</t>
    </r>
    <r>
      <rPr>
        <b/>
        <sz val="9"/>
        <color rgb="FFFF0000"/>
        <rFont val="Arial"/>
        <family val="2"/>
      </rPr>
      <t xml:space="preserve"> 07/09/2021</t>
    </r>
  </si>
  <si>
    <r>
      <t>Journée du:</t>
    </r>
    <r>
      <rPr>
        <b/>
        <sz val="9"/>
        <color rgb="FFFF0000"/>
        <rFont val="Arial"/>
        <family val="2"/>
      </rPr>
      <t xml:space="preserve"> 08/09/2021</t>
    </r>
  </si>
  <si>
    <r>
      <t>Journée du:</t>
    </r>
    <r>
      <rPr>
        <b/>
        <sz val="9"/>
        <color rgb="FFFF0000"/>
        <rFont val="Arial"/>
        <family val="2"/>
      </rPr>
      <t xml:space="preserve"> 09/09/2021</t>
    </r>
  </si>
  <si>
    <r>
      <t>Journée du:</t>
    </r>
    <r>
      <rPr>
        <b/>
        <sz val="9"/>
        <color rgb="FFFF0000"/>
        <rFont val="Arial"/>
        <family val="2"/>
      </rPr>
      <t xml:space="preserve"> 10+11/09/2021</t>
    </r>
  </si>
  <si>
    <r>
      <t>Journée du:</t>
    </r>
    <r>
      <rPr>
        <b/>
        <sz val="9"/>
        <color rgb="FFFF0000"/>
        <rFont val="Arial"/>
        <family val="2"/>
      </rPr>
      <t xml:space="preserve"> 12/09/2021</t>
    </r>
  </si>
  <si>
    <r>
      <t>Journée du:</t>
    </r>
    <r>
      <rPr>
        <b/>
        <sz val="9"/>
        <color rgb="FFFF0000"/>
        <rFont val="Arial"/>
        <family val="2"/>
      </rPr>
      <t xml:space="preserve"> 13/09/2021</t>
    </r>
  </si>
  <si>
    <r>
      <t>Journée du:</t>
    </r>
    <r>
      <rPr>
        <b/>
        <sz val="9"/>
        <color rgb="FFFF0000"/>
        <rFont val="Arial"/>
        <family val="2"/>
      </rPr>
      <t xml:space="preserve"> 14/09/2021</t>
    </r>
  </si>
  <si>
    <r>
      <t>Journée du:</t>
    </r>
    <r>
      <rPr>
        <b/>
        <sz val="9"/>
        <color rgb="FFFF0000"/>
        <rFont val="Arial"/>
        <family val="2"/>
      </rPr>
      <t xml:space="preserve"> 15/09/2021</t>
    </r>
  </si>
  <si>
    <r>
      <t>Journée du:</t>
    </r>
    <r>
      <rPr>
        <b/>
        <sz val="9"/>
        <color rgb="FFFF0000"/>
        <rFont val="Arial"/>
        <family val="2"/>
      </rPr>
      <t xml:space="preserve"> 18/09/2021</t>
    </r>
  </si>
  <si>
    <r>
      <t>Journée du:</t>
    </r>
    <r>
      <rPr>
        <b/>
        <sz val="9"/>
        <color rgb="FFFF0000"/>
        <rFont val="Arial"/>
        <family val="2"/>
      </rPr>
      <t xml:space="preserve"> 19/09/2021</t>
    </r>
  </si>
  <si>
    <r>
      <t>Journée du:</t>
    </r>
    <r>
      <rPr>
        <b/>
        <sz val="9"/>
        <color rgb="FFFF0000"/>
        <rFont val="Arial"/>
        <family val="2"/>
      </rPr>
      <t xml:space="preserve"> 20/09/2021</t>
    </r>
  </si>
  <si>
    <r>
      <t>Journée du:</t>
    </r>
    <r>
      <rPr>
        <b/>
        <sz val="9"/>
        <color rgb="FFFF0000"/>
        <rFont val="Arial"/>
        <family val="2"/>
      </rPr>
      <t xml:space="preserve"> 21/09/2021</t>
    </r>
  </si>
  <si>
    <t>Bts  0,8 l Ø108  N/INT +4C+CB+VSI</t>
  </si>
  <si>
    <t>Bts 1L Ø 108 V/INT+4C+CB+VSI</t>
  </si>
  <si>
    <t xml:space="preserve">Bts 1L Ø 108 FBN </t>
  </si>
  <si>
    <t>Bts 1/2 L Ø 108 NU/INT +CB+VSI+4C</t>
  </si>
  <si>
    <t>Bts 1 L Ø 83 4C LAQ</t>
  </si>
  <si>
    <t xml:space="preserve">Bts 1 L Ø 83 CB </t>
  </si>
  <si>
    <t>S/TOTAL 1/2</t>
  </si>
  <si>
    <t>S/TOTAL 4/4</t>
  </si>
  <si>
    <t xml:space="preserve">Taux 
rebut </t>
  </si>
  <si>
    <t>Taux de
Réal</t>
  </si>
  <si>
    <t>Taux
 jour</t>
  </si>
  <si>
    <t>Production Valorisée (DA)</t>
  </si>
  <si>
    <t>Avec prix de vente</t>
  </si>
  <si>
    <t>Avec cout de revient</t>
  </si>
  <si>
    <t>PU</t>
  </si>
  <si>
    <t>S/TOTAL -II- AZDU</t>
  </si>
  <si>
    <t>S/TOTAL -I- KDU</t>
  </si>
  <si>
    <t>S/TOTAL -III- SKDU</t>
  </si>
  <si>
    <t>TOTAL GENERAL I+II+III</t>
  </si>
  <si>
    <t xml:space="preserve">FRITA LALAHOUM </t>
  </si>
  <si>
    <t xml:space="preserve">BOUKRAINE SUBT </t>
  </si>
  <si>
    <t xml:space="preserve">Bidon 5/1 FRITA  </t>
  </si>
  <si>
    <t>Bidon 2,5 HARRISSA</t>
  </si>
  <si>
    <t xml:space="preserve">MDN </t>
  </si>
  <si>
    <t>Bidon 5/1 TCNA</t>
  </si>
  <si>
    <t>Bts 1/2 HARR 0,16</t>
  </si>
  <si>
    <t xml:space="preserve">BOUKRAINE </t>
  </si>
  <si>
    <t>AMOUR</t>
  </si>
  <si>
    <t xml:space="preserve">Bts 1/2 CT </t>
  </si>
  <si>
    <t xml:space="preserve">Bts 1/2  </t>
  </si>
  <si>
    <t xml:space="preserve">ALPHYT  </t>
  </si>
  <si>
    <t>Bts Surpuissant</t>
  </si>
  <si>
    <t xml:space="preserve">Bts 1/2 OT   4C+VBI+VOE sens invers  </t>
  </si>
  <si>
    <t xml:space="preserve">SHRIKI </t>
  </si>
  <si>
    <t xml:space="preserve">Pails 18 l  </t>
  </si>
  <si>
    <t xml:space="preserve"> PIGMA </t>
  </si>
  <si>
    <t xml:space="preserve">Bts 1/2 L Ø 108 </t>
  </si>
  <si>
    <t>SOCOV MDN</t>
  </si>
  <si>
    <t xml:space="preserve">BELLAT </t>
  </si>
  <si>
    <t xml:space="preserve">SOCOV  </t>
  </si>
  <si>
    <t>-</t>
  </si>
  <si>
    <t>TRS= Tu ÷ Tr=
(TD x TP x TQ)</t>
  </si>
  <si>
    <t>TD: Taux de Disponibilité</t>
  </si>
  <si>
    <t>TP: Taux de Performance</t>
  </si>
  <si>
    <t>TQ: Taux de Qualité</t>
  </si>
  <si>
    <t>Tf: Temps De Fonctionnement =(Tr-C)</t>
  </si>
  <si>
    <t>Tr: Temps Requis =(To-B)</t>
  </si>
  <si>
    <t>Tn: Temps Net (Tf-A)</t>
  </si>
  <si>
    <t>Tf: Temps De Fonctionnement</t>
  </si>
  <si>
    <t>Tu: Temps Utile =Tn-(To-(To*F ÷ E))</t>
  </si>
  <si>
    <t>Tn: Temps Net</t>
  </si>
  <si>
    <t>Quantité 
Produite
(E)</t>
  </si>
  <si>
    <t>Quantité  
conforme
(F)</t>
  </si>
  <si>
    <t>Quantité 
Rebutée
(G)</t>
  </si>
  <si>
    <t>To: Temps D’ouverture= (8X60)</t>
  </si>
  <si>
    <r>
      <t>Arrêt Planifiés (</t>
    </r>
    <r>
      <rPr>
        <sz val="14"/>
        <color rgb="FFC00000"/>
        <rFont val="Century Gothic"/>
        <family val="2"/>
      </rPr>
      <t>pause repas...</t>
    </r>
    <r>
      <rPr>
        <b/>
        <sz val="14"/>
        <rFont val="Century Gothic"/>
        <family val="2"/>
      </rPr>
      <t>)
(B)</t>
    </r>
  </si>
  <si>
    <r>
      <t>Arrêt Non Planifiés (</t>
    </r>
    <r>
      <rPr>
        <sz val="14"/>
        <color rgb="FFC00000"/>
        <rFont val="Century Gothic"/>
        <family val="2"/>
      </rPr>
      <t>réglage+ fil de cuivre...</t>
    </r>
    <r>
      <rPr>
        <b/>
        <sz val="14"/>
        <rFont val="Century Gothic"/>
        <family val="2"/>
      </rPr>
      <t>)
(C)</t>
    </r>
  </si>
  <si>
    <t>ARRETS (Minutes)</t>
  </si>
  <si>
    <t>Ecarts De Cadences 
(A=B+C)</t>
  </si>
  <si>
    <t xml:space="preserve"> TAUX
(Tf ÷ Tr)</t>
  </si>
  <si>
    <t>TAUX
 (Tn ÷ Tf)</t>
  </si>
  <si>
    <t>TAUX
(Tu ÷ Tn)</t>
  </si>
  <si>
    <t>TANDEM</t>
  </si>
  <si>
    <t>VERNISSEUSE</t>
  </si>
  <si>
    <t>T5 1/2</t>
  </si>
  <si>
    <t>T4 1/4</t>
  </si>
  <si>
    <t>T2 4/4</t>
  </si>
  <si>
    <t>T3 4OZ</t>
  </si>
  <si>
    <t>TOTAL 1/2 L Ø108 + 1 L Ø 83</t>
  </si>
  <si>
    <t>TOTAL 18 L+20 L</t>
  </si>
  <si>
    <t>Conserves</t>
  </si>
  <si>
    <t>Diverses</t>
  </si>
  <si>
    <t>Autres</t>
  </si>
  <si>
    <t>S/TOTAL I</t>
  </si>
  <si>
    <t>S/TOTAL II</t>
  </si>
  <si>
    <t>S/TOTAL III</t>
  </si>
  <si>
    <t>Programme</t>
  </si>
  <si>
    <t>Prod.
Réalisée</t>
  </si>
  <si>
    <t>Prod.
Vloriséé</t>
  </si>
  <si>
    <t>Accesoires</t>
  </si>
  <si>
    <t>Nbre
pièces</t>
  </si>
  <si>
    <t>Chiffre d'Affaires</t>
  </si>
  <si>
    <t>Production Stockée</t>
  </si>
  <si>
    <t>Valeurs en DA/HT</t>
  </si>
  <si>
    <t>Boites</t>
  </si>
  <si>
    <r>
      <rPr>
        <b/>
        <u/>
        <sz val="40"/>
        <color theme="0"/>
        <rFont val="Century Gothic"/>
        <family val="2"/>
      </rPr>
      <t>Graphique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Septembre 2021</t>
    </r>
  </si>
  <si>
    <t xml:space="preserve">Bidon 3/1 </t>
  </si>
  <si>
    <t>CAB</t>
  </si>
  <si>
    <t xml:space="preserve">LFB MDN </t>
  </si>
  <si>
    <t xml:space="preserve">CAT </t>
  </si>
  <si>
    <t xml:space="preserve">TRISTAR </t>
  </si>
  <si>
    <t>4 OZ HARISSA</t>
  </si>
  <si>
    <t>PAILS 3 GLYCAR</t>
  </si>
  <si>
    <t xml:space="preserve">PAILS 3 VERINEX </t>
  </si>
  <si>
    <t>ENAP</t>
  </si>
  <si>
    <t>PAILS 3 SUPERLAC</t>
  </si>
  <si>
    <t>PAILS 3 PRIMAFER</t>
  </si>
  <si>
    <t>PAILS 3 PPI</t>
  </si>
  <si>
    <t>PAILS 3 THIXOMATE</t>
  </si>
  <si>
    <t>ENAP SIG</t>
  </si>
  <si>
    <t>BCHN Ø 180 CB NU       726*717*0,23</t>
  </si>
  <si>
    <t>FDS Ø 73 FB    803*772*0,20  VBI/VOE</t>
  </si>
  <si>
    <t>FDS Ø 52,6 TFS  926*852*0,16</t>
  </si>
  <si>
    <t xml:space="preserve"> N.Int  4C+CB+VSI</t>
  </si>
  <si>
    <t>S/TOTAL -I- AZDU</t>
  </si>
  <si>
    <t>S/TOTAL -I- SKDU</t>
  </si>
  <si>
    <t xml:space="preserve">FDS 20L </t>
  </si>
  <si>
    <t>CVS 20 L</t>
  </si>
  <si>
    <t xml:space="preserve">CPS 1/8 SUB FDS </t>
  </si>
  <si>
    <t>FDS Ø108</t>
  </si>
  <si>
    <t>FDS PER Ø108</t>
  </si>
  <si>
    <t xml:space="preserve">FBI OR </t>
  </si>
  <si>
    <t>BCHN Ø108</t>
  </si>
  <si>
    <t xml:space="preserve">FBN </t>
  </si>
  <si>
    <t xml:space="preserve">CPS 1/8 SUB BGS  </t>
  </si>
  <si>
    <t xml:space="preserve">BGS V/INT SUB </t>
  </si>
  <si>
    <t xml:space="preserve">C/BLANC 1L Ø SUB BGS </t>
  </si>
  <si>
    <t>BGS Ø 108</t>
  </si>
  <si>
    <t>Bidon 3/1</t>
  </si>
  <si>
    <t>Bts 16 OZ ALPHYT (875*865*0,18)</t>
  </si>
  <si>
    <t xml:space="preserve">CAB </t>
  </si>
  <si>
    <t xml:space="preserve">1/4 CLUB </t>
  </si>
  <si>
    <t>GUETTAF BRAHIM</t>
  </si>
  <si>
    <t xml:space="preserve">S/TOTAL I  CONSERVE </t>
  </si>
  <si>
    <t xml:space="preserve">S/TOTAL II DIVERS </t>
  </si>
  <si>
    <t>S/TOTAL I  CONSERVE AZDU</t>
  </si>
  <si>
    <t>S/TOTAL KDU</t>
  </si>
  <si>
    <t>S/TOTAL II DIVERS  SKDU</t>
  </si>
  <si>
    <t>BTE 3/1 4C</t>
  </si>
  <si>
    <t>GLYLAC 2000  4C</t>
  </si>
  <si>
    <t>AUTRES</t>
  </si>
  <si>
    <t xml:space="preserve">FBI REBUTE </t>
  </si>
  <si>
    <t>18 L N/INT 4C+CB+VSI</t>
  </si>
  <si>
    <t>18 L V/INT 4C+CB+VSI</t>
  </si>
  <si>
    <t>800GRS Ø108 N/INT 4C+CB+VSI</t>
  </si>
  <si>
    <t xml:space="preserve">CAISSE CARTON </t>
  </si>
  <si>
    <t xml:space="preserve">FUTS </t>
  </si>
  <si>
    <t xml:space="preserve">PERSONNEL </t>
  </si>
  <si>
    <t>CARM</t>
  </si>
  <si>
    <t>OULHASSA</t>
  </si>
  <si>
    <t>1/2 OT 4C+CB+VSI+CPS EXCLU (PRESTATION)</t>
  </si>
  <si>
    <t xml:space="preserve">ROTAION TRANSPORT </t>
  </si>
  <si>
    <t>4/4 FB+VBI+VOE</t>
  </si>
  <si>
    <t>4 OZ TFS VBI +VOE</t>
  </si>
  <si>
    <t>Bidon pails 10 G/2000</t>
  </si>
  <si>
    <t>VERINEX</t>
  </si>
  <si>
    <t xml:space="preserve">SUPERLAC </t>
  </si>
  <si>
    <t xml:space="preserve">16 OZ </t>
  </si>
  <si>
    <t xml:space="preserve">4 OZ harissa </t>
  </si>
  <si>
    <t xml:space="preserve">AMOUR </t>
  </si>
  <si>
    <t>Bts 1/2 OT   4C+VBI+VSI sens invers</t>
  </si>
  <si>
    <t>Bts 1/2 OT   4C+VBI+CB+VSI sens inv CPS EXCLU</t>
  </si>
  <si>
    <t>Bts 4/4 OT VBI+VSI</t>
  </si>
  <si>
    <t>1/2 OT 4C+CB+VSI SUB 24 ELEM</t>
  </si>
  <si>
    <t>ALPHYT</t>
  </si>
  <si>
    <t xml:space="preserve">Bts 1/4 CORNET DE BŒUF </t>
  </si>
  <si>
    <t xml:space="preserve">Bts 1/4  VBI NU VSIMP </t>
  </si>
  <si>
    <t xml:space="preserve">5/1 CB ON </t>
  </si>
  <si>
    <t xml:space="preserve">Bidon pails 20 C/BLANC NI </t>
  </si>
  <si>
    <t xml:space="preserve">Bts 1/2 OT  2C+VBI+VOE sens invers (C B) </t>
  </si>
  <si>
    <t xml:space="preserve">1/2 OT 4C+CB+VSI </t>
  </si>
  <si>
    <t>1/2 OT 2C+VBI+VSI</t>
  </si>
  <si>
    <t>1/2 OT 4C+VBI+VOE SUB 24 ELEM</t>
  </si>
  <si>
    <t xml:space="preserve">1/2 OT 4C+VBI+VOE </t>
  </si>
  <si>
    <t xml:space="preserve">1/2 OT </t>
  </si>
  <si>
    <t>BOITES PASTILLE PM</t>
  </si>
  <si>
    <t>1 L  Ø108 C/ BLANC</t>
  </si>
  <si>
    <t>GLYCAR</t>
  </si>
  <si>
    <t xml:space="preserve">MITRAILLE DE CUIVRE </t>
  </si>
  <si>
    <t>ENR</t>
  </si>
  <si>
    <t>*</t>
  </si>
  <si>
    <t>Bts  0,8 l Ø108  N/INT +4C+CB+VSI ENAP</t>
  </si>
  <si>
    <t>Bts  0,8 l Ø108  N/INT +4C+CB+VSI PIGMA</t>
  </si>
  <si>
    <t xml:space="preserve">vernis cellulosique </t>
  </si>
  <si>
    <t xml:space="preserve">divers clients </t>
  </si>
  <si>
    <t>Bts 4/4 ON   +VBI+VSI</t>
  </si>
  <si>
    <t xml:space="preserve">PRIMAFER </t>
  </si>
  <si>
    <t xml:space="preserve">DECHET FER BLANC ROND </t>
  </si>
  <si>
    <t>PPI</t>
  </si>
  <si>
    <t xml:space="preserve">VC </t>
  </si>
  <si>
    <t xml:space="preserve">1/2  FIGUE TELLOISE </t>
  </si>
  <si>
    <t xml:space="preserve">200 GRS V/TRANSP </t>
  </si>
  <si>
    <t>FDS Ø169  726*717*0,23</t>
  </si>
  <si>
    <t xml:space="preserve">SUB CVS 20L </t>
  </si>
  <si>
    <t xml:space="preserve">1/2 B TFS VBI+VOE+(VOIE) </t>
  </si>
  <si>
    <t>Bts 4/4 OT   1C+VBI+VOE+VSI</t>
  </si>
  <si>
    <t>4/4 OT MDN CAT</t>
  </si>
  <si>
    <t xml:space="preserve">DCT MDN </t>
  </si>
  <si>
    <t>LFB</t>
  </si>
  <si>
    <t xml:space="preserve">FDS Ø 153 VBI VOE </t>
  </si>
  <si>
    <t>FDS Ø169  763*775*0,23</t>
  </si>
  <si>
    <t xml:space="preserve">BCHN FBN SUB BGS </t>
  </si>
  <si>
    <t xml:space="preserve">Bts 4/4 OT   1C+VBI+VOE+VSI  CPS EXCLU </t>
  </si>
  <si>
    <t xml:space="preserve">200 GRS F/FONDU </t>
  </si>
  <si>
    <t>Bts 1/4 F,FONDU GP /CIVIL</t>
  </si>
  <si>
    <t xml:space="preserve">201 GRS F/FONDU GP /CIVIL </t>
  </si>
  <si>
    <t xml:space="preserve">LFB </t>
  </si>
  <si>
    <t>Capacité
 Théorique/M 
(D)</t>
  </si>
  <si>
    <t xml:space="preserve">200 GRS C/BEEF </t>
  </si>
  <si>
    <t xml:space="preserve">4/4 OT MDN COT MDN </t>
  </si>
  <si>
    <t xml:space="preserve">1 L Ø 83 C/BLANC </t>
  </si>
  <si>
    <t xml:space="preserve">20 L C/BLANC </t>
  </si>
  <si>
    <t xml:space="preserve">CONCORDAL </t>
  </si>
  <si>
    <t xml:space="preserve">1L C/BLANC </t>
  </si>
  <si>
    <t xml:space="preserve">1/2 L C/BLANC </t>
  </si>
  <si>
    <t xml:space="preserve">Bts 1/2 OT   4C+VBI+VSI </t>
  </si>
  <si>
    <t>BOUKRAINE</t>
  </si>
  <si>
    <t>Bts 4/4 OT   1C+VBI+VOE+VSI  MDN CAT</t>
  </si>
  <si>
    <t>Bts 4/4 OT   1C+VBI+VOE+VSI  CPS EXCLU COT</t>
  </si>
  <si>
    <t xml:space="preserve">Bts 4/4 OT   4C+VBI+VSI </t>
  </si>
  <si>
    <t>4/4 DCT</t>
  </si>
  <si>
    <t xml:space="preserve">BELHOR SAYEH </t>
  </si>
  <si>
    <t>TRISTAR</t>
  </si>
  <si>
    <t xml:space="preserve">DECHET FER BLANC </t>
  </si>
  <si>
    <t>FDS 169 SUB FDS</t>
  </si>
  <si>
    <t>Bts 1/4 F/FONDU  sub (926*854*0,17) 2c</t>
  </si>
  <si>
    <t xml:space="preserve">1/10 PEINTURE </t>
  </si>
  <si>
    <t xml:space="preserve">20 L D CELLULOSIQUE </t>
  </si>
  <si>
    <t>Bts 1/4 F/FONDU  MDN (926*869*0,17)2c</t>
  </si>
  <si>
    <t xml:space="preserve">Bts 1L Ø 108 N/INT 4C+CB+VSI </t>
  </si>
  <si>
    <t>FDS 169 SUB FDS 108 PERCE</t>
  </si>
  <si>
    <t xml:space="preserve">DECHET GALVANISE </t>
  </si>
  <si>
    <t xml:space="preserve">CPS 10L SUB CVS </t>
  </si>
  <si>
    <t>1/2 FB +VBI+VOE</t>
  </si>
  <si>
    <t>THIXOMATE</t>
  </si>
  <si>
    <t xml:space="preserve">4/4 TFS VBI+VOE </t>
  </si>
  <si>
    <t xml:space="preserve">BCHN FBN SUB FDS </t>
  </si>
  <si>
    <t xml:space="preserve">Bts 1/4 CORNET  BŒUF  </t>
  </si>
  <si>
    <t>Bts 1/4 CORNET  BŒUF SOCOV (926*854*0,17 )1C</t>
  </si>
  <si>
    <t>4/4 FB VBI+VOE</t>
  </si>
  <si>
    <t>4/4 ON vbi+vsi</t>
  </si>
  <si>
    <t>4/4 OT vbi+vsi</t>
  </si>
  <si>
    <t>DJENADI MOHAMED</t>
  </si>
  <si>
    <t xml:space="preserve">200 grs C/BEEF </t>
  </si>
  <si>
    <t xml:space="preserve">ALVIAR </t>
  </si>
  <si>
    <t xml:space="preserve">4 OZ PURE TOMATE </t>
  </si>
  <si>
    <t xml:space="preserve">CONFITA </t>
  </si>
  <si>
    <t>SEDDIKI</t>
  </si>
  <si>
    <t>1/2 OT DCT</t>
  </si>
  <si>
    <t xml:space="preserve">4 OZ harissa CT </t>
  </si>
  <si>
    <t xml:space="preserve">CVS 10L SUB CVS </t>
  </si>
  <si>
    <t>Bts 16 OZ  (909*848*0,18)</t>
  </si>
  <si>
    <t xml:space="preserve">4/4 OT 4C+CB+VSI </t>
  </si>
  <si>
    <t>NAFTAL BEJAIA</t>
  </si>
  <si>
    <t>FDS Ø 99  850*777*0,23   FB</t>
  </si>
  <si>
    <t>FDS Ø 99 TFS  850*777*0,21   VBI/VOE</t>
  </si>
  <si>
    <t xml:space="preserve">divers </t>
  </si>
  <si>
    <t>SOLVANTAL</t>
  </si>
  <si>
    <r>
      <rPr>
        <b/>
        <u/>
        <sz val="40"/>
        <color theme="0"/>
        <rFont val="Century Gothic"/>
        <family val="2"/>
      </rPr>
      <t>Production Valorisée Journalière (Boites)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décembre 2021</t>
    </r>
  </si>
  <si>
    <r>
      <rPr>
        <b/>
        <u/>
        <sz val="40"/>
        <color theme="0"/>
        <rFont val="Century Gothic"/>
        <family val="2"/>
      </rPr>
      <t>Production Physique Journalière (Boites)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Décembre 2021</t>
    </r>
  </si>
  <si>
    <r>
      <rPr>
        <b/>
        <u/>
        <sz val="40"/>
        <color theme="0"/>
        <rFont val="Century Gothic"/>
        <family val="2"/>
      </rPr>
      <t>Production Physique Journalière (Accessoires)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Décembre 2021</t>
    </r>
  </si>
  <si>
    <t>Journée du: 01/12/2021</t>
  </si>
  <si>
    <r>
      <rPr>
        <b/>
        <u/>
        <sz val="40"/>
        <color theme="0"/>
        <rFont val="Century Gothic"/>
        <family val="2"/>
      </rPr>
      <t>Etat des Ventes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Décembre 2021</t>
    </r>
  </si>
  <si>
    <t>Production 01/12/2021</t>
  </si>
  <si>
    <r>
      <rPr>
        <b/>
        <u/>
        <sz val="40"/>
        <color theme="0"/>
        <rFont val="Century Gothic"/>
        <family val="2"/>
      </rPr>
      <t>Activité Consolidée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Décembre 2021</t>
    </r>
  </si>
  <si>
    <r>
      <rPr>
        <b/>
        <u/>
        <sz val="40"/>
        <color theme="0"/>
        <rFont val="Century Gothic"/>
        <family val="2"/>
      </rPr>
      <t xml:space="preserve">Calcul Journalier Du Taux de Rendement Synthétique (T.R.S) 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Décembre 2021</t>
    </r>
  </si>
  <si>
    <t>PRODUCTION 01/12/2021</t>
  </si>
  <si>
    <t>CB</t>
  </si>
  <si>
    <t>Bts 1/4 CORNET  BŒUF  (926*969*0,17)</t>
  </si>
  <si>
    <t>Production 02/12/2021</t>
  </si>
  <si>
    <t>Bidon 5/1 SIPA</t>
  </si>
  <si>
    <t>SAUCE-PIZZA</t>
  </si>
  <si>
    <t>02 et 04/12/2021</t>
  </si>
  <si>
    <t>PRODUCTION 02/03 et 04/12/2021</t>
  </si>
  <si>
    <t>SAYBOLT-MED</t>
  </si>
  <si>
    <t>1/2 L VERINEX</t>
  </si>
  <si>
    <t>Journée du: 02/03 et 04/12/2021</t>
  </si>
  <si>
    <t>Production 05/12/2021</t>
  </si>
  <si>
    <t>PRODUCTION 05/12/2021</t>
  </si>
  <si>
    <t>Journée du: 05/12/2021</t>
  </si>
  <si>
    <t>FDS 73</t>
  </si>
  <si>
    <t>NAMAN</t>
  </si>
  <si>
    <t>SIPA</t>
  </si>
  <si>
    <t>FRITA</t>
  </si>
  <si>
    <t>Bidon 5/1 CHAMPION DJENADI MOHAMED</t>
  </si>
  <si>
    <t>BOUKERAIN</t>
  </si>
  <si>
    <t>4 OZ CT</t>
  </si>
  <si>
    <t>PAILS 3 CELOSIA</t>
  </si>
  <si>
    <t>Journée du: 06/12/2021</t>
  </si>
  <si>
    <t>Production 06/12/2021</t>
  </si>
  <si>
    <t>PRODUCTION 06/12/2021</t>
  </si>
  <si>
    <t>5/1 SAUCE PIZZA</t>
  </si>
  <si>
    <t xml:space="preserve">Mitraille de cuivre </t>
  </si>
  <si>
    <t>Journée du: 07/12/2021</t>
  </si>
  <si>
    <t>Production 07/12/2021</t>
  </si>
  <si>
    <t>PRODUCTION 07/12/2021</t>
  </si>
  <si>
    <t>SUB  CVS 20L</t>
  </si>
  <si>
    <t>SUBS CVS 20L V/INT</t>
  </si>
  <si>
    <t>Bts 1/2 OT   VBI / VSIMP</t>
  </si>
  <si>
    <t>Bts 1/2 OT   VBI + VSI</t>
  </si>
  <si>
    <t>DIVERS</t>
  </si>
  <si>
    <t>Bts 1/2 OT   2C+VBI+VOE</t>
  </si>
  <si>
    <t>Bts 1/2 OT   2C VBI+VOE (CB)</t>
  </si>
  <si>
    <t>Journée du: 08/12/2021</t>
  </si>
  <si>
    <t>Production 08/12/2021</t>
  </si>
  <si>
    <t>PRODUCTION 08/12/2021</t>
  </si>
  <si>
    <t>1/2 FB +VBI+VOE  TFS</t>
  </si>
  <si>
    <t>VERNIS MARINE</t>
  </si>
  <si>
    <t>Production 09/12/2021</t>
  </si>
  <si>
    <t>P P I</t>
  </si>
  <si>
    <t>FDS 153 VBI/VOE</t>
  </si>
  <si>
    <t>09/10 et 11/12/2021</t>
  </si>
  <si>
    <t>Journée du: 09/10 et 11/12/2021</t>
  </si>
  <si>
    <t>20 L V/INT 4C+CB+VSI</t>
  </si>
  <si>
    <t>PRODUCTION 09 10 et 11/12/2021</t>
  </si>
  <si>
    <t>Journée du: 12/12/2021</t>
  </si>
  <si>
    <t>Production 12/12/2021</t>
  </si>
  <si>
    <t>PRODUCTION 12/12/2021</t>
  </si>
  <si>
    <t>5/1 SAUCE PIZZA   FRITA CHAMPION</t>
  </si>
  <si>
    <t>FDS 99 VBI/VOE</t>
  </si>
  <si>
    <t>SEDDEKI</t>
  </si>
  <si>
    <t>PAILS 3 ANTIROUILLE</t>
  </si>
  <si>
    <t>FDS Ø 73 TFS  803*772*0,18   VBI/VOE</t>
  </si>
  <si>
    <t>Désignation</t>
  </si>
  <si>
    <t>Client</t>
  </si>
  <si>
    <t>Cumul mois</t>
  </si>
  <si>
    <t>Taux 
Réal</t>
  </si>
  <si>
    <t>Ligne 16 OZ</t>
  </si>
  <si>
    <t>Pails 20 L</t>
  </si>
  <si>
    <t>Pails 10 L</t>
  </si>
  <si>
    <t xml:space="preserve">Ligne 800 grs </t>
  </si>
  <si>
    <t>Train 1/2 L Ø108</t>
  </si>
  <si>
    <t>Production valorisée (DA)</t>
  </si>
  <si>
    <t>Montant cumulé</t>
  </si>
  <si>
    <t>Montant 
journée</t>
  </si>
  <si>
    <t>Avec coût de revient</t>
  </si>
  <si>
    <t>FDS 10 L</t>
  </si>
  <si>
    <t>CVS 10 L</t>
  </si>
  <si>
    <t>Valeur en DA/HT</t>
  </si>
  <si>
    <t>Quantité</t>
  </si>
  <si>
    <t>Journalière</t>
  </si>
  <si>
    <t>Cumulée</t>
  </si>
  <si>
    <t>Production
Réalisée</t>
  </si>
  <si>
    <t>Production
Vloriséé</t>
  </si>
  <si>
    <t>Production stockée</t>
  </si>
  <si>
    <t>Chiffre d'affaires</t>
  </si>
  <si>
    <t>Journée du: 13/12/2021</t>
  </si>
  <si>
    <t>/2  L  Ø108 C/ BLANC  N/INT</t>
  </si>
  <si>
    <t>C</t>
  </si>
  <si>
    <t>Production 13/12/2021</t>
  </si>
  <si>
    <t>PRODUCTION 13/12/2021</t>
  </si>
  <si>
    <t>ANTIROUILLE</t>
  </si>
  <si>
    <t>PAILS 3 VC</t>
  </si>
  <si>
    <t>BOUKARAIN</t>
  </si>
  <si>
    <t xml:space="preserve">Bts 1/2 OT   2C+VBI+VOE </t>
  </si>
  <si>
    <t>Journée du: 14/12/2021</t>
  </si>
  <si>
    <t>Production 14/12/2021</t>
  </si>
  <si>
    <t>PRODUCTION 14/12/2021</t>
  </si>
  <si>
    <t>1/2 OT  VBI+VSI</t>
  </si>
  <si>
    <t>CHERIK</t>
  </si>
  <si>
    <t>Bidon pails 10 ANTIROUILLE</t>
  </si>
  <si>
    <t xml:space="preserve">C B </t>
  </si>
  <si>
    <t>Journée du: 15/12/2021</t>
  </si>
  <si>
    <t>Production 15/12/2021</t>
  </si>
  <si>
    <t>PRODUCTION 15/12/2021</t>
  </si>
  <si>
    <t>DGO</t>
  </si>
  <si>
    <t>Journée du: 16/12/2021</t>
  </si>
  <si>
    <t>Production 16/12/2021</t>
  </si>
  <si>
    <t xml:space="preserve"> du 16 au 18/12/2021</t>
  </si>
  <si>
    <t>du 16 au 18/12/2021</t>
  </si>
  <si>
    <t>PRODUCTION du 16 au 18/12/2021</t>
  </si>
  <si>
    <t>Bidon 3/1 SAUCE PIZZA</t>
  </si>
  <si>
    <t xml:space="preserve"> du 19/12/2021</t>
  </si>
  <si>
    <t>Journée du: 19/12/2021</t>
  </si>
  <si>
    <t>du 19/12/2021</t>
  </si>
  <si>
    <t>Production 19/12/2021</t>
  </si>
  <si>
    <t>PRODUCTION du 19/12/2021</t>
  </si>
  <si>
    <t>Bts 4/4 OT VBI+VSI  FER SUBSTITUTION</t>
  </si>
  <si>
    <t>Bidon 5/1 VBI+CB  VSI</t>
  </si>
  <si>
    <t>Bidon 5/1 VBI+CB   VSIMP</t>
  </si>
  <si>
    <t xml:space="preserve"> du 20/12/2021</t>
  </si>
  <si>
    <t>Journée du: 20/12/2021</t>
  </si>
  <si>
    <t>du 20/12/2021</t>
  </si>
  <si>
    <t>Production 20/12/2021</t>
  </si>
  <si>
    <t>PRODUCTION du 20/12/2021</t>
  </si>
  <si>
    <t>Bidon 5/1 VBI+CB   VSIMP   nouvelle ligne</t>
  </si>
  <si>
    <t>Bidon 5/1 VBI+CB  VSI nouvelle ligne</t>
  </si>
  <si>
    <t>Bts 1/2 OT   4C+VBI+VSI  INVERS</t>
  </si>
  <si>
    <t xml:space="preserve">Bts 1/2 OT   2C+VSI </t>
  </si>
  <si>
    <t>Bts 4/4 ON 4C +VBI+VSI</t>
  </si>
  <si>
    <t>Bts 4/4 ON   2C+VBI+VOE</t>
  </si>
  <si>
    <t>Bts 1/2 OT   4C+VBI+VSI</t>
  </si>
  <si>
    <t>Bts 1/2 OT   4C+VBI+VSI inverse</t>
  </si>
  <si>
    <t xml:space="preserve">Bts 4/4 ON   2C+VBI+VOE </t>
  </si>
  <si>
    <t>Bts 4/4 ON  4C +VBI+VSI</t>
  </si>
  <si>
    <t>RAHALI</t>
  </si>
  <si>
    <t>BOITE PAQTILLE</t>
  </si>
  <si>
    <t xml:space="preserve"> du 21/12/2021</t>
  </si>
  <si>
    <t>Journée du: 21/12/2021</t>
  </si>
  <si>
    <t>du 21/12/2021</t>
  </si>
  <si>
    <t>Production 21/12/2021</t>
  </si>
  <si>
    <t>PRODUCTION du 21/12/2021</t>
  </si>
  <si>
    <t>PRIMAFER</t>
  </si>
  <si>
    <t xml:space="preserve"> du 22/12/2021</t>
  </si>
  <si>
    <t>Journée du: 22/12/2021</t>
  </si>
  <si>
    <t>du 22/12/2021</t>
  </si>
  <si>
    <t>Production 22/12/2021</t>
  </si>
  <si>
    <t>PRODUCTION du 22/12/2021</t>
  </si>
  <si>
    <t>VC</t>
  </si>
  <si>
    <t>Production 23/12/2021</t>
  </si>
  <si>
    <t>PRODUCTION du 23/12/2021</t>
  </si>
  <si>
    <t>BTE 3/1 SAUCE PIZZA</t>
  </si>
  <si>
    <t>PIGMA</t>
  </si>
  <si>
    <t xml:space="preserve"> du 23 /24 et 25/12/2021</t>
  </si>
  <si>
    <t>23/24 et 25/12/2021</t>
  </si>
  <si>
    <t>Journée du: 23/24 et 25/12/2021</t>
  </si>
  <si>
    <t>du 23/24 et 25/12/2021</t>
  </si>
  <si>
    <t>Journée du: 26/12/2021</t>
  </si>
  <si>
    <t>journée du 26/12/2021</t>
  </si>
  <si>
    <t>Production 26/12/2021</t>
  </si>
  <si>
    <t>PRODUCTION du 26/12/2021</t>
  </si>
  <si>
    <t>1/2 OT 2C+VBI+VOE</t>
  </si>
  <si>
    <t>NOUICHI</t>
  </si>
  <si>
    <t>journée du 27/12/2021</t>
  </si>
  <si>
    <t>Journée du: 27/12/2021</t>
  </si>
  <si>
    <t>Production 27/12/2021</t>
  </si>
  <si>
    <t>PRODUCTION du 27/12/2021</t>
  </si>
  <si>
    <t>Bts 4/4 OT    4C+VBI+CB+VSI</t>
  </si>
  <si>
    <t xml:space="preserve">Bts 4/4 OT   4C+VBI+CB+VSI </t>
  </si>
  <si>
    <t>1/2 VBI+VOE  TFS</t>
  </si>
  <si>
    <t>Bts 4/4 OT VBI+VSI FER SUBSTITUTION</t>
  </si>
  <si>
    <t>Bts 4/4 ON    4C+VBI+CB+VSI</t>
  </si>
  <si>
    <t xml:space="preserve">Bts 4/4 ON   4C+VBI+CB+VSI </t>
  </si>
  <si>
    <t xml:space="preserve">4 OZ  CT </t>
  </si>
  <si>
    <t>Bts 4/4 ON    2C+VBI+VOE SUBSTITUTION</t>
  </si>
  <si>
    <t>journée du 28/12/2021</t>
  </si>
  <si>
    <t>Journée du: 28/12/2021</t>
  </si>
  <si>
    <t>Production 28/12/2021</t>
  </si>
  <si>
    <t>PRODUCTION du 28/12/2021</t>
  </si>
  <si>
    <t>YAMABON</t>
  </si>
  <si>
    <t>ROTATION TRANSPORT</t>
  </si>
  <si>
    <t>journée du 29/12/2021</t>
  </si>
  <si>
    <t>Journée du: 29/12/2021</t>
  </si>
  <si>
    <t>Production 29/12/2021</t>
  </si>
  <si>
    <t>PRODUCTION du 29/12/2021</t>
  </si>
  <si>
    <t>FBN PERCE   VI</t>
  </si>
  <si>
    <t>journée du 30/12/2021</t>
  </si>
  <si>
    <t>Journée du: 30/12/2021</t>
  </si>
  <si>
    <t>Production 30/12/2021</t>
  </si>
  <si>
    <t>PRODUCTION du 30/12/2021</t>
  </si>
  <si>
    <t>PAILS VERNIS MARINE</t>
  </si>
  <si>
    <t>PAILS 3L VERNIS MARINE</t>
  </si>
  <si>
    <t>Bts 1/2 OT  4C+VBI+CB+VSI</t>
  </si>
  <si>
    <t>Bts 4/4 ON VBI + VSIM</t>
  </si>
  <si>
    <t>Bts 1/2 OT   4C+VBI+CB+VSI    INVERSE</t>
  </si>
  <si>
    <t>4/4 ON 4C+VBI+VB+VSIMP</t>
  </si>
  <si>
    <t>4/4 ON 2C+VBI+VB+VSIMP</t>
  </si>
  <si>
    <t>4/4 OT 4C+VBI+VB+VSIMP</t>
  </si>
  <si>
    <t>SICAM</t>
  </si>
  <si>
    <t xml:space="preserve">1/2 OT 4C+VBI+CB+VSI </t>
  </si>
  <si>
    <t>1/2 OT 4C+VBI+VOE sub24 elem</t>
  </si>
  <si>
    <t>1/2 OT 4C+CB+VBI+VSI</t>
  </si>
  <si>
    <t>AMOR</t>
  </si>
  <si>
    <t>1/2 ON VBI+VOE</t>
  </si>
  <si>
    <t>Bidon 5/1 DJENADI MOHAMED</t>
  </si>
  <si>
    <t>FACTURE D4AVOIR</t>
  </si>
  <si>
    <t>4 OZ OT  HARISSA</t>
  </si>
  <si>
    <t>BOITE PASSTILLE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</si>
</sst>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#,##0.0000"/>
    <numFmt numFmtId="166" formatCode="#,##0.000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6"/>
      <color rgb="FFFF0000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sz val="9"/>
      <color rgb="FF0000CC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9"/>
      <color rgb="FFC00000"/>
      <name val="Arial"/>
      <family val="2"/>
    </font>
    <font>
      <b/>
      <u/>
      <sz val="9"/>
      <color rgb="FF0000CC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entury Gothic"/>
      <family val="2"/>
    </font>
    <font>
      <sz val="11"/>
      <name val="Century Gothic"/>
      <family val="2"/>
    </font>
    <font>
      <b/>
      <sz val="11"/>
      <name val="Century Gothic"/>
      <family val="2"/>
    </font>
    <font>
      <b/>
      <sz val="11"/>
      <color rgb="FF0000CC"/>
      <name val="Century Gothic"/>
      <family val="2"/>
    </font>
    <font>
      <b/>
      <sz val="16"/>
      <name val="Century Gothic"/>
      <family val="2"/>
    </font>
    <font>
      <b/>
      <u/>
      <sz val="26"/>
      <color theme="0"/>
      <name val="Century Gothic"/>
      <family val="2"/>
    </font>
    <font>
      <sz val="12"/>
      <name val="Century Gothic"/>
      <family val="2"/>
    </font>
    <font>
      <b/>
      <sz val="26"/>
      <color theme="0"/>
      <name val="Century Gothic"/>
      <family val="2"/>
    </font>
    <font>
      <b/>
      <u/>
      <sz val="40"/>
      <color theme="0"/>
      <name val="Century Gothic"/>
      <family val="2"/>
    </font>
    <font>
      <b/>
      <sz val="18"/>
      <color theme="0"/>
      <name val="Century Gothic"/>
      <family val="2"/>
    </font>
    <font>
      <b/>
      <sz val="18"/>
      <name val="Century Gothic"/>
      <family val="2"/>
    </font>
    <font>
      <b/>
      <u/>
      <sz val="18"/>
      <color rgb="FFFF0000"/>
      <name val="Century Gothic"/>
      <family val="2"/>
    </font>
    <font>
      <sz val="18"/>
      <name val="Century Gothic"/>
      <family val="2"/>
    </font>
    <font>
      <b/>
      <sz val="18"/>
      <color rgb="FF0000CC"/>
      <name val="Century Gothic"/>
      <family val="2"/>
    </font>
    <font>
      <b/>
      <sz val="20"/>
      <color theme="0"/>
      <name val="Century Gothic"/>
      <family val="2"/>
    </font>
    <font>
      <b/>
      <sz val="14"/>
      <name val="Century Gothic"/>
      <family val="2"/>
    </font>
    <font>
      <sz val="18"/>
      <color rgb="FF0000CC"/>
      <name val="Century Gothic"/>
      <family val="2"/>
    </font>
    <font>
      <sz val="14"/>
      <color rgb="FFC00000"/>
      <name val="Century Gothic"/>
      <family val="2"/>
    </font>
    <font>
      <sz val="18"/>
      <color theme="1"/>
      <name val="Century Gothic"/>
      <family val="2"/>
    </font>
    <font>
      <b/>
      <sz val="24"/>
      <color theme="0"/>
      <name val="Century Gothic"/>
      <family val="2"/>
    </font>
    <font>
      <sz val="24"/>
      <name val="Century Gothic"/>
      <family val="2"/>
    </font>
    <font>
      <b/>
      <sz val="24"/>
      <name val="Century Gothic"/>
      <family val="2"/>
    </font>
    <font>
      <b/>
      <sz val="24"/>
      <color rgb="FF0000CC"/>
      <name val="Century Gothic"/>
      <family val="2"/>
    </font>
    <font>
      <b/>
      <sz val="18"/>
      <color rgb="FFFF0000"/>
      <name val="Century Gothic"/>
      <family val="2"/>
    </font>
    <font>
      <b/>
      <sz val="20"/>
      <name val="Century Gothic"/>
      <family val="2"/>
    </font>
    <font>
      <sz val="18"/>
      <color rgb="FFFF0000"/>
      <name val="Century Gothic"/>
      <family val="2"/>
    </font>
    <font>
      <b/>
      <sz val="18"/>
      <color theme="1"/>
      <name val="Century Gothic"/>
      <family val="2"/>
    </font>
    <font>
      <sz val="18"/>
      <color theme="1"/>
      <name val="Calibri"/>
      <family val="2"/>
      <scheme val="minor"/>
    </font>
    <font>
      <sz val="11"/>
      <color theme="1"/>
      <name val="Century Gothic"/>
      <family val="2"/>
    </font>
  </fonts>
  <fills count="20">
    <fill>
      <patternFill patternType="none"/>
    </fill>
    <fill>
      <patternFill patternType="gray125"/>
    </fill>
    <fill>
      <gradientFill degree="90">
        <stop position="0">
          <color theme="0"/>
        </stop>
        <stop position="1">
          <color rgb="FFFFFF00"/>
        </stop>
      </gradientFill>
    </fill>
    <fill>
      <patternFill patternType="solid">
        <fgColor theme="7" tint="0.79998168889431442"/>
        <bgColor auto="1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auto="1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/>
        <bgColor auto="1"/>
      </patternFill>
    </fill>
    <fill>
      <patternFill patternType="solid">
        <fgColor theme="4" tint="-0.499984740745262"/>
        <bgColor auto="1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2060"/>
        <bgColor indexed="64"/>
      </patternFill>
    </fill>
  </fills>
  <borders count="8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5" fillId="0" borderId="0"/>
    <xf numFmtId="0" fontId="3" fillId="0" borderId="0"/>
  </cellStyleXfs>
  <cellXfs count="1176">
    <xf numFmtId="0" fontId="0" fillId="0" borderId="0" xfId="0"/>
    <xf numFmtId="0" fontId="4" fillId="0" borderId="0" xfId="0" applyFont="1" applyAlignment="1">
      <alignment vertical="center"/>
    </xf>
    <xf numFmtId="0" fontId="7" fillId="6" borderId="20" xfId="0" applyFont="1" applyFill="1" applyBorder="1" applyAlignment="1">
      <alignment horizontal="center" vertical="center" wrapText="1"/>
    </xf>
    <xf numFmtId="3" fontId="11" fillId="4" borderId="25" xfId="0" applyNumberFormat="1" applyFont="1" applyFill="1" applyBorder="1" applyAlignment="1">
      <alignment horizontal="center" vertical="center"/>
    </xf>
    <xf numFmtId="3" fontId="12" fillId="4" borderId="26" xfId="0" applyNumberFormat="1" applyFont="1" applyFill="1" applyBorder="1" applyAlignment="1">
      <alignment horizontal="center" vertical="center"/>
    </xf>
    <xf numFmtId="3" fontId="11" fillId="4" borderId="3" xfId="0" applyNumberFormat="1" applyFont="1" applyFill="1" applyBorder="1" applyAlignment="1">
      <alignment horizontal="center" vertical="center"/>
    </xf>
    <xf numFmtId="3" fontId="12" fillId="4" borderId="25" xfId="0" applyNumberFormat="1" applyFont="1" applyFill="1" applyBorder="1" applyAlignment="1">
      <alignment horizontal="center" vertical="center"/>
    </xf>
    <xf numFmtId="4" fontId="12" fillId="5" borderId="26" xfId="1" applyNumberFormat="1" applyFont="1" applyFill="1" applyBorder="1" applyAlignment="1">
      <alignment horizontal="right" vertical="center"/>
    </xf>
    <xf numFmtId="3" fontId="11" fillId="4" borderId="28" xfId="0" applyNumberFormat="1" applyFont="1" applyFill="1" applyBorder="1" applyAlignment="1">
      <alignment horizontal="center" vertical="center"/>
    </xf>
    <xf numFmtId="3" fontId="12" fillId="4" borderId="13" xfId="0" applyNumberFormat="1" applyFont="1" applyFill="1" applyBorder="1" applyAlignment="1">
      <alignment horizontal="center" vertical="center"/>
    </xf>
    <xf numFmtId="3" fontId="11" fillId="4" borderId="11" xfId="0" applyNumberFormat="1" applyFont="1" applyFill="1" applyBorder="1" applyAlignment="1">
      <alignment horizontal="center" vertical="center"/>
    </xf>
    <xf numFmtId="4" fontId="12" fillId="5" borderId="13" xfId="1" applyNumberFormat="1" applyFont="1" applyFill="1" applyBorder="1" applyAlignment="1">
      <alignment horizontal="right" vertical="center"/>
    </xf>
    <xf numFmtId="3" fontId="12" fillId="4" borderId="40" xfId="0" applyNumberFormat="1" applyFont="1" applyFill="1" applyBorder="1" applyAlignment="1">
      <alignment horizontal="center" vertical="center"/>
    </xf>
    <xf numFmtId="3" fontId="11" fillId="4" borderId="34" xfId="0" applyNumberFormat="1" applyFont="1" applyFill="1" applyBorder="1" applyAlignment="1">
      <alignment horizontal="center" vertical="center"/>
    </xf>
    <xf numFmtId="3" fontId="12" fillId="4" borderId="7" xfId="0" applyNumberFormat="1" applyFont="1" applyFill="1" applyBorder="1" applyAlignment="1">
      <alignment horizontal="center" vertical="center"/>
    </xf>
    <xf numFmtId="4" fontId="12" fillId="5" borderId="7" xfId="1" applyNumberFormat="1" applyFont="1" applyFill="1" applyBorder="1" applyAlignment="1">
      <alignment horizontal="right" vertical="center"/>
    </xf>
    <xf numFmtId="3" fontId="12" fillId="4" borderId="12" xfId="0" applyNumberFormat="1" applyFont="1" applyFill="1" applyBorder="1" applyAlignment="1">
      <alignment horizontal="center" vertical="center"/>
    </xf>
    <xf numFmtId="3" fontId="12" fillId="4" borderId="58" xfId="0" applyNumberFormat="1" applyFont="1" applyFill="1" applyBorder="1" applyAlignment="1">
      <alignment horizontal="center" vertical="center"/>
    </xf>
    <xf numFmtId="0" fontId="11" fillId="0" borderId="42" xfId="0" applyFont="1" applyFill="1" applyBorder="1" applyAlignment="1">
      <alignment horizontal="left" vertical="center" wrapText="1"/>
    </xf>
    <xf numFmtId="3" fontId="12" fillId="4" borderId="45" xfId="0" applyNumberFormat="1" applyFont="1" applyFill="1" applyBorder="1" applyAlignment="1">
      <alignment horizontal="center" vertical="center"/>
    </xf>
    <xf numFmtId="3" fontId="12" fillId="4" borderId="46" xfId="0" applyNumberFormat="1" applyFont="1" applyFill="1" applyBorder="1" applyAlignment="1">
      <alignment horizontal="center" vertical="center"/>
    </xf>
    <xf numFmtId="3" fontId="12" fillId="4" borderId="32" xfId="0" applyNumberFormat="1" applyFont="1" applyFill="1" applyBorder="1" applyAlignment="1">
      <alignment horizontal="center" vertical="center"/>
    </xf>
    <xf numFmtId="0" fontId="11" fillId="0" borderId="29" xfId="0" applyFont="1" applyFill="1" applyBorder="1" applyAlignment="1">
      <alignment horizontal="left" vertical="center"/>
    </xf>
    <xf numFmtId="0" fontId="11" fillId="0" borderId="15" xfId="0" applyFont="1" applyFill="1" applyBorder="1" applyAlignment="1">
      <alignment horizontal="left" vertical="center"/>
    </xf>
    <xf numFmtId="3" fontId="11" fillId="4" borderId="47" xfId="0" applyNumberFormat="1" applyFont="1" applyFill="1" applyBorder="1" applyAlignment="1">
      <alignment horizontal="center" vertical="center"/>
    </xf>
    <xf numFmtId="3" fontId="11" fillId="4" borderId="45" xfId="0" applyNumberFormat="1" applyFont="1" applyFill="1" applyBorder="1" applyAlignment="1">
      <alignment horizontal="center" vertical="center"/>
    </xf>
    <xf numFmtId="4" fontId="12" fillId="5" borderId="46" xfId="1" applyNumberFormat="1" applyFont="1" applyFill="1" applyBorder="1" applyAlignment="1">
      <alignment horizontal="right" vertical="center"/>
    </xf>
    <xf numFmtId="0" fontId="11" fillId="0" borderId="42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horizontal="left" vertical="center"/>
    </xf>
    <xf numFmtId="17" fontId="14" fillId="0" borderId="73" xfId="0" applyNumberFormat="1" applyFont="1" applyBorder="1" applyAlignment="1">
      <alignment horizontal="center" vertical="center"/>
    </xf>
    <xf numFmtId="10" fontId="11" fillId="4" borderId="3" xfId="1" applyNumberFormat="1" applyFont="1" applyFill="1" applyBorder="1" applyAlignment="1">
      <alignment horizontal="center" vertical="center"/>
    </xf>
    <xf numFmtId="4" fontId="12" fillId="5" borderId="7" xfId="0" applyNumberFormat="1" applyFont="1" applyFill="1" applyBorder="1" applyAlignment="1">
      <alignment horizontal="center" vertical="center"/>
    </xf>
    <xf numFmtId="17" fontId="14" fillId="0" borderId="68" xfId="0" applyNumberFormat="1" applyFont="1" applyBorder="1" applyAlignment="1">
      <alignment horizontal="center" vertical="center"/>
    </xf>
    <xf numFmtId="10" fontId="11" fillId="4" borderId="28" xfId="1" applyNumberFormat="1" applyFont="1" applyFill="1" applyBorder="1" applyAlignment="1">
      <alignment horizontal="center" vertical="center"/>
    </xf>
    <xf numFmtId="4" fontId="12" fillId="5" borderId="26" xfId="0" applyNumberFormat="1" applyFont="1" applyFill="1" applyBorder="1" applyAlignment="1">
      <alignment horizontal="center" vertical="center"/>
    </xf>
    <xf numFmtId="17" fontId="14" fillId="0" borderId="14" xfId="0" applyNumberFormat="1" applyFont="1" applyBorder="1" applyAlignment="1">
      <alignment horizontal="center" vertical="center"/>
    </xf>
    <xf numFmtId="4" fontId="12" fillId="5" borderId="13" xfId="0" applyNumberFormat="1" applyFont="1" applyFill="1" applyBorder="1" applyAlignment="1">
      <alignment horizontal="center" vertical="center"/>
    </xf>
    <xf numFmtId="0" fontId="10" fillId="0" borderId="57" xfId="0" applyFont="1" applyFill="1" applyBorder="1" applyAlignment="1">
      <alignment vertical="center"/>
    </xf>
    <xf numFmtId="3" fontId="11" fillId="4" borderId="58" xfId="0" applyNumberFormat="1" applyFont="1" applyFill="1" applyBorder="1" applyAlignment="1">
      <alignment horizontal="center" vertical="center"/>
    </xf>
    <xf numFmtId="0" fontId="10" fillId="0" borderId="59" xfId="0" applyFont="1" applyFill="1" applyBorder="1" applyAlignment="1">
      <alignment vertical="center"/>
    </xf>
    <xf numFmtId="10" fontId="11" fillId="4" borderId="11" xfId="1" applyNumberFormat="1" applyFont="1" applyFill="1" applyBorder="1" applyAlignment="1">
      <alignment horizontal="center" vertical="center"/>
    </xf>
    <xf numFmtId="0" fontId="10" fillId="0" borderId="43" xfId="0" applyFont="1" applyFill="1" applyBorder="1" applyAlignment="1">
      <alignment vertical="center"/>
    </xf>
    <xf numFmtId="3" fontId="11" fillId="0" borderId="45" xfId="0" applyNumberFormat="1" applyFont="1" applyFill="1" applyBorder="1" applyAlignment="1">
      <alignment horizontal="center" vertical="center"/>
    </xf>
    <xf numFmtId="3" fontId="12" fillId="0" borderId="46" xfId="0" applyNumberFormat="1" applyFont="1" applyFill="1" applyBorder="1" applyAlignment="1">
      <alignment horizontal="center" vertical="center"/>
    </xf>
    <xf numFmtId="3" fontId="11" fillId="0" borderId="47" xfId="0" applyNumberFormat="1" applyFont="1" applyFill="1" applyBorder="1" applyAlignment="1">
      <alignment horizontal="center" vertical="center"/>
    </xf>
    <xf numFmtId="3" fontId="12" fillId="0" borderId="45" xfId="0" applyNumberFormat="1" applyFont="1" applyFill="1" applyBorder="1" applyAlignment="1">
      <alignment horizontal="center" vertical="center"/>
    </xf>
    <xf numFmtId="10" fontId="11" fillId="0" borderId="63" xfId="1" applyNumberFormat="1" applyFont="1" applyFill="1" applyBorder="1" applyAlignment="1">
      <alignment horizontal="center" vertical="center"/>
    </xf>
    <xf numFmtId="4" fontId="11" fillId="0" borderId="48" xfId="1" applyNumberFormat="1" applyFont="1" applyFill="1" applyBorder="1" applyAlignment="1">
      <alignment horizontal="right" vertical="center"/>
    </xf>
    <xf numFmtId="4" fontId="12" fillId="0" borderId="46" xfId="1" applyNumberFormat="1" applyFont="1" applyFill="1" applyBorder="1" applyAlignment="1">
      <alignment horizontal="right" vertical="center"/>
    </xf>
    <xf numFmtId="4" fontId="12" fillId="0" borderId="47" xfId="1" applyNumberFormat="1" applyFont="1" applyFill="1" applyBorder="1" applyAlignment="1">
      <alignment horizontal="right" vertical="center"/>
    </xf>
    <xf numFmtId="10" fontId="11" fillId="4" borderId="70" xfId="1" applyNumberFormat="1" applyFont="1" applyFill="1" applyBorder="1" applyAlignment="1">
      <alignment horizontal="center" vertical="center"/>
    </xf>
    <xf numFmtId="10" fontId="11" fillId="4" borderId="62" xfId="1" applyNumberFormat="1" applyFont="1" applyFill="1" applyBorder="1" applyAlignment="1">
      <alignment horizontal="center" vertical="center"/>
    </xf>
    <xf numFmtId="10" fontId="11" fillId="4" borderId="63" xfId="1" applyNumberFormat="1" applyFont="1" applyFill="1" applyBorder="1" applyAlignment="1">
      <alignment horizontal="center" vertical="center"/>
    </xf>
    <xf numFmtId="3" fontId="11" fillId="0" borderId="42" xfId="0" applyNumberFormat="1" applyFont="1" applyFill="1" applyBorder="1" applyAlignment="1">
      <alignment horizontal="center" vertical="center" wrapText="1"/>
    </xf>
    <xf numFmtId="0" fontId="13" fillId="0" borderId="8" xfId="0" applyFont="1" applyBorder="1"/>
    <xf numFmtId="0" fontId="13" fillId="4" borderId="58" xfId="0" applyFont="1" applyFill="1" applyBorder="1" applyAlignment="1">
      <alignment horizontal="center"/>
    </xf>
    <xf numFmtId="3" fontId="7" fillId="4" borderId="7" xfId="0" applyNumberFormat="1" applyFont="1" applyFill="1" applyBorder="1" applyAlignment="1">
      <alignment horizontal="center"/>
    </xf>
    <xf numFmtId="3" fontId="7" fillId="4" borderId="74" xfId="0" applyNumberFormat="1" applyFont="1" applyFill="1" applyBorder="1" applyAlignment="1">
      <alignment horizontal="center"/>
    </xf>
    <xf numFmtId="0" fontId="13" fillId="4" borderId="3" xfId="0" applyFont="1" applyFill="1" applyBorder="1"/>
    <xf numFmtId="0" fontId="13" fillId="5" borderId="58" xfId="0" applyFont="1" applyFill="1" applyBorder="1" applyAlignment="1">
      <alignment horizontal="right"/>
    </xf>
    <xf numFmtId="4" fontId="13" fillId="5" borderId="7" xfId="0" applyNumberFormat="1" applyFont="1" applyFill="1" applyBorder="1"/>
    <xf numFmtId="0" fontId="13" fillId="0" borderId="15" xfId="0" applyFont="1" applyBorder="1"/>
    <xf numFmtId="0" fontId="13" fillId="4" borderId="12" xfId="0" applyFont="1" applyFill="1" applyBorder="1" applyAlignment="1">
      <alignment horizontal="center"/>
    </xf>
    <xf numFmtId="3" fontId="7" fillId="4" borderId="13" xfId="0" applyNumberFormat="1" applyFont="1" applyFill="1" applyBorder="1" applyAlignment="1">
      <alignment horizontal="center"/>
    </xf>
    <xf numFmtId="3" fontId="7" fillId="4" borderId="62" xfId="0" applyNumberFormat="1" applyFont="1" applyFill="1" applyBorder="1" applyAlignment="1">
      <alignment horizontal="center"/>
    </xf>
    <xf numFmtId="0" fontId="13" fillId="4" borderId="11" xfId="0" applyFont="1" applyFill="1" applyBorder="1"/>
    <xf numFmtId="0" fontId="13" fillId="5" borderId="12" xfId="0" applyFont="1" applyFill="1" applyBorder="1" applyAlignment="1">
      <alignment horizontal="right"/>
    </xf>
    <xf numFmtId="4" fontId="13" fillId="5" borderId="13" xfId="0" applyNumberFormat="1" applyFont="1" applyFill="1" applyBorder="1"/>
    <xf numFmtId="0" fontId="10" fillId="0" borderId="75" xfId="0" applyFont="1" applyBorder="1" applyAlignment="1">
      <alignment horizontal="left" vertical="center"/>
    </xf>
    <xf numFmtId="0" fontId="13" fillId="0" borderId="23" xfId="0" applyFont="1" applyBorder="1"/>
    <xf numFmtId="0" fontId="13" fillId="4" borderId="19" xfId="0" applyFont="1" applyFill="1" applyBorder="1" applyAlignment="1">
      <alignment horizontal="center"/>
    </xf>
    <xf numFmtId="3" fontId="7" fillId="4" borderId="20" xfId="0" applyNumberFormat="1" applyFont="1" applyFill="1" applyBorder="1" applyAlignment="1">
      <alignment horizontal="center"/>
    </xf>
    <xf numFmtId="3" fontId="7" fillId="4" borderId="71" xfId="0" applyNumberFormat="1" applyFont="1" applyFill="1" applyBorder="1" applyAlignment="1">
      <alignment horizontal="center"/>
    </xf>
    <xf numFmtId="0" fontId="13" fillId="5" borderId="19" xfId="0" applyFont="1" applyFill="1" applyBorder="1" applyAlignment="1">
      <alignment horizontal="right"/>
    </xf>
    <xf numFmtId="4" fontId="13" fillId="5" borderId="20" xfId="0" applyNumberFormat="1" applyFont="1" applyFill="1" applyBorder="1"/>
    <xf numFmtId="0" fontId="14" fillId="5" borderId="20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4" fontId="12" fillId="5" borderId="42" xfId="1" applyNumberFormat="1" applyFont="1" applyFill="1" applyBorder="1" applyAlignment="1">
      <alignment horizontal="right" vertical="center"/>
    </xf>
    <xf numFmtId="3" fontId="7" fillId="4" borderId="2" xfId="0" applyNumberFormat="1" applyFont="1" applyFill="1" applyBorder="1" applyAlignment="1">
      <alignment horizontal="center"/>
    </xf>
    <xf numFmtId="3" fontId="7" fillId="4" borderId="10" xfId="0" applyNumberFormat="1" applyFont="1" applyFill="1" applyBorder="1" applyAlignment="1">
      <alignment horizontal="center"/>
    </xf>
    <xf numFmtId="3" fontId="7" fillId="4" borderId="21" xfId="0" applyNumberFormat="1" applyFont="1" applyFill="1" applyBorder="1" applyAlignment="1">
      <alignment horizontal="center"/>
    </xf>
    <xf numFmtId="10" fontId="11" fillId="4" borderId="31" xfId="1" applyNumberFormat="1" applyFont="1" applyFill="1" applyBorder="1" applyAlignment="1">
      <alignment horizontal="center" vertical="center"/>
    </xf>
    <xf numFmtId="17" fontId="14" fillId="0" borderId="22" xfId="0" applyNumberFormat="1" applyFont="1" applyBorder="1" applyAlignment="1">
      <alignment horizontal="center" vertical="center"/>
    </xf>
    <xf numFmtId="4" fontId="12" fillId="5" borderId="42" xfId="0" applyNumberFormat="1" applyFont="1" applyFill="1" applyBorder="1" applyAlignment="1">
      <alignment horizontal="center" vertical="center"/>
    </xf>
    <xf numFmtId="3" fontId="11" fillId="0" borderId="51" xfId="0" applyNumberFormat="1" applyFont="1" applyFill="1" applyBorder="1" applyAlignment="1">
      <alignment horizontal="center" vertical="center" wrapText="1"/>
    </xf>
    <xf numFmtId="4" fontId="11" fillId="5" borderId="28" xfId="1" applyNumberFormat="1" applyFont="1" applyFill="1" applyBorder="1" applyAlignment="1">
      <alignment horizontal="right" vertical="center"/>
    </xf>
    <xf numFmtId="4" fontId="11" fillId="5" borderId="7" xfId="0" applyNumberFormat="1" applyFont="1" applyFill="1" applyBorder="1" applyAlignment="1">
      <alignment horizontal="center" vertical="center"/>
    </xf>
    <xf numFmtId="4" fontId="11" fillId="5" borderId="26" xfId="0" applyNumberFormat="1" applyFont="1" applyFill="1" applyBorder="1" applyAlignment="1">
      <alignment horizontal="center" vertical="center"/>
    </xf>
    <xf numFmtId="4" fontId="11" fillId="5" borderId="13" xfId="0" applyNumberFormat="1" applyFont="1" applyFill="1" applyBorder="1" applyAlignment="1">
      <alignment horizontal="center" vertical="center"/>
    </xf>
    <xf numFmtId="4" fontId="11" fillId="5" borderId="20" xfId="0" applyNumberFormat="1" applyFont="1" applyFill="1" applyBorder="1" applyAlignment="1">
      <alignment horizontal="center" vertical="center"/>
    </xf>
    <xf numFmtId="4" fontId="11" fillId="5" borderId="3" xfId="1" applyNumberFormat="1" applyFont="1" applyFill="1" applyBorder="1" applyAlignment="1">
      <alignment horizontal="right" vertical="center"/>
    </xf>
    <xf numFmtId="4" fontId="11" fillId="5" borderId="11" xfId="1" applyNumberFormat="1" applyFont="1" applyFill="1" applyBorder="1" applyAlignment="1">
      <alignment horizontal="right" vertical="center"/>
    </xf>
    <xf numFmtId="4" fontId="11" fillId="0" borderId="47" xfId="1" applyNumberFormat="1" applyFont="1" applyFill="1" applyBorder="1" applyAlignment="1">
      <alignment horizontal="right" vertical="center"/>
    </xf>
    <xf numFmtId="4" fontId="11" fillId="5" borderId="70" xfId="1" applyNumberFormat="1" applyFont="1" applyFill="1" applyBorder="1" applyAlignment="1">
      <alignment horizontal="right" vertical="center"/>
    </xf>
    <xf numFmtId="4" fontId="11" fillId="5" borderId="62" xfId="1" applyNumberFormat="1" applyFont="1" applyFill="1" applyBorder="1" applyAlignment="1">
      <alignment horizontal="right" vertical="center"/>
    </xf>
    <xf numFmtId="4" fontId="11" fillId="5" borderId="47" xfId="1" applyNumberFormat="1" applyFont="1" applyFill="1" applyBorder="1" applyAlignment="1">
      <alignment horizontal="right" vertical="center"/>
    </xf>
    <xf numFmtId="0" fontId="0" fillId="0" borderId="42" xfId="0" applyBorder="1"/>
    <xf numFmtId="4" fontId="2" fillId="0" borderId="42" xfId="0" applyNumberFormat="1" applyFont="1" applyBorder="1" applyAlignment="1">
      <alignment horizontal="center"/>
    </xf>
    <xf numFmtId="0" fontId="14" fillId="4" borderId="36" xfId="0" applyFont="1" applyFill="1" applyBorder="1" applyAlignment="1">
      <alignment horizontal="center" vertical="center"/>
    </xf>
    <xf numFmtId="0" fontId="14" fillId="4" borderId="10" xfId="0" applyFont="1" applyFill="1" applyBorder="1" applyAlignment="1">
      <alignment horizontal="center" vertical="center"/>
    </xf>
    <xf numFmtId="0" fontId="0" fillId="0" borderId="59" xfId="0" applyBorder="1"/>
    <xf numFmtId="0" fontId="0" fillId="0" borderId="0" xfId="0" applyBorder="1"/>
    <xf numFmtId="0" fontId="0" fillId="0" borderId="39" xfId="0" applyBorder="1"/>
    <xf numFmtId="4" fontId="2" fillId="10" borderId="42" xfId="0" applyNumberFormat="1" applyFont="1" applyFill="1" applyBorder="1"/>
    <xf numFmtId="0" fontId="11" fillId="5" borderId="58" xfId="0" applyFont="1" applyFill="1" applyBorder="1" applyAlignment="1">
      <alignment horizontal="right" vertical="center"/>
    </xf>
    <xf numFmtId="0" fontId="11" fillId="5" borderId="25" xfId="0" applyFont="1" applyFill="1" applyBorder="1" applyAlignment="1">
      <alignment horizontal="right" vertical="center"/>
    </xf>
    <xf numFmtId="0" fontId="11" fillId="5" borderId="12" xfId="0" applyFont="1" applyFill="1" applyBorder="1" applyAlignment="1">
      <alignment horizontal="right" vertical="center"/>
    </xf>
    <xf numFmtId="0" fontId="11" fillId="5" borderId="19" xfId="0" applyFont="1" applyFill="1" applyBorder="1" applyAlignment="1">
      <alignment horizontal="right" vertical="center"/>
    </xf>
    <xf numFmtId="0" fontId="14" fillId="4" borderId="17" xfId="0" applyFont="1" applyFill="1" applyBorder="1" applyAlignment="1">
      <alignment horizontal="center" vertical="center"/>
    </xf>
    <xf numFmtId="0" fontId="2" fillId="0" borderId="44" xfId="0" applyFont="1" applyBorder="1" applyAlignment="1">
      <alignment vertical="center"/>
    </xf>
    <xf numFmtId="3" fontId="2" fillId="4" borderId="42" xfId="0" applyNumberFormat="1" applyFont="1" applyFill="1" applyBorder="1" applyAlignment="1">
      <alignment vertical="center"/>
    </xf>
    <xf numFmtId="0" fontId="2" fillId="4" borderId="44" xfId="0" applyFont="1" applyFill="1" applyBorder="1" applyAlignment="1">
      <alignment vertical="center"/>
    </xf>
    <xf numFmtId="0" fontId="2" fillId="0" borderId="42" xfId="0" applyFont="1" applyBorder="1" applyAlignment="1">
      <alignment vertical="center"/>
    </xf>
    <xf numFmtId="0" fontId="2" fillId="0" borderId="61" xfId="0" applyFont="1" applyBorder="1" applyAlignment="1"/>
    <xf numFmtId="0" fontId="2" fillId="0" borderId="42" xfId="0" applyFont="1" applyBorder="1" applyAlignment="1"/>
    <xf numFmtId="3" fontId="2" fillId="0" borderId="42" xfId="0" applyNumberFormat="1" applyFont="1" applyBorder="1" applyAlignment="1"/>
    <xf numFmtId="3" fontId="2" fillId="0" borderId="61" xfId="0" applyNumberFormat="1" applyFont="1" applyBorder="1" applyAlignment="1"/>
    <xf numFmtId="0" fontId="11" fillId="0" borderId="72" xfId="0" applyFont="1" applyFill="1" applyBorder="1" applyAlignment="1">
      <alignment vertical="center"/>
    </xf>
    <xf numFmtId="0" fontId="11" fillId="0" borderId="79" xfId="0" applyFont="1" applyFill="1" applyBorder="1" applyAlignment="1">
      <alignment vertical="center"/>
    </xf>
    <xf numFmtId="0" fontId="11" fillId="0" borderId="65" xfId="0" applyFont="1" applyFill="1" applyBorder="1" applyAlignment="1">
      <alignment vertical="center"/>
    </xf>
    <xf numFmtId="0" fontId="11" fillId="0" borderId="66" xfId="0" applyFont="1" applyFill="1" applyBorder="1" applyAlignment="1">
      <alignment vertical="center"/>
    </xf>
    <xf numFmtId="3" fontId="12" fillId="8" borderId="44" xfId="0" applyNumberFormat="1" applyFont="1" applyFill="1" applyBorder="1" applyAlignment="1">
      <alignment horizontal="center" vertical="center"/>
    </xf>
    <xf numFmtId="3" fontId="12" fillId="8" borderId="61" xfId="0" applyNumberFormat="1" applyFont="1" applyFill="1" applyBorder="1" applyAlignment="1">
      <alignment horizontal="center" vertical="center"/>
    </xf>
    <xf numFmtId="3" fontId="12" fillId="8" borderId="42" xfId="0" applyNumberFormat="1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vertical="center"/>
    </xf>
    <xf numFmtId="3" fontId="2" fillId="8" borderId="46" xfId="0" applyNumberFormat="1" applyFont="1" applyFill="1" applyBorder="1" applyAlignment="1">
      <alignment horizontal="center" vertical="center"/>
    </xf>
    <xf numFmtId="3" fontId="2" fillId="8" borderId="47" xfId="0" applyNumberFormat="1" applyFont="1" applyFill="1" applyBorder="1" applyAlignment="1">
      <alignment horizontal="center" vertical="center"/>
    </xf>
    <xf numFmtId="0" fontId="11" fillId="5" borderId="37" xfId="0" applyFont="1" applyFill="1" applyBorder="1" applyAlignment="1">
      <alignment horizontal="right" vertical="center"/>
    </xf>
    <xf numFmtId="4" fontId="11" fillId="5" borderId="40" xfId="0" applyNumberFormat="1" applyFont="1" applyFill="1" applyBorder="1" applyAlignment="1">
      <alignment horizontal="center" vertical="center"/>
    </xf>
    <xf numFmtId="0" fontId="12" fillId="8" borderId="48" xfId="0" applyFont="1" applyFill="1" applyBorder="1" applyAlignment="1">
      <alignment vertical="center"/>
    </xf>
    <xf numFmtId="3" fontId="12" fillId="8" borderId="46" xfId="0" applyNumberFormat="1" applyFont="1" applyFill="1" applyBorder="1" applyAlignment="1">
      <alignment horizontal="center" vertical="center"/>
    </xf>
    <xf numFmtId="3" fontId="12" fillId="8" borderId="47" xfId="0" applyNumberFormat="1" applyFont="1" applyFill="1" applyBorder="1" applyAlignment="1">
      <alignment horizontal="center" vertical="center"/>
    </xf>
    <xf numFmtId="3" fontId="11" fillId="8" borderId="45" xfId="0" applyNumberFormat="1" applyFont="1" applyFill="1" applyBorder="1" applyAlignment="1">
      <alignment horizontal="center" vertical="center"/>
    </xf>
    <xf numFmtId="3" fontId="11" fillId="8" borderId="46" xfId="0" applyNumberFormat="1" applyFont="1" applyFill="1" applyBorder="1" applyAlignment="1">
      <alignment horizontal="center" vertical="center"/>
    </xf>
    <xf numFmtId="10" fontId="11" fillId="8" borderId="47" xfId="1" applyNumberFormat="1" applyFont="1" applyFill="1" applyBorder="1" applyAlignment="1">
      <alignment horizontal="center" vertical="center"/>
    </xf>
    <xf numFmtId="0" fontId="11" fillId="8" borderId="45" xfId="0" applyFont="1" applyFill="1" applyBorder="1" applyAlignment="1">
      <alignment horizontal="right" vertical="center"/>
    </xf>
    <xf numFmtId="4" fontId="12" fillId="8" borderId="46" xfId="0" applyNumberFormat="1" applyFont="1" applyFill="1" applyBorder="1" applyAlignment="1">
      <alignment horizontal="center" vertical="center"/>
    </xf>
    <xf numFmtId="4" fontId="12" fillId="8" borderId="47" xfId="0" applyNumberFormat="1" applyFont="1" applyFill="1" applyBorder="1" applyAlignment="1">
      <alignment horizontal="center" vertical="center"/>
    </xf>
    <xf numFmtId="10" fontId="11" fillId="8" borderId="44" xfId="1" applyNumberFormat="1" applyFont="1" applyFill="1" applyBorder="1" applyAlignment="1">
      <alignment horizontal="center" vertical="center"/>
    </xf>
    <xf numFmtId="0" fontId="11" fillId="8" borderId="49" xfId="0" applyFont="1" applyFill="1" applyBorder="1" applyAlignment="1">
      <alignment horizontal="right" vertical="center"/>
    </xf>
    <xf numFmtId="0" fontId="14" fillId="8" borderId="49" xfId="0" applyFont="1" applyFill="1" applyBorder="1" applyAlignment="1">
      <alignment horizontal="center" vertical="center"/>
    </xf>
    <xf numFmtId="4" fontId="11" fillId="8" borderId="42" xfId="0" applyNumberFormat="1" applyFont="1" applyFill="1" applyBorder="1" applyAlignment="1">
      <alignment horizontal="center" vertical="center"/>
    </xf>
    <xf numFmtId="0" fontId="7" fillId="6" borderId="19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right" vertical="center"/>
    </xf>
    <xf numFmtId="165" fontId="11" fillId="5" borderId="36" xfId="1" applyNumberFormat="1" applyFont="1" applyFill="1" applyBorder="1" applyAlignment="1">
      <alignment horizontal="right" vertical="center"/>
    </xf>
    <xf numFmtId="165" fontId="11" fillId="5" borderId="10" xfId="1" applyNumberFormat="1" applyFont="1" applyFill="1" applyBorder="1" applyAlignment="1">
      <alignment horizontal="right" vertical="center"/>
    </xf>
    <xf numFmtId="165" fontId="11" fillId="5" borderId="2" xfId="1" applyNumberFormat="1" applyFont="1" applyFill="1" applyBorder="1" applyAlignment="1">
      <alignment horizontal="right" vertical="center"/>
    </xf>
    <xf numFmtId="164" fontId="11" fillId="5" borderId="12" xfId="0" applyNumberFormat="1" applyFont="1" applyFill="1" applyBorder="1" applyAlignment="1">
      <alignment horizontal="right"/>
    </xf>
    <xf numFmtId="164" fontId="13" fillId="5" borderId="12" xfId="0" applyNumberFormat="1" applyFont="1" applyFill="1" applyBorder="1" applyAlignment="1">
      <alignment horizontal="right"/>
    </xf>
    <xf numFmtId="165" fontId="11" fillId="5" borderId="48" xfId="1" applyNumberFormat="1" applyFont="1" applyFill="1" applyBorder="1" applyAlignment="1">
      <alignment horizontal="right" vertical="center"/>
    </xf>
    <xf numFmtId="165" fontId="9" fillId="5" borderId="10" xfId="1" applyNumberFormat="1" applyFont="1" applyFill="1" applyBorder="1" applyAlignment="1">
      <alignment horizontal="right" vertical="center"/>
    </xf>
    <xf numFmtId="2" fontId="12" fillId="5" borderId="13" xfId="0" applyNumberFormat="1" applyFont="1" applyFill="1" applyBorder="1" applyAlignment="1">
      <alignment horizontal="center" vertical="center"/>
    </xf>
    <xf numFmtId="164" fontId="9" fillId="5" borderId="12" xfId="0" applyNumberFormat="1" applyFont="1" applyFill="1" applyBorder="1" applyAlignment="1">
      <alignment horizontal="right"/>
    </xf>
    <xf numFmtId="0" fontId="8" fillId="5" borderId="12" xfId="0" applyFont="1" applyFill="1" applyBorder="1" applyAlignment="1">
      <alignment horizontal="right"/>
    </xf>
    <xf numFmtId="4" fontId="12" fillId="5" borderId="11" xfId="1" applyNumberFormat="1" applyFont="1" applyFill="1" applyBorder="1" applyAlignment="1">
      <alignment horizontal="right" vertical="center"/>
    </xf>
    <xf numFmtId="3" fontId="12" fillId="4" borderId="13" xfId="0" applyNumberFormat="1" applyFont="1" applyFill="1" applyBorder="1" applyAlignment="1">
      <alignment horizontal="center"/>
    </xf>
    <xf numFmtId="3" fontId="12" fillId="4" borderId="62" xfId="0" applyNumberFormat="1" applyFont="1" applyFill="1" applyBorder="1" applyAlignment="1">
      <alignment horizontal="center"/>
    </xf>
    <xf numFmtId="3" fontId="12" fillId="4" borderId="10" xfId="0" applyNumberFormat="1" applyFont="1" applyFill="1" applyBorder="1" applyAlignment="1">
      <alignment horizontal="center"/>
    </xf>
    <xf numFmtId="0" fontId="11" fillId="4" borderId="11" xfId="0" applyFont="1" applyFill="1" applyBorder="1"/>
    <xf numFmtId="4" fontId="11" fillId="5" borderId="13" xfId="0" applyNumberFormat="1" applyFont="1" applyFill="1" applyBorder="1"/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0" fontId="7" fillId="6" borderId="18" xfId="0" applyFont="1" applyFill="1" applyBorder="1" applyAlignment="1">
      <alignment horizontal="center" vertical="center" wrapText="1"/>
    </xf>
    <xf numFmtId="3" fontId="11" fillId="0" borderId="1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7" fillId="6" borderId="18" xfId="0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22" fillId="0" borderId="0" xfId="0" applyFont="1" applyAlignment="1" applyProtection="1">
      <alignment vertical="center"/>
      <protection locked="0"/>
    </xf>
    <xf numFmtId="0" fontId="20" fillId="0" borderId="0" xfId="0" applyFont="1" applyAlignment="1" applyProtection="1">
      <alignment horizontal="left" vertical="center" wrapText="1"/>
      <protection locked="0"/>
    </xf>
    <xf numFmtId="3" fontId="19" fillId="0" borderId="0" xfId="0" applyNumberFormat="1" applyFont="1" applyAlignment="1" applyProtection="1">
      <alignment horizontal="center" vertical="center"/>
      <protection locked="0"/>
    </xf>
    <xf numFmtId="3" fontId="20" fillId="0" borderId="0" xfId="0" applyNumberFormat="1" applyFont="1" applyAlignment="1" applyProtection="1">
      <alignment horizontal="center" vertical="center"/>
      <protection locked="0"/>
    </xf>
    <xf numFmtId="10" fontId="21" fillId="0" borderId="0" xfId="1" applyNumberFormat="1" applyFont="1" applyAlignment="1" applyProtection="1">
      <alignment horizontal="center" vertical="center"/>
      <protection locked="0"/>
    </xf>
    <xf numFmtId="3" fontId="19" fillId="0" borderId="0" xfId="0" applyNumberFormat="1" applyFont="1" applyAlignment="1" applyProtection="1">
      <alignment horizontal="center" vertical="center" wrapText="1"/>
      <protection locked="0"/>
    </xf>
    <xf numFmtId="10" fontId="20" fillId="0" borderId="0" xfId="1" applyNumberFormat="1" applyFont="1" applyAlignment="1" applyProtection="1">
      <alignment horizontal="center" vertical="center" wrapText="1"/>
      <protection locked="0"/>
    </xf>
    <xf numFmtId="3" fontId="28" fillId="0" borderId="0" xfId="0" applyNumberFormat="1" applyFont="1" applyAlignment="1" applyProtection="1">
      <alignment vertical="center" wrapText="1"/>
      <protection locked="0"/>
    </xf>
    <xf numFmtId="10" fontId="21" fillId="0" borderId="0" xfId="1" applyNumberFormat="1" applyFont="1" applyAlignment="1" applyProtection="1">
      <alignment horizontal="center" vertical="center" wrapText="1"/>
      <protection locked="0"/>
    </xf>
    <xf numFmtId="0" fontId="19" fillId="0" borderId="0" xfId="0" applyFont="1" applyAlignment="1" applyProtection="1">
      <alignment vertical="center"/>
      <protection locked="0"/>
    </xf>
    <xf numFmtId="17" fontId="22" fillId="0" borderId="0" xfId="0" applyNumberFormat="1" applyFont="1" applyAlignment="1" applyProtection="1">
      <alignment vertical="center"/>
      <protection locked="0"/>
    </xf>
    <xf numFmtId="17" fontId="22" fillId="0" borderId="0" xfId="0" applyNumberFormat="1" applyFont="1" applyAlignment="1" applyProtection="1">
      <alignment horizontal="left" vertical="center"/>
      <protection locked="0"/>
    </xf>
    <xf numFmtId="3" fontId="22" fillId="0" borderId="0" xfId="0" applyNumberFormat="1" applyFont="1" applyAlignment="1" applyProtection="1">
      <alignment horizontal="center" vertical="center"/>
      <protection locked="0"/>
    </xf>
    <xf numFmtId="9" fontId="22" fillId="0" borderId="0" xfId="1" applyFont="1" applyAlignment="1" applyProtection="1">
      <alignment horizontal="center" vertical="center"/>
      <protection locked="0"/>
    </xf>
    <xf numFmtId="10" fontId="22" fillId="0" borderId="0" xfId="1" applyNumberFormat="1" applyFont="1" applyAlignment="1" applyProtection="1">
      <alignment horizontal="center" vertical="center"/>
      <protection locked="0"/>
    </xf>
    <xf numFmtId="3" fontId="33" fillId="12" borderId="21" xfId="0" applyNumberFormat="1" applyFont="1" applyFill="1" applyBorder="1" applyAlignment="1" applyProtection="1">
      <alignment horizontal="center" vertical="center" wrapText="1"/>
      <protection locked="0"/>
    </xf>
    <xf numFmtId="0" fontId="33" fillId="12" borderId="20" xfId="0" applyNumberFormat="1" applyFont="1" applyFill="1" applyBorder="1" applyAlignment="1" applyProtection="1">
      <alignment horizontal="center" vertical="center" wrapText="1"/>
      <protection locked="0"/>
    </xf>
    <xf numFmtId="0" fontId="33" fillId="12" borderId="18" xfId="0" applyNumberFormat="1" applyFont="1" applyFill="1" applyBorder="1" applyAlignment="1" applyProtection="1">
      <alignment horizontal="center" vertical="center" wrapText="1"/>
      <protection locked="0"/>
    </xf>
    <xf numFmtId="0" fontId="33" fillId="12" borderId="21" xfId="0" applyNumberFormat="1" applyFont="1" applyFill="1" applyBorder="1" applyAlignment="1" applyProtection="1">
      <alignment horizontal="center" vertical="center" wrapText="1"/>
      <protection locked="0"/>
    </xf>
    <xf numFmtId="3" fontId="33" fillId="12" borderId="20" xfId="0" applyNumberFormat="1" applyFont="1" applyFill="1" applyBorder="1" applyAlignment="1" applyProtection="1">
      <alignment horizontal="center" vertical="center" wrapText="1"/>
      <protection locked="0"/>
    </xf>
    <xf numFmtId="10" fontId="33" fillId="12" borderId="18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18" xfId="1" applyNumberFormat="1" applyFont="1" applyFill="1" applyBorder="1" applyAlignment="1" applyProtection="1">
      <alignment horizontal="center" vertical="center" wrapText="1"/>
      <protection locked="0"/>
    </xf>
    <xf numFmtId="3" fontId="33" fillId="12" borderId="19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71" xfId="1" applyNumberFormat="1" applyFont="1" applyFill="1" applyBorder="1" applyAlignment="1" applyProtection="1">
      <alignment horizontal="center" vertical="center" wrapText="1"/>
      <protection locked="0"/>
    </xf>
    <xf numFmtId="0" fontId="27" fillId="0" borderId="57" xfId="0" applyFont="1" applyBorder="1" applyAlignment="1" applyProtection="1">
      <alignment horizontal="center" vertical="center"/>
      <protection locked="0"/>
    </xf>
    <xf numFmtId="0" fontId="28" fillId="0" borderId="74" xfId="0" applyFont="1" applyFill="1" applyBorder="1" applyAlignment="1" applyProtection="1">
      <alignment horizontal="left" vertical="center" wrapText="1"/>
      <protection locked="0"/>
    </xf>
    <xf numFmtId="3" fontId="30" fillId="0" borderId="7" xfId="0" applyNumberFormat="1" applyFont="1" applyFill="1" applyBorder="1" applyAlignment="1" applyProtection="1">
      <alignment horizontal="center" vertical="center"/>
      <protection locked="0"/>
    </xf>
    <xf numFmtId="3" fontId="30" fillId="0" borderId="3" xfId="0" applyNumberFormat="1" applyFont="1" applyFill="1" applyBorder="1" applyAlignment="1" applyProtection="1">
      <alignment horizontal="center" vertical="center"/>
      <protection locked="0"/>
    </xf>
    <xf numFmtId="0" fontId="27" fillId="0" borderId="59" xfId="0" applyFont="1" applyBorder="1" applyAlignment="1" applyProtection="1">
      <alignment horizontal="center" vertical="center"/>
      <protection locked="0"/>
    </xf>
    <xf numFmtId="0" fontId="28" fillId="0" borderId="62" xfId="0" applyFont="1" applyFill="1" applyBorder="1" applyAlignment="1" applyProtection="1">
      <alignment horizontal="left" vertical="center" wrapText="1"/>
      <protection locked="0"/>
    </xf>
    <xf numFmtId="3" fontId="30" fillId="0" borderId="13" xfId="0" applyNumberFormat="1" applyFont="1" applyFill="1" applyBorder="1" applyAlignment="1" applyProtection="1">
      <alignment horizontal="center" vertical="center"/>
      <protection locked="0"/>
    </xf>
    <xf numFmtId="3" fontId="30" fillId="0" borderId="11" xfId="0" applyNumberFormat="1" applyFont="1" applyFill="1" applyBorder="1" applyAlignment="1" applyProtection="1">
      <alignment horizontal="center" vertical="center"/>
      <protection locked="0"/>
    </xf>
    <xf numFmtId="0" fontId="28" fillId="0" borderId="59" xfId="0" applyFont="1" applyBorder="1" applyAlignment="1" applyProtection="1">
      <alignment horizontal="center" vertical="center"/>
      <protection locked="0"/>
    </xf>
    <xf numFmtId="0" fontId="30" fillId="0" borderId="62" xfId="0" applyFont="1" applyFill="1" applyBorder="1" applyAlignment="1" applyProtection="1">
      <alignment horizontal="left" vertical="center" wrapText="1"/>
      <protection locked="0"/>
    </xf>
    <xf numFmtId="3" fontId="30" fillId="0" borderId="13" xfId="1" applyNumberFormat="1" applyFont="1" applyFill="1" applyBorder="1" applyAlignment="1" applyProtection="1">
      <alignment horizontal="center" vertical="center"/>
      <protection locked="0"/>
    </xf>
    <xf numFmtId="0" fontId="27" fillId="0" borderId="60" xfId="0" applyFont="1" applyBorder="1" applyAlignment="1" applyProtection="1">
      <alignment horizontal="center" vertical="center"/>
      <protection locked="0"/>
    </xf>
    <xf numFmtId="0" fontId="30" fillId="0" borderId="71" xfId="0" applyFont="1" applyFill="1" applyBorder="1" applyAlignment="1" applyProtection="1">
      <alignment horizontal="left" vertical="center" wrapText="1"/>
      <protection locked="0"/>
    </xf>
    <xf numFmtId="3" fontId="30" fillId="0" borderId="20" xfId="0" applyNumberFormat="1" applyFont="1" applyFill="1" applyBorder="1" applyAlignment="1" applyProtection="1">
      <alignment horizontal="center" vertical="center"/>
      <protection locked="0"/>
    </xf>
    <xf numFmtId="3" fontId="30" fillId="0" borderId="18" xfId="0" applyNumberFormat="1" applyFont="1" applyFill="1" applyBorder="1" applyAlignment="1" applyProtection="1">
      <alignment horizontal="center" vertical="center"/>
      <protection locked="0"/>
    </xf>
    <xf numFmtId="3" fontId="30" fillId="0" borderId="20" xfId="1" applyNumberFormat="1" applyFont="1" applyFill="1" applyBorder="1" applyAlignment="1" applyProtection="1">
      <alignment horizontal="center" vertical="center"/>
      <protection locked="0"/>
    </xf>
    <xf numFmtId="0" fontId="28" fillId="0" borderId="62" xfId="0" applyFont="1" applyFill="1" applyBorder="1" applyAlignment="1" applyProtection="1">
      <alignment horizontal="left" vertical="center"/>
      <protection locked="0"/>
    </xf>
    <xf numFmtId="0" fontId="28" fillId="0" borderId="71" xfId="0" applyFont="1" applyFill="1" applyBorder="1" applyAlignment="1" applyProtection="1">
      <alignment horizontal="left" vertical="center" wrapText="1"/>
      <protection locked="0"/>
    </xf>
    <xf numFmtId="10" fontId="20" fillId="0" borderId="0" xfId="1" applyNumberFormat="1" applyFont="1" applyAlignment="1" applyProtection="1">
      <alignment horizontal="center" vertical="center"/>
      <protection locked="0"/>
    </xf>
    <xf numFmtId="10" fontId="31" fillId="0" borderId="7" xfId="1" applyNumberFormat="1" applyFont="1" applyFill="1" applyBorder="1" applyAlignment="1" applyProtection="1">
      <alignment horizontal="center" vertical="center"/>
    </xf>
    <xf numFmtId="10" fontId="31" fillId="0" borderId="11" xfId="1" applyNumberFormat="1" applyFont="1" applyFill="1" applyBorder="1" applyAlignment="1" applyProtection="1">
      <alignment horizontal="center" vertical="center"/>
    </xf>
    <xf numFmtId="10" fontId="31" fillId="0" borderId="13" xfId="1" applyNumberFormat="1" applyFont="1" applyFill="1" applyBorder="1" applyAlignment="1" applyProtection="1">
      <alignment horizontal="center" vertical="center"/>
    </xf>
    <xf numFmtId="10" fontId="31" fillId="0" borderId="18" xfId="1" applyNumberFormat="1" applyFont="1" applyFill="1" applyBorder="1" applyAlignment="1" applyProtection="1">
      <alignment horizontal="center" vertical="center"/>
    </xf>
    <xf numFmtId="10" fontId="31" fillId="0" borderId="20" xfId="1" applyNumberFormat="1" applyFont="1" applyFill="1" applyBorder="1" applyAlignment="1" applyProtection="1">
      <alignment horizontal="center" vertical="center"/>
    </xf>
    <xf numFmtId="10" fontId="31" fillId="0" borderId="11" xfId="1" applyNumberFormat="1" applyFont="1" applyFill="1" applyBorder="1" applyAlignment="1" applyProtection="1">
      <alignment horizontal="center" vertical="center" wrapText="1"/>
    </xf>
    <xf numFmtId="0" fontId="20" fillId="0" borderId="0" xfId="0" applyFont="1" applyAlignment="1" applyProtection="1">
      <alignment horizontal="center" vertical="center" wrapText="1"/>
      <protection locked="0"/>
    </xf>
    <xf numFmtId="3" fontId="22" fillId="0" borderId="0" xfId="0" applyNumberFormat="1" applyFont="1" applyFill="1" applyAlignment="1" applyProtection="1">
      <alignment horizontal="center" vertical="center"/>
      <protection locked="0"/>
    </xf>
    <xf numFmtId="0" fontId="27" fillId="0" borderId="1" xfId="0" applyFont="1" applyBorder="1" applyAlignment="1" applyProtection="1">
      <alignment horizontal="center" vertical="center"/>
      <protection locked="0"/>
    </xf>
    <xf numFmtId="0" fontId="30" fillId="8" borderId="28" xfId="0" applyFont="1" applyFill="1" applyBorder="1" applyAlignment="1" applyProtection="1">
      <alignment vertical="center"/>
      <protection locked="0"/>
    </xf>
    <xf numFmtId="3" fontId="30" fillId="8" borderId="36" xfId="0" applyNumberFormat="1" applyFont="1" applyFill="1" applyBorder="1" applyAlignment="1" applyProtection="1">
      <alignment horizontal="center" vertical="center"/>
      <protection locked="0"/>
    </xf>
    <xf numFmtId="3" fontId="30" fillId="8" borderId="70" xfId="0" applyNumberFormat="1" applyFont="1" applyFill="1" applyBorder="1" applyAlignment="1" applyProtection="1">
      <alignment horizontal="center" vertical="center"/>
      <protection locked="0"/>
    </xf>
    <xf numFmtId="3" fontId="30" fillId="8" borderId="26" xfId="0" applyNumberFormat="1" applyFont="1" applyFill="1" applyBorder="1" applyAlignment="1" applyProtection="1">
      <alignment horizontal="center" vertical="center"/>
      <protection locked="0"/>
    </xf>
    <xf numFmtId="3" fontId="30" fillId="0" borderId="28" xfId="0" applyNumberFormat="1" applyFont="1" applyFill="1" applyBorder="1" applyAlignment="1" applyProtection="1">
      <alignment horizontal="center" vertical="center"/>
      <protection locked="0"/>
    </xf>
    <xf numFmtId="0" fontId="27" fillId="0" borderId="9" xfId="0" applyFont="1" applyBorder="1" applyAlignment="1" applyProtection="1">
      <alignment horizontal="center" vertical="center"/>
      <protection locked="0"/>
    </xf>
    <xf numFmtId="0" fontId="30" fillId="8" borderId="11" xfId="0" applyFont="1" applyFill="1" applyBorder="1" applyAlignment="1" applyProtection="1">
      <alignment vertical="center"/>
      <protection locked="0"/>
    </xf>
    <xf numFmtId="3" fontId="30" fillId="8" borderId="10" xfId="0" applyNumberFormat="1" applyFont="1" applyFill="1" applyBorder="1" applyAlignment="1" applyProtection="1">
      <alignment horizontal="center" vertical="center"/>
      <protection locked="0"/>
    </xf>
    <xf numFmtId="3" fontId="30" fillId="8" borderId="62" xfId="0" applyNumberFormat="1" applyFont="1" applyFill="1" applyBorder="1" applyAlignment="1" applyProtection="1">
      <alignment horizontal="center" vertical="center"/>
      <protection locked="0"/>
    </xf>
    <xf numFmtId="3" fontId="30" fillId="8" borderId="13" xfId="0" applyNumberFormat="1" applyFont="1" applyFill="1" applyBorder="1" applyAlignment="1" applyProtection="1">
      <alignment horizontal="center" vertical="center"/>
      <protection locked="0"/>
    </xf>
    <xf numFmtId="0" fontId="30" fillId="8" borderId="34" xfId="0" applyFont="1" applyFill="1" applyBorder="1" applyAlignment="1" applyProtection="1">
      <alignment vertical="center"/>
      <protection locked="0"/>
    </xf>
    <xf numFmtId="3" fontId="30" fillId="8" borderId="17" xfId="0" applyNumberFormat="1" applyFont="1" applyFill="1" applyBorder="1" applyAlignment="1" applyProtection="1">
      <alignment horizontal="center" vertical="center"/>
      <protection locked="0"/>
    </xf>
    <xf numFmtId="3" fontId="30" fillId="8" borderId="69" xfId="0" applyNumberFormat="1" applyFont="1" applyFill="1" applyBorder="1" applyAlignment="1" applyProtection="1">
      <alignment horizontal="center" vertical="center"/>
      <protection locked="0"/>
    </xf>
    <xf numFmtId="3" fontId="30" fillId="8" borderId="40" xfId="0" applyNumberFormat="1" applyFont="1" applyFill="1" applyBorder="1" applyAlignment="1" applyProtection="1">
      <alignment horizontal="center" vertical="center"/>
      <protection locked="0"/>
    </xf>
    <xf numFmtId="10" fontId="31" fillId="0" borderId="37" xfId="1" applyNumberFormat="1" applyFont="1" applyFill="1" applyBorder="1" applyAlignment="1" applyProtection="1">
      <alignment horizontal="center" vertical="center"/>
      <protection locked="0"/>
    </xf>
    <xf numFmtId="3" fontId="28" fillId="11" borderId="48" xfId="0" applyNumberFormat="1" applyFont="1" applyFill="1" applyBorder="1" applyAlignment="1" applyProtection="1">
      <alignment horizontal="center" vertical="center"/>
      <protection locked="0"/>
    </xf>
    <xf numFmtId="3" fontId="28" fillId="11" borderId="63" xfId="0" applyNumberFormat="1" applyFont="1" applyFill="1" applyBorder="1" applyAlignment="1" applyProtection="1">
      <alignment horizontal="center" vertical="center"/>
      <protection locked="0"/>
    </xf>
    <xf numFmtId="0" fontId="30" fillId="8" borderId="34" xfId="0" applyFont="1" applyFill="1" applyBorder="1" applyAlignment="1" applyProtection="1">
      <alignment vertical="center" wrapText="1"/>
      <protection locked="0"/>
    </xf>
    <xf numFmtId="3" fontId="30" fillId="8" borderId="35" xfId="0" applyNumberFormat="1" applyFont="1" applyFill="1" applyBorder="1" applyAlignment="1" applyProtection="1">
      <alignment horizontal="center" vertical="center"/>
      <protection locked="0"/>
    </xf>
    <xf numFmtId="3" fontId="30" fillId="8" borderId="64" xfId="0" applyNumberFormat="1" applyFont="1" applyFill="1" applyBorder="1" applyAlignment="1" applyProtection="1">
      <alignment horizontal="center" vertical="center"/>
      <protection locked="0"/>
    </xf>
    <xf numFmtId="3" fontId="30" fillId="8" borderId="38" xfId="0" applyNumberFormat="1" applyFont="1" applyFill="1" applyBorder="1" applyAlignment="1" applyProtection="1">
      <alignment horizontal="center" vertical="center"/>
      <protection locked="0"/>
    </xf>
    <xf numFmtId="3" fontId="30" fillId="0" borderId="31" xfId="0" applyNumberFormat="1" applyFont="1" applyFill="1" applyBorder="1" applyAlignment="1" applyProtection="1">
      <alignment horizontal="center" vertical="center"/>
      <protection locked="0"/>
    </xf>
    <xf numFmtId="16" fontId="30" fillId="8" borderId="28" xfId="0" applyNumberFormat="1" applyFont="1" applyFill="1" applyBorder="1" applyAlignment="1" applyProtection="1">
      <alignment vertical="center"/>
      <protection locked="0"/>
    </xf>
    <xf numFmtId="16" fontId="30" fillId="8" borderId="11" xfId="0" applyNumberFormat="1" applyFont="1" applyFill="1" applyBorder="1" applyAlignment="1" applyProtection="1">
      <alignment vertical="center"/>
      <protection locked="0"/>
    </xf>
    <xf numFmtId="16" fontId="30" fillId="8" borderId="34" xfId="0" applyNumberFormat="1" applyFont="1" applyFill="1" applyBorder="1" applyAlignment="1" applyProtection="1">
      <alignment vertical="center"/>
      <protection locked="0"/>
    </xf>
    <xf numFmtId="0" fontId="18" fillId="0" borderId="0" xfId="0" applyFont="1" applyAlignment="1" applyProtection="1">
      <alignment vertical="center"/>
      <protection locked="0"/>
    </xf>
    <xf numFmtId="0" fontId="30" fillId="8" borderId="11" xfId="0" applyFont="1" applyFill="1" applyBorder="1" applyAlignment="1" applyProtection="1">
      <alignment vertical="center" wrapText="1"/>
      <protection locked="0"/>
    </xf>
    <xf numFmtId="0" fontId="30" fillId="8" borderId="28" xfId="0" applyFont="1" applyFill="1" applyBorder="1" applyAlignment="1" applyProtection="1">
      <alignment vertical="center" wrapText="1"/>
      <protection locked="0"/>
    </xf>
    <xf numFmtId="0" fontId="30" fillId="0" borderId="28" xfId="0" applyFont="1" applyFill="1" applyBorder="1" applyAlignment="1" applyProtection="1">
      <alignment horizontal="left" vertical="center"/>
      <protection locked="0"/>
    </xf>
    <xf numFmtId="0" fontId="30" fillId="0" borderId="11" xfId="0" applyFont="1" applyFill="1" applyBorder="1" applyAlignment="1" applyProtection="1">
      <alignment horizontal="left" vertical="center" wrapText="1"/>
      <protection locked="0"/>
    </xf>
    <xf numFmtId="0" fontId="30" fillId="0" borderId="34" xfId="0" applyFont="1" applyFill="1" applyBorder="1" applyAlignment="1" applyProtection="1">
      <alignment horizontal="left" vertical="center" wrapText="1"/>
      <protection locked="0"/>
    </xf>
    <xf numFmtId="0" fontId="30" fillId="0" borderId="34" xfId="0" applyFont="1" applyFill="1" applyBorder="1" applyAlignment="1" applyProtection="1">
      <alignment horizontal="left" vertical="center"/>
      <protection locked="0"/>
    </xf>
    <xf numFmtId="0" fontId="28" fillId="8" borderId="11" xfId="0" applyFont="1" applyFill="1" applyBorder="1" applyAlignment="1" applyProtection="1">
      <alignment vertical="center" wrapText="1"/>
      <protection locked="0"/>
    </xf>
    <xf numFmtId="0" fontId="28" fillId="11" borderId="42" xfId="0" applyFont="1" applyFill="1" applyBorder="1" applyAlignment="1" applyProtection="1">
      <alignment vertical="center"/>
      <protection locked="0"/>
    </xf>
    <xf numFmtId="0" fontId="30" fillId="0" borderId="11" xfId="0" applyFont="1" applyFill="1" applyBorder="1" applyAlignment="1" applyProtection="1">
      <alignment horizontal="left" vertical="center"/>
      <protection locked="0"/>
    </xf>
    <xf numFmtId="0" fontId="28" fillId="8" borderId="18" xfId="0" applyFont="1" applyFill="1" applyBorder="1" applyAlignment="1" applyProtection="1">
      <alignment vertical="center" wrapText="1"/>
      <protection locked="0"/>
    </xf>
    <xf numFmtId="0" fontId="28" fillId="11" borderId="1" xfId="0" applyFont="1" applyFill="1" applyBorder="1" applyAlignment="1" applyProtection="1">
      <alignment vertical="center"/>
      <protection locked="0"/>
    </xf>
    <xf numFmtId="3" fontId="28" fillId="11" borderId="50" xfId="0" applyNumberFormat="1" applyFont="1" applyFill="1" applyBorder="1" applyAlignment="1" applyProtection="1">
      <alignment horizontal="center" vertical="center"/>
      <protection locked="0"/>
    </xf>
    <xf numFmtId="3" fontId="28" fillId="11" borderId="6" xfId="0" applyNumberFormat="1" applyFont="1" applyFill="1" applyBorder="1" applyAlignment="1" applyProtection="1">
      <alignment horizontal="center" vertical="center"/>
      <protection locked="0"/>
    </xf>
    <xf numFmtId="3" fontId="28" fillId="9" borderId="48" xfId="0" applyNumberFormat="1" applyFont="1" applyFill="1" applyBorder="1" applyAlignment="1" applyProtection="1">
      <alignment horizontal="center" vertical="center"/>
      <protection locked="0"/>
    </xf>
    <xf numFmtId="3" fontId="28" fillId="9" borderId="63" xfId="0" applyNumberFormat="1" applyFont="1" applyFill="1" applyBorder="1" applyAlignment="1" applyProtection="1">
      <alignment horizontal="center" vertical="center"/>
      <protection locked="0"/>
    </xf>
    <xf numFmtId="0" fontId="30" fillId="0" borderId="31" xfId="0" applyFont="1" applyFill="1" applyBorder="1" applyAlignment="1" applyProtection="1">
      <alignment horizontal="left" vertical="center" wrapText="1"/>
      <protection locked="0"/>
    </xf>
    <xf numFmtId="0" fontId="30" fillId="8" borderId="28" xfId="0" applyFont="1" applyFill="1" applyBorder="1" applyAlignment="1" applyProtection="1">
      <alignment horizontal="left" vertical="center"/>
      <protection locked="0"/>
    </xf>
    <xf numFmtId="0" fontId="30" fillId="8" borderId="11" xfId="0" applyFont="1" applyFill="1" applyBorder="1" applyAlignment="1" applyProtection="1">
      <alignment horizontal="left" vertical="center"/>
      <protection locked="0"/>
    </xf>
    <xf numFmtId="0" fontId="30" fillId="8" borderId="34" xfId="0" applyFont="1" applyFill="1" applyBorder="1" applyAlignment="1" applyProtection="1">
      <alignment horizontal="left" vertical="center"/>
      <protection locked="0"/>
    </xf>
    <xf numFmtId="0" fontId="30" fillId="8" borderId="28" xfId="0" applyFont="1" applyFill="1" applyBorder="1" applyAlignment="1" applyProtection="1">
      <alignment horizontal="left" vertical="center" wrapText="1"/>
      <protection locked="0"/>
    </xf>
    <xf numFmtId="3" fontId="30" fillId="0" borderId="70" xfId="0" applyNumberFormat="1" applyFont="1" applyFill="1" applyBorder="1" applyAlignment="1" applyProtection="1">
      <alignment horizontal="center" vertical="center"/>
      <protection locked="0"/>
    </xf>
    <xf numFmtId="3" fontId="30" fillId="0" borderId="62" xfId="0" applyNumberFormat="1" applyFont="1" applyFill="1" applyBorder="1" applyAlignment="1" applyProtection="1">
      <alignment horizontal="center" vertical="center"/>
      <protection locked="0"/>
    </xf>
    <xf numFmtId="3" fontId="30" fillId="0" borderId="69" xfId="0" applyNumberFormat="1" applyFont="1" applyFill="1" applyBorder="1" applyAlignment="1" applyProtection="1">
      <alignment horizontal="center" vertical="center"/>
      <protection locked="0"/>
    </xf>
    <xf numFmtId="0" fontId="27" fillId="0" borderId="16" xfId="0" applyFont="1" applyBorder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vertical="center"/>
      <protection locked="0"/>
    </xf>
    <xf numFmtId="3" fontId="28" fillId="11" borderId="48" xfId="0" applyNumberFormat="1" applyFont="1" applyFill="1" applyBorder="1" applyAlignment="1" applyProtection="1">
      <alignment horizontal="center" vertical="center"/>
    </xf>
    <xf numFmtId="3" fontId="28" fillId="11" borderId="46" xfId="0" applyNumberFormat="1" applyFont="1" applyFill="1" applyBorder="1" applyAlignment="1" applyProtection="1">
      <alignment horizontal="center" vertical="center"/>
    </xf>
    <xf numFmtId="3" fontId="28" fillId="11" borderId="47" xfId="0" applyNumberFormat="1" applyFont="1" applyFill="1" applyBorder="1" applyAlignment="1" applyProtection="1">
      <alignment horizontal="center" vertical="center"/>
    </xf>
    <xf numFmtId="3" fontId="28" fillId="11" borderId="63" xfId="0" applyNumberFormat="1" applyFont="1" applyFill="1" applyBorder="1" applyAlignment="1" applyProtection="1">
      <alignment horizontal="center" vertical="center"/>
    </xf>
    <xf numFmtId="3" fontId="27" fillId="13" borderId="46" xfId="0" applyNumberFormat="1" applyFont="1" applyFill="1" applyBorder="1" applyAlignment="1" applyProtection="1">
      <alignment horizontal="center" vertical="center"/>
    </xf>
    <xf numFmtId="3" fontId="27" fillId="13" borderId="47" xfId="0" applyNumberFormat="1" applyFont="1" applyFill="1" applyBorder="1" applyAlignment="1" applyProtection="1">
      <alignment horizontal="center" vertical="center"/>
    </xf>
    <xf numFmtId="3" fontId="27" fillId="13" borderId="48" xfId="0" applyNumberFormat="1" applyFont="1" applyFill="1" applyBorder="1" applyAlignment="1" applyProtection="1">
      <alignment horizontal="center" vertical="center"/>
    </xf>
    <xf numFmtId="3" fontId="27" fillId="13" borderId="63" xfId="0" applyNumberFormat="1" applyFont="1" applyFill="1" applyBorder="1" applyAlignment="1" applyProtection="1">
      <alignment horizontal="center" vertical="center"/>
    </xf>
    <xf numFmtId="3" fontId="28" fillId="16" borderId="46" xfId="0" applyNumberFormat="1" applyFont="1" applyFill="1" applyBorder="1" applyAlignment="1" applyProtection="1">
      <alignment horizontal="center" vertical="center"/>
    </xf>
    <xf numFmtId="3" fontId="28" fillId="16" borderId="47" xfId="0" applyNumberFormat="1" applyFont="1" applyFill="1" applyBorder="1" applyAlignment="1" applyProtection="1">
      <alignment horizontal="center" vertical="center"/>
    </xf>
    <xf numFmtId="3" fontId="28" fillId="16" borderId="48" xfId="0" applyNumberFormat="1" applyFont="1" applyFill="1" applyBorder="1" applyAlignment="1" applyProtection="1">
      <alignment horizontal="center" vertical="center"/>
    </xf>
    <xf numFmtId="3" fontId="28" fillId="16" borderId="63" xfId="0" applyNumberFormat="1" applyFont="1" applyFill="1" applyBorder="1" applyAlignment="1" applyProtection="1">
      <alignment horizontal="center" vertical="center"/>
    </xf>
    <xf numFmtId="3" fontId="28" fillId="8" borderId="36" xfId="0" applyNumberFormat="1" applyFont="1" applyFill="1" applyBorder="1" applyAlignment="1" applyProtection="1">
      <alignment horizontal="center" vertical="center"/>
    </xf>
    <xf numFmtId="3" fontId="28" fillId="8" borderId="10" xfId="0" applyNumberFormat="1" applyFont="1" applyFill="1" applyBorder="1" applyAlignment="1" applyProtection="1">
      <alignment horizontal="center" vertical="center"/>
    </xf>
    <xf numFmtId="3" fontId="28" fillId="8" borderId="17" xfId="0" applyNumberFormat="1" applyFont="1" applyFill="1" applyBorder="1" applyAlignment="1" applyProtection="1">
      <alignment horizontal="center" vertical="center"/>
    </xf>
    <xf numFmtId="3" fontId="28" fillId="8" borderId="35" xfId="0" applyNumberFormat="1" applyFont="1" applyFill="1" applyBorder="1" applyAlignment="1" applyProtection="1">
      <alignment horizontal="center" vertical="center"/>
    </xf>
    <xf numFmtId="10" fontId="31" fillId="0" borderId="25" xfId="1" applyNumberFormat="1" applyFont="1" applyFill="1" applyBorder="1" applyAlignment="1" applyProtection="1">
      <alignment horizontal="center" vertical="center"/>
    </xf>
    <xf numFmtId="10" fontId="31" fillId="0" borderId="12" xfId="1" applyNumberFormat="1" applyFont="1" applyFill="1" applyBorder="1" applyAlignment="1" applyProtection="1">
      <alignment horizontal="center" vertical="center"/>
    </xf>
    <xf numFmtId="10" fontId="31" fillId="0" borderId="37" xfId="1" applyNumberFormat="1" applyFont="1" applyFill="1" applyBorder="1" applyAlignment="1" applyProtection="1">
      <alignment horizontal="center" vertical="center"/>
    </xf>
    <xf numFmtId="10" fontId="28" fillId="11" borderId="45" xfId="1" applyNumberFormat="1" applyFont="1" applyFill="1" applyBorder="1" applyAlignment="1" applyProtection="1">
      <alignment horizontal="center" vertical="center"/>
    </xf>
    <xf numFmtId="10" fontId="31" fillId="0" borderId="32" xfId="1" applyNumberFormat="1" applyFont="1" applyFill="1" applyBorder="1" applyAlignment="1" applyProtection="1">
      <alignment horizontal="center" vertical="center"/>
    </xf>
    <xf numFmtId="10" fontId="27" fillId="13" borderId="45" xfId="1" applyNumberFormat="1" applyFont="1" applyFill="1" applyBorder="1" applyAlignment="1" applyProtection="1">
      <alignment horizontal="center" vertical="center"/>
    </xf>
    <xf numFmtId="10" fontId="28" fillId="16" borderId="45" xfId="1" applyNumberFormat="1" applyFont="1" applyFill="1" applyBorder="1" applyAlignment="1" applyProtection="1">
      <alignment horizontal="center" vertical="center"/>
    </xf>
    <xf numFmtId="10" fontId="31" fillId="0" borderId="28" xfId="1" applyNumberFormat="1" applyFont="1" applyFill="1" applyBorder="1" applyAlignment="1" applyProtection="1">
      <alignment horizontal="center" vertical="center" wrapText="1"/>
    </xf>
    <xf numFmtId="10" fontId="31" fillId="0" borderId="34" xfId="1" applyNumberFormat="1" applyFont="1" applyFill="1" applyBorder="1" applyAlignment="1" applyProtection="1">
      <alignment horizontal="center" vertical="center" wrapText="1"/>
    </xf>
    <xf numFmtId="10" fontId="28" fillId="11" borderId="47" xfId="1" applyNumberFormat="1" applyFont="1" applyFill="1" applyBorder="1" applyAlignment="1" applyProtection="1">
      <alignment horizontal="center" vertical="center"/>
    </xf>
    <xf numFmtId="10" fontId="31" fillId="0" borderId="28" xfId="1" applyNumberFormat="1" applyFont="1" applyFill="1" applyBorder="1" applyAlignment="1" applyProtection="1">
      <alignment horizontal="center" vertical="center"/>
    </xf>
    <xf numFmtId="10" fontId="31" fillId="0" borderId="34" xfId="1" applyNumberFormat="1" applyFont="1" applyFill="1" applyBorder="1" applyAlignment="1" applyProtection="1">
      <alignment horizontal="center" vertical="center"/>
    </xf>
    <xf numFmtId="10" fontId="31" fillId="0" borderId="31" xfId="1" applyNumberFormat="1" applyFont="1" applyFill="1" applyBorder="1" applyAlignment="1" applyProtection="1">
      <alignment horizontal="center" vertical="center"/>
    </xf>
    <xf numFmtId="10" fontId="27" fillId="13" borderId="47" xfId="1" applyNumberFormat="1" applyFont="1" applyFill="1" applyBorder="1" applyAlignment="1" applyProtection="1">
      <alignment horizontal="center" vertical="center"/>
    </xf>
    <xf numFmtId="10" fontId="28" fillId="16" borderId="47" xfId="1" applyNumberFormat="1" applyFont="1" applyFill="1" applyBorder="1" applyAlignment="1" applyProtection="1">
      <alignment horizontal="center" vertical="center"/>
    </xf>
    <xf numFmtId="10" fontId="31" fillId="8" borderId="28" xfId="1" applyNumberFormat="1" applyFont="1" applyFill="1" applyBorder="1" applyAlignment="1" applyProtection="1">
      <alignment horizontal="center" vertical="center"/>
    </xf>
    <xf numFmtId="10" fontId="31" fillId="8" borderId="11" xfId="1" applyNumberFormat="1" applyFont="1" applyFill="1" applyBorder="1" applyAlignment="1" applyProtection="1">
      <alignment horizontal="center" vertical="center"/>
    </xf>
    <xf numFmtId="10" fontId="31" fillId="8" borderId="34" xfId="1" applyNumberFormat="1" applyFont="1" applyFill="1" applyBorder="1" applyAlignment="1" applyProtection="1">
      <alignment horizontal="center" vertical="center"/>
    </xf>
    <xf numFmtId="10" fontId="31" fillId="8" borderId="31" xfId="1" applyNumberFormat="1" applyFont="1" applyFill="1" applyBorder="1" applyAlignment="1" applyProtection="1">
      <alignment horizontal="center" vertical="center"/>
    </xf>
    <xf numFmtId="10" fontId="28" fillId="11" borderId="4" xfId="1" applyNumberFormat="1" applyFont="1" applyFill="1" applyBorder="1" applyAlignment="1" applyProtection="1">
      <alignment horizontal="center" vertical="center"/>
    </xf>
    <xf numFmtId="10" fontId="28" fillId="11" borderId="27" xfId="1" applyNumberFormat="1" applyFont="1" applyFill="1" applyBorder="1" applyAlignment="1" applyProtection="1">
      <alignment horizontal="center" vertical="center"/>
    </xf>
    <xf numFmtId="10" fontId="28" fillId="9" borderId="45" xfId="1" applyNumberFormat="1" applyFont="1" applyFill="1" applyBorder="1" applyAlignment="1" applyProtection="1">
      <alignment horizontal="center" vertical="center"/>
    </xf>
    <xf numFmtId="10" fontId="28" fillId="9" borderId="47" xfId="1" applyNumberFormat="1" applyFont="1" applyFill="1" applyBorder="1" applyAlignment="1" applyProtection="1">
      <alignment horizontal="center" vertical="center"/>
    </xf>
    <xf numFmtId="10" fontId="28" fillId="0" borderId="25" xfId="1" applyNumberFormat="1" applyFont="1" applyFill="1" applyBorder="1" applyAlignment="1" applyProtection="1">
      <alignment horizontal="center" vertical="center"/>
    </xf>
    <xf numFmtId="10" fontId="28" fillId="0" borderId="28" xfId="1" applyNumberFormat="1" applyFont="1" applyFill="1" applyBorder="1" applyAlignment="1" applyProtection="1">
      <alignment horizontal="center" vertical="center"/>
    </xf>
    <xf numFmtId="10" fontId="28" fillId="0" borderId="12" xfId="1" applyNumberFormat="1" applyFont="1" applyFill="1" applyBorder="1" applyAlignment="1" applyProtection="1">
      <alignment horizontal="center" vertical="center"/>
    </xf>
    <xf numFmtId="10" fontId="28" fillId="0" borderId="11" xfId="1" applyNumberFormat="1" applyFont="1" applyFill="1" applyBorder="1" applyAlignment="1" applyProtection="1">
      <alignment horizontal="center" vertical="center"/>
    </xf>
    <xf numFmtId="10" fontId="28" fillId="0" borderId="37" xfId="1" applyNumberFormat="1" applyFont="1" applyFill="1" applyBorder="1" applyAlignment="1" applyProtection="1">
      <alignment horizontal="center" vertical="center"/>
    </xf>
    <xf numFmtId="10" fontId="28" fillId="0" borderId="34" xfId="1" applyNumberFormat="1" applyFont="1" applyFill="1" applyBorder="1" applyAlignment="1" applyProtection="1">
      <alignment horizontal="center" vertical="center"/>
    </xf>
    <xf numFmtId="3" fontId="28" fillId="11" borderId="5" xfId="0" applyNumberFormat="1" applyFont="1" applyFill="1" applyBorder="1" applyAlignment="1" applyProtection="1">
      <alignment horizontal="center" vertical="center"/>
    </xf>
    <xf numFmtId="3" fontId="28" fillId="11" borderId="50" xfId="0" applyNumberFormat="1" applyFont="1" applyFill="1" applyBorder="1" applyAlignment="1" applyProtection="1">
      <alignment horizontal="center" vertical="center"/>
    </xf>
    <xf numFmtId="3" fontId="28" fillId="11" borderId="27" xfId="0" applyNumberFormat="1" applyFont="1" applyFill="1" applyBorder="1" applyAlignment="1" applyProtection="1">
      <alignment horizontal="center" vertical="center"/>
    </xf>
    <xf numFmtId="3" fontId="28" fillId="9" borderId="46" xfId="0" applyNumberFormat="1" applyFont="1" applyFill="1" applyBorder="1" applyAlignment="1" applyProtection="1">
      <alignment horizontal="center" vertical="center"/>
    </xf>
    <xf numFmtId="3" fontId="28" fillId="9" borderId="48" xfId="0" applyNumberFormat="1" applyFont="1" applyFill="1" applyBorder="1" applyAlignment="1" applyProtection="1">
      <alignment horizontal="center" vertical="center"/>
    </xf>
    <xf numFmtId="3" fontId="28" fillId="9" borderId="47" xfId="0" applyNumberFormat="1" applyFont="1" applyFill="1" applyBorder="1" applyAlignment="1" applyProtection="1">
      <alignment horizontal="center" vertical="center"/>
    </xf>
    <xf numFmtId="10" fontId="28" fillId="8" borderId="28" xfId="1" applyNumberFormat="1" applyFont="1" applyFill="1" applyBorder="1" applyAlignment="1" applyProtection="1">
      <alignment horizontal="center" vertical="center"/>
    </xf>
    <xf numFmtId="10" fontId="28" fillId="8" borderId="11" xfId="1" applyNumberFormat="1" applyFont="1" applyFill="1" applyBorder="1" applyAlignment="1" applyProtection="1">
      <alignment horizontal="center" vertical="center"/>
    </xf>
    <xf numFmtId="10" fontId="28" fillId="8" borderId="34" xfId="1" applyNumberFormat="1" applyFont="1" applyFill="1" applyBorder="1" applyAlignment="1" applyProtection="1">
      <alignment horizontal="center" vertical="center"/>
    </xf>
    <xf numFmtId="3" fontId="32" fillId="14" borderId="80" xfId="0" applyNumberFormat="1" applyFont="1" applyFill="1" applyBorder="1" applyAlignment="1" applyProtection="1">
      <alignment horizontal="center" vertical="center"/>
    </xf>
    <xf numFmtId="10" fontId="32" fillId="14" borderId="80" xfId="1" applyNumberFormat="1" applyFont="1" applyFill="1" applyBorder="1" applyAlignment="1" applyProtection="1">
      <alignment horizontal="center" vertical="center"/>
    </xf>
    <xf numFmtId="4" fontId="19" fillId="0" borderId="0" xfId="0" applyNumberFormat="1" applyFont="1" applyAlignment="1" applyProtection="1">
      <alignment horizontal="right" vertical="center"/>
      <protection locked="0"/>
    </xf>
    <xf numFmtId="4" fontId="20" fillId="0" borderId="0" xfId="0" applyNumberFormat="1" applyFont="1" applyAlignment="1" applyProtection="1">
      <alignment horizontal="right" vertical="center"/>
      <protection locked="0"/>
    </xf>
    <xf numFmtId="4" fontId="22" fillId="0" borderId="0" xfId="0" applyNumberFormat="1" applyFont="1" applyAlignment="1" applyProtection="1">
      <alignment horizontal="right" vertical="center"/>
      <protection locked="0"/>
    </xf>
    <xf numFmtId="4" fontId="28" fillId="12" borderId="17" xfId="0" applyNumberFormat="1" applyFont="1" applyFill="1" applyBorder="1" applyAlignment="1" applyProtection="1">
      <alignment horizontal="center" vertical="center" wrapText="1"/>
      <protection locked="0"/>
    </xf>
    <xf numFmtId="4" fontId="30" fillId="0" borderId="25" xfId="1" applyNumberFormat="1" applyFont="1" applyFill="1" applyBorder="1" applyAlignment="1" applyProtection="1">
      <alignment horizontal="right" vertical="center"/>
      <protection locked="0"/>
    </xf>
    <xf numFmtId="4" fontId="30" fillId="0" borderId="36" xfId="0" applyNumberFormat="1" applyFont="1" applyFill="1" applyBorder="1" applyAlignment="1" applyProtection="1">
      <alignment horizontal="right" vertical="center" wrapText="1"/>
      <protection locked="0"/>
    </xf>
    <xf numFmtId="4" fontId="28" fillId="0" borderId="26" xfId="0" applyNumberFormat="1" applyFont="1" applyFill="1" applyBorder="1" applyAlignment="1" applyProtection="1">
      <alignment horizontal="right" vertical="center"/>
      <protection locked="0"/>
    </xf>
    <xf numFmtId="4" fontId="28" fillId="0" borderId="28" xfId="0" applyNumberFormat="1" applyFont="1" applyFill="1" applyBorder="1" applyAlignment="1" applyProtection="1">
      <alignment horizontal="right" vertical="center"/>
      <protection locked="0"/>
    </xf>
    <xf numFmtId="4" fontId="30" fillId="0" borderId="12" xfId="1" applyNumberFormat="1" applyFont="1" applyFill="1" applyBorder="1" applyAlignment="1" applyProtection="1">
      <alignment horizontal="right" vertical="center"/>
      <protection locked="0"/>
    </xf>
    <xf numFmtId="4" fontId="30" fillId="0" borderId="10" xfId="0" applyNumberFormat="1" applyFont="1" applyFill="1" applyBorder="1" applyAlignment="1" applyProtection="1">
      <alignment horizontal="right" vertical="center" wrapText="1"/>
      <protection locked="0"/>
    </xf>
    <xf numFmtId="4" fontId="30" fillId="0" borderId="37" xfId="1" applyNumberFormat="1" applyFont="1" applyFill="1" applyBorder="1" applyAlignment="1" applyProtection="1">
      <alignment horizontal="right" vertical="center"/>
      <protection locked="0"/>
    </xf>
    <xf numFmtId="4" fontId="30" fillId="0" borderId="17" xfId="0" applyNumberFormat="1" applyFont="1" applyFill="1" applyBorder="1" applyAlignment="1" applyProtection="1">
      <alignment horizontal="right" vertical="center" wrapText="1"/>
      <protection locked="0"/>
    </xf>
    <xf numFmtId="4" fontId="28" fillId="0" borderId="40" xfId="0" applyNumberFormat="1" applyFont="1" applyFill="1" applyBorder="1" applyAlignment="1" applyProtection="1">
      <alignment horizontal="right" vertical="center"/>
      <protection locked="0"/>
    </xf>
    <xf numFmtId="4" fontId="28" fillId="0" borderId="34" xfId="0" applyNumberFormat="1" applyFont="1" applyFill="1" applyBorder="1" applyAlignment="1" applyProtection="1">
      <alignment horizontal="right" vertical="center"/>
      <protection locked="0"/>
    </xf>
    <xf numFmtId="4" fontId="28" fillId="11" borderId="45" xfId="0" applyNumberFormat="1" applyFont="1" applyFill="1" applyBorder="1" applyAlignment="1" applyProtection="1">
      <alignment horizontal="right" vertical="center"/>
      <protection locked="0"/>
    </xf>
    <xf numFmtId="4" fontId="28" fillId="11" borderId="48" xfId="0" applyNumberFormat="1" applyFont="1" applyFill="1" applyBorder="1" applyAlignment="1" applyProtection="1">
      <alignment horizontal="right" vertical="center"/>
      <protection locked="0"/>
    </xf>
    <xf numFmtId="4" fontId="30" fillId="0" borderId="35" xfId="0" applyNumberFormat="1" applyFont="1" applyFill="1" applyBorder="1" applyAlignment="1" applyProtection="1">
      <alignment horizontal="right" vertical="center" wrapText="1"/>
      <protection locked="0"/>
    </xf>
    <xf numFmtId="4" fontId="27" fillId="13" borderId="45" xfId="0" applyNumberFormat="1" applyFont="1" applyFill="1" applyBorder="1" applyAlignment="1" applyProtection="1">
      <alignment horizontal="right" vertical="center"/>
      <protection locked="0"/>
    </xf>
    <xf numFmtId="4" fontId="27" fillId="13" borderId="48" xfId="0" applyNumberFormat="1" applyFont="1" applyFill="1" applyBorder="1" applyAlignment="1" applyProtection="1">
      <alignment horizontal="right" vertical="center"/>
      <protection locked="0"/>
    </xf>
    <xf numFmtId="4" fontId="28" fillId="16" borderId="45" xfId="0" applyNumberFormat="1" applyFont="1" applyFill="1" applyBorder="1" applyAlignment="1" applyProtection="1">
      <alignment horizontal="right" vertical="center"/>
      <protection locked="0"/>
    </xf>
    <xf numFmtId="4" fontId="28" fillId="16" borderId="48" xfId="0" applyNumberFormat="1" applyFont="1" applyFill="1" applyBorder="1" applyAlignment="1" applyProtection="1">
      <alignment horizontal="right" vertical="center"/>
      <protection locked="0"/>
    </xf>
    <xf numFmtId="4" fontId="28" fillId="11" borderId="4" xfId="0" applyNumberFormat="1" applyFont="1" applyFill="1" applyBorder="1" applyAlignment="1" applyProtection="1">
      <alignment horizontal="right" vertical="center"/>
      <protection locked="0"/>
    </xf>
    <xf numFmtId="4" fontId="28" fillId="11" borderId="50" xfId="0" applyNumberFormat="1" applyFont="1" applyFill="1" applyBorder="1" applyAlignment="1" applyProtection="1">
      <alignment horizontal="right" vertical="center"/>
      <protection locked="0"/>
    </xf>
    <xf numFmtId="4" fontId="28" fillId="9" borderId="45" xfId="0" applyNumberFormat="1" applyFont="1" applyFill="1" applyBorder="1" applyAlignment="1" applyProtection="1">
      <alignment horizontal="right" vertical="center"/>
      <protection locked="0"/>
    </xf>
    <xf numFmtId="4" fontId="28" fillId="9" borderId="48" xfId="0" applyNumberFormat="1" applyFont="1" applyFill="1" applyBorder="1" applyAlignment="1" applyProtection="1">
      <alignment horizontal="right" vertical="center"/>
      <protection locked="0"/>
    </xf>
    <xf numFmtId="4" fontId="32" fillId="14" borderId="80" xfId="0" applyNumberFormat="1" applyFont="1" applyFill="1" applyBorder="1" applyAlignment="1" applyProtection="1">
      <alignment horizontal="right" vertical="center"/>
      <protection locked="0"/>
    </xf>
    <xf numFmtId="4" fontId="28" fillId="0" borderId="26" xfId="1" applyNumberFormat="1" applyFont="1" applyFill="1" applyBorder="1" applyAlignment="1" applyProtection="1">
      <alignment horizontal="right" vertical="center"/>
    </xf>
    <xf numFmtId="4" fontId="28" fillId="0" borderId="70" xfId="1" applyNumberFormat="1" applyFont="1" applyFill="1" applyBorder="1" applyAlignment="1" applyProtection="1">
      <alignment horizontal="right" vertical="center"/>
    </xf>
    <xf numFmtId="4" fontId="28" fillId="0" borderId="13" xfId="1" applyNumberFormat="1" applyFont="1" applyFill="1" applyBorder="1" applyAlignment="1" applyProtection="1">
      <alignment horizontal="right" vertical="center"/>
    </xf>
    <xf numFmtId="4" fontId="28" fillId="0" borderId="40" xfId="1" applyNumberFormat="1" applyFont="1" applyFill="1" applyBorder="1" applyAlignment="1" applyProtection="1">
      <alignment horizontal="right" vertical="center"/>
    </xf>
    <xf numFmtId="4" fontId="28" fillId="11" borderId="46" xfId="0" applyNumberFormat="1" applyFont="1" applyFill="1" applyBorder="1" applyAlignment="1" applyProtection="1">
      <alignment horizontal="right" vertical="center"/>
    </xf>
    <xf numFmtId="4" fontId="28" fillId="11" borderId="63" xfId="0" applyNumberFormat="1" applyFont="1" applyFill="1" applyBorder="1" applyAlignment="1" applyProtection="1">
      <alignment horizontal="right" vertical="center"/>
    </xf>
    <xf numFmtId="4" fontId="28" fillId="0" borderId="38" xfId="1" applyNumberFormat="1" applyFont="1" applyFill="1" applyBorder="1" applyAlignment="1" applyProtection="1">
      <alignment horizontal="right" vertical="center"/>
    </xf>
    <xf numFmtId="4" fontId="28" fillId="0" borderId="64" xfId="1" applyNumberFormat="1" applyFont="1" applyFill="1" applyBorder="1" applyAlignment="1" applyProtection="1">
      <alignment horizontal="right" vertical="center"/>
    </xf>
    <xf numFmtId="4" fontId="27" fillId="13" borderId="46" xfId="0" applyNumberFormat="1" applyFont="1" applyFill="1" applyBorder="1" applyAlignment="1" applyProtection="1">
      <alignment horizontal="right" vertical="center"/>
    </xf>
    <xf numFmtId="4" fontId="27" fillId="13" borderId="63" xfId="0" applyNumberFormat="1" applyFont="1" applyFill="1" applyBorder="1" applyAlignment="1" applyProtection="1">
      <alignment horizontal="right" vertical="center"/>
    </xf>
    <xf numFmtId="4" fontId="28" fillId="16" borderId="46" xfId="0" applyNumberFormat="1" applyFont="1" applyFill="1" applyBorder="1" applyAlignment="1" applyProtection="1">
      <alignment horizontal="right" vertical="center"/>
    </xf>
    <xf numFmtId="4" fontId="28" fillId="16" borderId="63" xfId="0" applyNumberFormat="1" applyFont="1" applyFill="1" applyBorder="1" applyAlignment="1" applyProtection="1">
      <alignment horizontal="right" vertical="center"/>
    </xf>
    <xf numFmtId="4" fontId="28" fillId="11" borderId="5" xfId="0" applyNumberFormat="1" applyFont="1" applyFill="1" applyBorder="1" applyAlignment="1" applyProtection="1">
      <alignment horizontal="right" vertical="center"/>
    </xf>
    <xf numFmtId="4" fontId="28" fillId="11" borderId="6" xfId="0" applyNumberFormat="1" applyFont="1" applyFill="1" applyBorder="1" applyAlignment="1" applyProtection="1">
      <alignment horizontal="right" vertical="center"/>
    </xf>
    <xf numFmtId="4" fontId="28" fillId="9" borderId="46" xfId="0" applyNumberFormat="1" applyFont="1" applyFill="1" applyBorder="1" applyAlignment="1" applyProtection="1">
      <alignment horizontal="right" vertical="center"/>
    </xf>
    <xf numFmtId="4" fontId="28" fillId="9" borderId="63" xfId="0" applyNumberFormat="1" applyFont="1" applyFill="1" applyBorder="1" applyAlignment="1" applyProtection="1">
      <alignment horizontal="right" vertical="center"/>
    </xf>
    <xf numFmtId="4" fontId="32" fillId="14" borderId="80" xfId="0" applyNumberFormat="1" applyFont="1" applyFill="1" applyBorder="1" applyAlignment="1" applyProtection="1">
      <alignment horizontal="right" vertical="center"/>
    </xf>
    <xf numFmtId="4" fontId="28" fillId="0" borderId="26" xfId="0" applyNumberFormat="1" applyFont="1" applyFill="1" applyBorder="1" applyAlignment="1" applyProtection="1">
      <alignment horizontal="right" vertical="center"/>
    </xf>
    <xf numFmtId="4" fontId="28" fillId="0" borderId="28" xfId="0" applyNumberFormat="1" applyFont="1" applyFill="1" applyBorder="1" applyAlignment="1" applyProtection="1">
      <alignment horizontal="right" vertical="center"/>
    </xf>
    <xf numFmtId="4" fontId="28" fillId="0" borderId="13" xfId="0" applyNumberFormat="1" applyFont="1" applyFill="1" applyBorder="1" applyAlignment="1" applyProtection="1">
      <alignment horizontal="right" vertical="center"/>
    </xf>
    <xf numFmtId="4" fontId="28" fillId="0" borderId="11" xfId="0" applyNumberFormat="1" applyFont="1" applyFill="1" applyBorder="1" applyAlignment="1" applyProtection="1">
      <alignment horizontal="right" vertical="center"/>
    </xf>
    <xf numFmtId="4" fontId="28" fillId="0" borderId="40" xfId="0" applyNumberFormat="1" applyFont="1" applyFill="1" applyBorder="1" applyAlignment="1" applyProtection="1">
      <alignment horizontal="right" vertical="center"/>
    </xf>
    <xf numFmtId="4" fontId="28" fillId="0" borderId="34" xfId="0" applyNumberFormat="1" applyFont="1" applyFill="1" applyBorder="1" applyAlignment="1" applyProtection="1">
      <alignment horizontal="right" vertical="center"/>
    </xf>
    <xf numFmtId="4" fontId="28" fillId="11" borderId="47" xfId="0" applyNumberFormat="1" applyFont="1" applyFill="1" applyBorder="1" applyAlignment="1" applyProtection="1">
      <alignment horizontal="right" vertical="center"/>
    </xf>
    <xf numFmtId="4" fontId="28" fillId="0" borderId="38" xfId="0" applyNumberFormat="1" applyFont="1" applyFill="1" applyBorder="1" applyAlignment="1" applyProtection="1">
      <alignment horizontal="right" vertical="center"/>
    </xf>
    <xf numFmtId="4" fontId="28" fillId="0" borderId="31" xfId="0" applyNumberFormat="1" applyFont="1" applyFill="1" applyBorder="1" applyAlignment="1" applyProtection="1">
      <alignment horizontal="right" vertical="center"/>
    </xf>
    <xf numFmtId="4" fontId="27" fillId="13" borderId="47" xfId="0" applyNumberFormat="1" applyFont="1" applyFill="1" applyBorder="1" applyAlignment="1" applyProtection="1">
      <alignment horizontal="right" vertical="center"/>
    </xf>
    <xf numFmtId="4" fontId="28" fillId="16" borderId="47" xfId="0" applyNumberFormat="1" applyFont="1" applyFill="1" applyBorder="1" applyAlignment="1" applyProtection="1">
      <alignment horizontal="right" vertical="center"/>
    </xf>
    <xf numFmtId="4" fontId="28" fillId="11" borderId="27" xfId="0" applyNumberFormat="1" applyFont="1" applyFill="1" applyBorder="1" applyAlignment="1" applyProtection="1">
      <alignment horizontal="right" vertical="center"/>
    </xf>
    <xf numFmtId="4" fontId="28" fillId="9" borderId="47" xfId="0" applyNumberFormat="1" applyFont="1" applyFill="1" applyBorder="1" applyAlignment="1" applyProtection="1">
      <alignment horizontal="right" vertical="center"/>
    </xf>
    <xf numFmtId="4" fontId="32" fillId="14" borderId="81" xfId="0" applyNumberFormat="1" applyFont="1" applyFill="1" applyBorder="1" applyAlignment="1" applyProtection="1">
      <alignment horizontal="right" vertical="center"/>
    </xf>
    <xf numFmtId="0" fontId="27" fillId="13" borderId="61" xfId="0" applyFont="1" applyFill="1" applyBorder="1" applyAlignment="1" applyProtection="1">
      <alignment horizontal="right" vertical="center" wrapText="1"/>
      <protection locked="0"/>
    </xf>
    <xf numFmtId="0" fontId="30" fillId="8" borderId="22" xfId="0" applyFont="1" applyFill="1" applyBorder="1" applyAlignment="1" applyProtection="1">
      <alignment vertical="center"/>
      <protection locked="0"/>
    </xf>
    <xf numFmtId="3" fontId="30" fillId="8" borderId="28" xfId="0" applyNumberFormat="1" applyFont="1" applyFill="1" applyBorder="1" applyAlignment="1" applyProtection="1">
      <alignment horizontal="center" vertical="center"/>
      <protection locked="0"/>
    </xf>
    <xf numFmtId="3" fontId="30" fillId="8" borderId="11" xfId="0" applyNumberFormat="1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vertical="center" wrapText="1"/>
      <protection locked="0"/>
    </xf>
    <xf numFmtId="0" fontId="28" fillId="0" borderId="12" xfId="0" applyFont="1" applyFill="1" applyBorder="1" applyAlignment="1" applyProtection="1">
      <alignment vertical="center" wrapText="1"/>
      <protection locked="0"/>
    </xf>
    <xf numFmtId="0" fontId="28" fillId="0" borderId="25" xfId="0" applyFont="1" applyFill="1" applyBorder="1" applyAlignment="1" applyProtection="1">
      <alignment vertical="center" wrapText="1"/>
      <protection locked="0"/>
    </xf>
    <xf numFmtId="0" fontId="28" fillId="8" borderId="10" xfId="0" applyFont="1" applyFill="1" applyBorder="1" applyAlignment="1" applyProtection="1">
      <alignment vertical="center" wrapText="1"/>
      <protection locked="0"/>
    </xf>
    <xf numFmtId="0" fontId="30" fillId="8" borderId="62" xfId="0" applyFont="1" applyFill="1" applyBorder="1" applyAlignment="1" applyProtection="1">
      <alignment vertical="center"/>
      <protection locked="0"/>
    </xf>
    <xf numFmtId="4" fontId="28" fillId="12" borderId="73" xfId="0" applyNumberFormat="1" applyFont="1" applyFill="1" applyBorder="1" applyAlignment="1" applyProtection="1">
      <alignment vertical="center" wrapText="1"/>
      <protection locked="0"/>
    </xf>
    <xf numFmtId="4" fontId="28" fillId="12" borderId="24" xfId="0" applyNumberFormat="1" applyFont="1" applyFill="1" applyBorder="1" applyAlignment="1" applyProtection="1">
      <alignment vertical="center" wrapText="1"/>
      <protection locked="0"/>
    </xf>
    <xf numFmtId="4" fontId="28" fillId="12" borderId="21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2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18" xfId="0" applyNumberFormat="1" applyFont="1" applyFill="1" applyBorder="1" applyAlignment="1" applyProtection="1">
      <alignment horizontal="center" vertical="center" wrapText="1"/>
      <protection locked="0"/>
    </xf>
    <xf numFmtId="4" fontId="28" fillId="0" borderId="28" xfId="1" applyNumberFormat="1" applyFont="1" applyFill="1" applyBorder="1" applyAlignment="1" applyProtection="1">
      <alignment horizontal="right" vertical="center"/>
    </xf>
    <xf numFmtId="4" fontId="30" fillId="0" borderId="10" xfId="1" applyNumberFormat="1" applyFont="1" applyFill="1" applyBorder="1" applyAlignment="1" applyProtection="1">
      <alignment horizontal="right" vertical="center"/>
      <protection locked="0"/>
    </xf>
    <xf numFmtId="4" fontId="28" fillId="0" borderId="11" xfId="1" applyNumberFormat="1" applyFont="1" applyFill="1" applyBorder="1" applyAlignment="1" applyProtection="1">
      <alignment horizontal="right" vertical="center"/>
    </xf>
    <xf numFmtId="4" fontId="28" fillId="0" borderId="34" xfId="1" applyNumberFormat="1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vertical="center" wrapText="1"/>
      <protection locked="0"/>
    </xf>
    <xf numFmtId="3" fontId="22" fillId="12" borderId="21" xfId="0" applyNumberFormat="1" applyFont="1" applyFill="1" applyBorder="1" applyAlignment="1" applyProtection="1">
      <alignment horizontal="center" vertical="center" wrapText="1"/>
      <protection locked="0"/>
    </xf>
    <xf numFmtId="3" fontId="22" fillId="12" borderId="20" xfId="0" applyNumberFormat="1" applyFont="1" applyFill="1" applyBorder="1" applyAlignment="1" applyProtection="1">
      <alignment horizontal="center" vertical="center" wrapText="1"/>
      <protection locked="0"/>
    </xf>
    <xf numFmtId="10" fontId="22" fillId="12" borderId="18" xfId="1" applyNumberFormat="1" applyFont="1" applyFill="1" applyBorder="1" applyAlignment="1" applyProtection="1">
      <alignment horizontal="center" vertical="center" wrapText="1"/>
      <protection locked="0"/>
    </xf>
    <xf numFmtId="3" fontId="22" fillId="12" borderId="18" xfId="0" applyNumberFormat="1" applyFont="1" applyFill="1" applyBorder="1" applyAlignment="1" applyProtection="1">
      <alignment horizontal="center" vertical="center" wrapText="1"/>
      <protection locked="0"/>
    </xf>
    <xf numFmtId="14" fontId="22" fillId="0" borderId="49" xfId="0" applyNumberFormat="1" applyFont="1" applyBorder="1" applyAlignment="1" applyProtection="1">
      <alignment vertical="center"/>
      <protection locked="0"/>
    </xf>
    <xf numFmtId="0" fontId="22" fillId="0" borderId="49" xfId="0" applyNumberFormat="1" applyFont="1" applyBorder="1" applyAlignment="1" applyProtection="1">
      <alignment vertical="center"/>
      <protection locked="0"/>
    </xf>
    <xf numFmtId="3" fontId="28" fillId="8" borderId="2" xfId="0" applyNumberFormat="1" applyFont="1" applyFill="1" applyBorder="1" applyAlignment="1" applyProtection="1">
      <alignment horizontal="center" vertical="center"/>
    </xf>
    <xf numFmtId="3" fontId="30" fillId="8" borderId="7" xfId="0" applyNumberFormat="1" applyFont="1" applyFill="1" applyBorder="1" applyAlignment="1" applyProtection="1">
      <alignment horizontal="center" vertical="center"/>
      <protection locked="0"/>
    </xf>
    <xf numFmtId="3" fontId="30" fillId="8" borderId="3" xfId="0" applyNumberFormat="1" applyFont="1" applyFill="1" applyBorder="1" applyAlignment="1" applyProtection="1">
      <alignment horizontal="center" vertical="center"/>
      <protection locked="0"/>
    </xf>
    <xf numFmtId="3" fontId="28" fillId="8" borderId="21" xfId="0" applyNumberFormat="1" applyFont="1" applyFill="1" applyBorder="1" applyAlignment="1" applyProtection="1">
      <alignment horizontal="center" vertical="center"/>
    </xf>
    <xf numFmtId="3" fontId="30" fillId="8" borderId="20" xfId="0" applyNumberFormat="1" applyFont="1" applyFill="1" applyBorder="1" applyAlignment="1" applyProtection="1">
      <alignment horizontal="center" vertical="center"/>
      <protection locked="0"/>
    </xf>
    <xf numFmtId="3" fontId="30" fillId="8" borderId="18" xfId="0" applyNumberFormat="1" applyFont="1" applyFill="1" applyBorder="1" applyAlignment="1" applyProtection="1">
      <alignment horizontal="center" vertical="center"/>
      <protection locked="0"/>
    </xf>
    <xf numFmtId="3" fontId="28" fillId="0" borderId="2" xfId="0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10" fontId="31" fillId="0" borderId="3" xfId="1" applyNumberFormat="1" applyFont="1" applyFill="1" applyBorder="1" applyAlignment="1" applyProtection="1">
      <alignment horizontal="center" vertical="center"/>
      <protection locked="0"/>
    </xf>
    <xf numFmtId="3" fontId="28" fillId="0" borderId="58" xfId="0" applyNumberFormat="1" applyFont="1" applyFill="1" applyBorder="1" applyAlignment="1" applyProtection="1">
      <alignment horizontal="center" vertical="center"/>
      <protection locked="0"/>
    </xf>
    <xf numFmtId="10" fontId="31" fillId="0" borderId="7" xfId="1" applyNumberFormat="1" applyFont="1" applyFill="1" applyBorder="1" applyAlignment="1" applyProtection="1">
      <alignment horizontal="center" vertical="center"/>
      <protection locked="0"/>
    </xf>
    <xf numFmtId="10" fontId="31" fillId="0" borderId="74" xfId="1" applyNumberFormat="1" applyFont="1" applyFill="1" applyBorder="1" applyAlignment="1" applyProtection="1">
      <alignment horizontal="center" vertical="center"/>
      <protection locked="0"/>
    </xf>
    <xf numFmtId="10" fontId="31" fillId="0" borderId="8" xfId="1" applyNumberFormat="1" applyFont="1" applyFill="1" applyBorder="1" applyAlignment="1" applyProtection="1">
      <alignment horizontal="center" vertical="center" wrapText="1"/>
      <protection locked="0"/>
    </xf>
    <xf numFmtId="3" fontId="28" fillId="0" borderId="10" xfId="0" applyNumberFormat="1" applyFont="1" applyFill="1" applyBorder="1" applyAlignment="1" applyProtection="1">
      <alignment horizontal="center" vertical="center"/>
      <protection locked="0"/>
    </xf>
    <xf numFmtId="3" fontId="28" fillId="0" borderId="13" xfId="1" applyNumberFormat="1" applyFont="1" applyFill="1" applyBorder="1" applyAlignment="1" applyProtection="1">
      <alignment horizontal="center" vertical="center"/>
      <protection locked="0"/>
    </xf>
    <xf numFmtId="3" fontId="28" fillId="0" borderId="13" xfId="0" applyNumberFormat="1" applyFont="1" applyFill="1" applyBorder="1" applyAlignment="1" applyProtection="1">
      <alignment horizontal="center" vertical="center"/>
      <protection locked="0"/>
    </xf>
    <xf numFmtId="10" fontId="31" fillId="0" borderId="11" xfId="1" applyNumberFormat="1" applyFont="1" applyFill="1" applyBorder="1" applyAlignment="1" applyProtection="1">
      <alignment horizontal="center" vertical="center"/>
      <protection locked="0"/>
    </xf>
    <xf numFmtId="3" fontId="28" fillId="0" borderId="12" xfId="0" applyNumberFormat="1" applyFont="1" applyFill="1" applyBorder="1" applyAlignment="1" applyProtection="1">
      <alignment horizontal="center" vertical="center"/>
      <protection locked="0"/>
    </xf>
    <xf numFmtId="10" fontId="31" fillId="0" borderId="13" xfId="1" applyNumberFormat="1" applyFont="1" applyFill="1" applyBorder="1" applyAlignment="1" applyProtection="1">
      <alignment horizontal="center" vertical="center"/>
      <protection locked="0"/>
    </xf>
    <xf numFmtId="10" fontId="31" fillId="0" borderId="62" xfId="1" applyNumberFormat="1" applyFont="1" applyFill="1" applyBorder="1" applyAlignment="1" applyProtection="1">
      <alignment horizontal="center" vertical="center"/>
      <protection locked="0"/>
    </xf>
    <xf numFmtId="10" fontId="31" fillId="0" borderId="15" xfId="1" applyNumberFormat="1" applyFont="1" applyFill="1" applyBorder="1" applyAlignment="1" applyProtection="1">
      <alignment horizontal="center" vertical="center"/>
      <protection locked="0"/>
    </xf>
    <xf numFmtId="3" fontId="30" fillId="0" borderId="10" xfId="0" applyNumberFormat="1" applyFont="1" applyFill="1" applyBorder="1" applyAlignment="1" applyProtection="1">
      <alignment horizontal="center" vertical="center"/>
      <protection locked="0"/>
    </xf>
    <xf numFmtId="10" fontId="34" fillId="0" borderId="11" xfId="1" applyNumberFormat="1" applyFont="1" applyFill="1" applyBorder="1" applyAlignment="1" applyProtection="1">
      <alignment horizontal="center" vertical="center"/>
      <protection locked="0"/>
    </xf>
    <xf numFmtId="3" fontId="30" fillId="0" borderId="12" xfId="0" applyNumberFormat="1" applyFont="1" applyFill="1" applyBorder="1" applyAlignment="1" applyProtection="1">
      <alignment horizontal="center" vertical="center"/>
      <protection locked="0"/>
    </xf>
    <xf numFmtId="10" fontId="34" fillId="0" borderId="13" xfId="1" applyNumberFormat="1" applyFont="1" applyFill="1" applyBorder="1" applyAlignment="1" applyProtection="1">
      <alignment horizontal="center" vertical="center"/>
      <protection locked="0"/>
    </xf>
    <xf numFmtId="10" fontId="34" fillId="0" borderId="62" xfId="1" applyNumberFormat="1" applyFont="1" applyFill="1" applyBorder="1" applyAlignment="1" applyProtection="1">
      <alignment horizontal="center" vertical="center"/>
      <protection locked="0"/>
    </xf>
    <xf numFmtId="10" fontId="34" fillId="0" borderId="15" xfId="1" applyNumberFormat="1" applyFont="1" applyFill="1" applyBorder="1" applyAlignment="1" applyProtection="1">
      <alignment horizontal="center" vertical="center"/>
      <protection locked="0"/>
    </xf>
    <xf numFmtId="3" fontId="30" fillId="0" borderId="21" xfId="0" applyNumberFormat="1" applyFont="1" applyFill="1" applyBorder="1" applyAlignment="1" applyProtection="1">
      <alignment horizontal="center" vertical="center"/>
      <protection locked="0"/>
    </xf>
    <xf numFmtId="10" fontId="34" fillId="0" borderId="18" xfId="1" applyNumberFormat="1" applyFont="1" applyFill="1" applyBorder="1" applyAlignment="1" applyProtection="1">
      <alignment horizontal="center" vertical="center"/>
      <protection locked="0"/>
    </xf>
    <xf numFmtId="3" fontId="30" fillId="0" borderId="19" xfId="0" applyNumberFormat="1" applyFont="1" applyFill="1" applyBorder="1" applyAlignment="1" applyProtection="1">
      <alignment horizontal="center" vertical="center"/>
      <protection locked="0"/>
    </xf>
    <xf numFmtId="10" fontId="34" fillId="0" borderId="20" xfId="1" applyNumberFormat="1" applyFont="1" applyFill="1" applyBorder="1" applyAlignment="1" applyProtection="1">
      <alignment horizontal="center" vertical="center"/>
      <protection locked="0"/>
    </xf>
    <xf numFmtId="10" fontId="34" fillId="0" borderId="71" xfId="1" applyNumberFormat="1" applyFont="1" applyFill="1" applyBorder="1" applyAlignment="1" applyProtection="1">
      <alignment horizontal="center" vertical="center"/>
      <protection locked="0"/>
    </xf>
    <xf numFmtId="10" fontId="34" fillId="0" borderId="23" xfId="1" applyNumberFormat="1" applyFont="1" applyFill="1" applyBorder="1" applyAlignment="1" applyProtection="1">
      <alignment horizontal="center" vertical="center"/>
      <protection locked="0"/>
    </xf>
    <xf numFmtId="10" fontId="28" fillId="0" borderId="62" xfId="1" applyNumberFormat="1" applyFont="1" applyFill="1" applyBorder="1" applyAlignment="1" applyProtection="1">
      <alignment horizontal="center" vertical="center"/>
      <protection locked="0"/>
    </xf>
    <xf numFmtId="10" fontId="28" fillId="0" borderId="15" xfId="1" applyNumberFormat="1" applyFont="1" applyFill="1" applyBorder="1" applyAlignment="1" applyProtection="1">
      <alignment horizontal="center" vertical="center"/>
      <protection locked="0"/>
    </xf>
    <xf numFmtId="3" fontId="28" fillId="0" borderId="21" xfId="0" applyNumberFormat="1" applyFont="1" applyFill="1" applyBorder="1" applyAlignment="1" applyProtection="1">
      <alignment horizontal="center" vertical="center"/>
      <protection locked="0"/>
    </xf>
    <xf numFmtId="3" fontId="28" fillId="0" borderId="20" xfId="1" applyNumberFormat="1" applyFont="1" applyFill="1" applyBorder="1" applyAlignment="1" applyProtection="1">
      <alignment horizontal="center" vertical="center"/>
      <protection locked="0"/>
    </xf>
    <xf numFmtId="3" fontId="28" fillId="0" borderId="20" xfId="0" applyNumberFormat="1" applyFont="1" applyFill="1" applyBorder="1" applyAlignment="1" applyProtection="1">
      <alignment horizontal="center" vertical="center"/>
      <protection locked="0"/>
    </xf>
    <xf numFmtId="10" fontId="31" fillId="0" borderId="18" xfId="1" applyNumberFormat="1" applyFont="1" applyFill="1" applyBorder="1" applyAlignment="1" applyProtection="1">
      <alignment horizontal="center" vertical="center"/>
      <protection locked="0"/>
    </xf>
    <xf numFmtId="3" fontId="28" fillId="0" borderId="19" xfId="0" applyNumberFormat="1" applyFont="1" applyFill="1" applyBorder="1" applyAlignment="1" applyProtection="1">
      <alignment horizontal="center" vertical="center"/>
      <protection locked="0"/>
    </xf>
    <xf numFmtId="10" fontId="31" fillId="0" borderId="20" xfId="1" applyNumberFormat="1" applyFont="1" applyFill="1" applyBorder="1" applyAlignment="1" applyProtection="1">
      <alignment horizontal="center" vertical="center"/>
      <protection locked="0"/>
    </xf>
    <xf numFmtId="10" fontId="31" fillId="0" borderId="71" xfId="1" applyNumberFormat="1" applyFont="1" applyFill="1" applyBorder="1" applyAlignment="1" applyProtection="1">
      <alignment horizontal="center" vertical="center"/>
      <protection locked="0"/>
    </xf>
    <xf numFmtId="10" fontId="31" fillId="0" borderId="23" xfId="1" applyNumberFormat="1" applyFont="1" applyFill="1" applyBorder="1" applyAlignment="1" applyProtection="1">
      <alignment horizontal="center" vertical="center"/>
      <protection locked="0"/>
    </xf>
    <xf numFmtId="166" fontId="30" fillId="0" borderId="37" xfId="1" applyNumberFormat="1" applyFont="1" applyFill="1" applyBorder="1" applyAlignment="1" applyProtection="1">
      <alignment horizontal="right" vertical="center"/>
      <protection locked="0"/>
    </xf>
    <xf numFmtId="165" fontId="30" fillId="0" borderId="37" xfId="1" applyNumberFormat="1" applyFont="1" applyFill="1" applyBorder="1" applyAlignment="1" applyProtection="1">
      <alignment horizontal="right" vertical="center"/>
      <protection locked="0"/>
    </xf>
    <xf numFmtId="166" fontId="30" fillId="0" borderId="25" xfId="1" applyNumberFormat="1" applyFont="1" applyFill="1" applyBorder="1" applyAlignment="1" applyProtection="1">
      <alignment horizontal="right" vertical="center"/>
      <protection locked="0"/>
    </xf>
    <xf numFmtId="166" fontId="30" fillId="0" borderId="12" xfId="1" applyNumberFormat="1" applyFont="1" applyFill="1" applyBorder="1" applyAlignment="1" applyProtection="1">
      <alignment horizontal="right" vertical="center"/>
      <protection locked="0"/>
    </xf>
    <xf numFmtId="165" fontId="30" fillId="0" borderId="25" xfId="1" applyNumberFormat="1" applyFont="1" applyFill="1" applyBorder="1" applyAlignment="1" applyProtection="1">
      <alignment horizontal="right" vertical="center"/>
      <protection locked="0"/>
    </xf>
    <xf numFmtId="165" fontId="30" fillId="0" borderId="12" xfId="1" applyNumberFormat="1" applyFont="1" applyFill="1" applyBorder="1" applyAlignment="1" applyProtection="1">
      <alignment horizontal="right" vertical="center"/>
      <protection locked="0"/>
    </xf>
    <xf numFmtId="165" fontId="30" fillId="0" borderId="32" xfId="1" applyNumberFormat="1" applyFont="1" applyFill="1" applyBorder="1" applyAlignment="1" applyProtection="1">
      <alignment horizontal="right" vertical="center"/>
      <protection locked="0"/>
    </xf>
    <xf numFmtId="165" fontId="30" fillId="0" borderId="36" xfId="1" applyNumberFormat="1" applyFont="1" applyFill="1" applyBorder="1" applyAlignment="1" applyProtection="1">
      <alignment horizontal="right" vertical="center"/>
      <protection locked="0"/>
    </xf>
    <xf numFmtId="165" fontId="30" fillId="0" borderId="10" xfId="1" applyNumberFormat="1" applyFont="1" applyFill="1" applyBorder="1" applyAlignment="1" applyProtection="1">
      <alignment horizontal="right" vertical="center"/>
      <protection locked="0"/>
    </xf>
    <xf numFmtId="165" fontId="30" fillId="0" borderId="17" xfId="1" applyNumberFormat="1" applyFont="1" applyFill="1" applyBorder="1" applyAlignment="1" applyProtection="1">
      <alignment horizontal="right" vertical="center"/>
      <protection locked="0"/>
    </xf>
    <xf numFmtId="3" fontId="28" fillId="8" borderId="13" xfId="0" applyNumberFormat="1" applyFont="1" applyFill="1" applyBorder="1" applyAlignment="1" applyProtection="1">
      <alignment horizontal="center" vertical="center"/>
    </xf>
    <xf numFmtId="10" fontId="28" fillId="8" borderId="13" xfId="1" applyNumberFormat="1" applyFont="1" applyFill="1" applyBorder="1" applyAlignment="1" applyProtection="1">
      <alignment horizontal="center" vertical="center"/>
    </xf>
    <xf numFmtId="3" fontId="30" fillId="8" borderId="12" xfId="0" applyNumberFormat="1" applyFont="1" applyFill="1" applyBorder="1" applyAlignment="1" applyProtection="1">
      <alignment horizontal="center" vertical="center"/>
      <protection locked="0"/>
    </xf>
    <xf numFmtId="3" fontId="27" fillId="13" borderId="50" xfId="0" applyNumberFormat="1" applyFont="1" applyFill="1" applyBorder="1" applyAlignment="1" applyProtection="1">
      <alignment horizontal="center" vertical="center"/>
    </xf>
    <xf numFmtId="3" fontId="28" fillId="11" borderId="41" xfId="0" applyNumberFormat="1" applyFont="1" applyFill="1" applyBorder="1" applyAlignment="1" applyProtection="1">
      <alignment horizontal="center" vertical="center"/>
    </xf>
    <xf numFmtId="3" fontId="27" fillId="13" borderId="5" xfId="0" applyNumberFormat="1" applyFont="1" applyFill="1" applyBorder="1" applyAlignment="1" applyProtection="1">
      <alignment horizontal="center" vertical="center"/>
    </xf>
    <xf numFmtId="10" fontId="27" fillId="13" borderId="27" xfId="1" applyNumberFormat="1" applyFont="1" applyFill="1" applyBorder="1" applyAlignment="1" applyProtection="1">
      <alignment horizontal="center" vertical="center"/>
    </xf>
    <xf numFmtId="10" fontId="27" fillId="13" borderId="4" xfId="1" applyNumberFormat="1" applyFont="1" applyFill="1" applyBorder="1" applyAlignment="1" applyProtection="1">
      <alignment horizontal="center" vertical="center"/>
    </xf>
    <xf numFmtId="4" fontId="27" fillId="13" borderId="50" xfId="0" applyNumberFormat="1" applyFont="1" applyFill="1" applyBorder="1" applyAlignment="1" applyProtection="1">
      <alignment horizontal="right" vertical="center"/>
      <protection locked="0"/>
    </xf>
    <xf numFmtId="4" fontId="27" fillId="13" borderId="5" xfId="0" applyNumberFormat="1" applyFont="1" applyFill="1" applyBorder="1" applyAlignment="1" applyProtection="1">
      <alignment horizontal="right" vertical="center"/>
    </xf>
    <xf numFmtId="3" fontId="28" fillId="11" borderId="54" xfId="0" applyNumberFormat="1" applyFont="1" applyFill="1" applyBorder="1" applyAlignment="1" applyProtection="1">
      <alignment horizontal="center" vertical="center"/>
    </xf>
    <xf numFmtId="10" fontId="28" fillId="11" borderId="55" xfId="1" applyNumberFormat="1" applyFont="1" applyFill="1" applyBorder="1" applyAlignment="1" applyProtection="1">
      <alignment horizontal="center" vertical="center"/>
    </xf>
    <xf numFmtId="10" fontId="28" fillId="11" borderId="82" xfId="1" applyNumberFormat="1" applyFont="1" applyFill="1" applyBorder="1" applyAlignment="1" applyProtection="1">
      <alignment horizontal="center" vertical="center"/>
    </xf>
    <xf numFmtId="4" fontId="28" fillId="11" borderId="41" xfId="0" applyNumberFormat="1" applyFont="1" applyFill="1" applyBorder="1" applyAlignment="1" applyProtection="1">
      <alignment horizontal="right" vertical="center"/>
      <protection locked="0"/>
    </xf>
    <xf numFmtId="4" fontId="28" fillId="11" borderId="54" xfId="0" applyNumberFormat="1" applyFont="1" applyFill="1" applyBorder="1" applyAlignment="1" applyProtection="1">
      <alignment horizontal="right" vertical="center"/>
    </xf>
    <xf numFmtId="0" fontId="28" fillId="0" borderId="21" xfId="0" applyFont="1" applyFill="1" applyBorder="1" applyAlignment="1" applyProtection="1">
      <alignment vertical="center" wrapText="1"/>
      <protection locked="0"/>
    </xf>
    <xf numFmtId="3" fontId="27" fillId="13" borderId="6" xfId="0" applyNumberFormat="1" applyFont="1" applyFill="1" applyBorder="1" applyAlignment="1" applyProtection="1">
      <alignment horizontal="center" vertical="center"/>
    </xf>
    <xf numFmtId="3" fontId="28" fillId="11" borderId="67" xfId="0" applyNumberFormat="1" applyFont="1" applyFill="1" applyBorder="1" applyAlignment="1" applyProtection="1">
      <alignment horizontal="center" vertical="center"/>
      <protection locked="0"/>
    </xf>
    <xf numFmtId="3" fontId="30" fillId="8" borderId="2" xfId="0" applyNumberFormat="1" applyFont="1" applyFill="1" applyBorder="1" applyAlignment="1" applyProtection="1">
      <alignment horizontal="center" vertical="center"/>
      <protection locked="0"/>
    </xf>
    <xf numFmtId="3" fontId="30" fillId="8" borderId="34" xfId="0" applyNumberFormat="1" applyFont="1" applyFill="1" applyBorder="1" applyAlignment="1" applyProtection="1">
      <alignment horizontal="center" vertical="center"/>
      <protection locked="0"/>
    </xf>
    <xf numFmtId="3" fontId="28" fillId="8" borderId="11" xfId="0" applyNumberFormat="1" applyFont="1" applyFill="1" applyBorder="1" applyAlignment="1" applyProtection="1">
      <alignment horizontal="center" vertical="center"/>
      <protection locked="0"/>
    </xf>
    <xf numFmtId="3" fontId="30" fillId="8" borderId="21" xfId="0" applyNumberFormat="1" applyFont="1" applyFill="1" applyBorder="1" applyAlignment="1" applyProtection="1">
      <alignment horizontal="center" vertical="center"/>
      <protection locked="0"/>
    </xf>
    <xf numFmtId="10" fontId="31" fillId="8" borderId="3" xfId="1" applyNumberFormat="1" applyFont="1" applyFill="1" applyBorder="1" applyAlignment="1" applyProtection="1">
      <alignment horizontal="center" vertical="center"/>
    </xf>
    <xf numFmtId="10" fontId="31" fillId="8" borderId="18" xfId="1" applyNumberFormat="1" applyFont="1" applyFill="1" applyBorder="1" applyAlignment="1" applyProtection="1">
      <alignment horizontal="center" vertical="center"/>
    </xf>
    <xf numFmtId="10" fontId="31" fillId="0" borderId="3" xfId="1" applyNumberFormat="1" applyFont="1" applyFill="1" applyBorder="1" applyAlignment="1" applyProtection="1">
      <alignment horizontal="center" vertical="center" wrapText="1"/>
    </xf>
    <xf numFmtId="4" fontId="28" fillId="0" borderId="7" xfId="1" applyNumberFormat="1" applyFont="1" applyFill="1" applyBorder="1" applyAlignment="1" applyProtection="1">
      <alignment horizontal="right" vertical="center"/>
    </xf>
    <xf numFmtId="4" fontId="28" fillId="0" borderId="3" xfId="1" applyNumberFormat="1" applyFont="1" applyFill="1" applyBorder="1" applyAlignment="1" applyProtection="1">
      <alignment horizontal="right" vertical="center"/>
    </xf>
    <xf numFmtId="4" fontId="28" fillId="0" borderId="20" xfId="1" applyNumberFormat="1" applyFont="1" applyFill="1" applyBorder="1" applyAlignment="1" applyProtection="1">
      <alignment horizontal="right" vertical="center"/>
    </xf>
    <xf numFmtId="4" fontId="28" fillId="0" borderId="18" xfId="1" applyNumberFormat="1" applyFont="1" applyFill="1" applyBorder="1" applyAlignment="1" applyProtection="1">
      <alignment horizontal="right" vertical="center"/>
    </xf>
    <xf numFmtId="165" fontId="30" fillId="0" borderId="2" xfId="1" applyNumberFormat="1" applyFont="1" applyFill="1" applyBorder="1" applyAlignment="1" applyProtection="1">
      <alignment horizontal="right" vertical="center"/>
      <protection locked="0"/>
    </xf>
    <xf numFmtId="165" fontId="30" fillId="0" borderId="21" xfId="1" applyNumberFormat="1" applyFont="1" applyFill="1" applyBorder="1" applyAlignment="1" applyProtection="1">
      <alignment horizontal="right" vertical="center"/>
      <protection locked="0"/>
    </xf>
    <xf numFmtId="165" fontId="30" fillId="8" borderId="10" xfId="0" applyNumberFormat="1" applyFont="1" applyFill="1" applyBorder="1" applyAlignment="1" applyProtection="1">
      <alignment horizontal="right" vertical="center"/>
      <protection locked="0"/>
    </xf>
    <xf numFmtId="0" fontId="30" fillId="8" borderId="55" xfId="0" applyFont="1" applyFill="1" applyBorder="1" applyAlignment="1" applyProtection="1">
      <alignment vertical="center"/>
      <protection locked="0"/>
    </xf>
    <xf numFmtId="0" fontId="36" fillId="0" borderId="8" xfId="0" applyFont="1" applyBorder="1"/>
    <xf numFmtId="0" fontId="36" fillId="0" borderId="15" xfId="0" applyFont="1" applyBorder="1"/>
    <xf numFmtId="0" fontId="36" fillId="0" borderId="13" xfId="0" applyFont="1" applyBorder="1"/>
    <xf numFmtId="0" fontId="36" fillId="0" borderId="30" xfId="0" applyFont="1" applyBorder="1"/>
    <xf numFmtId="0" fontId="28" fillId="0" borderId="42" xfId="0" applyFont="1" applyFill="1" applyBorder="1" applyAlignment="1" applyProtection="1">
      <alignment vertical="center" wrapText="1"/>
      <protection locked="0"/>
    </xf>
    <xf numFmtId="0" fontId="28" fillId="0" borderId="79" xfId="0" applyFont="1" applyFill="1" applyBorder="1" applyAlignment="1" applyProtection="1">
      <alignment vertical="center" wrapText="1"/>
      <protection locked="0"/>
    </xf>
    <xf numFmtId="3" fontId="30" fillId="8" borderId="13" xfId="0" applyNumberFormat="1" applyFont="1" applyFill="1" applyBorder="1" applyAlignment="1" applyProtection="1">
      <alignment horizontal="center" vertical="center"/>
    </xf>
    <xf numFmtId="0" fontId="27" fillId="14" borderId="61" xfId="0" applyFont="1" applyFill="1" applyBorder="1" applyAlignment="1" applyProtection="1">
      <alignment horizontal="right" vertical="center"/>
      <protection locked="0"/>
    </xf>
    <xf numFmtId="4" fontId="37" fillId="14" borderId="80" xfId="0" applyNumberFormat="1" applyFont="1" applyFill="1" applyBorder="1" applyAlignment="1" applyProtection="1">
      <alignment horizontal="right" vertical="center"/>
      <protection locked="0"/>
    </xf>
    <xf numFmtId="4" fontId="38" fillId="8" borderId="28" xfId="0" applyNumberFormat="1" applyFont="1" applyFill="1" applyBorder="1" applyAlignment="1" applyProtection="1">
      <alignment horizontal="right" vertical="center"/>
      <protection locked="0"/>
    </xf>
    <xf numFmtId="4" fontId="38" fillId="8" borderId="36" xfId="0" applyNumberFormat="1" applyFont="1" applyFill="1" applyBorder="1" applyAlignment="1" applyProtection="1">
      <alignment horizontal="right" vertical="center"/>
      <protection locked="0"/>
    </xf>
    <xf numFmtId="9" fontId="39" fillId="8" borderId="70" xfId="1" applyFont="1" applyFill="1" applyBorder="1" applyAlignment="1" applyProtection="1">
      <alignment horizontal="center" vertical="center"/>
      <protection locked="0"/>
    </xf>
    <xf numFmtId="4" fontId="39" fillId="8" borderId="28" xfId="0" applyNumberFormat="1" applyFont="1" applyFill="1" applyBorder="1" applyAlignment="1" applyProtection="1">
      <alignment horizontal="right" vertical="center"/>
    </xf>
    <xf numFmtId="4" fontId="38" fillId="0" borderId="28" xfId="0" applyNumberFormat="1" applyFont="1" applyFill="1" applyBorder="1" applyAlignment="1" applyProtection="1">
      <alignment horizontal="right" vertical="center"/>
      <protection locked="0"/>
    </xf>
    <xf numFmtId="4" fontId="40" fillId="0" borderId="28" xfId="1" applyNumberFormat="1" applyFont="1" applyFill="1" applyBorder="1" applyAlignment="1" applyProtection="1">
      <alignment horizontal="right" vertical="center" wrapText="1"/>
    </xf>
    <xf numFmtId="4" fontId="38" fillId="8" borderId="11" xfId="0" applyNumberFormat="1" applyFont="1" applyFill="1" applyBorder="1" applyAlignment="1" applyProtection="1">
      <alignment horizontal="right" vertical="center"/>
      <protection locked="0"/>
    </xf>
    <xf numFmtId="4" fontId="38" fillId="8" borderId="10" xfId="0" applyNumberFormat="1" applyFont="1" applyFill="1" applyBorder="1" applyAlignment="1" applyProtection="1">
      <alignment horizontal="right" vertical="center"/>
      <protection locked="0"/>
    </xf>
    <xf numFmtId="9" fontId="39" fillId="8" borderId="62" xfId="1" applyFont="1" applyFill="1" applyBorder="1" applyAlignment="1" applyProtection="1">
      <alignment horizontal="center" vertical="center"/>
      <protection locked="0"/>
    </xf>
    <xf numFmtId="4" fontId="39" fillId="8" borderId="11" xfId="0" applyNumberFormat="1" applyFont="1" applyFill="1" applyBorder="1" applyAlignment="1" applyProtection="1">
      <alignment horizontal="right" vertical="center"/>
    </xf>
    <xf numFmtId="4" fontId="38" fillId="0" borderId="11" xfId="0" applyNumberFormat="1" applyFont="1" applyFill="1" applyBorder="1" applyAlignment="1" applyProtection="1">
      <alignment horizontal="right" vertical="center"/>
      <protection locked="0"/>
    </xf>
    <xf numFmtId="4" fontId="40" fillId="0" borderId="11" xfId="1" applyNumberFormat="1" applyFont="1" applyFill="1" applyBorder="1" applyAlignment="1" applyProtection="1">
      <alignment horizontal="right" vertical="center" wrapText="1"/>
    </xf>
    <xf numFmtId="4" fontId="37" fillId="13" borderId="47" xfId="0" applyNumberFormat="1" applyFont="1" applyFill="1" applyBorder="1" applyAlignment="1" applyProtection="1">
      <alignment horizontal="right" vertical="center" wrapText="1"/>
      <protection locked="0"/>
    </xf>
    <xf numFmtId="4" fontId="37" fillId="13" borderId="48" xfId="0" applyNumberFormat="1" applyFont="1" applyFill="1" applyBorder="1" applyAlignment="1" applyProtection="1">
      <alignment horizontal="right" vertical="center"/>
    </xf>
    <xf numFmtId="9" fontId="37" fillId="13" borderId="63" xfId="1" applyFont="1" applyFill="1" applyBorder="1" applyAlignment="1" applyProtection="1">
      <alignment horizontal="center" vertical="center"/>
    </xf>
    <xf numFmtId="4" fontId="37" fillId="13" borderId="47" xfId="0" applyNumberFormat="1" applyFont="1" applyFill="1" applyBorder="1" applyAlignment="1" applyProtection="1">
      <alignment horizontal="right" vertical="center"/>
    </xf>
    <xf numFmtId="4" fontId="37" fillId="13" borderId="47" xfId="1" applyNumberFormat="1" applyFont="1" applyFill="1" applyBorder="1" applyAlignment="1" applyProtection="1">
      <alignment horizontal="right" vertical="center"/>
    </xf>
    <xf numFmtId="4" fontId="40" fillId="0" borderId="28" xfId="1" applyNumberFormat="1" applyFont="1" applyFill="1" applyBorder="1" applyAlignment="1" applyProtection="1">
      <alignment horizontal="right" vertical="center"/>
    </xf>
    <xf numFmtId="4" fontId="38" fillId="8" borderId="11" xfId="0" applyNumberFormat="1" applyFont="1" applyFill="1" applyBorder="1" applyAlignment="1" applyProtection="1">
      <alignment horizontal="right" vertical="center" wrapText="1"/>
      <protection locked="0"/>
    </xf>
    <xf numFmtId="4" fontId="40" fillId="0" borderId="11" xfId="1" applyNumberFormat="1" applyFont="1" applyFill="1" applyBorder="1" applyAlignment="1" applyProtection="1">
      <alignment horizontal="right" vertical="center"/>
    </xf>
    <xf numFmtId="4" fontId="38" fillId="8" borderId="21" xfId="0" applyNumberFormat="1" applyFont="1" applyFill="1" applyBorder="1" applyAlignment="1" applyProtection="1">
      <alignment horizontal="right" vertical="center"/>
      <protection locked="0"/>
    </xf>
    <xf numFmtId="9" fontId="39" fillId="8" borderId="71" xfId="1" applyFont="1" applyFill="1" applyBorder="1" applyAlignment="1" applyProtection="1">
      <alignment horizontal="center" vertical="center"/>
      <protection locked="0"/>
    </xf>
    <xf numFmtId="4" fontId="39" fillId="8" borderId="18" xfId="0" applyNumberFormat="1" applyFont="1" applyFill="1" applyBorder="1" applyAlignment="1" applyProtection="1">
      <alignment horizontal="right" vertical="center"/>
    </xf>
    <xf numFmtId="0" fontId="28" fillId="8" borderId="28" xfId="0" applyFont="1" applyFill="1" applyBorder="1" applyAlignment="1" applyProtection="1">
      <alignment vertical="center"/>
      <protection locked="0"/>
    </xf>
    <xf numFmtId="0" fontId="28" fillId="8" borderId="11" xfId="0" applyFont="1" applyFill="1" applyBorder="1" applyAlignment="1" applyProtection="1">
      <alignment vertical="center"/>
      <protection locked="0"/>
    </xf>
    <xf numFmtId="0" fontId="28" fillId="0" borderId="28" xfId="0" applyFont="1" applyFill="1" applyBorder="1" applyAlignment="1" applyProtection="1">
      <alignment horizontal="left" vertical="center"/>
      <protection locked="0"/>
    </xf>
    <xf numFmtId="4" fontId="25" fillId="14" borderId="80" xfId="0" applyNumberFormat="1" applyFont="1" applyFill="1" applyBorder="1" applyAlignment="1" applyProtection="1">
      <alignment horizontal="right" vertical="center"/>
    </xf>
    <xf numFmtId="9" fontId="25" fillId="14" borderId="80" xfId="1" applyFont="1" applyFill="1" applyBorder="1" applyAlignment="1" applyProtection="1">
      <alignment horizontal="center" vertical="center"/>
    </xf>
    <xf numFmtId="16" fontId="30" fillId="8" borderId="70" xfId="0" applyNumberFormat="1" applyFont="1" applyFill="1" applyBorder="1" applyAlignment="1" applyProtection="1">
      <alignment vertical="center"/>
      <protection locked="0"/>
    </xf>
    <xf numFmtId="4" fontId="28" fillId="8" borderId="36" xfId="0" applyNumberFormat="1" applyFont="1" applyFill="1" applyBorder="1" applyAlignment="1" applyProtection="1">
      <alignment horizontal="center" vertical="center"/>
    </xf>
    <xf numFmtId="4" fontId="28" fillId="8" borderId="10" xfId="0" applyNumberFormat="1" applyFont="1" applyFill="1" applyBorder="1" applyAlignment="1" applyProtection="1">
      <alignment horizontal="center" vertical="center"/>
    </xf>
    <xf numFmtId="4" fontId="28" fillId="8" borderId="17" xfId="0" applyNumberFormat="1" applyFont="1" applyFill="1" applyBorder="1" applyAlignment="1" applyProtection="1">
      <alignment horizontal="center" vertical="center"/>
    </xf>
    <xf numFmtId="165" fontId="28" fillId="8" borderId="17" xfId="0" applyNumberFormat="1" applyFont="1" applyFill="1" applyBorder="1" applyAlignment="1" applyProtection="1">
      <alignment horizontal="center" vertical="center"/>
    </xf>
    <xf numFmtId="4" fontId="27" fillId="13" borderId="46" xfId="0" applyNumberFormat="1" applyFont="1" applyFill="1" applyBorder="1" applyAlignment="1" applyProtection="1">
      <alignment horizontal="center" vertical="center"/>
    </xf>
    <xf numFmtId="166" fontId="30" fillId="0" borderId="69" xfId="0" applyNumberFormat="1" applyFont="1" applyFill="1" applyBorder="1" applyAlignment="1" applyProtection="1">
      <alignment horizontal="center" vertical="center"/>
      <protection locked="0"/>
    </xf>
    <xf numFmtId="0" fontId="28" fillId="0" borderId="2" xfId="0" applyFont="1" applyFill="1" applyBorder="1" applyAlignment="1" applyProtection="1">
      <alignment vertical="center" wrapText="1"/>
      <protection locked="0"/>
    </xf>
    <xf numFmtId="0" fontId="30" fillId="8" borderId="3" xfId="0" applyFont="1" applyFill="1" applyBorder="1" applyAlignment="1" applyProtection="1">
      <alignment vertical="center"/>
      <protection locked="0"/>
    </xf>
    <xf numFmtId="0" fontId="28" fillId="0" borderId="10" xfId="0" applyFont="1" applyFill="1" applyBorder="1" applyAlignment="1" applyProtection="1">
      <alignment vertical="center" wrapText="1"/>
      <protection locked="0"/>
    </xf>
    <xf numFmtId="0" fontId="28" fillId="0" borderId="17" xfId="0" applyFont="1" applyFill="1" applyBorder="1" applyAlignment="1" applyProtection="1">
      <alignment vertical="center" wrapText="1"/>
      <protection locked="0"/>
    </xf>
    <xf numFmtId="0" fontId="28" fillId="0" borderId="36" xfId="0" applyFont="1" applyFill="1" applyBorder="1" applyAlignment="1" applyProtection="1">
      <alignment vertical="center" wrapText="1"/>
      <protection locked="0"/>
    </xf>
    <xf numFmtId="10" fontId="31" fillId="0" borderId="58" xfId="1" applyNumberFormat="1" applyFont="1" applyFill="1" applyBorder="1" applyAlignment="1" applyProtection="1">
      <alignment horizontal="center" vertical="center"/>
    </xf>
    <xf numFmtId="3" fontId="27" fillId="13" borderId="45" xfId="0" applyNumberFormat="1" applyFont="1" applyFill="1" applyBorder="1" applyAlignment="1" applyProtection="1">
      <alignment horizontal="center" vertical="center"/>
    </xf>
    <xf numFmtId="165" fontId="28" fillId="8" borderId="37" xfId="0" applyNumberFormat="1" applyFont="1" applyFill="1" applyBorder="1" applyAlignment="1" applyProtection="1">
      <alignment horizontal="center" vertical="center"/>
    </xf>
    <xf numFmtId="3" fontId="28" fillId="8" borderId="37" xfId="0" applyNumberFormat="1" applyFont="1" applyFill="1" applyBorder="1" applyAlignment="1" applyProtection="1">
      <alignment horizontal="center" vertical="center"/>
    </xf>
    <xf numFmtId="4" fontId="27" fillId="13" borderId="45" xfId="0" applyNumberFormat="1" applyFont="1" applyFill="1" applyBorder="1" applyAlignment="1" applyProtection="1">
      <alignment horizontal="center" vertical="center"/>
    </xf>
    <xf numFmtId="4" fontId="30" fillId="8" borderId="25" xfId="0" applyNumberFormat="1" applyFont="1" applyFill="1" applyBorder="1" applyAlignment="1" applyProtection="1">
      <alignment horizontal="center" vertical="center"/>
    </xf>
    <xf numFmtId="4" fontId="30" fillId="8" borderId="12" xfId="0" applyNumberFormat="1" applyFont="1" applyFill="1" applyBorder="1" applyAlignment="1" applyProtection="1">
      <alignment horizontal="center" vertical="center"/>
    </xf>
    <xf numFmtId="4" fontId="30" fillId="8" borderId="37" xfId="0" applyNumberFormat="1" applyFont="1" applyFill="1" applyBorder="1" applyAlignment="1" applyProtection="1">
      <alignment horizontal="center" vertical="center"/>
    </xf>
    <xf numFmtId="4" fontId="28" fillId="8" borderId="26" xfId="0" applyNumberFormat="1" applyFont="1" applyFill="1" applyBorder="1" applyAlignment="1" applyProtection="1">
      <alignment horizontal="center" vertical="center"/>
      <protection locked="0"/>
    </xf>
    <xf numFmtId="4" fontId="28" fillId="8" borderId="13" xfId="0" applyNumberFormat="1" applyFont="1" applyFill="1" applyBorder="1" applyAlignment="1" applyProtection="1">
      <alignment horizontal="center" vertical="center"/>
      <protection locked="0"/>
    </xf>
    <xf numFmtId="4" fontId="28" fillId="8" borderId="40" xfId="0" applyNumberFormat="1" applyFont="1" applyFill="1" applyBorder="1" applyAlignment="1" applyProtection="1">
      <alignment horizontal="center" vertical="center"/>
      <protection locked="0"/>
    </xf>
    <xf numFmtId="3" fontId="30" fillId="8" borderId="37" xfId="0" applyNumberFormat="1" applyFont="1" applyFill="1" applyBorder="1" applyAlignment="1" applyProtection="1">
      <alignment horizontal="center" vertical="center"/>
    </xf>
    <xf numFmtId="0" fontId="28" fillId="8" borderId="32" xfId="0" applyFont="1" applyFill="1" applyBorder="1" applyAlignment="1" applyProtection="1">
      <alignment horizontal="left" vertical="center"/>
      <protection locked="0"/>
    </xf>
    <xf numFmtId="0" fontId="28" fillId="8" borderId="32" xfId="0" applyFont="1" applyFill="1" applyBorder="1" applyAlignment="1" applyProtection="1">
      <alignment horizontal="center" vertical="center"/>
      <protection locked="0"/>
    </xf>
    <xf numFmtId="3" fontId="28" fillId="0" borderId="2" xfId="1" applyNumberFormat="1" applyFont="1" applyFill="1" applyBorder="1" applyAlignment="1" applyProtection="1">
      <alignment horizontal="center" vertical="center"/>
      <protection locked="0"/>
    </xf>
    <xf numFmtId="3" fontId="28" fillId="0" borderId="10" xfId="1" applyNumberFormat="1" applyFont="1" applyFill="1" applyBorder="1" applyAlignment="1" applyProtection="1">
      <alignment horizontal="center" vertical="center"/>
      <protection locked="0"/>
    </xf>
    <xf numFmtId="4" fontId="30" fillId="8" borderId="17" xfId="0" applyNumberFormat="1" applyFont="1" applyFill="1" applyBorder="1" applyAlignment="1" applyProtection="1">
      <alignment horizontal="center" vertical="center"/>
    </xf>
    <xf numFmtId="3" fontId="30" fillId="8" borderId="17" xfId="0" applyNumberFormat="1" applyFont="1" applyFill="1" applyBorder="1" applyAlignment="1" applyProtection="1">
      <alignment horizontal="center" vertical="center"/>
    </xf>
    <xf numFmtId="3" fontId="30" fillId="0" borderId="7" xfId="1" applyNumberFormat="1" applyFont="1" applyFill="1" applyBorder="1" applyAlignment="1" applyProtection="1">
      <alignment horizontal="center" vertical="center"/>
      <protection locked="0"/>
    </xf>
    <xf numFmtId="3" fontId="28" fillId="0" borderId="21" xfId="1" applyNumberFormat="1" applyFont="1" applyFill="1" applyBorder="1" applyAlignment="1" applyProtection="1">
      <alignment horizontal="center" vertical="center"/>
      <protection locked="0"/>
    </xf>
    <xf numFmtId="3" fontId="30" fillId="0" borderId="74" xfId="1" applyNumberFormat="1" applyFont="1" applyFill="1" applyBorder="1" applyAlignment="1" applyProtection="1">
      <alignment horizontal="center" vertical="center"/>
      <protection locked="0"/>
    </xf>
    <xf numFmtId="3" fontId="30" fillId="0" borderId="62" xfId="1" applyNumberFormat="1" applyFont="1" applyFill="1" applyBorder="1" applyAlignment="1" applyProtection="1">
      <alignment horizontal="center" vertical="center"/>
      <protection locked="0"/>
    </xf>
    <xf numFmtId="3" fontId="30" fillId="0" borderId="71" xfId="0" applyNumberFormat="1" applyFont="1" applyFill="1" applyBorder="1" applyAlignment="1" applyProtection="1">
      <alignment horizontal="center" vertical="center"/>
      <protection locked="0"/>
    </xf>
    <xf numFmtId="3" fontId="28" fillId="0" borderId="8" xfId="0" applyNumberFormat="1" applyFont="1" applyFill="1" applyBorder="1" applyAlignment="1" applyProtection="1">
      <alignment horizontal="center" vertical="center"/>
      <protection locked="0"/>
    </xf>
    <xf numFmtId="3" fontId="28" fillId="0" borderId="15" xfId="0" applyNumberFormat="1" applyFont="1" applyFill="1" applyBorder="1" applyAlignment="1" applyProtection="1">
      <alignment horizontal="center" vertical="center"/>
      <protection locked="0"/>
    </xf>
    <xf numFmtId="3" fontId="28" fillId="0" borderId="62" xfId="1" applyNumberFormat="1" applyFont="1" applyFill="1" applyBorder="1" applyAlignment="1" applyProtection="1">
      <alignment horizontal="center" vertical="center"/>
      <protection locked="0"/>
    </xf>
    <xf numFmtId="3" fontId="28" fillId="0" borderId="71" xfId="1" applyNumberFormat="1" applyFont="1" applyFill="1" applyBorder="1" applyAlignment="1" applyProtection="1">
      <alignment horizontal="center" vertical="center"/>
      <protection locked="0"/>
    </xf>
    <xf numFmtId="3" fontId="28" fillId="0" borderId="23" xfId="0" applyNumberFormat="1" applyFont="1" applyFill="1" applyBorder="1" applyAlignment="1" applyProtection="1">
      <alignment horizontal="center" vertical="center"/>
      <protection locked="0"/>
    </xf>
    <xf numFmtId="3" fontId="28" fillId="0" borderId="23" xfId="0" applyNumberFormat="1" applyFont="1" applyFill="1" applyBorder="1" applyAlignment="1" applyProtection="1">
      <alignment horizontal="center" vertical="center" wrapText="1"/>
      <protection locked="0"/>
    </xf>
    <xf numFmtId="0" fontId="27" fillId="0" borderId="60" xfId="0" applyFont="1" applyBorder="1" applyAlignment="1" applyProtection="1">
      <alignment horizontal="center" vertical="center" wrapText="1"/>
      <protection locked="0"/>
    </xf>
    <xf numFmtId="3" fontId="28" fillId="0" borderId="21" xfId="0" applyNumberFormat="1" applyFont="1" applyFill="1" applyBorder="1" applyAlignment="1" applyProtection="1">
      <alignment horizontal="center" vertical="center" wrapText="1"/>
      <protection locked="0"/>
    </xf>
    <xf numFmtId="3" fontId="30" fillId="0" borderId="20" xfId="0" applyNumberFormat="1" applyFont="1" applyFill="1" applyBorder="1" applyAlignment="1" applyProtection="1">
      <alignment horizontal="center" vertical="center" wrapText="1"/>
      <protection locked="0"/>
    </xf>
    <xf numFmtId="3" fontId="30" fillId="0" borderId="18" xfId="0" applyNumberFormat="1" applyFont="1" applyFill="1" applyBorder="1" applyAlignment="1" applyProtection="1">
      <alignment horizontal="center" vertical="center" wrapText="1"/>
      <protection locked="0"/>
    </xf>
    <xf numFmtId="3" fontId="28" fillId="0" borderId="20" xfId="1" applyNumberFormat="1" applyFont="1" applyFill="1" applyBorder="1" applyAlignment="1" applyProtection="1">
      <alignment horizontal="center" vertical="center" wrapText="1"/>
      <protection locked="0"/>
    </xf>
    <xf numFmtId="3" fontId="28" fillId="0" borderId="20" xfId="0" applyNumberFormat="1" applyFont="1" applyFill="1" applyBorder="1" applyAlignment="1" applyProtection="1">
      <alignment horizontal="center" vertical="center" wrapText="1"/>
      <protection locked="0"/>
    </xf>
    <xf numFmtId="3" fontId="28" fillId="0" borderId="71" xfId="1" applyNumberFormat="1" applyFont="1" applyFill="1" applyBorder="1" applyAlignment="1" applyProtection="1">
      <alignment horizontal="center" vertical="center" wrapText="1"/>
      <protection locked="0"/>
    </xf>
    <xf numFmtId="10" fontId="31" fillId="0" borderId="18" xfId="1" applyNumberFormat="1" applyFont="1" applyFill="1" applyBorder="1" applyAlignment="1" applyProtection="1">
      <alignment horizontal="center" vertical="center" wrapText="1"/>
      <protection locked="0"/>
    </xf>
    <xf numFmtId="3" fontId="28" fillId="0" borderId="19" xfId="0" applyNumberFormat="1" applyFont="1" applyFill="1" applyBorder="1" applyAlignment="1" applyProtection="1">
      <alignment horizontal="center" vertical="center" wrapText="1"/>
      <protection locked="0"/>
    </xf>
    <xf numFmtId="10" fontId="31" fillId="0" borderId="20" xfId="1" applyNumberFormat="1" applyFont="1" applyFill="1" applyBorder="1" applyAlignment="1" applyProtection="1">
      <alignment horizontal="center" vertical="center" wrapText="1"/>
      <protection locked="0"/>
    </xf>
    <xf numFmtId="10" fontId="28" fillId="0" borderId="71" xfId="1" applyNumberFormat="1" applyFont="1" applyFill="1" applyBorder="1" applyAlignment="1" applyProtection="1">
      <alignment horizontal="center" vertical="center" wrapText="1"/>
      <protection locked="0"/>
    </xf>
    <xf numFmtId="10" fontId="28" fillId="0" borderId="23" xfId="1" applyNumberFormat="1" applyFont="1" applyFill="1" applyBorder="1" applyAlignment="1" applyProtection="1">
      <alignment horizontal="center" vertical="center" wrapText="1"/>
      <protection locked="0"/>
    </xf>
    <xf numFmtId="0" fontId="30" fillId="8" borderId="13" xfId="0" applyFont="1" applyFill="1" applyBorder="1" applyAlignment="1" applyProtection="1">
      <alignment vertical="center" wrapText="1"/>
      <protection locked="0"/>
    </xf>
    <xf numFmtId="165" fontId="30" fillId="8" borderId="2" xfId="1" applyNumberFormat="1" applyFont="1" applyFill="1" applyBorder="1" applyAlignment="1" applyProtection="1">
      <alignment horizontal="right" vertical="center"/>
      <protection locked="0"/>
    </xf>
    <xf numFmtId="165" fontId="30" fillId="8" borderId="10" xfId="1" applyNumberFormat="1" applyFont="1" applyFill="1" applyBorder="1" applyAlignment="1" applyProtection="1">
      <alignment horizontal="right" vertical="center"/>
      <protection locked="0"/>
    </xf>
    <xf numFmtId="165" fontId="30" fillId="8" borderId="17" xfId="1" applyNumberFormat="1" applyFont="1" applyFill="1" applyBorder="1" applyAlignment="1" applyProtection="1">
      <alignment horizontal="right" vertical="center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0" fillId="0" borderId="60" xfId="0" applyFont="1" applyBorder="1" applyAlignment="1" applyProtection="1">
      <alignment vertical="center"/>
      <protection locked="0"/>
    </xf>
    <xf numFmtId="4" fontId="25" fillId="14" borderId="81" xfId="1" applyNumberFormat="1" applyFont="1" applyFill="1" applyBorder="1" applyAlignment="1" applyProtection="1">
      <alignment horizontal="right" vertical="center"/>
    </xf>
    <xf numFmtId="4" fontId="28" fillId="8" borderId="28" xfId="0" applyNumberFormat="1" applyFont="1" applyFill="1" applyBorder="1" applyAlignment="1" applyProtection="1">
      <alignment horizontal="right" vertical="center"/>
    </xf>
    <xf numFmtId="4" fontId="28" fillId="8" borderId="11" xfId="0" applyNumberFormat="1" applyFont="1" applyFill="1" applyBorder="1" applyAlignment="1" applyProtection="1">
      <alignment horizontal="right" vertical="center"/>
    </xf>
    <xf numFmtId="4" fontId="28" fillId="8" borderId="34" xfId="0" applyNumberFormat="1" applyFont="1" applyFill="1" applyBorder="1" applyAlignment="1" applyProtection="1">
      <alignment horizontal="right" vertical="center"/>
    </xf>
    <xf numFmtId="0" fontId="30" fillId="8" borderId="18" xfId="0" applyFont="1" applyFill="1" applyBorder="1" applyAlignment="1" applyProtection="1">
      <alignment vertical="center" wrapText="1"/>
      <protection locked="0"/>
    </xf>
    <xf numFmtId="10" fontId="31" fillId="0" borderId="40" xfId="1" applyNumberFormat="1" applyFont="1" applyFill="1" applyBorder="1" applyAlignment="1" applyProtection="1">
      <alignment horizontal="center" vertical="center"/>
    </xf>
    <xf numFmtId="3" fontId="28" fillId="11" borderId="45" xfId="0" applyNumberFormat="1" applyFont="1" applyFill="1" applyBorder="1" applyAlignment="1" applyProtection="1">
      <alignment horizontal="center" vertical="center"/>
    </xf>
    <xf numFmtId="4" fontId="28" fillId="8" borderId="26" xfId="0" applyNumberFormat="1" applyFont="1" applyFill="1" applyBorder="1" applyAlignment="1" applyProtection="1">
      <alignment horizontal="right" vertical="center"/>
    </xf>
    <xf numFmtId="10" fontId="31" fillId="0" borderId="64" xfId="1" applyNumberFormat="1" applyFont="1" applyFill="1" applyBorder="1" applyAlignment="1" applyProtection="1">
      <alignment horizontal="center" vertical="center"/>
    </xf>
    <xf numFmtId="3" fontId="28" fillId="8" borderId="25" xfId="0" applyNumberFormat="1" applyFont="1" applyFill="1" applyBorder="1" applyAlignment="1" applyProtection="1">
      <alignment horizontal="center" vertical="center"/>
    </xf>
    <xf numFmtId="0" fontId="30" fillId="8" borderId="3" xfId="0" applyFont="1" applyFill="1" applyBorder="1" applyAlignment="1" applyProtection="1">
      <alignment vertical="center" wrapText="1"/>
      <protection locked="0"/>
    </xf>
    <xf numFmtId="165" fontId="30" fillId="0" borderId="13" xfId="1" applyNumberFormat="1" applyFont="1" applyFill="1" applyBorder="1" applyAlignment="1" applyProtection="1">
      <alignment horizontal="right" vertical="center"/>
      <protection locked="0"/>
    </xf>
    <xf numFmtId="4" fontId="28" fillId="8" borderId="13" xfId="0" applyNumberFormat="1" applyFont="1" applyFill="1" applyBorder="1" applyAlignment="1" applyProtection="1">
      <alignment horizontal="right" vertical="center"/>
    </xf>
    <xf numFmtId="3" fontId="28" fillId="8" borderId="58" xfId="0" applyNumberFormat="1" applyFont="1" applyFill="1" applyBorder="1" applyAlignment="1" applyProtection="1">
      <alignment horizontal="center" vertical="center"/>
    </xf>
    <xf numFmtId="0" fontId="30" fillId="8" borderId="79" xfId="0" applyFont="1" applyFill="1" applyBorder="1" applyAlignment="1" applyProtection="1">
      <alignment vertical="center" wrapText="1"/>
      <protection locked="0"/>
    </xf>
    <xf numFmtId="10" fontId="31" fillId="0" borderId="2" xfId="1" applyNumberFormat="1" applyFont="1" applyFill="1" applyBorder="1" applyAlignment="1" applyProtection="1">
      <alignment horizontal="center" vertical="center"/>
    </xf>
    <xf numFmtId="10" fontId="31" fillId="0" borderId="3" xfId="1" applyNumberFormat="1" applyFont="1" applyFill="1" applyBorder="1" applyAlignment="1" applyProtection="1">
      <alignment horizontal="center" vertical="center"/>
    </xf>
    <xf numFmtId="4" fontId="28" fillId="11" borderId="43" xfId="0" applyNumberFormat="1" applyFont="1" applyFill="1" applyBorder="1" applyAlignment="1" applyProtection="1">
      <alignment horizontal="right" vertical="center"/>
      <protection locked="0"/>
    </xf>
    <xf numFmtId="4" fontId="28" fillId="11" borderId="48" xfId="0" applyNumberFormat="1" applyFont="1" applyFill="1" applyBorder="1" applyAlignment="1" applyProtection="1">
      <alignment horizontal="right" vertical="center"/>
    </xf>
    <xf numFmtId="0" fontId="30" fillId="8" borderId="6" xfId="0" applyFont="1" applyFill="1" applyBorder="1" applyAlignment="1" applyProtection="1">
      <alignment vertical="center" wrapText="1"/>
      <protection locked="0"/>
    </xf>
    <xf numFmtId="0" fontId="30" fillId="8" borderId="62" xfId="0" applyFont="1" applyFill="1" applyBorder="1" applyAlignment="1" applyProtection="1">
      <alignment vertical="center" wrapText="1"/>
      <protection locked="0"/>
    </xf>
    <xf numFmtId="0" fontId="30" fillId="8" borderId="67" xfId="0" applyFont="1" applyFill="1" applyBorder="1" applyAlignment="1" applyProtection="1">
      <alignment vertical="center" wrapText="1"/>
      <protection locked="0"/>
    </xf>
    <xf numFmtId="4" fontId="30" fillId="8" borderId="25" xfId="0" applyNumberFormat="1" applyFont="1" applyFill="1" applyBorder="1" applyAlignment="1" applyProtection="1">
      <alignment horizontal="right" vertical="center"/>
      <protection locked="0"/>
    </xf>
    <xf numFmtId="4" fontId="30" fillId="8" borderId="12" xfId="0" applyNumberFormat="1" applyFont="1" applyFill="1" applyBorder="1" applyAlignment="1" applyProtection="1">
      <alignment horizontal="right" vertical="center"/>
      <protection locked="0"/>
    </xf>
    <xf numFmtId="4" fontId="30" fillId="0" borderId="32" xfId="0" applyNumberFormat="1" applyFont="1" applyFill="1" applyBorder="1" applyAlignment="1" applyProtection="1">
      <alignment horizontal="right" vertical="center" wrapText="1"/>
      <protection locked="0"/>
    </xf>
    <xf numFmtId="0" fontId="30" fillId="8" borderId="1" xfId="0" applyFont="1" applyFill="1" applyBorder="1" applyAlignment="1" applyProtection="1">
      <alignment vertical="center" wrapText="1"/>
      <protection locked="0"/>
    </xf>
    <xf numFmtId="165" fontId="30" fillId="0" borderId="4" xfId="1" applyNumberFormat="1" applyFont="1" applyFill="1" applyBorder="1" applyAlignment="1" applyProtection="1">
      <alignment horizontal="right" vertical="center"/>
      <protection locked="0"/>
    </xf>
    <xf numFmtId="4" fontId="28" fillId="8" borderId="7" xfId="0" applyNumberFormat="1" applyFont="1" applyFill="1" applyBorder="1" applyAlignment="1" applyProtection="1">
      <alignment horizontal="right" vertical="center"/>
    </xf>
    <xf numFmtId="4" fontId="28" fillId="8" borderId="3" xfId="0" applyNumberFormat="1" applyFont="1" applyFill="1" applyBorder="1" applyAlignment="1" applyProtection="1">
      <alignment horizontal="right" vertical="center"/>
    </xf>
    <xf numFmtId="0" fontId="30" fillId="8" borderId="10" xfId="0" applyFont="1" applyFill="1" applyBorder="1" applyAlignment="1" applyProtection="1">
      <alignment vertical="center" wrapText="1"/>
      <protection locked="0"/>
    </xf>
    <xf numFmtId="0" fontId="30" fillId="8" borderId="41" xfId="0" applyFont="1" applyFill="1" applyBorder="1" applyAlignment="1" applyProtection="1">
      <alignment vertical="center" wrapText="1"/>
      <protection locked="0"/>
    </xf>
    <xf numFmtId="3" fontId="30" fillId="8" borderId="54" xfId="0" applyNumberFormat="1" applyFont="1" applyFill="1" applyBorder="1" applyAlignment="1" applyProtection="1">
      <alignment horizontal="center" vertical="center"/>
      <protection locked="0"/>
    </xf>
    <xf numFmtId="4" fontId="28" fillId="0" borderId="54" xfId="1" applyNumberFormat="1" applyFont="1" applyFill="1" applyBorder="1" applyAlignment="1" applyProtection="1">
      <alignment horizontal="right" vertical="center"/>
    </xf>
    <xf numFmtId="4" fontId="28" fillId="0" borderId="55" xfId="1" applyNumberFormat="1" applyFont="1" applyFill="1" applyBorder="1" applyAlignment="1" applyProtection="1">
      <alignment horizontal="right" vertical="center"/>
    </xf>
    <xf numFmtId="4" fontId="41" fillId="0" borderId="10" xfId="0" applyNumberFormat="1" applyFont="1" applyFill="1" applyBorder="1" applyAlignment="1" applyProtection="1">
      <alignment horizontal="right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0" fillId="8" borderId="8" xfId="0" applyFont="1" applyFill="1" applyBorder="1" applyAlignment="1" applyProtection="1">
      <alignment vertical="center"/>
      <protection locked="0"/>
    </xf>
    <xf numFmtId="0" fontId="30" fillId="8" borderId="15" xfId="0" applyFont="1" applyFill="1" applyBorder="1" applyAlignment="1" applyProtection="1">
      <alignment vertical="center"/>
      <protection locked="0"/>
    </xf>
    <xf numFmtId="0" fontId="30" fillId="8" borderId="33" xfId="0" applyFont="1" applyFill="1" applyBorder="1" applyAlignment="1" applyProtection="1">
      <alignment vertical="center"/>
      <protection locked="0"/>
    </xf>
    <xf numFmtId="0" fontId="30" fillId="8" borderId="23" xfId="0" applyFont="1" applyFill="1" applyBorder="1" applyAlignment="1" applyProtection="1">
      <alignment vertical="center"/>
      <protection locked="0"/>
    </xf>
    <xf numFmtId="0" fontId="30" fillId="8" borderId="72" xfId="0" applyFont="1" applyFill="1" applyBorder="1" applyAlignment="1" applyProtection="1">
      <alignment vertical="center" wrapText="1"/>
      <protection locked="0"/>
    </xf>
    <xf numFmtId="0" fontId="30" fillId="8" borderId="76" xfId="0" applyFont="1" applyFill="1" applyBorder="1" applyAlignment="1" applyProtection="1">
      <alignment vertical="center" wrapText="1"/>
      <protection locked="0"/>
    </xf>
    <xf numFmtId="3" fontId="30" fillId="8" borderId="24" xfId="0" applyNumberFormat="1" applyFont="1" applyFill="1" applyBorder="1" applyAlignment="1" applyProtection="1">
      <alignment horizontal="center" vertical="center"/>
      <protection locked="0"/>
    </xf>
    <xf numFmtId="3" fontId="30" fillId="8" borderId="52" xfId="0" applyNumberFormat="1" applyFont="1" applyFill="1" applyBorder="1" applyAlignment="1" applyProtection="1">
      <alignment horizontal="center" vertical="center"/>
      <protection locked="0"/>
    </xf>
    <xf numFmtId="3" fontId="30" fillId="8" borderId="77" xfId="0" applyNumberFormat="1" applyFont="1" applyFill="1" applyBorder="1" applyAlignment="1" applyProtection="1">
      <alignment horizontal="center" vertical="center"/>
      <protection locked="0"/>
    </xf>
    <xf numFmtId="3" fontId="30" fillId="8" borderId="8" xfId="0" applyNumberFormat="1" applyFont="1" applyFill="1" applyBorder="1" applyAlignment="1" applyProtection="1">
      <alignment horizontal="center" vertical="center"/>
      <protection locked="0"/>
    </xf>
    <xf numFmtId="3" fontId="30" fillId="8" borderId="29" xfId="0" applyNumberFormat="1" applyFont="1" applyFill="1" applyBorder="1" applyAlignment="1" applyProtection="1">
      <alignment horizontal="center" vertical="center"/>
      <protection locked="0"/>
    </xf>
    <xf numFmtId="3" fontId="30" fillId="8" borderId="23" xfId="0" applyNumberFormat="1" applyFont="1" applyFill="1" applyBorder="1" applyAlignment="1" applyProtection="1">
      <alignment horizontal="center" vertical="center"/>
      <protection locked="0"/>
    </xf>
    <xf numFmtId="165" fontId="30" fillId="8" borderId="12" xfId="1" applyNumberFormat="1" applyFont="1" applyFill="1" applyBorder="1" applyAlignment="1" applyProtection="1">
      <alignment horizontal="right" vertical="center"/>
      <protection locked="0"/>
    </xf>
    <xf numFmtId="165" fontId="30" fillId="10" borderId="12" xfId="1" applyNumberFormat="1" applyFont="1" applyFill="1" applyBorder="1" applyAlignment="1" applyProtection="1">
      <alignment horizontal="right" vertical="center"/>
      <protection locked="0"/>
    </xf>
    <xf numFmtId="3" fontId="41" fillId="8" borderId="8" xfId="0" applyNumberFormat="1" applyFont="1" applyFill="1" applyBorder="1" applyAlignment="1" applyProtection="1">
      <alignment horizontal="center" vertical="center"/>
      <protection locked="0"/>
    </xf>
    <xf numFmtId="3" fontId="43" fillId="0" borderId="13" xfId="0" applyNumberFormat="1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3" fontId="22" fillId="12" borderId="40" xfId="0" applyNumberFormat="1" applyFont="1" applyFill="1" applyBorder="1" applyAlignment="1" applyProtection="1">
      <alignment horizontal="center" vertical="center" wrapText="1"/>
      <protection locked="0"/>
    </xf>
    <xf numFmtId="3" fontId="22" fillId="12" borderId="34" xfId="0" applyNumberFormat="1" applyFont="1" applyFill="1" applyBorder="1" applyAlignment="1" applyProtection="1">
      <alignment horizontal="center" vertical="center" wrapText="1"/>
      <protection locked="0"/>
    </xf>
    <xf numFmtId="3" fontId="22" fillId="12" borderId="17" xfId="0" applyNumberFormat="1" applyFont="1" applyFill="1" applyBorder="1" applyAlignment="1" applyProtection="1">
      <alignment horizontal="center" vertical="center" wrapText="1"/>
      <protection locked="0"/>
    </xf>
    <xf numFmtId="3" fontId="30" fillId="8" borderId="55" xfId="0" applyNumberFormat="1" applyFont="1" applyFill="1" applyBorder="1" applyAlignment="1" applyProtection="1">
      <alignment horizontal="center" vertical="center"/>
      <protection locked="0"/>
    </xf>
    <xf numFmtId="165" fontId="43" fillId="0" borderId="25" xfId="1" applyNumberFormat="1" applyFont="1" applyFill="1" applyBorder="1" applyAlignment="1" applyProtection="1">
      <alignment horizontal="right" vertical="center"/>
      <protection locked="0"/>
    </xf>
    <xf numFmtId="4" fontId="43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3" fontId="30" fillId="0" borderId="26" xfId="0" applyNumberFormat="1" applyFont="1" applyFill="1" applyBorder="1" applyAlignment="1" applyProtection="1">
      <alignment horizontal="center" vertical="center"/>
      <protection locked="0"/>
    </xf>
    <xf numFmtId="10" fontId="28" fillId="8" borderId="12" xfId="1" applyNumberFormat="1" applyFont="1" applyFill="1" applyBorder="1" applyAlignment="1" applyProtection="1">
      <alignment horizontal="center" vertical="center"/>
    </xf>
    <xf numFmtId="10" fontId="31" fillId="0" borderId="19" xfId="1" applyNumberFormat="1" applyFont="1" applyFill="1" applyBorder="1" applyAlignment="1" applyProtection="1">
      <alignment horizontal="center" vertical="center"/>
    </xf>
    <xf numFmtId="165" fontId="43" fillId="0" borderId="12" xfId="1" applyNumberFormat="1" applyFont="1" applyFill="1" applyBorder="1" applyAlignment="1" applyProtection="1">
      <alignment horizontal="right" vertical="center"/>
      <protection locked="0"/>
    </xf>
    <xf numFmtId="4" fontId="41" fillId="0" borderId="26" xfId="1" applyNumberFormat="1" applyFont="1" applyFill="1" applyBorder="1" applyAlignment="1" applyProtection="1">
      <alignment horizontal="right" vertical="center"/>
    </xf>
    <xf numFmtId="3" fontId="43" fillId="8" borderId="26" xfId="0" applyNumberFormat="1" applyFont="1" applyFill="1" applyBorder="1" applyAlignment="1" applyProtection="1">
      <alignment horizontal="center" vertical="center"/>
      <protection locked="0"/>
    </xf>
    <xf numFmtId="3" fontId="43" fillId="8" borderId="13" xfId="0" applyNumberFormat="1" applyFont="1" applyFill="1" applyBorder="1" applyAlignment="1" applyProtection="1">
      <alignment horizontal="center" vertical="center"/>
      <protection locked="0"/>
    </xf>
    <xf numFmtId="3" fontId="43" fillId="8" borderId="11" xfId="0" applyNumberFormat="1" applyFont="1" applyFill="1" applyBorder="1" applyAlignment="1" applyProtection="1">
      <alignment horizontal="center" vertical="center"/>
      <protection locked="0"/>
    </xf>
    <xf numFmtId="3" fontId="30" fillId="8" borderId="5" xfId="0" applyNumberFormat="1" applyFont="1" applyFill="1" applyBorder="1" applyAlignment="1" applyProtection="1">
      <alignment horizontal="center" vertical="center"/>
      <protection locked="0"/>
    </xf>
    <xf numFmtId="3" fontId="28" fillId="11" borderId="55" xfId="0" applyNumberFormat="1" applyFont="1" applyFill="1" applyBorder="1" applyAlignment="1" applyProtection="1">
      <alignment horizontal="center" vertical="center"/>
    </xf>
    <xf numFmtId="3" fontId="28" fillId="8" borderId="65" xfId="0" applyNumberFormat="1" applyFont="1" applyFill="1" applyBorder="1" applyAlignment="1" applyProtection="1">
      <alignment horizontal="center" vertical="center"/>
    </xf>
    <xf numFmtId="3" fontId="28" fillId="8" borderId="76" xfId="0" applyNumberFormat="1" applyFont="1" applyFill="1" applyBorder="1" applyAlignment="1" applyProtection="1">
      <alignment horizontal="center" vertical="center"/>
    </xf>
    <xf numFmtId="3" fontId="28" fillId="11" borderId="38" xfId="0" applyNumberFormat="1" applyFont="1" applyFill="1" applyBorder="1" applyAlignment="1" applyProtection="1">
      <alignment horizontal="center" vertical="center"/>
    </xf>
    <xf numFmtId="3" fontId="28" fillId="11" borderId="31" xfId="0" applyNumberFormat="1" applyFont="1" applyFill="1" applyBorder="1" applyAlignment="1" applyProtection="1">
      <alignment horizontal="center" vertical="center"/>
    </xf>
    <xf numFmtId="3" fontId="28" fillId="8" borderId="72" xfId="0" applyNumberFormat="1" applyFont="1" applyFill="1" applyBorder="1" applyAlignment="1" applyProtection="1">
      <alignment horizontal="center" vertical="center"/>
    </xf>
    <xf numFmtId="3" fontId="28" fillId="8" borderId="79" xfId="0" applyNumberFormat="1" applyFont="1" applyFill="1" applyBorder="1" applyAlignment="1" applyProtection="1">
      <alignment horizontal="center" vertical="center"/>
    </xf>
    <xf numFmtId="3" fontId="28" fillId="8" borderId="66" xfId="0" applyNumberFormat="1" applyFont="1" applyFill="1" applyBorder="1" applyAlignment="1" applyProtection="1">
      <alignment horizontal="center" vertical="center"/>
    </xf>
    <xf numFmtId="4" fontId="28" fillId="8" borderId="25" xfId="0" applyNumberFormat="1" applyFont="1" applyFill="1" applyBorder="1" applyAlignment="1" applyProtection="1">
      <alignment horizontal="center" vertical="center"/>
    </xf>
    <xf numFmtId="4" fontId="28" fillId="8" borderId="12" xfId="0" applyNumberFormat="1" applyFont="1" applyFill="1" applyBorder="1" applyAlignment="1" applyProtection="1">
      <alignment horizontal="center" vertical="center"/>
    </xf>
    <xf numFmtId="3" fontId="27" fillId="13" borderId="41" xfId="0" applyNumberFormat="1" applyFont="1" applyFill="1" applyBorder="1" applyAlignment="1" applyProtection="1">
      <alignment horizontal="center" vertical="center"/>
    </xf>
    <xf numFmtId="3" fontId="30" fillId="8" borderId="79" xfId="0" applyNumberFormat="1" applyFont="1" applyFill="1" applyBorder="1" applyAlignment="1" applyProtection="1">
      <alignment horizontal="center" vertical="center"/>
      <protection locked="0"/>
    </xf>
    <xf numFmtId="3" fontId="30" fillId="8" borderId="65" xfId="0" applyNumberFormat="1" applyFont="1" applyFill="1" applyBorder="1" applyAlignment="1" applyProtection="1">
      <alignment horizontal="center" vertical="center"/>
      <protection locked="0"/>
    </xf>
    <xf numFmtId="3" fontId="30" fillId="8" borderId="15" xfId="0" applyNumberFormat="1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3" fontId="43" fillId="0" borderId="28" xfId="0" applyNumberFormat="1" applyFont="1" applyFill="1" applyBorder="1" applyAlignment="1" applyProtection="1">
      <alignment horizontal="center" vertical="center"/>
      <protection locked="0"/>
    </xf>
    <xf numFmtId="3" fontId="44" fillId="8" borderId="8" xfId="0" applyNumberFormat="1" applyFont="1" applyFill="1" applyBorder="1" applyAlignment="1" applyProtection="1">
      <alignment horizontal="center" vertical="center"/>
      <protection locked="0"/>
    </xf>
    <xf numFmtId="4" fontId="19" fillId="0" borderId="0" xfId="0" applyNumberFormat="1" applyFont="1" applyAlignment="1" applyProtection="1">
      <alignment vertical="center"/>
      <protection locked="0"/>
    </xf>
    <xf numFmtId="165" fontId="36" fillId="0" borderId="25" xfId="1" applyNumberFormat="1" applyFont="1" applyFill="1" applyBorder="1" applyAlignment="1" applyProtection="1">
      <alignment horizontal="right" vertical="center"/>
      <protection locked="0"/>
    </xf>
    <xf numFmtId="4" fontId="36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3" fontId="36" fillId="0" borderId="13" xfId="0" applyNumberFormat="1" applyFont="1" applyFill="1" applyBorder="1" applyAlignment="1" applyProtection="1">
      <alignment horizontal="center" vertical="center"/>
      <protection locked="0"/>
    </xf>
    <xf numFmtId="4" fontId="43" fillId="0" borderId="10" xfId="0" applyNumberFormat="1" applyFont="1" applyFill="1" applyBorder="1" applyAlignment="1" applyProtection="1">
      <alignment horizontal="right" vertical="center" wrapText="1"/>
      <protection locked="0"/>
    </xf>
    <xf numFmtId="166" fontId="43" fillId="0" borderId="25" xfId="1" applyNumberFormat="1" applyFont="1" applyFill="1" applyBorder="1" applyAlignment="1" applyProtection="1">
      <alignment horizontal="right" vertical="center"/>
      <protection locked="0"/>
    </xf>
    <xf numFmtId="165" fontId="43" fillId="0" borderId="10" xfId="1" applyNumberFormat="1" applyFont="1" applyFill="1" applyBorder="1" applyAlignment="1" applyProtection="1">
      <alignment horizontal="right" vertical="center"/>
      <protection locked="0"/>
    </xf>
    <xf numFmtId="165" fontId="43" fillId="0" borderId="37" xfId="1" applyNumberFormat="1" applyFont="1" applyFill="1" applyBorder="1" applyAlignment="1" applyProtection="1">
      <alignment horizontal="right" vertical="center"/>
      <protection locked="0"/>
    </xf>
    <xf numFmtId="3" fontId="19" fillId="0" borderId="0" xfId="0" applyNumberFormat="1" applyFont="1" applyAlignment="1" applyProtection="1">
      <alignment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44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3" fontId="36" fillId="8" borderId="26" xfId="0" applyNumberFormat="1" applyFont="1" applyFill="1" applyBorder="1" applyAlignment="1" applyProtection="1">
      <alignment horizontal="center" vertical="center"/>
      <protection locked="0"/>
    </xf>
    <xf numFmtId="4" fontId="41" fillId="8" borderId="12" xfId="0" applyNumberFormat="1" applyFont="1" applyFill="1" applyBorder="1" applyAlignment="1" applyProtection="1">
      <alignment horizontal="center" vertical="center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10" fontId="41" fillId="0" borderId="11" xfId="1" applyNumberFormat="1" applyFont="1" applyFill="1" applyBorder="1" applyAlignment="1" applyProtection="1">
      <alignment horizontal="center" vertical="center" wrapText="1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0" borderId="42" xfId="0" applyFont="1" applyFill="1" applyBorder="1" applyAlignment="1" applyProtection="1">
      <alignment horizontal="center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165" fontId="43" fillId="0" borderId="17" xfId="1" applyNumberFormat="1" applyFont="1" applyFill="1" applyBorder="1" applyAlignment="1" applyProtection="1">
      <alignment horizontal="right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3" fontId="36" fillId="8" borderId="13" xfId="0" applyNumberFormat="1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3" fontId="28" fillId="8" borderId="10" xfId="0" applyNumberFormat="1" applyFont="1" applyFill="1" applyBorder="1" applyAlignment="1" applyProtection="1">
      <alignment horizontal="center" vertical="center"/>
      <protection locked="0"/>
    </xf>
    <xf numFmtId="3" fontId="28" fillId="8" borderId="62" xfId="0" applyNumberFormat="1" applyFont="1" applyFill="1" applyBorder="1" applyAlignment="1" applyProtection="1">
      <alignment horizontal="center" vertical="center"/>
      <protection locked="0"/>
    </xf>
    <xf numFmtId="3" fontId="28" fillId="8" borderId="13" xfId="0" applyNumberFormat="1" applyFont="1" applyFill="1" applyBorder="1" applyAlignment="1" applyProtection="1">
      <alignment horizontal="center" vertical="center"/>
      <protection locked="0"/>
    </xf>
    <xf numFmtId="0" fontId="20" fillId="0" borderId="0" xfId="0" applyFont="1" applyAlignment="1" applyProtection="1">
      <alignment vertical="center"/>
      <protection locked="0"/>
    </xf>
    <xf numFmtId="4" fontId="28" fillId="8" borderId="26" xfId="1" applyNumberFormat="1" applyFont="1" applyFill="1" applyBorder="1" applyAlignment="1" applyProtection="1">
      <alignment horizontal="right" vertical="center"/>
    </xf>
    <xf numFmtId="0" fontId="27" fillId="8" borderId="9" xfId="0" applyFont="1" applyFill="1" applyBorder="1" applyAlignment="1" applyProtection="1">
      <alignment horizontal="center" vertical="center"/>
      <protection locked="0"/>
    </xf>
    <xf numFmtId="0" fontId="30" fillId="8" borderId="34" xfId="0" applyFont="1" applyFill="1" applyBorder="1" applyAlignment="1" applyProtection="1">
      <alignment horizontal="left" vertical="center" wrapText="1"/>
      <protection locked="0"/>
    </xf>
    <xf numFmtId="165" fontId="43" fillId="8" borderId="37" xfId="1" applyNumberFormat="1" applyFont="1" applyFill="1" applyBorder="1" applyAlignment="1" applyProtection="1">
      <alignment horizontal="right" vertical="center"/>
      <protection locked="0"/>
    </xf>
    <xf numFmtId="4" fontId="28" fillId="8" borderId="70" xfId="1" applyNumberFormat="1" applyFont="1" applyFill="1" applyBorder="1" applyAlignment="1" applyProtection="1">
      <alignment horizontal="right" vertical="center"/>
    </xf>
    <xf numFmtId="4" fontId="30" fillId="8" borderId="17" xfId="0" applyNumberFormat="1" applyFont="1" applyFill="1" applyBorder="1" applyAlignment="1" applyProtection="1">
      <alignment horizontal="right" vertical="center" wrapText="1"/>
      <protection locked="0"/>
    </xf>
    <xf numFmtId="4" fontId="28" fillId="8" borderId="40" xfId="0" applyNumberFormat="1" applyFont="1" applyFill="1" applyBorder="1" applyAlignment="1" applyProtection="1">
      <alignment horizontal="right" vertical="center"/>
    </xf>
    <xf numFmtId="0" fontId="19" fillId="8" borderId="0" xfId="0" applyFont="1" applyFill="1" applyAlignment="1" applyProtection="1">
      <alignment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41" fillId="8" borderId="25" xfId="0" applyNumberFormat="1" applyFont="1" applyFill="1" applyBorder="1" applyAlignment="1" applyProtection="1">
      <alignment horizontal="center" vertical="center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44" fillId="8" borderId="70" xfId="1" applyNumberFormat="1" applyFont="1" applyFill="1" applyBorder="1" applyAlignment="1" applyProtection="1">
      <alignment horizontal="right" vertical="center"/>
    </xf>
    <xf numFmtId="165" fontId="43" fillId="8" borderId="12" xfId="1" applyNumberFormat="1" applyFont="1" applyFill="1" applyBorder="1" applyAlignment="1" applyProtection="1">
      <alignment horizontal="right" vertical="center"/>
      <protection locked="0"/>
    </xf>
    <xf numFmtId="4" fontId="43" fillId="8" borderId="36" xfId="0" applyNumberFormat="1" applyFont="1" applyFill="1" applyBorder="1" applyAlignment="1" applyProtection="1">
      <alignment horizontal="right" vertical="center" wrapText="1"/>
      <protection locked="0"/>
    </xf>
    <xf numFmtId="4" fontId="43" fillId="8" borderId="10" xfId="0" applyNumberFormat="1" applyFont="1" applyFill="1" applyBorder="1" applyAlignment="1" applyProtection="1">
      <alignment horizontal="right" vertical="center" wrapText="1"/>
      <protection locked="0"/>
    </xf>
    <xf numFmtId="165" fontId="43" fillId="8" borderId="25" xfId="1" applyNumberFormat="1" applyFont="1" applyFill="1" applyBorder="1" applyAlignment="1" applyProtection="1">
      <alignment horizontal="right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43" fillId="0" borderId="17" xfId="0" applyNumberFormat="1" applyFont="1" applyFill="1" applyBorder="1" applyAlignment="1" applyProtection="1">
      <alignment horizontal="right" vertical="center" wrapText="1"/>
      <protection locked="0"/>
    </xf>
    <xf numFmtId="0" fontId="45" fillId="0" borderId="13" xfId="0" applyFont="1" applyBorder="1" applyAlignment="1">
      <alignment horizontal="left" vertical="center" wrapText="1"/>
    </xf>
    <xf numFmtId="0" fontId="45" fillId="0" borderId="11" xfId="0" applyFont="1" applyBorder="1" applyAlignment="1">
      <alignment horizontal="left" vertical="center" wrapText="1"/>
    </xf>
    <xf numFmtId="0" fontId="44" fillId="8" borderId="37" xfId="0" applyFont="1" applyFill="1" applyBorder="1" applyAlignment="1" applyProtection="1">
      <alignment horizontal="center" vertical="center" wrapText="1"/>
      <protection locked="0"/>
    </xf>
    <xf numFmtId="0" fontId="36" fillId="8" borderId="34" xfId="0" applyFont="1" applyFill="1" applyBorder="1" applyAlignment="1" applyProtection="1">
      <alignment vertical="center"/>
      <protection locked="0"/>
    </xf>
    <xf numFmtId="0" fontId="36" fillId="8" borderId="22" xfId="0" applyFont="1" applyFill="1" applyBorder="1" applyAlignment="1" applyProtection="1">
      <alignment vertical="center"/>
      <protection locked="0"/>
    </xf>
    <xf numFmtId="3" fontId="36" fillId="8" borderId="17" xfId="0" applyNumberFormat="1" applyFont="1" applyFill="1" applyBorder="1" applyAlignment="1" applyProtection="1">
      <alignment horizontal="center" vertical="center"/>
      <protection locked="0"/>
    </xf>
    <xf numFmtId="3" fontId="36" fillId="8" borderId="28" xfId="0" applyNumberFormat="1" applyFont="1" applyFill="1" applyBorder="1" applyAlignment="1" applyProtection="1">
      <alignment horizontal="center" vertical="center"/>
      <protection locked="0"/>
    </xf>
    <xf numFmtId="4" fontId="36" fillId="8" borderId="17" xfId="0" applyNumberFormat="1" applyFont="1" applyFill="1" applyBorder="1" applyAlignment="1" applyProtection="1">
      <alignment horizontal="center" vertical="center"/>
    </xf>
    <xf numFmtId="3" fontId="36" fillId="8" borderId="37" xfId="0" applyNumberFormat="1" applyFont="1" applyFill="1" applyBorder="1" applyAlignment="1" applyProtection="1">
      <alignment horizontal="center" vertical="center"/>
    </xf>
    <xf numFmtId="4" fontId="44" fillId="8" borderId="40" xfId="0" applyNumberFormat="1" applyFont="1" applyFill="1" applyBorder="1" applyAlignment="1" applyProtection="1">
      <alignment horizontal="center" vertical="center"/>
      <protection locked="0"/>
    </xf>
    <xf numFmtId="10" fontId="44" fillId="8" borderId="34" xfId="1" applyNumberFormat="1" applyFont="1" applyFill="1" applyBorder="1" applyAlignment="1" applyProtection="1">
      <alignment horizontal="center" vertical="center"/>
    </xf>
    <xf numFmtId="0" fontId="46" fillId="0" borderId="0" xfId="0" applyFont="1" applyAlignment="1" applyProtection="1">
      <alignment vertical="center"/>
      <protection locked="0"/>
    </xf>
    <xf numFmtId="4" fontId="37" fillId="18" borderId="47" xfId="1" applyNumberFormat="1" applyFont="1" applyFill="1" applyBorder="1" applyAlignment="1" applyProtection="1">
      <alignment horizontal="right" vertical="center"/>
    </xf>
    <xf numFmtId="3" fontId="30" fillId="18" borderId="17" xfId="0" applyNumberFormat="1" applyFont="1" applyFill="1" applyBorder="1" applyAlignment="1" applyProtection="1">
      <alignment horizontal="center" vertical="center"/>
      <protection locked="0"/>
    </xf>
    <xf numFmtId="3" fontId="30" fillId="18" borderId="65" xfId="0" applyNumberFormat="1" applyFont="1" applyFill="1" applyBorder="1" applyAlignment="1" applyProtection="1">
      <alignment horizontal="center" vertical="center"/>
      <protection locked="0"/>
    </xf>
    <xf numFmtId="3" fontId="30" fillId="17" borderId="65" xfId="0" applyNumberFormat="1" applyFont="1" applyFill="1" applyBorder="1" applyAlignment="1" applyProtection="1">
      <alignment horizontal="center" vertical="center"/>
      <protection locked="0"/>
    </xf>
    <xf numFmtId="3" fontId="30" fillId="19" borderId="79" xfId="0" applyNumberFormat="1" applyFont="1" applyFill="1" applyBorder="1" applyAlignment="1" applyProtection="1">
      <alignment horizontal="center" vertical="center"/>
      <protection locked="0"/>
    </xf>
    <xf numFmtId="3" fontId="30" fillId="19" borderId="17" xfId="0" applyNumberFormat="1" applyFont="1" applyFill="1" applyBorder="1" applyAlignment="1" applyProtection="1">
      <alignment horizontal="center" vertical="center"/>
      <protection locked="0"/>
    </xf>
    <xf numFmtId="3" fontId="30" fillId="10" borderId="65" xfId="0" applyNumberFormat="1" applyFont="1" applyFill="1" applyBorder="1" applyAlignment="1" applyProtection="1">
      <alignment horizontal="center" vertical="center"/>
      <protection locked="0"/>
    </xf>
    <xf numFmtId="3" fontId="30" fillId="10" borderId="17" xfId="0" applyNumberFormat="1" applyFont="1" applyFill="1" applyBorder="1" applyAlignment="1" applyProtection="1">
      <alignment horizontal="center" vertical="center"/>
      <protection locked="0"/>
    </xf>
    <xf numFmtId="0" fontId="28" fillId="0" borderId="25" xfId="0" applyFont="1" applyFill="1" applyBorder="1" applyAlignment="1" applyProtection="1">
      <alignment horizontal="center" vertical="center" wrapText="1"/>
      <protection locked="0"/>
    </xf>
    <xf numFmtId="0" fontId="28" fillId="0" borderId="12" xfId="0" applyFont="1" applyFill="1" applyBorder="1" applyAlignment="1" applyProtection="1">
      <alignment horizontal="center" vertical="center" wrapText="1"/>
      <protection locked="0"/>
    </xf>
    <xf numFmtId="0" fontId="28" fillId="0" borderId="37" xfId="0" applyFont="1" applyFill="1" applyBorder="1" applyAlignment="1" applyProtection="1">
      <alignment horizontal="center" vertical="center" wrapText="1"/>
      <protection locked="0"/>
    </xf>
    <xf numFmtId="0" fontId="27" fillId="13" borderId="45" xfId="0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27" fillId="13" borderId="47" xfId="0" applyFont="1" applyFill="1" applyBorder="1" applyAlignment="1" applyProtection="1">
      <alignment horizontal="center" vertical="center"/>
      <protection locked="0"/>
    </xf>
    <xf numFmtId="0" fontId="28" fillId="16" borderId="61" xfId="0" applyFont="1" applyFill="1" applyBorder="1" applyAlignment="1" applyProtection="1">
      <alignment horizontal="center" vertical="center" wrapText="1"/>
      <protection locked="0"/>
    </xf>
    <xf numFmtId="0" fontId="28" fillId="16" borderId="44" xfId="0" applyFont="1" applyFill="1" applyBorder="1" applyAlignment="1" applyProtection="1">
      <alignment horizontal="center" vertical="center" wrapText="1"/>
      <protection locked="0"/>
    </xf>
    <xf numFmtId="0" fontId="32" fillId="14" borderId="48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32" fillId="14" borderId="63" xfId="0" applyFont="1" applyFill="1" applyBorder="1" applyAlignment="1" applyProtection="1">
      <alignment horizontal="center" vertical="center"/>
      <protection locked="0"/>
    </xf>
    <xf numFmtId="0" fontId="28" fillId="11" borderId="45" xfId="0" applyFont="1" applyFill="1" applyBorder="1" applyAlignment="1" applyProtection="1">
      <alignment horizontal="center" vertical="center" wrapText="1"/>
      <protection locked="0"/>
    </xf>
    <xf numFmtId="0" fontId="28" fillId="11" borderId="61" xfId="0" applyFont="1" applyFill="1" applyBorder="1" applyAlignment="1" applyProtection="1">
      <alignment horizontal="center" vertical="center" wrapText="1"/>
      <protection locked="0"/>
    </xf>
    <xf numFmtId="0" fontId="28" fillId="11" borderId="47" xfId="0" applyFont="1" applyFill="1" applyBorder="1" applyAlignment="1" applyProtection="1">
      <alignment horizontal="center" vertical="center" wrapText="1"/>
      <protection locked="0"/>
    </xf>
    <xf numFmtId="0" fontId="28" fillId="8" borderId="25" xfId="0" applyFont="1" applyFill="1" applyBorder="1" applyAlignment="1" applyProtection="1">
      <alignment horizontal="center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12" xfId="0" applyFont="1" applyFill="1" applyBorder="1" applyAlignment="1" applyProtection="1">
      <alignment horizontal="center" vertical="center" wrapText="1"/>
      <protection locked="0"/>
    </xf>
    <xf numFmtId="0" fontId="28" fillId="11" borderId="45" xfId="0" applyFont="1" applyFill="1" applyBorder="1" applyAlignment="1" applyProtection="1">
      <alignment horizontal="center" vertical="center"/>
      <protection locked="0"/>
    </xf>
    <xf numFmtId="0" fontId="28" fillId="11" borderId="61" xfId="0" applyFont="1" applyFill="1" applyBorder="1" applyAlignment="1" applyProtection="1">
      <alignment horizontal="center" vertical="center"/>
      <protection locked="0"/>
    </xf>
    <xf numFmtId="0" fontId="28" fillId="11" borderId="47" xfId="0" applyFont="1" applyFill="1" applyBorder="1" applyAlignment="1" applyProtection="1">
      <alignment horizontal="center" vertical="center"/>
      <protection locked="0"/>
    </xf>
    <xf numFmtId="0" fontId="28" fillId="8" borderId="22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8" fillId="9" borderId="45" xfId="0" applyFont="1" applyFill="1" applyBorder="1" applyAlignment="1" applyProtection="1">
      <alignment horizontal="center" vertical="center"/>
      <protection locked="0"/>
    </xf>
    <xf numFmtId="0" fontId="28" fillId="9" borderId="61" xfId="0" applyFont="1" applyFill="1" applyBorder="1" applyAlignment="1" applyProtection="1">
      <alignment horizontal="center" vertical="center"/>
      <protection locked="0"/>
    </xf>
    <xf numFmtId="0" fontId="28" fillId="9" borderId="47" xfId="0" applyFont="1" applyFill="1" applyBorder="1" applyAlignment="1" applyProtection="1">
      <alignment horizontal="center" vertical="center"/>
      <protection locked="0"/>
    </xf>
    <xf numFmtId="0" fontId="27" fillId="13" borderId="45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7" fillId="13" borderId="47" xfId="0" applyFont="1" applyFill="1" applyBorder="1" applyAlignment="1" applyProtection="1">
      <alignment horizontal="center" vertical="center" wrapText="1"/>
      <protection locked="0"/>
    </xf>
    <xf numFmtId="0" fontId="28" fillId="16" borderId="43" xfId="0" applyFont="1" applyFill="1" applyBorder="1" applyAlignment="1" applyProtection="1">
      <alignment horizontal="center" vertical="center" wrapText="1"/>
      <protection locked="0"/>
    </xf>
    <xf numFmtId="0" fontId="28" fillId="0" borderId="50" xfId="0" applyFont="1" applyFill="1" applyBorder="1" applyAlignment="1" applyProtection="1">
      <alignment horizontal="center" vertical="center" wrapText="1"/>
      <protection locked="0"/>
    </xf>
    <xf numFmtId="0" fontId="28" fillId="0" borderId="35" xfId="0" applyFont="1" applyFill="1" applyBorder="1" applyAlignment="1" applyProtection="1">
      <alignment horizontal="center" vertical="center" wrapText="1"/>
      <protection locked="0"/>
    </xf>
    <xf numFmtId="0" fontId="28" fillId="0" borderId="41" xfId="0" applyFont="1" applyFill="1" applyBorder="1" applyAlignment="1" applyProtection="1">
      <alignment horizontal="center" vertical="center" wrapText="1"/>
      <protection locked="0"/>
    </xf>
    <xf numFmtId="0" fontId="28" fillId="11" borderId="48" xfId="0" applyFont="1" applyFill="1" applyBorder="1" applyAlignment="1" applyProtection="1">
      <alignment horizontal="center" vertical="center" wrapText="1"/>
      <protection locked="0"/>
    </xf>
    <xf numFmtId="0" fontId="28" fillId="11" borderId="44" xfId="0" applyFont="1" applyFill="1" applyBorder="1" applyAlignment="1" applyProtection="1">
      <alignment horizontal="center" vertical="center" wrapText="1"/>
      <protection locked="0"/>
    </xf>
    <xf numFmtId="0" fontId="28" fillId="8" borderId="68" xfId="0" applyFont="1" applyFill="1" applyBorder="1" applyAlignment="1" applyProtection="1">
      <alignment horizontal="center" vertical="center" wrapText="1"/>
      <protection locked="0"/>
    </xf>
    <xf numFmtId="0" fontId="28" fillId="12" borderId="8" xfId="0" applyFont="1" applyFill="1" applyBorder="1" applyAlignment="1" applyProtection="1">
      <alignment horizontal="center" vertical="center" wrapText="1"/>
      <protection locked="0"/>
    </xf>
    <xf numFmtId="0" fontId="28" fillId="12" borderId="15" xfId="0" applyFont="1" applyFill="1" applyBorder="1" applyAlignment="1" applyProtection="1">
      <alignment horizontal="center" vertical="center" wrapText="1"/>
      <protection locked="0"/>
    </xf>
    <xf numFmtId="0" fontId="28" fillId="12" borderId="33" xfId="0" applyFont="1" applyFill="1" applyBorder="1" applyAlignment="1" applyProtection="1">
      <alignment horizontal="center" vertical="center" wrapText="1"/>
      <protection locked="0"/>
    </xf>
    <xf numFmtId="0" fontId="28" fillId="12" borderId="2" xfId="0" applyFont="1" applyFill="1" applyBorder="1" applyAlignment="1" applyProtection="1">
      <alignment horizontal="center" vertical="center" wrapText="1"/>
      <protection locked="0"/>
    </xf>
    <xf numFmtId="0" fontId="28" fillId="12" borderId="10" xfId="0" applyFont="1" applyFill="1" applyBorder="1" applyAlignment="1" applyProtection="1">
      <alignment horizontal="center" vertical="center" wrapText="1"/>
      <protection locked="0"/>
    </xf>
    <xf numFmtId="0" fontId="28" fillId="12" borderId="21" xfId="0" applyFont="1" applyFill="1" applyBorder="1" applyAlignment="1" applyProtection="1">
      <alignment horizontal="center" vertical="center" wrapText="1"/>
      <protection locked="0"/>
    </xf>
    <xf numFmtId="0" fontId="28" fillId="12" borderId="3" xfId="0" applyFont="1" applyFill="1" applyBorder="1" applyAlignment="1" applyProtection="1">
      <alignment horizontal="center" vertical="center" wrapText="1"/>
      <protection locked="0"/>
    </xf>
    <xf numFmtId="0" fontId="28" fillId="12" borderId="11" xfId="0" applyFont="1" applyFill="1" applyBorder="1" applyAlignment="1" applyProtection="1">
      <alignment horizontal="center" vertical="center" wrapText="1"/>
      <protection locked="0"/>
    </xf>
    <xf numFmtId="0" fontId="28" fillId="12" borderId="18" xfId="0" applyFont="1" applyFill="1" applyBorder="1" applyAlignment="1" applyProtection="1">
      <alignment horizontal="center" vertical="center" wrapText="1"/>
      <protection locked="0"/>
    </xf>
    <xf numFmtId="0" fontId="28" fillId="12" borderId="72" xfId="0" applyFont="1" applyFill="1" applyBorder="1" applyAlignment="1" applyProtection="1">
      <alignment horizontal="center" vertical="center" wrapText="1"/>
      <protection locked="0"/>
    </xf>
    <xf numFmtId="0" fontId="28" fillId="12" borderId="73" xfId="0" applyFont="1" applyFill="1" applyBorder="1" applyAlignment="1" applyProtection="1">
      <alignment horizontal="center" vertical="center" wrapText="1"/>
      <protection locked="0"/>
    </xf>
    <xf numFmtId="0" fontId="28" fillId="12" borderId="24" xfId="0" applyFont="1" applyFill="1" applyBorder="1" applyAlignment="1" applyProtection="1">
      <alignment horizontal="center" vertical="center" wrapText="1"/>
      <protection locked="0"/>
    </xf>
    <xf numFmtId="3" fontId="28" fillId="12" borderId="17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41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55" xfId="0" applyNumberFormat="1" applyFont="1" applyFill="1" applyBorder="1" applyAlignment="1" applyProtection="1">
      <alignment horizontal="center" vertical="center" wrapText="1"/>
      <protection locked="0"/>
    </xf>
    <xf numFmtId="14" fontId="29" fillId="12" borderId="65" xfId="0" applyNumberFormat="1" applyFont="1" applyFill="1" applyBorder="1" applyAlignment="1" applyProtection="1">
      <alignment horizontal="center" vertical="center" wrapText="1"/>
      <protection locked="0"/>
    </xf>
    <xf numFmtId="0" fontId="29" fillId="12" borderId="14" xfId="0" applyNumberFormat="1" applyFont="1" applyFill="1" applyBorder="1" applyAlignment="1" applyProtection="1">
      <alignment horizontal="center" vertical="center" wrapText="1"/>
      <protection locked="0"/>
    </xf>
    <xf numFmtId="0" fontId="29" fillId="12" borderId="30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65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14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30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17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41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34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55" xfId="1" applyNumberFormat="1" applyFont="1" applyFill="1" applyBorder="1" applyAlignment="1" applyProtection="1">
      <alignment horizontal="center" vertical="center" wrapText="1"/>
      <protection locked="0"/>
    </xf>
    <xf numFmtId="0" fontId="23" fillId="15" borderId="0" xfId="2" applyFont="1" applyFill="1" applyAlignment="1" applyProtection="1">
      <alignment horizontal="center" vertical="center" wrapText="1"/>
      <protection locked="0"/>
    </xf>
    <xf numFmtId="0" fontId="23" fillId="15" borderId="0" xfId="2" applyFont="1" applyFill="1" applyAlignment="1" applyProtection="1">
      <alignment horizontal="center" vertical="center"/>
      <protection locked="0"/>
    </xf>
    <xf numFmtId="0" fontId="28" fillId="12" borderId="17" xfId="0" applyFont="1" applyFill="1" applyBorder="1" applyAlignment="1" applyProtection="1">
      <alignment horizontal="center" vertical="center" wrapText="1"/>
      <protection locked="0"/>
    </xf>
    <xf numFmtId="0" fontId="28" fillId="12" borderId="34" xfId="0" applyFont="1" applyFill="1" applyBorder="1" applyAlignment="1" applyProtection="1">
      <alignment horizontal="center" vertical="center" wrapText="1"/>
      <protection locked="0"/>
    </xf>
    <xf numFmtId="4" fontId="28" fillId="12" borderId="72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73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79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8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52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6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54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55" xfId="0" applyNumberFormat="1" applyFont="1" applyFill="1" applyBorder="1" applyAlignment="1" applyProtection="1">
      <alignment horizontal="center" vertical="center" wrapText="1"/>
      <protection locked="0"/>
    </xf>
    <xf numFmtId="14" fontId="29" fillId="12" borderId="76" xfId="0" applyNumberFormat="1" applyFont="1" applyFill="1" applyBorder="1" applyAlignment="1" applyProtection="1">
      <alignment horizontal="center" vertical="center" wrapText="1"/>
    </xf>
    <xf numFmtId="14" fontId="29" fillId="12" borderId="75" xfId="0" applyNumberFormat="1" applyFont="1" applyFill="1" applyBorder="1" applyAlignment="1" applyProtection="1">
      <alignment horizontal="center" vertical="center" wrapText="1"/>
    </xf>
    <xf numFmtId="14" fontId="29" fillId="12" borderId="77" xfId="0" applyNumberFormat="1" applyFont="1" applyFill="1" applyBorder="1" applyAlignment="1" applyProtection="1">
      <alignment horizontal="center" vertical="center" wrapText="1"/>
    </xf>
    <xf numFmtId="0" fontId="28" fillId="0" borderId="1" xfId="0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Fill="1" applyBorder="1" applyAlignment="1" applyProtection="1">
      <alignment horizontal="center" vertical="center" wrapText="1"/>
      <protection locked="0"/>
    </xf>
    <xf numFmtId="0" fontId="28" fillId="0" borderId="16" xfId="0" applyFont="1" applyFill="1" applyBorder="1" applyAlignment="1" applyProtection="1">
      <alignment horizontal="center" vertical="center" wrapText="1"/>
      <protection locked="0"/>
    </xf>
    <xf numFmtId="0" fontId="28" fillId="11" borderId="43" xfId="0" applyFont="1" applyFill="1" applyBorder="1" applyAlignment="1" applyProtection="1">
      <alignment horizontal="center" vertical="center" wrapText="1"/>
      <protection locked="0"/>
    </xf>
    <xf numFmtId="0" fontId="27" fillId="13" borderId="43" xfId="0" applyFont="1" applyFill="1" applyBorder="1" applyAlignment="1" applyProtection="1">
      <alignment horizontal="center" vertical="center" wrapText="1"/>
      <protection locked="0"/>
    </xf>
    <xf numFmtId="0" fontId="27" fillId="13" borderId="44" xfId="0" applyFont="1" applyFill="1" applyBorder="1" applyAlignment="1" applyProtection="1">
      <alignment horizontal="center" vertical="center" wrapText="1"/>
      <protection locked="0"/>
    </xf>
    <xf numFmtId="0" fontId="32" fillId="14" borderId="43" xfId="0" applyFont="1" applyFill="1" applyBorder="1" applyAlignment="1" applyProtection="1">
      <alignment horizontal="center" vertical="center"/>
      <protection locked="0"/>
    </xf>
    <xf numFmtId="0" fontId="32" fillId="14" borderId="83" xfId="0" applyFont="1" applyFill="1" applyBorder="1" applyAlignment="1" applyProtection="1">
      <alignment horizontal="center" vertical="center"/>
      <protection locked="0"/>
    </xf>
    <xf numFmtId="0" fontId="28" fillId="12" borderId="1" xfId="0" applyFont="1" applyFill="1" applyBorder="1" applyAlignment="1" applyProtection="1">
      <alignment horizontal="center" vertical="center" wrapText="1"/>
      <protection locked="0"/>
    </xf>
    <xf numFmtId="0" fontId="28" fillId="12" borderId="9" xfId="0" applyFont="1" applyFill="1" applyBorder="1" applyAlignment="1" applyProtection="1">
      <alignment horizontal="center" vertical="center" wrapText="1"/>
      <protection locked="0"/>
    </xf>
    <xf numFmtId="0" fontId="28" fillId="12" borderId="16" xfId="0" applyFont="1" applyFill="1" applyBorder="1" applyAlignment="1" applyProtection="1">
      <alignment horizontal="center" vertical="center" wrapText="1"/>
      <protection locked="0"/>
    </xf>
    <xf numFmtId="0" fontId="28" fillId="12" borderId="50" xfId="0" applyFont="1" applyFill="1" applyBorder="1" applyAlignment="1" applyProtection="1">
      <alignment horizontal="center" vertical="center" wrapText="1"/>
      <protection locked="0"/>
    </xf>
    <xf numFmtId="0" fontId="28" fillId="12" borderId="35" xfId="0" applyFont="1" applyFill="1" applyBorder="1" applyAlignment="1" applyProtection="1">
      <alignment horizontal="center" vertical="center" wrapText="1"/>
      <protection locked="0"/>
    </xf>
    <xf numFmtId="0" fontId="28" fillId="12" borderId="41" xfId="0" applyFont="1" applyFill="1" applyBorder="1" applyAlignment="1" applyProtection="1">
      <alignment horizontal="center" vertical="center" wrapText="1"/>
      <protection locked="0"/>
    </xf>
    <xf numFmtId="0" fontId="28" fillId="12" borderId="27" xfId="0" applyFont="1" applyFill="1" applyBorder="1" applyAlignment="1" applyProtection="1">
      <alignment horizontal="center" vertical="center" wrapText="1"/>
      <protection locked="0"/>
    </xf>
    <xf numFmtId="0" fontId="28" fillId="12" borderId="31" xfId="0" applyFont="1" applyFill="1" applyBorder="1" applyAlignment="1" applyProtection="1">
      <alignment horizontal="center" vertical="center" wrapText="1"/>
      <protection locked="0"/>
    </xf>
    <xf numFmtId="0" fontId="28" fillId="12" borderId="55" xfId="0" applyFont="1" applyFill="1" applyBorder="1" applyAlignment="1" applyProtection="1">
      <alignment horizontal="center" vertical="center" wrapText="1"/>
      <protection locked="0"/>
    </xf>
    <xf numFmtId="4" fontId="28" fillId="12" borderId="24" xfId="0" applyNumberFormat="1" applyFont="1" applyFill="1" applyBorder="1" applyAlignment="1" applyProtection="1">
      <alignment horizontal="center" vertical="center" wrapText="1"/>
      <protection locked="0"/>
    </xf>
    <xf numFmtId="0" fontId="29" fillId="12" borderId="65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5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14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0" xfId="0" applyNumberFormat="1" applyFont="1" applyFill="1" applyBorder="1" applyAlignment="1" applyProtection="1">
      <alignment horizontal="center" vertical="center" wrapText="1"/>
      <protection locked="0"/>
    </xf>
    <xf numFmtId="0" fontId="27" fillId="13" borderId="48" xfId="0" applyFont="1" applyFill="1" applyBorder="1" applyAlignment="1" applyProtection="1">
      <alignment horizontal="center" vertical="center" wrapText="1"/>
      <protection locked="0"/>
    </xf>
    <xf numFmtId="0" fontId="27" fillId="13" borderId="50" xfId="0" applyFont="1" applyFill="1" applyBorder="1" applyAlignment="1" applyProtection="1">
      <alignment horizontal="center" vertical="center" wrapText="1"/>
      <protection locked="0"/>
    </xf>
    <xf numFmtId="0" fontId="27" fillId="13" borderId="51" xfId="0" applyFont="1" applyFill="1" applyBorder="1" applyAlignment="1" applyProtection="1">
      <alignment horizontal="center" vertical="center" wrapText="1"/>
      <protection locked="0"/>
    </xf>
    <xf numFmtId="0" fontId="28" fillId="11" borderId="82" xfId="0" applyFont="1" applyFill="1" applyBorder="1" applyAlignment="1" applyProtection="1">
      <alignment horizontal="center" vertical="center" wrapText="1"/>
      <protection locked="0"/>
    </xf>
    <xf numFmtId="0" fontId="28" fillId="11" borderId="49" xfId="0" applyFont="1" applyFill="1" applyBorder="1" applyAlignment="1" applyProtection="1">
      <alignment horizontal="center" vertical="center" wrapText="1"/>
      <protection locked="0"/>
    </xf>
    <xf numFmtId="0" fontId="27" fillId="13" borderId="4" xfId="0" applyFont="1" applyFill="1" applyBorder="1" applyAlignment="1" applyProtection="1">
      <alignment horizontal="center" vertical="center" wrapText="1"/>
      <protection locked="0"/>
    </xf>
    <xf numFmtId="0" fontId="27" fillId="13" borderId="43" xfId="0" applyFont="1" applyFill="1" applyBorder="1" applyAlignment="1" applyProtection="1">
      <alignment horizontal="right" vertical="center" wrapText="1"/>
      <protection locked="0"/>
    </xf>
    <xf numFmtId="0" fontId="27" fillId="13" borderId="45" xfId="0" applyFont="1" applyFill="1" applyBorder="1" applyAlignment="1" applyProtection="1">
      <alignment horizontal="right" vertical="center" wrapText="1"/>
      <protection locked="0"/>
    </xf>
    <xf numFmtId="0" fontId="32" fillId="14" borderId="43" xfId="0" applyFont="1" applyFill="1" applyBorder="1" applyAlignment="1" applyProtection="1">
      <alignment horizontal="right" vertical="center"/>
      <protection locked="0"/>
    </xf>
    <xf numFmtId="0" fontId="32" fillId="14" borderId="45" xfId="0" applyFont="1" applyFill="1" applyBorder="1" applyAlignment="1" applyProtection="1">
      <alignment horizontal="right" vertical="center"/>
      <protection locked="0"/>
    </xf>
    <xf numFmtId="0" fontId="28" fillId="0" borderId="1" xfId="0" applyFont="1" applyBorder="1" applyAlignment="1" applyProtection="1">
      <alignment horizontal="center" vertical="center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0" borderId="16" xfId="0" applyFont="1" applyBorder="1" applyAlignment="1" applyProtection="1">
      <alignment horizontal="center" vertical="center"/>
      <protection locked="0"/>
    </xf>
    <xf numFmtId="0" fontId="28" fillId="12" borderId="29" xfId="0" applyFont="1" applyFill="1" applyBorder="1" applyAlignment="1" applyProtection="1">
      <alignment horizontal="center" vertical="center" wrapText="1"/>
      <protection locked="0"/>
    </xf>
    <xf numFmtId="0" fontId="28" fillId="12" borderId="36" xfId="0" applyFont="1" applyFill="1" applyBorder="1" applyAlignment="1" applyProtection="1">
      <alignment horizontal="center" vertical="center" wrapText="1"/>
      <protection locked="0"/>
    </xf>
    <xf numFmtId="0" fontId="28" fillId="12" borderId="74" xfId="0" applyFont="1" applyFill="1" applyBorder="1" applyAlignment="1" applyProtection="1">
      <alignment horizontal="center" vertical="center" wrapText="1"/>
      <protection locked="0"/>
    </xf>
    <xf numFmtId="0" fontId="28" fillId="12" borderId="70" xfId="0" applyFont="1" applyFill="1" applyBorder="1" applyAlignment="1" applyProtection="1">
      <alignment horizontal="center" vertical="center" wrapText="1"/>
      <protection locked="0"/>
    </xf>
    <xf numFmtId="0" fontId="28" fillId="12" borderId="62" xfId="0" applyFont="1" applyFill="1" applyBorder="1" applyAlignment="1" applyProtection="1">
      <alignment horizontal="center" vertical="center" wrapText="1"/>
      <protection locked="0"/>
    </xf>
    <xf numFmtId="0" fontId="28" fillId="12" borderId="71" xfId="0" applyFont="1" applyFill="1" applyBorder="1" applyAlignment="1" applyProtection="1">
      <alignment horizontal="center" vertical="center" wrapText="1"/>
      <protection locked="0"/>
    </xf>
    <xf numFmtId="14" fontId="28" fillId="12" borderId="72" xfId="0" applyNumberFormat="1" applyFont="1" applyFill="1" applyBorder="1" applyAlignment="1" applyProtection="1">
      <alignment horizontal="center" vertical="center" wrapText="1"/>
      <protection locked="0"/>
    </xf>
    <xf numFmtId="0" fontId="28" fillId="12" borderId="65" xfId="0" applyFont="1" applyFill="1" applyBorder="1" applyAlignment="1" applyProtection="1">
      <alignment horizontal="center" vertical="center" wrapText="1"/>
      <protection locked="0"/>
    </xf>
    <xf numFmtId="0" fontId="28" fillId="12" borderId="30" xfId="0" applyFont="1" applyFill="1" applyBorder="1" applyAlignment="1" applyProtection="1">
      <alignment horizontal="center" vertical="center" wrapText="1"/>
      <protection locked="0"/>
    </xf>
    <xf numFmtId="0" fontId="28" fillId="12" borderId="14" xfId="0" applyFont="1" applyFill="1" applyBorder="1" applyAlignment="1" applyProtection="1">
      <alignment horizontal="center" vertical="center" wrapText="1"/>
      <protection locked="0"/>
    </xf>
    <xf numFmtId="3" fontId="28" fillId="12" borderId="31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66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60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54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53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56" xfId="1" applyNumberFormat="1" applyFont="1" applyFill="1" applyBorder="1" applyAlignment="1" applyProtection="1">
      <alignment horizontal="center" vertical="center" wrapText="1"/>
      <protection locked="0"/>
    </xf>
    <xf numFmtId="0" fontId="28" fillId="12" borderId="28" xfId="0" applyFont="1" applyFill="1" applyBorder="1" applyAlignment="1" applyProtection="1">
      <alignment horizontal="center" vertical="center" wrapText="1"/>
      <protection locked="0"/>
    </xf>
    <xf numFmtId="0" fontId="42" fillId="12" borderId="72" xfId="0" applyFont="1" applyFill="1" applyBorder="1" applyAlignment="1" applyProtection="1">
      <alignment horizontal="center" vertical="center" wrapText="1"/>
      <protection locked="0"/>
    </xf>
    <xf numFmtId="0" fontId="42" fillId="12" borderId="73" xfId="0" applyFont="1" applyFill="1" applyBorder="1" applyAlignment="1" applyProtection="1">
      <alignment horizontal="center" vertical="center" wrapText="1"/>
      <protection locked="0"/>
    </xf>
    <xf numFmtId="0" fontId="42" fillId="12" borderId="24" xfId="0" applyFont="1" applyFill="1" applyBorder="1" applyAlignment="1" applyProtection="1">
      <alignment horizontal="center" vertical="center" wrapText="1"/>
      <protection locked="0"/>
    </xf>
    <xf numFmtId="0" fontId="42" fillId="12" borderId="1" xfId="0" applyFont="1" applyFill="1" applyBorder="1" applyAlignment="1" applyProtection="1">
      <alignment horizontal="center" vertical="center" wrapText="1"/>
      <protection locked="0"/>
    </xf>
    <xf numFmtId="0" fontId="42" fillId="12" borderId="9" xfId="0" applyFont="1" applyFill="1" applyBorder="1" applyAlignment="1" applyProtection="1">
      <alignment horizontal="center" vertical="center" wrapText="1"/>
      <protection locked="0"/>
    </xf>
    <xf numFmtId="0" fontId="42" fillId="12" borderId="16" xfId="0" applyFont="1" applyFill="1" applyBorder="1" applyAlignment="1" applyProtection="1">
      <alignment horizontal="center" vertical="center" wrapText="1"/>
      <protection locked="0"/>
    </xf>
    <xf numFmtId="0" fontId="42" fillId="12" borderId="65" xfId="0" applyFont="1" applyFill="1" applyBorder="1" applyAlignment="1" applyProtection="1">
      <alignment horizontal="center" vertical="center" wrapText="1"/>
      <protection locked="0"/>
    </xf>
    <xf numFmtId="0" fontId="42" fillId="12" borderId="14" xfId="0" applyFont="1" applyFill="1" applyBorder="1" applyAlignment="1" applyProtection="1">
      <alignment horizontal="center" vertical="center" wrapText="1"/>
      <protection locked="0"/>
    </xf>
    <xf numFmtId="0" fontId="42" fillId="12" borderId="30" xfId="0" applyFont="1" applyFill="1" applyBorder="1" applyAlignment="1" applyProtection="1">
      <alignment horizontal="center" vertical="center" wrapText="1"/>
      <protection locked="0"/>
    </xf>
    <xf numFmtId="3" fontId="42" fillId="12" borderId="17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41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9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7" xfId="0" applyNumberFormat="1" applyFont="1" applyFill="1" applyBorder="1" applyAlignment="1" applyProtection="1">
      <alignment horizontal="center" vertical="center" wrapText="1"/>
      <protection locked="0"/>
    </xf>
    <xf numFmtId="0" fontId="42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42" fillId="12" borderId="55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6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0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34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55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1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16" xfId="1" applyNumberFormat="1" applyFont="1" applyFill="1" applyBorder="1" applyAlignment="1" applyProtection="1">
      <alignment horizontal="center" vertical="center" wrapText="1"/>
      <protection locked="0"/>
    </xf>
    <xf numFmtId="0" fontId="28" fillId="12" borderId="23" xfId="0" applyFont="1" applyFill="1" applyBorder="1" applyAlignment="1" applyProtection="1">
      <alignment horizontal="center" vertical="center" wrapText="1"/>
      <protection locked="0"/>
    </xf>
    <xf numFmtId="0" fontId="28" fillId="12" borderId="76" xfId="0" applyFont="1" applyFill="1" applyBorder="1" applyAlignment="1" applyProtection="1">
      <alignment horizontal="center" vertical="center" wrapText="1"/>
      <protection locked="0"/>
    </xf>
    <xf numFmtId="0" fontId="28" fillId="12" borderId="78" xfId="0" applyFont="1" applyFill="1" applyBorder="1" applyAlignment="1" applyProtection="1">
      <alignment horizontal="center" vertical="center" wrapText="1"/>
      <protection locked="0"/>
    </xf>
    <xf numFmtId="0" fontId="28" fillId="12" borderId="49" xfId="0" applyFont="1" applyFill="1" applyBorder="1" applyAlignment="1" applyProtection="1">
      <alignment horizontal="center" vertical="center" wrapText="1"/>
      <protection locked="0"/>
    </xf>
    <xf numFmtId="0" fontId="2" fillId="10" borderId="43" xfId="0" applyFont="1" applyFill="1" applyBorder="1" applyAlignment="1">
      <alignment horizontal="center"/>
    </xf>
    <xf numFmtId="0" fontId="2" fillId="10" borderId="61" xfId="0" applyFont="1" applyFill="1" applyBorder="1" applyAlignment="1">
      <alignment horizontal="center"/>
    </xf>
    <xf numFmtId="0" fontId="2" fillId="10" borderId="44" xfId="0" applyFont="1" applyFill="1" applyBorder="1" applyAlignment="1">
      <alignment horizontal="center"/>
    </xf>
    <xf numFmtId="0" fontId="2" fillId="0" borderId="43" xfId="0" applyFont="1" applyBorder="1" applyAlignment="1">
      <alignment horizontal="center" vertical="center"/>
    </xf>
    <xf numFmtId="0" fontId="2" fillId="0" borderId="6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textRotation="45"/>
    </xf>
    <xf numFmtId="0" fontId="6" fillId="0" borderId="9" xfId="0" applyFont="1" applyBorder="1" applyAlignment="1">
      <alignment horizontal="center" vertical="center" textRotation="45"/>
    </xf>
    <xf numFmtId="0" fontId="6" fillId="0" borderId="16" xfId="0" applyFont="1" applyBorder="1" applyAlignment="1">
      <alignment horizontal="center" vertical="center" textRotation="45"/>
    </xf>
    <xf numFmtId="0" fontId="10" fillId="0" borderId="73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3" fillId="0" borderId="27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55" xfId="0" applyFont="1" applyBorder="1" applyAlignment="1">
      <alignment horizontal="center"/>
    </xf>
    <xf numFmtId="0" fontId="10" fillId="0" borderId="53" xfId="0" applyFont="1" applyBorder="1" applyAlignment="1">
      <alignment horizontal="left" vertical="center"/>
    </xf>
    <xf numFmtId="0" fontId="10" fillId="0" borderId="52" xfId="0" applyFont="1" applyBorder="1" applyAlignment="1">
      <alignment horizontal="left" vertical="center"/>
    </xf>
    <xf numFmtId="0" fontId="2" fillId="0" borderId="43" xfId="0" applyFont="1" applyBorder="1" applyAlignment="1">
      <alignment horizontal="center"/>
    </xf>
    <xf numFmtId="0" fontId="2" fillId="0" borderId="61" xfId="0" applyFont="1" applyBorder="1" applyAlignment="1">
      <alignment horizontal="center"/>
    </xf>
    <xf numFmtId="0" fontId="2" fillId="0" borderId="44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textRotation="45"/>
    </xf>
    <xf numFmtId="0" fontId="2" fillId="0" borderId="9" xfId="0" applyFont="1" applyBorder="1" applyAlignment="1">
      <alignment horizontal="center" vertical="center" textRotation="45"/>
    </xf>
    <xf numFmtId="0" fontId="14" fillId="0" borderId="27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2" fillId="0" borderId="43" xfId="0" applyFont="1" applyFill="1" applyBorder="1" applyAlignment="1">
      <alignment horizontal="center" vertical="center"/>
    </xf>
    <xf numFmtId="0" fontId="12" fillId="0" borderId="61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textRotation="45"/>
    </xf>
    <xf numFmtId="3" fontId="11" fillId="0" borderId="1" xfId="0" applyNumberFormat="1" applyFont="1" applyFill="1" applyBorder="1" applyAlignment="1">
      <alignment horizontal="center" vertical="center" wrapText="1"/>
    </xf>
    <xf numFmtId="3" fontId="11" fillId="0" borderId="9" xfId="0" applyNumberFormat="1" applyFont="1" applyFill="1" applyBorder="1" applyAlignment="1">
      <alignment horizontal="center" vertical="center" wrapText="1"/>
    </xf>
    <xf numFmtId="3" fontId="11" fillId="0" borderId="16" xfId="0" applyNumberFormat="1" applyFont="1" applyFill="1" applyBorder="1" applyAlignment="1">
      <alignment horizontal="center" vertical="center" wrapText="1"/>
    </xf>
    <xf numFmtId="0" fontId="10" fillId="0" borderId="57" xfId="0" applyFont="1" applyFill="1" applyBorder="1" applyAlignment="1">
      <alignment horizontal="left" vertical="center"/>
    </xf>
    <xf numFmtId="0" fontId="10" fillId="0" borderId="59" xfId="0" applyFont="1" applyFill="1" applyBorder="1" applyAlignment="1">
      <alignment horizontal="left" vertical="center"/>
    </xf>
    <xf numFmtId="0" fontId="0" fillId="9" borderId="1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3" borderId="65" xfId="0" applyFont="1" applyFill="1" applyBorder="1" applyAlignment="1">
      <alignment horizontal="center" vertical="center"/>
    </xf>
    <xf numFmtId="0" fontId="7" fillId="3" borderId="66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 wrapText="1"/>
    </xf>
    <xf numFmtId="0" fontId="7" fillId="3" borderId="15" xfId="0" applyFont="1" applyFill="1" applyBorder="1" applyAlignment="1">
      <alignment horizontal="center" vertical="center" wrapText="1"/>
    </xf>
    <xf numFmtId="0" fontId="7" fillId="3" borderId="33" xfId="0" applyFont="1" applyFill="1" applyBorder="1" applyAlignment="1">
      <alignment horizontal="center" vertical="center" wrapText="1"/>
    </xf>
    <xf numFmtId="0" fontId="7" fillId="4" borderId="50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6" borderId="10" xfId="0" applyFont="1" applyFill="1" applyBorder="1" applyAlignment="1">
      <alignment horizontal="center" vertical="center" wrapText="1"/>
    </xf>
    <xf numFmtId="0" fontId="7" fillId="6" borderId="21" xfId="0" applyFont="1" applyFill="1" applyBorder="1" applyAlignment="1">
      <alignment horizontal="center" vertical="center" wrapText="1"/>
    </xf>
    <xf numFmtId="0" fontId="7" fillId="6" borderId="13" xfId="0" applyFont="1" applyFill="1" applyBorder="1" applyAlignment="1">
      <alignment horizontal="center" vertical="center" wrapText="1"/>
    </xf>
    <xf numFmtId="0" fontId="7" fillId="6" borderId="11" xfId="0" applyFont="1" applyFill="1" applyBorder="1" applyAlignment="1">
      <alignment horizontal="center" vertical="center" wrapText="1"/>
    </xf>
    <xf numFmtId="0" fontId="7" fillId="6" borderId="12" xfId="0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7" fillId="7" borderId="10" xfId="0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0" fontId="7" fillId="7" borderId="13" xfId="0" applyFont="1" applyFill="1" applyBorder="1" applyAlignment="1">
      <alignment horizontal="center" vertical="center" wrapText="1"/>
    </xf>
    <xf numFmtId="0" fontId="7" fillId="7" borderId="40" xfId="0" applyFont="1" applyFill="1" applyBorder="1" applyAlignment="1">
      <alignment horizontal="center" vertical="center" wrapText="1"/>
    </xf>
    <xf numFmtId="0" fontId="7" fillId="7" borderId="11" xfId="0" applyFont="1" applyFill="1" applyBorder="1" applyAlignment="1">
      <alignment horizontal="center" vertical="center" wrapText="1"/>
    </xf>
    <xf numFmtId="0" fontId="7" fillId="7" borderId="34" xfId="0" applyFont="1" applyFill="1" applyBorder="1" applyAlignment="1">
      <alignment horizontal="center" vertical="center" wrapText="1"/>
    </xf>
    <xf numFmtId="0" fontId="15" fillId="2" borderId="0" xfId="2" applyFont="1" applyFill="1" applyAlignment="1">
      <alignment horizontal="center" vertical="center"/>
    </xf>
    <xf numFmtId="17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4">
    <cellStyle name="Normal" xfId="0" builtinId="0"/>
    <cellStyle name="Normal 3" xfId="2" xr:uid="{00000000-0005-0000-0000-000001000000}"/>
    <cellStyle name="Normal 4" xfId="3" xr:uid="{00000000-0005-0000-0000-000002000000}"/>
    <cellStyle name="Percent" xfId="1" builtinId="5"/>
  </cellStyles>
  <dxfs count="32"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</dxfs>
  <tableStyles count="0" defaultTableStyle="TableStyleMedium2" defaultPivotStyle="PivotStyleLight16"/>
  <colors>
    <mruColors>
      <color rgb="FF000000"/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0</xdr:rowOff>
    </xdr:from>
    <xdr:to>
      <xdr:col>12</xdr:col>
      <xdr:colOff>10560</xdr:colOff>
      <xdr:row>5</xdr:row>
      <xdr:rowOff>487362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0426366" cy="13065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147634</xdr:colOff>
      <xdr:row>0</xdr:row>
      <xdr:rowOff>0</xdr:rowOff>
    </xdr:from>
    <xdr:ext cx="19759616" cy="1581150"/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4" y="0"/>
          <a:ext cx="19759616" cy="1581150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71435</xdr:colOff>
      <xdr:row>0</xdr:row>
      <xdr:rowOff>103188</xdr:rowOff>
    </xdr:from>
    <xdr:to>
      <xdr:col>9</xdr:col>
      <xdr:colOff>523240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03188"/>
          <a:ext cx="20578765" cy="13446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103188</xdr:rowOff>
    </xdr:from>
    <xdr:to>
      <xdr:col>18</xdr:col>
      <xdr:colOff>400050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6690006" cy="137509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300034</xdr:colOff>
      <xdr:row>0</xdr:row>
      <xdr:rowOff>122238</xdr:rowOff>
    </xdr:from>
    <xdr:to>
      <xdr:col>8</xdr:col>
      <xdr:colOff>1885950</xdr:colOff>
      <xdr:row>6</xdr:row>
      <xdr:rowOff>133350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4" y="122238"/>
          <a:ext cx="18407066" cy="12684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19844</xdr:colOff>
      <xdr:row>6</xdr:row>
      <xdr:rowOff>277812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931563" cy="1587500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103188</xdr:rowOff>
    </xdr:from>
    <xdr:to>
      <xdr:col>19</xdr:col>
      <xdr:colOff>933450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8865516" cy="13065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103188</xdr:rowOff>
    </xdr:from>
    <xdr:to>
      <xdr:col>19</xdr:col>
      <xdr:colOff>1466850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8827416" cy="132937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190499</xdr:colOff>
      <xdr:row>0</xdr:row>
      <xdr:rowOff>0</xdr:rowOff>
    </xdr:from>
    <xdr:to>
      <xdr:col>16</xdr:col>
      <xdr:colOff>504825</xdr:colOff>
      <xdr:row>9</xdr:row>
      <xdr:rowOff>180975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0"/>
          <a:ext cx="12696826" cy="1895475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file:///C:\Users\user\Desktop\Activit&#233;%20Journali&#232;re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file:///C:\Users\user\Desktop\Activit&#233;%20Journali&#232;re.xlsx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6:O2356"/>
  <sheetViews>
    <sheetView view="pageBreakPreview" topLeftCell="A2235" zoomScale="50" zoomScaleNormal="30" zoomScaleSheetLayoutView="50" workbookViewId="0">
      <selection activeCell="E548" sqref="E548"/>
    </sheetView>
  </sheetViews>
  <sheetFormatPr defaultColWidth="9.109375" defaultRowHeight="13.8" x14ac:dyDescent="0.3"/>
  <cols>
    <col min="1" max="1" width="10.109375" style="229" customWidth="1"/>
    <col min="2" max="2" width="18.6640625" style="269" customWidth="1"/>
    <col min="3" max="3" width="85.5546875" style="269" customWidth="1"/>
    <col min="4" max="4" width="34.6640625" style="229" customWidth="1"/>
    <col min="5" max="5" width="21.88671875" style="222" customWidth="1"/>
    <col min="6" max="6" width="19.109375" style="222" customWidth="1"/>
    <col min="7" max="7" width="15.6640625" style="223" customWidth="1"/>
    <col min="8" max="8" width="16.109375" style="222" customWidth="1"/>
    <col min="9" max="9" width="15.6640625" style="222" customWidth="1"/>
    <col min="10" max="10" width="16.109375" style="224" customWidth="1"/>
    <col min="11" max="11" width="19.88671875" style="223" customWidth="1"/>
    <col min="12" max="12" width="23.88671875" style="222" customWidth="1"/>
    <col min="13" max="13" width="15.6640625" style="222" customWidth="1"/>
    <col min="14" max="14" width="17" style="224" customWidth="1"/>
    <col min="15" max="15" width="14.6640625" style="224" customWidth="1"/>
    <col min="16" max="16384" width="9.109375" style="229"/>
  </cols>
  <sheetData>
    <row r="6" spans="1:15" ht="67.2" customHeight="1" x14ac:dyDescent="0.3">
      <c r="A6" s="220" t="s">
        <v>0</v>
      </c>
    </row>
    <row r="7" spans="1:15" ht="13.2" customHeight="1" x14ac:dyDescent="0.3">
      <c r="A7" s="220"/>
    </row>
    <row r="9" spans="1:15" ht="81" customHeight="1" x14ac:dyDescent="0.3">
      <c r="A9" s="1017" t="s">
        <v>413</v>
      </c>
      <c r="B9" s="1018"/>
      <c r="C9" s="1018"/>
      <c r="D9" s="1018"/>
      <c r="E9" s="1018"/>
      <c r="F9" s="1018"/>
      <c r="G9" s="1018"/>
      <c r="H9" s="1018"/>
      <c r="I9" s="1018"/>
      <c r="J9" s="1018"/>
      <c r="K9" s="1018"/>
      <c r="L9" s="1018"/>
      <c r="M9" s="1018"/>
      <c r="N9" s="1018"/>
      <c r="O9" s="1018"/>
    </row>
    <row r="10" spans="1:15" ht="24.6" customHeight="1" thickBot="1" x14ac:dyDescent="0.35">
      <c r="A10" s="230"/>
      <c r="B10" s="230"/>
      <c r="C10" s="230"/>
      <c r="D10" s="230"/>
      <c r="E10" s="232"/>
      <c r="F10" s="232"/>
      <c r="G10" s="459"/>
      <c r="H10" s="460"/>
      <c r="I10" s="460"/>
      <c r="J10" s="460"/>
      <c r="K10" s="232"/>
      <c r="L10" s="232"/>
      <c r="M10" s="232"/>
      <c r="N10" s="234"/>
      <c r="O10" s="234"/>
    </row>
    <row r="11" spans="1:15" ht="23.4" x14ac:dyDescent="0.3">
      <c r="A11" s="991" t="s">
        <v>1</v>
      </c>
      <c r="B11" s="994" t="s">
        <v>2</v>
      </c>
      <c r="C11" s="997" t="s">
        <v>3</v>
      </c>
      <c r="D11" s="997" t="s">
        <v>93</v>
      </c>
      <c r="E11" s="1000" t="s">
        <v>4</v>
      </c>
      <c r="F11" s="1001"/>
      <c r="G11" s="1001"/>
      <c r="H11" s="1001"/>
      <c r="I11" s="1001"/>
      <c r="J11" s="1001"/>
      <c r="K11" s="1001"/>
      <c r="L11" s="1001"/>
      <c r="M11" s="1001"/>
      <c r="N11" s="1001"/>
      <c r="O11" s="1002"/>
    </row>
    <row r="12" spans="1:15" ht="23.4" x14ac:dyDescent="0.3">
      <c r="A12" s="992"/>
      <c r="B12" s="995"/>
      <c r="C12" s="998"/>
      <c r="D12" s="998"/>
      <c r="E12" s="1003" t="s">
        <v>7</v>
      </c>
      <c r="F12" s="1005" t="s">
        <v>115</v>
      </c>
      <c r="G12" s="1007">
        <v>44531</v>
      </c>
      <c r="H12" s="1008"/>
      <c r="I12" s="1008"/>
      <c r="J12" s="1009"/>
      <c r="K12" s="1010" t="s">
        <v>8</v>
      </c>
      <c r="L12" s="1011"/>
      <c r="M12" s="1012"/>
      <c r="N12" s="1013" t="s">
        <v>173</v>
      </c>
      <c r="O12" s="1015" t="s">
        <v>172</v>
      </c>
    </row>
    <row r="13" spans="1:15" ht="41.4" thickBot="1" x14ac:dyDescent="0.35">
      <c r="A13" s="993"/>
      <c r="B13" s="996"/>
      <c r="C13" s="999"/>
      <c r="D13" s="999"/>
      <c r="E13" s="1004"/>
      <c r="F13" s="1006"/>
      <c r="G13" s="455" t="s">
        <v>13</v>
      </c>
      <c r="H13" s="456" t="s">
        <v>14</v>
      </c>
      <c r="I13" s="456" t="s">
        <v>15</v>
      </c>
      <c r="J13" s="457" t="s">
        <v>174</v>
      </c>
      <c r="K13" s="455" t="s">
        <v>13</v>
      </c>
      <c r="L13" s="456" t="s">
        <v>14</v>
      </c>
      <c r="M13" s="458" t="s">
        <v>15</v>
      </c>
      <c r="N13" s="1014"/>
      <c r="O13" s="1016"/>
    </row>
    <row r="14" spans="1:15" ht="24" thickBot="1" x14ac:dyDescent="0.35">
      <c r="A14" s="271" t="s">
        <v>110</v>
      </c>
      <c r="B14" s="956" t="s">
        <v>16</v>
      </c>
      <c r="C14" s="272" t="s">
        <v>185</v>
      </c>
      <c r="D14" s="272" t="s">
        <v>183</v>
      </c>
      <c r="E14" s="273">
        <v>0</v>
      </c>
      <c r="F14" s="274"/>
      <c r="G14" s="335">
        <f>+H14+I14</f>
        <v>0</v>
      </c>
      <c r="H14" s="275">
        <v>0</v>
      </c>
      <c r="I14" s="275">
        <v>0</v>
      </c>
      <c r="J14" s="354" t="str">
        <f>IFERROR(G14/#REF!,"-")</f>
        <v>-</v>
      </c>
      <c r="K14" s="461">
        <f>+L14+M14</f>
        <v>0</v>
      </c>
      <c r="L14" s="462">
        <f>+H14</f>
        <v>0</v>
      </c>
      <c r="M14" s="462">
        <f>+I14</f>
        <v>0</v>
      </c>
      <c r="N14" s="339" t="str">
        <f>IFERROR(K14/E14,"-")</f>
        <v>-</v>
      </c>
      <c r="O14" s="346" t="str">
        <f t="shared" ref="O14:O15" si="0">IFERROR(M14/K14,"-")</f>
        <v>-</v>
      </c>
    </row>
    <row r="15" spans="1:15" ht="24" thickBot="1" x14ac:dyDescent="0.35">
      <c r="A15" s="277" t="s">
        <v>110</v>
      </c>
      <c r="B15" s="957"/>
      <c r="C15" s="278" t="s">
        <v>188</v>
      </c>
      <c r="D15" s="278" t="s">
        <v>101</v>
      </c>
      <c r="E15" s="279">
        <v>0</v>
      </c>
      <c r="F15" s="280"/>
      <c r="G15" s="336">
        <f t="shared" ref="G15:G17" si="1">+H15+I15</f>
        <v>0</v>
      </c>
      <c r="H15" s="281">
        <v>0</v>
      </c>
      <c r="I15" s="281">
        <v>0</v>
      </c>
      <c r="J15" s="355" t="str">
        <f>IFERROR(G15/#REF!,"-")</f>
        <v>-</v>
      </c>
      <c r="K15" s="336">
        <f t="shared" ref="K15:K17" si="2">+L15+M15</f>
        <v>0</v>
      </c>
      <c r="L15" s="462">
        <f t="shared" ref="L15:L17" si="3">+H15</f>
        <v>0</v>
      </c>
      <c r="M15" s="462">
        <f t="shared" ref="M15:M17" si="4">+I15</f>
        <v>0</v>
      </c>
      <c r="N15" s="340" t="str">
        <f t="shared" ref="N15:N17" si="5">IFERROR(K15/E15,"-")</f>
        <v>-</v>
      </c>
      <c r="O15" s="268" t="str">
        <f t="shared" si="0"/>
        <v>-</v>
      </c>
    </row>
    <row r="16" spans="1:15" ht="24" thickBot="1" x14ac:dyDescent="0.35">
      <c r="A16" s="277" t="s">
        <v>110</v>
      </c>
      <c r="B16" s="957"/>
      <c r="C16" s="278" t="s">
        <v>186</v>
      </c>
      <c r="D16" s="278" t="s">
        <v>184</v>
      </c>
      <c r="E16" s="279">
        <v>0</v>
      </c>
      <c r="F16" s="280"/>
      <c r="G16" s="336">
        <f t="shared" si="1"/>
        <v>0</v>
      </c>
      <c r="H16" s="281">
        <v>0</v>
      </c>
      <c r="I16" s="281">
        <v>0</v>
      </c>
      <c r="J16" s="355" t="str">
        <f>IFERROR(G16/#REF!,"-")</f>
        <v>-</v>
      </c>
      <c r="K16" s="336">
        <f t="shared" si="2"/>
        <v>0</v>
      </c>
      <c r="L16" s="462">
        <f t="shared" si="3"/>
        <v>0</v>
      </c>
      <c r="M16" s="462">
        <f t="shared" si="4"/>
        <v>0</v>
      </c>
      <c r="N16" s="340" t="str">
        <f t="shared" si="5"/>
        <v>-</v>
      </c>
      <c r="O16" s="268" t="str">
        <f>IFERROR(M16/K16,"-")</f>
        <v>-</v>
      </c>
    </row>
    <row r="17" spans="1:15" ht="24" thickBot="1" x14ac:dyDescent="0.35">
      <c r="A17" s="277" t="s">
        <v>110</v>
      </c>
      <c r="B17" s="958"/>
      <c r="C17" s="282" t="s">
        <v>250</v>
      </c>
      <c r="D17" s="282" t="s">
        <v>436</v>
      </c>
      <c r="E17" s="283">
        <v>0</v>
      </c>
      <c r="F17" s="284"/>
      <c r="G17" s="337">
        <f t="shared" si="1"/>
        <v>0</v>
      </c>
      <c r="H17" s="285">
        <v>0</v>
      </c>
      <c r="I17" s="285">
        <v>0</v>
      </c>
      <c r="J17" s="356" t="str">
        <f>IFERROR(G17/#REF!,"-")</f>
        <v>-</v>
      </c>
      <c r="K17" s="464">
        <f t="shared" si="2"/>
        <v>0</v>
      </c>
      <c r="L17" s="462">
        <f t="shared" si="3"/>
        <v>0</v>
      </c>
      <c r="M17" s="462">
        <f t="shared" si="4"/>
        <v>0</v>
      </c>
      <c r="N17" s="341" t="str">
        <f t="shared" si="5"/>
        <v>-</v>
      </c>
      <c r="O17" s="347" t="str">
        <f t="shared" ref="O17:O35" si="6">IFERROR(M17/K17,"-")</f>
        <v>-</v>
      </c>
    </row>
    <row r="18" spans="1:15" ht="24" thickBot="1" x14ac:dyDescent="0.35">
      <c r="A18" s="277" t="s">
        <v>110</v>
      </c>
      <c r="B18" s="967" t="s">
        <v>47</v>
      </c>
      <c r="C18" s="968"/>
      <c r="D18" s="969"/>
      <c r="E18" s="323">
        <f>SUM(E14:E17)</f>
        <v>0</v>
      </c>
      <c r="F18" s="288">
        <v>15000</v>
      </c>
      <c r="G18" s="323">
        <f>SUM(G14:G17)</f>
        <v>0</v>
      </c>
      <c r="H18" s="324">
        <f t="shared" ref="H18:I18" si="7">SUM(H14:H17)</f>
        <v>0</v>
      </c>
      <c r="I18" s="324">
        <f t="shared" si="7"/>
        <v>0</v>
      </c>
      <c r="J18" s="348" t="str">
        <f>IFERROR(G18/#REF!,"-")</f>
        <v>-</v>
      </c>
      <c r="K18" s="323">
        <f t="shared" ref="K18:M18" si="8">SUM(K14:K17)</f>
        <v>0</v>
      </c>
      <c r="L18" s="324">
        <f t="shared" si="8"/>
        <v>0</v>
      </c>
      <c r="M18" s="325">
        <f t="shared" si="8"/>
        <v>0</v>
      </c>
      <c r="N18" s="342" t="str">
        <f>IFERROR(K18/E18,"-")</f>
        <v>-</v>
      </c>
      <c r="O18" s="348" t="str">
        <f t="shared" si="6"/>
        <v>-</v>
      </c>
    </row>
    <row r="19" spans="1:15" ht="24" thickBot="1" x14ac:dyDescent="0.35">
      <c r="A19" s="277" t="s">
        <v>110</v>
      </c>
      <c r="B19" s="956" t="s">
        <v>17</v>
      </c>
      <c r="C19" s="272" t="s">
        <v>320</v>
      </c>
      <c r="D19" s="272"/>
      <c r="E19" s="273">
        <v>0</v>
      </c>
      <c r="F19" s="274"/>
      <c r="G19" s="335">
        <f t="shared" ref="G19:G25" si="9">+H19+I19</f>
        <v>0</v>
      </c>
      <c r="H19" s="275">
        <v>0</v>
      </c>
      <c r="I19" s="275">
        <v>0</v>
      </c>
      <c r="J19" s="354" t="str">
        <f>IFERROR(G19/#REF!,"-")</f>
        <v>-</v>
      </c>
      <c r="K19" s="461">
        <f t="shared" ref="K19:K25" si="10">+L19+M19</f>
        <v>0</v>
      </c>
      <c r="L19" s="462">
        <f>+H19</f>
        <v>0</v>
      </c>
      <c r="M19" s="463">
        <f>+I19</f>
        <v>0</v>
      </c>
      <c r="N19" s="339" t="str">
        <f t="shared" ref="N19:N25" si="11">IFERROR(K19/E19,"-")</f>
        <v>-</v>
      </c>
      <c r="O19" s="349" t="str">
        <f t="shared" si="6"/>
        <v>-</v>
      </c>
    </row>
    <row r="20" spans="1:15" ht="24" thickBot="1" x14ac:dyDescent="0.35">
      <c r="A20" s="277" t="s">
        <v>110</v>
      </c>
      <c r="B20" s="957"/>
      <c r="C20" s="278" t="s">
        <v>382</v>
      </c>
      <c r="D20" s="278" t="s">
        <v>252</v>
      </c>
      <c r="E20" s="279">
        <v>2000000</v>
      </c>
      <c r="F20" s="280"/>
      <c r="G20" s="336">
        <f t="shared" si="9"/>
        <v>6120</v>
      </c>
      <c r="H20" s="281">
        <v>6120</v>
      </c>
      <c r="I20" s="281">
        <v>0</v>
      </c>
      <c r="J20" s="355" t="str">
        <f>IFERROR(G20/#REF!,"-")</f>
        <v>-</v>
      </c>
      <c r="K20" s="336">
        <f t="shared" si="10"/>
        <v>6120</v>
      </c>
      <c r="L20" s="462">
        <f t="shared" ref="L20:L25" si="12">+H20</f>
        <v>6120</v>
      </c>
      <c r="M20" s="463">
        <f t="shared" ref="M20:M25" si="13">+I20</f>
        <v>0</v>
      </c>
      <c r="N20" s="340">
        <f t="shared" si="11"/>
        <v>3.0599999999999998E-3</v>
      </c>
      <c r="O20" s="264">
        <f t="shared" si="6"/>
        <v>0</v>
      </c>
    </row>
    <row r="21" spans="1:15" ht="24" thickBot="1" x14ac:dyDescent="0.35">
      <c r="A21" s="277" t="s">
        <v>110</v>
      </c>
      <c r="B21" s="957"/>
      <c r="C21" s="278" t="s">
        <v>422</v>
      </c>
      <c r="D21" s="278" t="s">
        <v>201</v>
      </c>
      <c r="E21" s="279">
        <v>1000000</v>
      </c>
      <c r="F21" s="280"/>
      <c r="G21" s="336">
        <f t="shared" si="9"/>
        <v>135433</v>
      </c>
      <c r="H21" s="281">
        <f>30600+104040</f>
        <v>134640</v>
      </c>
      <c r="I21" s="281">
        <f>120+673</f>
        <v>793</v>
      </c>
      <c r="J21" s="355" t="str">
        <f>IFERROR(G21/#REF!,"-")</f>
        <v>-</v>
      </c>
      <c r="K21" s="336">
        <f t="shared" si="10"/>
        <v>135433</v>
      </c>
      <c r="L21" s="462">
        <f t="shared" si="12"/>
        <v>134640</v>
      </c>
      <c r="M21" s="463">
        <f t="shared" si="13"/>
        <v>793</v>
      </c>
      <c r="N21" s="340">
        <f t="shared" si="11"/>
        <v>0.135433</v>
      </c>
      <c r="O21" s="264">
        <f t="shared" si="6"/>
        <v>5.8552937614909217E-3</v>
      </c>
    </row>
    <row r="22" spans="1:15" ht="24" thickBot="1" x14ac:dyDescent="0.35">
      <c r="A22" s="277" t="s">
        <v>110</v>
      </c>
      <c r="B22" s="957"/>
      <c r="C22" s="278" t="s">
        <v>319</v>
      </c>
      <c r="D22" s="278" t="s">
        <v>202</v>
      </c>
      <c r="E22" s="279">
        <v>0</v>
      </c>
      <c r="F22" s="280"/>
      <c r="G22" s="336">
        <f t="shared" si="9"/>
        <v>0</v>
      </c>
      <c r="H22" s="281">
        <v>0</v>
      </c>
      <c r="I22" s="281">
        <v>0</v>
      </c>
      <c r="J22" s="355" t="str">
        <f>IFERROR(G22/#REF!,"-")</f>
        <v>-</v>
      </c>
      <c r="K22" s="336">
        <f t="shared" si="10"/>
        <v>0</v>
      </c>
      <c r="L22" s="462">
        <f t="shared" si="12"/>
        <v>0</v>
      </c>
      <c r="M22" s="463">
        <f t="shared" si="13"/>
        <v>0</v>
      </c>
      <c r="N22" s="340" t="str">
        <f t="shared" si="11"/>
        <v>-</v>
      </c>
      <c r="O22" s="264" t="str">
        <f t="shared" si="6"/>
        <v>-</v>
      </c>
    </row>
    <row r="23" spans="1:15" ht="24" thickBot="1" x14ac:dyDescent="0.35">
      <c r="A23" s="277" t="s">
        <v>110</v>
      </c>
      <c r="B23" s="957"/>
      <c r="C23" s="278" t="s">
        <v>358</v>
      </c>
      <c r="D23" s="278" t="s">
        <v>352</v>
      </c>
      <c r="E23" s="279">
        <v>500000</v>
      </c>
      <c r="F23" s="280"/>
      <c r="G23" s="336">
        <f t="shared" si="9"/>
        <v>0</v>
      </c>
      <c r="H23" s="281">
        <v>0</v>
      </c>
      <c r="I23" s="281">
        <v>0</v>
      </c>
      <c r="J23" s="355" t="str">
        <f>IFERROR(G23/#REF!,"-")</f>
        <v>-</v>
      </c>
      <c r="K23" s="336">
        <f t="shared" si="10"/>
        <v>0</v>
      </c>
      <c r="L23" s="462">
        <f t="shared" si="12"/>
        <v>0</v>
      </c>
      <c r="M23" s="463">
        <f t="shared" si="13"/>
        <v>0</v>
      </c>
      <c r="N23" s="340">
        <f t="shared" si="11"/>
        <v>0</v>
      </c>
      <c r="O23" s="264" t="str">
        <f t="shared" si="6"/>
        <v>-</v>
      </c>
    </row>
    <row r="24" spans="1:15" ht="24" thickBot="1" x14ac:dyDescent="0.35">
      <c r="A24" s="277" t="s">
        <v>110</v>
      </c>
      <c r="B24" s="957"/>
      <c r="C24" s="278" t="s">
        <v>392</v>
      </c>
      <c r="D24" s="278" t="s">
        <v>203</v>
      </c>
      <c r="E24" s="279">
        <v>0</v>
      </c>
      <c r="F24" s="280"/>
      <c r="G24" s="336">
        <f t="shared" si="9"/>
        <v>0</v>
      </c>
      <c r="H24" s="281">
        <v>0</v>
      </c>
      <c r="I24" s="281">
        <v>0</v>
      </c>
      <c r="J24" s="355" t="str">
        <f>IFERROR(G24/#REF!,"-")</f>
        <v>-</v>
      </c>
      <c r="K24" s="336">
        <f t="shared" si="10"/>
        <v>0</v>
      </c>
      <c r="L24" s="462">
        <f t="shared" si="12"/>
        <v>0</v>
      </c>
      <c r="M24" s="463">
        <f t="shared" si="13"/>
        <v>0</v>
      </c>
      <c r="N24" s="340" t="str">
        <f t="shared" si="11"/>
        <v>-</v>
      </c>
      <c r="O24" s="264" t="str">
        <f t="shared" si="6"/>
        <v>-</v>
      </c>
    </row>
    <row r="25" spans="1:15" ht="24" thickBot="1" x14ac:dyDescent="0.35">
      <c r="A25" s="277" t="s">
        <v>110</v>
      </c>
      <c r="B25" s="958"/>
      <c r="C25" s="282" t="s">
        <v>379</v>
      </c>
      <c r="D25" s="282" t="s">
        <v>252</v>
      </c>
      <c r="E25" s="283">
        <v>0</v>
      </c>
      <c r="F25" s="284"/>
      <c r="G25" s="337">
        <f t="shared" si="9"/>
        <v>0</v>
      </c>
      <c r="H25" s="285">
        <v>0</v>
      </c>
      <c r="I25" s="285">
        <v>0</v>
      </c>
      <c r="J25" s="356" t="str">
        <f>IFERROR(G25/#REF!,"-")</f>
        <v>-</v>
      </c>
      <c r="K25" s="464">
        <f t="shared" si="10"/>
        <v>0</v>
      </c>
      <c r="L25" s="462">
        <f t="shared" si="12"/>
        <v>0</v>
      </c>
      <c r="M25" s="463">
        <f t="shared" si="13"/>
        <v>0</v>
      </c>
      <c r="N25" s="341" t="str">
        <f t="shared" si="11"/>
        <v>-</v>
      </c>
      <c r="O25" s="350" t="str">
        <f t="shared" si="6"/>
        <v>-</v>
      </c>
    </row>
    <row r="26" spans="1:15" ht="24" thickBot="1" x14ac:dyDescent="0.35">
      <c r="A26" s="277" t="s">
        <v>110</v>
      </c>
      <c r="B26" s="967" t="s">
        <v>48</v>
      </c>
      <c r="C26" s="968"/>
      <c r="D26" s="969"/>
      <c r="E26" s="323">
        <f>SUM(E19:E25)</f>
        <v>3500000</v>
      </c>
      <c r="F26" s="288">
        <v>100000</v>
      </c>
      <c r="G26" s="323">
        <f>SUM(G19:G25)</f>
        <v>141553</v>
      </c>
      <c r="H26" s="324">
        <f t="shared" ref="H26:I26" si="14">SUM(H19:H25)</f>
        <v>140760</v>
      </c>
      <c r="I26" s="324">
        <f t="shared" si="14"/>
        <v>793</v>
      </c>
      <c r="J26" s="348" t="str">
        <f>IFERROR(G26/#REF!,"-")</f>
        <v>-</v>
      </c>
      <c r="K26" s="323">
        <f>SUM(K19:K25)</f>
        <v>141553</v>
      </c>
      <c r="L26" s="324">
        <f>SUM(L19:L25)</f>
        <v>140760</v>
      </c>
      <c r="M26" s="325">
        <f t="shared" ref="M26" si="15">SUM(M19:M25)</f>
        <v>793</v>
      </c>
      <c r="N26" s="342">
        <f>IFERROR(K26/E26,"-")</f>
        <v>4.0443714285714284E-2</v>
      </c>
      <c r="O26" s="348">
        <f t="shared" si="6"/>
        <v>5.6021419538971268E-3</v>
      </c>
    </row>
    <row r="27" spans="1:15" ht="23.4" x14ac:dyDescent="0.3">
      <c r="A27" s="277" t="s">
        <v>110</v>
      </c>
      <c r="B27" s="956" t="s">
        <v>18</v>
      </c>
      <c r="C27" s="272" t="s">
        <v>344</v>
      </c>
      <c r="D27" s="272" t="s">
        <v>99</v>
      </c>
      <c r="E27" s="273">
        <v>0</v>
      </c>
      <c r="F27" s="274"/>
      <c r="G27" s="335">
        <f t="shared" ref="G27:G33" si="16">+H27+I27</f>
        <v>0</v>
      </c>
      <c r="H27" s="275">
        <v>0</v>
      </c>
      <c r="I27" s="275">
        <v>0</v>
      </c>
      <c r="J27" s="354" t="str">
        <f>IFERROR(G27/#REF!,"-")</f>
        <v>-</v>
      </c>
      <c r="K27" s="335">
        <f t="shared" ref="K27:K33" si="17">+L27+M27</f>
        <v>0</v>
      </c>
      <c r="L27" s="275">
        <f>+H27</f>
        <v>0</v>
      </c>
      <c r="M27" s="276">
        <f>+I27</f>
        <v>0</v>
      </c>
      <c r="N27" s="339" t="str">
        <f t="shared" ref="N27:N34" si="18">IFERROR(K27/E27,"-")</f>
        <v>-</v>
      </c>
      <c r="O27" s="349" t="str">
        <f t="shared" si="6"/>
        <v>-</v>
      </c>
    </row>
    <row r="28" spans="1:15" ht="23.4" x14ac:dyDescent="0.3">
      <c r="A28" s="277" t="s">
        <v>110</v>
      </c>
      <c r="B28" s="957"/>
      <c r="C28" s="278" t="s">
        <v>253</v>
      </c>
      <c r="D28" s="278" t="s">
        <v>254</v>
      </c>
      <c r="E28" s="279">
        <v>0</v>
      </c>
      <c r="F28" s="280"/>
      <c r="G28" s="336">
        <f t="shared" si="16"/>
        <v>0</v>
      </c>
      <c r="H28" s="281">
        <v>0</v>
      </c>
      <c r="I28" s="281">
        <v>0</v>
      </c>
      <c r="J28" s="355" t="str">
        <f>IFERROR(G28/#REF!,"-")</f>
        <v>-</v>
      </c>
      <c r="K28" s="336">
        <f t="shared" si="17"/>
        <v>0</v>
      </c>
      <c r="L28" s="275">
        <f t="shared" ref="L28:L33" si="19">+H28</f>
        <v>0</v>
      </c>
      <c r="M28" s="276">
        <f t="shared" ref="M28:M33" si="20">+I28</f>
        <v>0</v>
      </c>
      <c r="N28" s="340" t="str">
        <f t="shared" si="18"/>
        <v>-</v>
      </c>
      <c r="O28" s="264" t="str">
        <f t="shared" si="6"/>
        <v>-</v>
      </c>
    </row>
    <row r="29" spans="1:15" ht="23.4" x14ac:dyDescent="0.3">
      <c r="A29" s="277" t="s">
        <v>110</v>
      </c>
      <c r="B29" s="957"/>
      <c r="C29" s="278" t="s">
        <v>122</v>
      </c>
      <c r="D29" s="278"/>
      <c r="E29" s="279">
        <v>0</v>
      </c>
      <c r="F29" s="280"/>
      <c r="G29" s="336">
        <f t="shared" si="16"/>
        <v>0</v>
      </c>
      <c r="H29" s="281">
        <v>0</v>
      </c>
      <c r="I29" s="281">
        <v>0</v>
      </c>
      <c r="J29" s="355" t="str">
        <f>IFERROR(G29/#REF!,"-")</f>
        <v>-</v>
      </c>
      <c r="K29" s="336">
        <f t="shared" si="17"/>
        <v>0</v>
      </c>
      <c r="L29" s="275">
        <f t="shared" si="19"/>
        <v>0</v>
      </c>
      <c r="M29" s="276">
        <f t="shared" si="20"/>
        <v>0</v>
      </c>
      <c r="N29" s="340" t="str">
        <f t="shared" si="18"/>
        <v>-</v>
      </c>
      <c r="O29" s="264" t="str">
        <f t="shared" si="6"/>
        <v>-</v>
      </c>
    </row>
    <row r="30" spans="1:15" ht="23.4" x14ac:dyDescent="0.3">
      <c r="A30" s="277" t="s">
        <v>110</v>
      </c>
      <c r="B30" s="957"/>
      <c r="C30" s="278" t="s">
        <v>129</v>
      </c>
      <c r="D30" s="278"/>
      <c r="E30" s="279">
        <v>0</v>
      </c>
      <c r="F30" s="280"/>
      <c r="G30" s="336">
        <f t="shared" si="16"/>
        <v>0</v>
      </c>
      <c r="H30" s="281">
        <v>0</v>
      </c>
      <c r="I30" s="281">
        <v>0</v>
      </c>
      <c r="J30" s="355" t="str">
        <f>IFERROR(G30/#REF!,"-")</f>
        <v>-</v>
      </c>
      <c r="K30" s="336">
        <f t="shared" si="17"/>
        <v>0</v>
      </c>
      <c r="L30" s="275">
        <f t="shared" si="19"/>
        <v>0</v>
      </c>
      <c r="M30" s="276">
        <f t="shared" si="20"/>
        <v>0</v>
      </c>
      <c r="N30" s="340" t="str">
        <f t="shared" si="18"/>
        <v>-</v>
      </c>
      <c r="O30" s="264" t="str">
        <f t="shared" si="6"/>
        <v>-</v>
      </c>
    </row>
    <row r="31" spans="1:15" ht="23.4" x14ac:dyDescent="0.3">
      <c r="A31" s="277" t="s">
        <v>110</v>
      </c>
      <c r="B31" s="957"/>
      <c r="C31" s="278" t="s">
        <v>189</v>
      </c>
      <c r="D31" s="278" t="s">
        <v>190</v>
      </c>
      <c r="E31" s="279">
        <v>0</v>
      </c>
      <c r="F31" s="280"/>
      <c r="G31" s="336">
        <f t="shared" si="16"/>
        <v>0</v>
      </c>
      <c r="H31" s="281">
        <v>0</v>
      </c>
      <c r="I31" s="281">
        <v>0</v>
      </c>
      <c r="J31" s="355" t="str">
        <f>IFERROR(G31/#REF!,"-")</f>
        <v>-</v>
      </c>
      <c r="K31" s="336">
        <f t="shared" si="17"/>
        <v>0</v>
      </c>
      <c r="L31" s="275">
        <f t="shared" si="19"/>
        <v>0</v>
      </c>
      <c r="M31" s="276">
        <f t="shared" si="20"/>
        <v>0</v>
      </c>
      <c r="N31" s="340" t="str">
        <f t="shared" si="18"/>
        <v>-</v>
      </c>
      <c r="O31" s="264" t="str">
        <f t="shared" si="6"/>
        <v>-</v>
      </c>
    </row>
    <row r="32" spans="1:15" ht="23.4" x14ac:dyDescent="0.3">
      <c r="A32" s="277" t="s">
        <v>110</v>
      </c>
      <c r="B32" s="957"/>
      <c r="C32" s="278" t="s">
        <v>192</v>
      </c>
      <c r="D32" s="278" t="s">
        <v>191</v>
      </c>
      <c r="E32" s="279">
        <v>0</v>
      </c>
      <c r="F32" s="280"/>
      <c r="G32" s="336">
        <f t="shared" si="16"/>
        <v>0</v>
      </c>
      <c r="H32" s="281">
        <v>0</v>
      </c>
      <c r="I32" s="281">
        <v>0</v>
      </c>
      <c r="J32" s="355" t="str">
        <f>IFERROR(G32/#REF!,"-")</f>
        <v>-</v>
      </c>
      <c r="K32" s="336">
        <f t="shared" si="17"/>
        <v>0</v>
      </c>
      <c r="L32" s="275">
        <f t="shared" si="19"/>
        <v>0</v>
      </c>
      <c r="M32" s="276">
        <f t="shared" si="20"/>
        <v>0</v>
      </c>
      <c r="N32" s="340" t="str">
        <f t="shared" si="18"/>
        <v>-</v>
      </c>
      <c r="O32" s="264" t="str">
        <f t="shared" si="6"/>
        <v>-</v>
      </c>
    </row>
    <row r="33" spans="1:15" ht="24" thickBot="1" x14ac:dyDescent="0.35">
      <c r="A33" s="277" t="s">
        <v>110</v>
      </c>
      <c r="B33" s="958"/>
      <c r="C33" s="289" t="s">
        <v>193</v>
      </c>
      <c r="D33" s="289" t="s">
        <v>114</v>
      </c>
      <c r="E33" s="283">
        <v>0</v>
      </c>
      <c r="F33" s="284"/>
      <c r="G33" s="337">
        <f t="shared" si="16"/>
        <v>0</v>
      </c>
      <c r="H33" s="285">
        <v>0</v>
      </c>
      <c r="I33" s="285">
        <v>0</v>
      </c>
      <c r="J33" s="356" t="str">
        <f>IFERROR(G33/#REF!,"-")</f>
        <v>-</v>
      </c>
      <c r="K33" s="337">
        <f t="shared" si="17"/>
        <v>0</v>
      </c>
      <c r="L33" s="275">
        <f t="shared" si="19"/>
        <v>0</v>
      </c>
      <c r="M33" s="276">
        <f t="shared" si="20"/>
        <v>0</v>
      </c>
      <c r="N33" s="341" t="str">
        <f t="shared" si="18"/>
        <v>-</v>
      </c>
      <c r="O33" s="350" t="str">
        <f t="shared" si="6"/>
        <v>-</v>
      </c>
    </row>
    <row r="34" spans="1:15" ht="24" thickBot="1" x14ac:dyDescent="0.35">
      <c r="A34" s="277" t="s">
        <v>110</v>
      </c>
      <c r="B34" s="967" t="s">
        <v>29</v>
      </c>
      <c r="C34" s="968"/>
      <c r="D34" s="969"/>
      <c r="E34" s="323">
        <f t="shared" ref="E34" si="21">SUM(E27:E33)</f>
        <v>0</v>
      </c>
      <c r="F34" s="288">
        <v>80000</v>
      </c>
      <c r="G34" s="323">
        <f>SUM(G27:G33)</f>
        <v>0</v>
      </c>
      <c r="H34" s="324">
        <f t="shared" ref="H34:I34" si="22">SUM(H27:H33)</f>
        <v>0</v>
      </c>
      <c r="I34" s="324">
        <f t="shared" si="22"/>
        <v>0</v>
      </c>
      <c r="J34" s="348" t="str">
        <f>IFERROR(G34/#REF!,"-")</f>
        <v>-</v>
      </c>
      <c r="K34" s="323">
        <f t="shared" ref="K34:M34" si="23">SUM(K27:K33)</f>
        <v>0</v>
      </c>
      <c r="L34" s="324">
        <f t="shared" si="23"/>
        <v>0</v>
      </c>
      <c r="M34" s="325">
        <f t="shared" si="23"/>
        <v>0</v>
      </c>
      <c r="N34" s="342" t="str">
        <f t="shared" si="18"/>
        <v>-</v>
      </c>
      <c r="O34" s="348" t="str">
        <f t="shared" si="6"/>
        <v>-</v>
      </c>
    </row>
    <row r="35" spans="1:15" ht="24" thickBot="1" x14ac:dyDescent="0.35">
      <c r="A35" s="252" t="s">
        <v>110</v>
      </c>
      <c r="B35" s="985" t="s">
        <v>19</v>
      </c>
      <c r="C35" s="653" t="s">
        <v>255</v>
      </c>
      <c r="D35" s="690" t="s">
        <v>190</v>
      </c>
      <c r="E35" s="695">
        <v>0</v>
      </c>
      <c r="F35" s="692">
        <v>110000</v>
      </c>
      <c r="G35" s="656">
        <f t="shared" ref="G35:G37" si="24">+H35+I35</f>
        <v>0</v>
      </c>
      <c r="H35" s="462">
        <v>0</v>
      </c>
      <c r="I35" s="462">
        <v>0</v>
      </c>
      <c r="J35" s="536" t="str">
        <f>IFERROR(G35/#REF!,"-")</f>
        <v>-</v>
      </c>
      <c r="K35" s="461">
        <f>+L35+M35</f>
        <v>0</v>
      </c>
      <c r="L35" s="462">
        <f>+H35</f>
        <v>0</v>
      </c>
      <c r="M35" s="463">
        <f>+I35</f>
        <v>0</v>
      </c>
      <c r="N35" s="658" t="str">
        <f>IFERROR(K35/E35,"-")</f>
        <v>-</v>
      </c>
      <c r="O35" s="659" t="str">
        <f t="shared" si="6"/>
        <v>-</v>
      </c>
    </row>
    <row r="36" spans="1:15" ht="24" thickBot="1" x14ac:dyDescent="0.35">
      <c r="A36" s="252"/>
      <c r="B36" s="986"/>
      <c r="C36" s="299" t="s">
        <v>399</v>
      </c>
      <c r="D36" s="657" t="s">
        <v>421</v>
      </c>
      <c r="E36" s="696">
        <v>0</v>
      </c>
      <c r="F36" s="693">
        <v>110000</v>
      </c>
      <c r="G36" s="652">
        <f t="shared" si="24"/>
        <v>8685</v>
      </c>
      <c r="H36" s="275">
        <v>8448</v>
      </c>
      <c r="I36" s="275">
        <v>237</v>
      </c>
      <c r="J36" s="354" t="str">
        <f>IFERROR(G36/#REF!,"-")</f>
        <v>-</v>
      </c>
      <c r="K36" s="338">
        <f>+L36+M36</f>
        <v>8685</v>
      </c>
      <c r="L36" s="462">
        <f t="shared" ref="L36:L37" si="25">+H36</f>
        <v>8448</v>
      </c>
      <c r="M36" s="463">
        <f t="shared" ref="M36:M37" si="26">+I36</f>
        <v>237</v>
      </c>
      <c r="N36" s="343" t="str">
        <f t="shared" ref="N36:N37" si="27">IFERROR(K36/E36,"-")</f>
        <v>-</v>
      </c>
      <c r="O36" s="651">
        <f>IFERROR(M36/K36,"-")</f>
        <v>2.7288428324697755E-2</v>
      </c>
    </row>
    <row r="37" spans="1:15" ht="24" thickBot="1" x14ac:dyDescent="0.35">
      <c r="A37" s="252"/>
      <c r="B37" s="987"/>
      <c r="C37" s="647" t="s">
        <v>380</v>
      </c>
      <c r="D37" s="691"/>
      <c r="E37" s="697">
        <v>0</v>
      </c>
      <c r="F37" s="694">
        <v>110000</v>
      </c>
      <c r="G37" s="599">
        <f t="shared" si="24"/>
        <v>0</v>
      </c>
      <c r="H37" s="285">
        <v>0</v>
      </c>
      <c r="I37" s="285">
        <v>0</v>
      </c>
      <c r="J37" s="356"/>
      <c r="K37" s="464">
        <f>+L37+M37</f>
        <v>0</v>
      </c>
      <c r="L37" s="462">
        <f t="shared" si="25"/>
        <v>0</v>
      </c>
      <c r="M37" s="463">
        <f t="shared" si="26"/>
        <v>0</v>
      </c>
      <c r="N37" s="341" t="str">
        <f t="shared" si="27"/>
        <v>-</v>
      </c>
      <c r="O37" s="648" t="str">
        <f t="shared" ref="O37:O85" si="28">IFERROR(M37/K37,"-")</f>
        <v>-</v>
      </c>
    </row>
    <row r="38" spans="1:15" ht="24" thickBot="1" x14ac:dyDescent="0.35">
      <c r="A38" s="277" t="s">
        <v>110</v>
      </c>
      <c r="B38" s="988" t="s">
        <v>49</v>
      </c>
      <c r="C38" s="968"/>
      <c r="D38" s="969"/>
      <c r="E38" s="323">
        <f>SUM(E35:E37)</f>
        <v>0</v>
      </c>
      <c r="F38" s="326">
        <f t="shared" ref="F38" si="29">SUM(F35)</f>
        <v>110000</v>
      </c>
      <c r="G38" s="323">
        <f>SUM(G35)</f>
        <v>0</v>
      </c>
      <c r="H38" s="324">
        <f>SUM(H35:H37)</f>
        <v>8448</v>
      </c>
      <c r="I38" s="324">
        <f>SUM(I35:I37)</f>
        <v>237</v>
      </c>
      <c r="J38" s="348" t="str">
        <f>IFERROR(G38/#REF!,"-")</f>
        <v>-</v>
      </c>
      <c r="K38" s="649">
        <f>SUM(K35:K36)</f>
        <v>8685</v>
      </c>
      <c r="L38" s="324">
        <f>SUM(L35:L36)</f>
        <v>8448</v>
      </c>
      <c r="M38" s="325">
        <f>SUM(M35:M36)</f>
        <v>237</v>
      </c>
      <c r="N38" s="342" t="str">
        <f>IFERROR(K38/E38,"-")</f>
        <v>-</v>
      </c>
      <c r="O38" s="348">
        <f t="shared" si="28"/>
        <v>2.7288428324697755E-2</v>
      </c>
    </row>
    <row r="39" spans="1:15" ht="23.4" x14ac:dyDescent="0.3">
      <c r="A39" s="277" t="s">
        <v>110</v>
      </c>
      <c r="B39" s="956" t="s">
        <v>20</v>
      </c>
      <c r="C39" s="294" t="s">
        <v>351</v>
      </c>
      <c r="D39" s="294" t="s">
        <v>313</v>
      </c>
      <c r="E39" s="273">
        <v>0</v>
      </c>
      <c r="F39" s="274"/>
      <c r="G39" s="335">
        <f t="shared" ref="G39:G41" si="30">+H39+I39</f>
        <v>0</v>
      </c>
      <c r="H39" s="275">
        <v>0</v>
      </c>
      <c r="I39" s="275">
        <v>0</v>
      </c>
      <c r="J39" s="354" t="str">
        <f>IFERROR(G39/#REF!,"-")</f>
        <v>-</v>
      </c>
      <c r="K39" s="335">
        <f t="shared" ref="K39:K41" si="31">+L39+M39</f>
        <v>0</v>
      </c>
      <c r="L39" s="275">
        <f>+H39</f>
        <v>0</v>
      </c>
      <c r="M39" s="276">
        <f>+I39</f>
        <v>0</v>
      </c>
      <c r="N39" s="339" t="str">
        <f t="shared" ref="N39:N42" si="32">IFERROR(K39/E39,"-")</f>
        <v>-</v>
      </c>
      <c r="O39" s="349" t="str">
        <f t="shared" si="28"/>
        <v>-</v>
      </c>
    </row>
    <row r="40" spans="1:15" ht="23.4" x14ac:dyDescent="0.3">
      <c r="A40" s="277" t="s">
        <v>110</v>
      </c>
      <c r="B40" s="957"/>
      <c r="C40" s="295" t="s">
        <v>121</v>
      </c>
      <c r="D40" s="295"/>
      <c r="E40" s="279">
        <v>0</v>
      </c>
      <c r="F40" s="280"/>
      <c r="G40" s="336">
        <f t="shared" si="30"/>
        <v>0</v>
      </c>
      <c r="H40" s="281">
        <v>0</v>
      </c>
      <c r="I40" s="281">
        <v>0</v>
      </c>
      <c r="J40" s="355" t="str">
        <f>IFERROR(G40/#REF!,"-")</f>
        <v>-</v>
      </c>
      <c r="K40" s="336">
        <f t="shared" si="31"/>
        <v>0</v>
      </c>
      <c r="L40" s="275">
        <f t="shared" ref="L40:L41" si="33">+H40</f>
        <v>0</v>
      </c>
      <c r="M40" s="276">
        <f t="shared" ref="M40:M41" si="34">+I40</f>
        <v>0</v>
      </c>
      <c r="N40" s="340" t="str">
        <f t="shared" si="32"/>
        <v>-</v>
      </c>
      <c r="O40" s="264" t="str">
        <f t="shared" si="28"/>
        <v>-</v>
      </c>
    </row>
    <row r="41" spans="1:15" ht="24" thickBot="1" x14ac:dyDescent="0.35">
      <c r="A41" s="277" t="s">
        <v>110</v>
      </c>
      <c r="B41" s="958"/>
      <c r="C41" s="296" t="s">
        <v>127</v>
      </c>
      <c r="D41" s="296"/>
      <c r="E41" s="283">
        <v>0</v>
      </c>
      <c r="F41" s="284"/>
      <c r="G41" s="337">
        <f t="shared" si="30"/>
        <v>0</v>
      </c>
      <c r="H41" s="285">
        <v>0</v>
      </c>
      <c r="I41" s="285">
        <v>0</v>
      </c>
      <c r="J41" s="356" t="str">
        <f>IFERROR(G41/#REF!,"-")</f>
        <v>-</v>
      </c>
      <c r="K41" s="337">
        <f t="shared" si="31"/>
        <v>0</v>
      </c>
      <c r="L41" s="275">
        <f t="shared" si="33"/>
        <v>0</v>
      </c>
      <c r="M41" s="276">
        <f t="shared" si="34"/>
        <v>0</v>
      </c>
      <c r="N41" s="341" t="str">
        <f t="shared" si="32"/>
        <v>-</v>
      </c>
      <c r="O41" s="350" t="str">
        <f t="shared" si="28"/>
        <v>-</v>
      </c>
    </row>
    <row r="42" spans="1:15" ht="24" thickBot="1" x14ac:dyDescent="0.35">
      <c r="A42" s="277" t="s">
        <v>110</v>
      </c>
      <c r="B42" s="968" t="s">
        <v>50</v>
      </c>
      <c r="C42" s="968"/>
      <c r="D42" s="989"/>
      <c r="E42" s="323">
        <f t="shared" ref="E42" si="35">SUM(E39:E41)</f>
        <v>0</v>
      </c>
      <c r="F42" s="288">
        <v>50000</v>
      </c>
      <c r="G42" s="323">
        <f>SUM(G39:G41)</f>
        <v>0</v>
      </c>
      <c r="H42" s="324">
        <f t="shared" ref="H42:I42" si="36">SUM(H39:H41)</f>
        <v>0</v>
      </c>
      <c r="I42" s="324">
        <f t="shared" si="36"/>
        <v>0</v>
      </c>
      <c r="J42" s="348" t="str">
        <f>IFERROR(G42/#REF!,"-")</f>
        <v>-</v>
      </c>
      <c r="K42" s="323">
        <f t="shared" ref="K42:M42" si="37">SUM(K39:K41)</f>
        <v>0</v>
      </c>
      <c r="L42" s="324">
        <f t="shared" si="37"/>
        <v>0</v>
      </c>
      <c r="M42" s="325">
        <f t="shared" si="37"/>
        <v>0</v>
      </c>
      <c r="N42" s="342" t="str">
        <f t="shared" si="32"/>
        <v>-</v>
      </c>
      <c r="O42" s="348" t="str">
        <f t="shared" si="28"/>
        <v>-</v>
      </c>
    </row>
    <row r="43" spans="1:15" ht="24" thickBot="1" x14ac:dyDescent="0.35">
      <c r="A43" s="277" t="s">
        <v>110</v>
      </c>
      <c r="B43" s="981" t="s">
        <v>21</v>
      </c>
      <c r="C43" s="982"/>
      <c r="D43" s="983"/>
      <c r="E43" s="329">
        <f>+E18+E26+E34+E38+E42</f>
        <v>3500000</v>
      </c>
      <c r="F43" s="330">
        <f>+F18+F26+F34+F38+F42</f>
        <v>355000</v>
      </c>
      <c r="G43" s="329">
        <f>+G18+G26+G34+G38+G42</f>
        <v>141553</v>
      </c>
      <c r="H43" s="327">
        <f>+H18+H26+H34+H38+H42</f>
        <v>149208</v>
      </c>
      <c r="I43" s="327">
        <f>+I18+I26+I34+I38+I42</f>
        <v>1030</v>
      </c>
      <c r="J43" s="352" t="str">
        <f>IFERROR(G43/#REF!,"-")</f>
        <v>-</v>
      </c>
      <c r="K43" s="329">
        <f>+K18+K26+K34+K38+K42</f>
        <v>150238</v>
      </c>
      <c r="L43" s="327">
        <f>+L18+L26+L34+L38+L42</f>
        <v>149208</v>
      </c>
      <c r="M43" s="328">
        <f>+M18+M26+M34+M38+M42</f>
        <v>1030</v>
      </c>
      <c r="N43" s="344">
        <f>IFERROR(K43/E43,"-")</f>
        <v>4.2925142857142856E-2</v>
      </c>
      <c r="O43" s="352">
        <f t="shared" si="28"/>
        <v>6.8557888150800727E-3</v>
      </c>
    </row>
    <row r="44" spans="1:15" ht="23.4" x14ac:dyDescent="0.3">
      <c r="A44" s="277" t="s">
        <v>110</v>
      </c>
      <c r="B44" s="956" t="s">
        <v>22</v>
      </c>
      <c r="C44" s="272" t="s">
        <v>132</v>
      </c>
      <c r="D44" s="272"/>
      <c r="E44" s="273">
        <v>0</v>
      </c>
      <c r="F44" s="274"/>
      <c r="G44" s="335">
        <f t="shared" ref="G44:G47" si="38">+H44+I44</f>
        <v>0</v>
      </c>
      <c r="H44" s="275">
        <v>0</v>
      </c>
      <c r="I44" s="275">
        <v>0</v>
      </c>
      <c r="J44" s="354" t="str">
        <f>IFERROR(G44/#REF!,"-")</f>
        <v>-</v>
      </c>
      <c r="K44" s="335">
        <f t="shared" ref="K44:K47" si="39">+L44+M44</f>
        <v>0</v>
      </c>
      <c r="L44" s="275">
        <f>+H44</f>
        <v>0</v>
      </c>
      <c r="M44" s="276">
        <f>+I44</f>
        <v>0</v>
      </c>
      <c r="N44" s="339" t="str">
        <f t="shared" ref="N44:N58" si="40">IFERROR(K44/E44,"-")</f>
        <v>-</v>
      </c>
      <c r="O44" s="349" t="str">
        <f t="shared" si="28"/>
        <v>-</v>
      </c>
    </row>
    <row r="45" spans="1:15" ht="23.4" x14ac:dyDescent="0.3">
      <c r="A45" s="277" t="s">
        <v>110</v>
      </c>
      <c r="B45" s="957"/>
      <c r="C45" s="298" t="s">
        <v>283</v>
      </c>
      <c r="D45" s="298" t="s">
        <v>194</v>
      </c>
      <c r="E45" s="279">
        <v>0</v>
      </c>
      <c r="F45" s="280"/>
      <c r="G45" s="336">
        <f t="shared" si="38"/>
        <v>0</v>
      </c>
      <c r="H45" s="281">
        <v>0</v>
      </c>
      <c r="I45" s="281">
        <v>0</v>
      </c>
      <c r="J45" s="355" t="str">
        <f>IFERROR(G45/#REF!,"-")</f>
        <v>-</v>
      </c>
      <c r="K45" s="336">
        <f t="shared" si="39"/>
        <v>0</v>
      </c>
      <c r="L45" s="275">
        <f t="shared" ref="L45:L47" si="41">+H45</f>
        <v>0</v>
      </c>
      <c r="M45" s="276">
        <f t="shared" ref="M45:M47" si="42">+I45</f>
        <v>0</v>
      </c>
      <c r="N45" s="340" t="str">
        <f t="shared" si="40"/>
        <v>-</v>
      </c>
      <c r="O45" s="264" t="str">
        <f t="shared" si="28"/>
        <v>-</v>
      </c>
    </row>
    <row r="46" spans="1:15" ht="23.4" x14ac:dyDescent="0.3">
      <c r="A46" s="277" t="s">
        <v>110</v>
      </c>
      <c r="B46" s="957"/>
      <c r="C46" s="298" t="s">
        <v>405</v>
      </c>
      <c r="D46" s="298" t="s">
        <v>194</v>
      </c>
      <c r="E46" s="279">
        <v>0</v>
      </c>
      <c r="F46" s="280"/>
      <c r="G46" s="336">
        <f t="shared" si="38"/>
        <v>47582</v>
      </c>
      <c r="H46" s="281">
        <f>47520</f>
        <v>47520</v>
      </c>
      <c r="I46" s="281">
        <v>62</v>
      </c>
      <c r="J46" s="355" t="str">
        <f>IFERROR(G46/#REF!,"-")</f>
        <v>-</v>
      </c>
      <c r="K46" s="336">
        <f t="shared" si="39"/>
        <v>47582</v>
      </c>
      <c r="L46" s="275">
        <f t="shared" si="41"/>
        <v>47520</v>
      </c>
      <c r="M46" s="276">
        <f t="shared" si="42"/>
        <v>62</v>
      </c>
      <c r="N46" s="340" t="str">
        <f t="shared" si="40"/>
        <v>-</v>
      </c>
      <c r="O46" s="264">
        <f t="shared" si="28"/>
        <v>1.3030137446933714E-3</v>
      </c>
    </row>
    <row r="47" spans="1:15" ht="24" thickBot="1" x14ac:dyDescent="0.35">
      <c r="A47" s="277" t="s">
        <v>110</v>
      </c>
      <c r="B47" s="958"/>
      <c r="C47" s="282" t="s">
        <v>195</v>
      </c>
      <c r="D47" s="282" t="s">
        <v>100</v>
      </c>
      <c r="E47" s="283">
        <v>0</v>
      </c>
      <c r="F47" s="284"/>
      <c r="G47" s="337">
        <f t="shared" si="38"/>
        <v>0</v>
      </c>
      <c r="H47" s="285">
        <v>0</v>
      </c>
      <c r="I47" s="285">
        <v>0</v>
      </c>
      <c r="J47" s="356" t="str">
        <f>IFERROR(G47/#REF!,"-")</f>
        <v>-</v>
      </c>
      <c r="K47" s="337">
        <f t="shared" si="39"/>
        <v>0</v>
      </c>
      <c r="L47" s="275">
        <f t="shared" si="41"/>
        <v>0</v>
      </c>
      <c r="M47" s="276">
        <f t="shared" si="42"/>
        <v>0</v>
      </c>
      <c r="N47" s="341" t="str">
        <f t="shared" si="40"/>
        <v>-</v>
      </c>
      <c r="O47" s="350" t="str">
        <f t="shared" si="28"/>
        <v>-</v>
      </c>
    </row>
    <row r="48" spans="1:15" ht="24" thickBot="1" x14ac:dyDescent="0.35">
      <c r="A48" s="277" t="s">
        <v>110</v>
      </c>
      <c r="B48" s="967" t="s">
        <v>51</v>
      </c>
      <c r="C48" s="968"/>
      <c r="D48" s="969"/>
      <c r="E48" s="287">
        <f>SUM(E44:E47)</f>
        <v>0</v>
      </c>
      <c r="F48" s="288">
        <v>80000</v>
      </c>
      <c r="G48" s="323">
        <f>SUM(G44:G47)</f>
        <v>47582</v>
      </c>
      <c r="H48" s="324">
        <f t="shared" ref="H48:I48" si="43">SUM(H44:H47)</f>
        <v>47520</v>
      </c>
      <c r="I48" s="324">
        <f t="shared" si="43"/>
        <v>62</v>
      </c>
      <c r="J48" s="348" t="str">
        <f>IFERROR(G48/#REF!,"-")</f>
        <v>-</v>
      </c>
      <c r="K48" s="323">
        <f t="shared" ref="K48:M48" si="44">SUM(K44:K47)</f>
        <v>47582</v>
      </c>
      <c r="L48" s="324">
        <f t="shared" si="44"/>
        <v>47520</v>
      </c>
      <c r="M48" s="325">
        <f t="shared" si="44"/>
        <v>62</v>
      </c>
      <c r="N48" s="342" t="str">
        <f t="shared" si="40"/>
        <v>-</v>
      </c>
      <c r="O48" s="348">
        <f t="shared" si="28"/>
        <v>1.3030137446933714E-3</v>
      </c>
    </row>
    <row r="49" spans="1:15" ht="23.4" x14ac:dyDescent="0.3">
      <c r="A49" s="277" t="s">
        <v>110</v>
      </c>
      <c r="B49" s="956" t="s">
        <v>23</v>
      </c>
      <c r="C49" s="299" t="s">
        <v>337</v>
      </c>
      <c r="D49" s="299" t="s">
        <v>258</v>
      </c>
      <c r="E49" s="273">
        <v>0</v>
      </c>
      <c r="F49" s="274"/>
      <c r="G49" s="335">
        <f t="shared" ref="G49:G56" si="45">+H49+I49</f>
        <v>0</v>
      </c>
      <c r="H49" s="275">
        <v>0</v>
      </c>
      <c r="I49" s="275">
        <v>0</v>
      </c>
      <c r="J49" s="354" t="str">
        <f>IFERROR(G49/#REF!,"-")</f>
        <v>-</v>
      </c>
      <c r="K49" s="335">
        <f t="shared" ref="K49:K56" si="46">+L49+M49</f>
        <v>0</v>
      </c>
      <c r="L49" s="275">
        <f>+H49</f>
        <v>0</v>
      </c>
      <c r="M49" s="276">
        <f>+I49</f>
        <v>0</v>
      </c>
      <c r="N49" s="339" t="str">
        <f t="shared" si="40"/>
        <v>-</v>
      </c>
      <c r="O49" s="349" t="str">
        <f t="shared" si="28"/>
        <v>-</v>
      </c>
    </row>
    <row r="50" spans="1:15" ht="23.4" x14ac:dyDescent="0.3">
      <c r="A50" s="277" t="s">
        <v>110</v>
      </c>
      <c r="B50" s="957"/>
      <c r="C50" s="278" t="s">
        <v>24</v>
      </c>
      <c r="D50" s="278" t="s">
        <v>258</v>
      </c>
      <c r="E50" s="279">
        <v>0</v>
      </c>
      <c r="F50" s="280"/>
      <c r="G50" s="336">
        <f t="shared" si="45"/>
        <v>0</v>
      </c>
      <c r="H50" s="281">
        <v>0</v>
      </c>
      <c r="I50" s="281">
        <v>0</v>
      </c>
      <c r="J50" s="355" t="str">
        <f>IFERROR(G50/#REF!,"-")</f>
        <v>-</v>
      </c>
      <c r="K50" s="336">
        <f t="shared" si="46"/>
        <v>0</v>
      </c>
      <c r="L50" s="275">
        <f t="shared" ref="L50:L56" si="47">+H50</f>
        <v>0</v>
      </c>
      <c r="M50" s="276">
        <f t="shared" ref="M50:M56" si="48">+I50</f>
        <v>0</v>
      </c>
      <c r="N50" s="340" t="str">
        <f t="shared" si="40"/>
        <v>-</v>
      </c>
      <c r="O50" s="264" t="str">
        <f t="shared" si="28"/>
        <v>-</v>
      </c>
    </row>
    <row r="51" spans="1:15" ht="23.4" x14ac:dyDescent="0.3">
      <c r="A51" s="277" t="s">
        <v>110</v>
      </c>
      <c r="B51" s="957"/>
      <c r="C51" s="278" t="s">
        <v>256</v>
      </c>
      <c r="D51" s="278" t="s">
        <v>258</v>
      </c>
      <c r="E51" s="279">
        <v>0</v>
      </c>
      <c r="F51" s="280"/>
      <c r="G51" s="336">
        <f t="shared" si="45"/>
        <v>0</v>
      </c>
      <c r="H51" s="281">
        <v>0</v>
      </c>
      <c r="I51" s="281">
        <v>0</v>
      </c>
      <c r="J51" s="355" t="str">
        <f>IFERROR(G51/#REF!,"-")</f>
        <v>-</v>
      </c>
      <c r="K51" s="336">
        <f t="shared" si="46"/>
        <v>0</v>
      </c>
      <c r="L51" s="275">
        <f t="shared" si="47"/>
        <v>0</v>
      </c>
      <c r="M51" s="276">
        <f t="shared" si="48"/>
        <v>0</v>
      </c>
      <c r="N51" s="340" t="str">
        <f t="shared" si="40"/>
        <v>-</v>
      </c>
      <c r="O51" s="264" t="str">
        <f t="shared" si="28"/>
        <v>-</v>
      </c>
    </row>
    <row r="52" spans="1:15" ht="23.4" x14ac:dyDescent="0.3">
      <c r="A52" s="277" t="s">
        <v>110</v>
      </c>
      <c r="B52" s="957"/>
      <c r="C52" s="278" t="s">
        <v>257</v>
      </c>
      <c r="D52" s="278" t="s">
        <v>258</v>
      </c>
      <c r="E52" s="279">
        <v>0</v>
      </c>
      <c r="F52" s="280"/>
      <c r="G52" s="336">
        <f t="shared" si="45"/>
        <v>0</v>
      </c>
      <c r="H52" s="281">
        <v>0</v>
      </c>
      <c r="I52" s="281">
        <v>0</v>
      </c>
      <c r="J52" s="355" t="str">
        <f>IFERROR(G52/#REF!,"-")</f>
        <v>-</v>
      </c>
      <c r="K52" s="336">
        <f t="shared" si="46"/>
        <v>0</v>
      </c>
      <c r="L52" s="275">
        <f t="shared" si="47"/>
        <v>0</v>
      </c>
      <c r="M52" s="276">
        <f t="shared" si="48"/>
        <v>0</v>
      </c>
      <c r="N52" s="340" t="str">
        <f t="shared" si="40"/>
        <v>-</v>
      </c>
      <c r="O52" s="264" t="str">
        <f t="shared" si="28"/>
        <v>-</v>
      </c>
    </row>
    <row r="53" spans="1:15" ht="23.4" x14ac:dyDescent="0.3">
      <c r="A53" s="277" t="s">
        <v>110</v>
      </c>
      <c r="B53" s="957"/>
      <c r="C53" s="298" t="s">
        <v>259</v>
      </c>
      <c r="D53" s="278" t="s">
        <v>258</v>
      </c>
      <c r="E53" s="279">
        <v>0</v>
      </c>
      <c r="F53" s="280"/>
      <c r="G53" s="336">
        <f t="shared" si="45"/>
        <v>0</v>
      </c>
      <c r="H53" s="281">
        <v>0</v>
      </c>
      <c r="I53" s="281">
        <v>0</v>
      </c>
      <c r="J53" s="355" t="str">
        <f>IFERROR(G53/#REF!,"-")</f>
        <v>-</v>
      </c>
      <c r="K53" s="336">
        <f t="shared" si="46"/>
        <v>0</v>
      </c>
      <c r="L53" s="275">
        <f t="shared" si="47"/>
        <v>0</v>
      </c>
      <c r="M53" s="276">
        <f t="shared" si="48"/>
        <v>0</v>
      </c>
      <c r="N53" s="340" t="str">
        <f t="shared" si="40"/>
        <v>-</v>
      </c>
      <c r="O53" s="264" t="str">
        <f t="shared" si="28"/>
        <v>-</v>
      </c>
    </row>
    <row r="54" spans="1:15" ht="23.4" x14ac:dyDescent="0.3">
      <c r="A54" s="277" t="s">
        <v>110</v>
      </c>
      <c r="B54" s="957"/>
      <c r="C54" s="298" t="s">
        <v>260</v>
      </c>
      <c r="D54" s="278" t="s">
        <v>258</v>
      </c>
      <c r="E54" s="279">
        <v>0</v>
      </c>
      <c r="F54" s="280"/>
      <c r="G54" s="336">
        <f t="shared" si="45"/>
        <v>0</v>
      </c>
      <c r="H54" s="281">
        <v>0</v>
      </c>
      <c r="I54" s="281">
        <v>0</v>
      </c>
      <c r="J54" s="355" t="str">
        <f>IFERROR(G54/#REF!,"-")</f>
        <v>-</v>
      </c>
      <c r="K54" s="336">
        <f t="shared" si="46"/>
        <v>0</v>
      </c>
      <c r="L54" s="275">
        <f t="shared" si="47"/>
        <v>0</v>
      </c>
      <c r="M54" s="276">
        <f t="shared" si="48"/>
        <v>0</v>
      </c>
      <c r="N54" s="340" t="str">
        <f t="shared" si="40"/>
        <v>-</v>
      </c>
      <c r="O54" s="264" t="str">
        <f t="shared" si="28"/>
        <v>-</v>
      </c>
    </row>
    <row r="55" spans="1:15" ht="23.4" x14ac:dyDescent="0.3">
      <c r="A55" s="277" t="s">
        <v>110</v>
      </c>
      <c r="B55" s="957"/>
      <c r="C55" s="298" t="s">
        <v>261</v>
      </c>
      <c r="D55" s="278" t="s">
        <v>263</v>
      </c>
      <c r="E55" s="279">
        <v>0</v>
      </c>
      <c r="F55" s="280"/>
      <c r="G55" s="336">
        <f t="shared" si="45"/>
        <v>0</v>
      </c>
      <c r="H55" s="281">
        <v>0</v>
      </c>
      <c r="I55" s="281">
        <v>0</v>
      </c>
      <c r="J55" s="355" t="str">
        <f>IFERROR(G55/#REF!,"-")</f>
        <v>-</v>
      </c>
      <c r="K55" s="336">
        <f t="shared" si="46"/>
        <v>0</v>
      </c>
      <c r="L55" s="275">
        <f t="shared" si="47"/>
        <v>0</v>
      </c>
      <c r="M55" s="276">
        <f t="shared" si="48"/>
        <v>0</v>
      </c>
      <c r="N55" s="340" t="str">
        <f t="shared" si="40"/>
        <v>-</v>
      </c>
      <c r="O55" s="264" t="str">
        <f t="shared" si="28"/>
        <v>-</v>
      </c>
    </row>
    <row r="56" spans="1:15" ht="24" thickBot="1" x14ac:dyDescent="0.35">
      <c r="A56" s="277" t="s">
        <v>110</v>
      </c>
      <c r="B56" s="958"/>
      <c r="C56" s="298" t="s">
        <v>262</v>
      </c>
      <c r="D56" s="278" t="s">
        <v>258</v>
      </c>
      <c r="E56" s="283">
        <v>0</v>
      </c>
      <c r="F56" s="284"/>
      <c r="G56" s="337">
        <f t="shared" si="45"/>
        <v>0</v>
      </c>
      <c r="H56" s="285">
        <v>0</v>
      </c>
      <c r="I56" s="285">
        <v>0</v>
      </c>
      <c r="J56" s="356" t="str">
        <f>IFERROR(G56/#REF!,"-")</f>
        <v>-</v>
      </c>
      <c r="K56" s="337">
        <f t="shared" si="46"/>
        <v>0</v>
      </c>
      <c r="L56" s="275">
        <f t="shared" si="47"/>
        <v>0</v>
      </c>
      <c r="M56" s="276">
        <f t="shared" si="48"/>
        <v>0</v>
      </c>
      <c r="N56" s="341" t="str">
        <f t="shared" si="40"/>
        <v>-</v>
      </c>
      <c r="O56" s="350" t="str">
        <f t="shared" si="28"/>
        <v>-</v>
      </c>
    </row>
    <row r="57" spans="1:15" ht="24" thickBot="1" x14ac:dyDescent="0.35">
      <c r="A57" s="277" t="s">
        <v>110</v>
      </c>
      <c r="B57" s="967" t="s">
        <v>52</v>
      </c>
      <c r="C57" s="968"/>
      <c r="D57" s="969"/>
      <c r="E57" s="287">
        <v>0</v>
      </c>
      <c r="F57" s="288">
        <v>14000</v>
      </c>
      <c r="G57" s="323">
        <f>SUM(G49:G56)</f>
        <v>0</v>
      </c>
      <c r="H57" s="324">
        <f t="shared" ref="H57:I57" si="49">SUM(H49:H56)</f>
        <v>0</v>
      </c>
      <c r="I57" s="324">
        <f t="shared" si="49"/>
        <v>0</v>
      </c>
      <c r="J57" s="348" t="str">
        <f>IFERROR(G57/#REF!,"-")</f>
        <v>-</v>
      </c>
      <c r="K57" s="323">
        <f>SUM(K49:K56)</f>
        <v>0</v>
      </c>
      <c r="L57" s="324">
        <f t="shared" ref="L57:M57" si="50">SUM(L49:L56)</f>
        <v>0</v>
      </c>
      <c r="M57" s="325">
        <f t="shared" si="50"/>
        <v>0</v>
      </c>
      <c r="N57" s="342" t="str">
        <f t="shared" si="40"/>
        <v>-</v>
      </c>
      <c r="O57" s="348" t="str">
        <f t="shared" si="28"/>
        <v>-</v>
      </c>
    </row>
    <row r="58" spans="1:15" ht="24" thickBot="1" x14ac:dyDescent="0.35">
      <c r="A58" s="277" t="s">
        <v>110</v>
      </c>
      <c r="B58" s="981" t="s">
        <v>25</v>
      </c>
      <c r="C58" s="982"/>
      <c r="D58" s="983"/>
      <c r="E58" s="329">
        <f t="shared" ref="E58:F58" si="51">+E48+E57</f>
        <v>0</v>
      </c>
      <c r="F58" s="330">
        <f t="shared" si="51"/>
        <v>94000</v>
      </c>
      <c r="G58" s="329">
        <f>+G48+G57</f>
        <v>47582</v>
      </c>
      <c r="H58" s="327">
        <f t="shared" ref="H58:I58" si="52">+H48+H57</f>
        <v>47520</v>
      </c>
      <c r="I58" s="327">
        <f t="shared" si="52"/>
        <v>62</v>
      </c>
      <c r="J58" s="352" t="str">
        <f>IFERROR(G58/#REF!,"-")</f>
        <v>-</v>
      </c>
      <c r="K58" s="329">
        <f t="shared" ref="K58" si="53">+K48+K57</f>
        <v>47582</v>
      </c>
      <c r="L58" s="327">
        <f>+L48+L57</f>
        <v>47520</v>
      </c>
      <c r="M58" s="328">
        <f t="shared" ref="M58" si="54">+M48+M57</f>
        <v>62</v>
      </c>
      <c r="N58" s="344" t="str">
        <f t="shared" si="40"/>
        <v>-</v>
      </c>
      <c r="O58" s="352">
        <f t="shared" si="28"/>
        <v>1.3030137446933714E-3</v>
      </c>
    </row>
    <row r="59" spans="1:15" ht="24" thickBot="1" x14ac:dyDescent="0.35">
      <c r="A59" s="277" t="s">
        <v>110</v>
      </c>
      <c r="B59" s="984" t="s">
        <v>180</v>
      </c>
      <c r="C59" s="962"/>
      <c r="D59" s="963"/>
      <c r="E59" s="333">
        <f>+E43+E58</f>
        <v>3500000</v>
      </c>
      <c r="F59" s="334">
        <f t="shared" ref="F59:I59" si="55">+F43+F58</f>
        <v>449000</v>
      </c>
      <c r="G59" s="333">
        <f t="shared" si="55"/>
        <v>189135</v>
      </c>
      <c r="H59" s="331">
        <f t="shared" si="55"/>
        <v>196728</v>
      </c>
      <c r="I59" s="331">
        <f t="shared" si="55"/>
        <v>1092</v>
      </c>
      <c r="J59" s="353" t="str">
        <f>IFERROR(G59/#REF!,"-")</f>
        <v>-</v>
      </c>
      <c r="K59" s="333">
        <f>+K43+K58</f>
        <v>197820</v>
      </c>
      <c r="L59" s="331">
        <f t="shared" ref="L59:M59" si="56">+L43+L58</f>
        <v>196728</v>
      </c>
      <c r="M59" s="332">
        <f t="shared" si="56"/>
        <v>1092</v>
      </c>
      <c r="N59" s="345">
        <f>IFERROR(K59/E59,"-")</f>
        <v>5.6520000000000001E-2</v>
      </c>
      <c r="O59" s="353">
        <f t="shared" si="28"/>
        <v>5.5201698513800421E-3</v>
      </c>
    </row>
    <row r="60" spans="1:15" ht="23.4" x14ac:dyDescent="0.3">
      <c r="A60" s="271" t="s">
        <v>108</v>
      </c>
      <c r="B60" s="977" t="s">
        <v>26</v>
      </c>
      <c r="C60" s="300" t="s">
        <v>323</v>
      </c>
      <c r="D60" s="300" t="s">
        <v>190</v>
      </c>
      <c r="E60" s="273">
        <v>0</v>
      </c>
      <c r="F60" s="274"/>
      <c r="G60" s="335">
        <f t="shared" ref="G60:G68" si="57">+H60+I60</f>
        <v>0</v>
      </c>
      <c r="H60" s="275">
        <v>0</v>
      </c>
      <c r="I60" s="275">
        <v>0</v>
      </c>
      <c r="J60" s="354" t="str">
        <f>IFERROR(G60/#REF!,"-")</f>
        <v>-</v>
      </c>
      <c r="K60" s="335">
        <f t="shared" ref="K60:K68" si="58">+L60+M60</f>
        <v>0</v>
      </c>
      <c r="L60" s="275">
        <f>+H60</f>
        <v>0</v>
      </c>
      <c r="M60" s="276">
        <f>+I60</f>
        <v>0</v>
      </c>
      <c r="N60" s="339" t="str">
        <f t="shared" ref="N60:N61" si="59">IFERROR(K60/E60,"-")</f>
        <v>-</v>
      </c>
      <c r="O60" s="349" t="str">
        <f t="shared" si="28"/>
        <v>-</v>
      </c>
    </row>
    <row r="61" spans="1:15" ht="23.4" x14ac:dyDescent="0.3">
      <c r="A61" s="277" t="s">
        <v>108</v>
      </c>
      <c r="B61" s="977"/>
      <c r="C61" s="301" t="s">
        <v>196</v>
      </c>
      <c r="D61" s="301" t="s">
        <v>114</v>
      </c>
      <c r="E61" s="279">
        <v>0</v>
      </c>
      <c r="F61" s="280"/>
      <c r="G61" s="336">
        <f t="shared" si="57"/>
        <v>0</v>
      </c>
      <c r="H61" s="281">
        <v>0</v>
      </c>
      <c r="I61" s="281">
        <v>0</v>
      </c>
      <c r="J61" s="355" t="str">
        <f>IFERROR(G61/#REF!,"-")</f>
        <v>-</v>
      </c>
      <c r="K61" s="336">
        <f t="shared" si="58"/>
        <v>0</v>
      </c>
      <c r="L61" s="275">
        <f t="shared" ref="L61:L68" si="60">+H61</f>
        <v>0</v>
      </c>
      <c r="M61" s="276">
        <f t="shared" ref="M61:M68" si="61">+I61</f>
        <v>0</v>
      </c>
      <c r="N61" s="340" t="str">
        <f t="shared" si="59"/>
        <v>-</v>
      </c>
      <c r="O61" s="264" t="str">
        <f t="shared" si="28"/>
        <v>-</v>
      </c>
    </row>
    <row r="62" spans="1:15" ht="23.4" x14ac:dyDescent="0.3">
      <c r="A62" s="277" t="s">
        <v>108</v>
      </c>
      <c r="B62" s="977"/>
      <c r="C62" s="302" t="s">
        <v>27</v>
      </c>
      <c r="D62" s="302" t="s">
        <v>370</v>
      </c>
      <c r="E62" s="283">
        <v>0</v>
      </c>
      <c r="F62" s="284"/>
      <c r="G62" s="336">
        <f t="shared" si="57"/>
        <v>0</v>
      </c>
      <c r="H62" s="285">
        <v>0</v>
      </c>
      <c r="I62" s="285">
        <v>0</v>
      </c>
      <c r="J62" s="356" t="str">
        <f>IFERROR(G62/#REF!,"-")</f>
        <v>-</v>
      </c>
      <c r="K62" s="336">
        <f t="shared" si="58"/>
        <v>0</v>
      </c>
      <c r="L62" s="275">
        <f t="shared" si="60"/>
        <v>0</v>
      </c>
      <c r="M62" s="276">
        <f t="shared" si="61"/>
        <v>0</v>
      </c>
      <c r="N62" s="286"/>
      <c r="O62" s="264" t="str">
        <f t="shared" si="28"/>
        <v>-</v>
      </c>
    </row>
    <row r="63" spans="1:15" ht="23.4" x14ac:dyDescent="0.3">
      <c r="A63" s="277" t="s">
        <v>108</v>
      </c>
      <c r="B63" s="977"/>
      <c r="C63" s="302" t="s">
        <v>27</v>
      </c>
      <c r="D63" s="302" t="s">
        <v>254</v>
      </c>
      <c r="E63" s="283">
        <v>0</v>
      </c>
      <c r="F63" s="284"/>
      <c r="G63" s="336">
        <f t="shared" si="57"/>
        <v>0</v>
      </c>
      <c r="H63" s="285">
        <v>0</v>
      </c>
      <c r="I63" s="285">
        <v>0</v>
      </c>
      <c r="J63" s="356" t="str">
        <f>IFERROR(G63/#REF!,"-")</f>
        <v>-</v>
      </c>
      <c r="K63" s="336">
        <f t="shared" si="58"/>
        <v>0</v>
      </c>
      <c r="L63" s="275">
        <f t="shared" si="60"/>
        <v>0</v>
      </c>
      <c r="M63" s="276">
        <f t="shared" si="61"/>
        <v>0</v>
      </c>
      <c r="N63" s="286"/>
      <c r="O63" s="264" t="str">
        <f t="shared" si="28"/>
        <v>-</v>
      </c>
    </row>
    <row r="64" spans="1:15" ht="23.4" x14ac:dyDescent="0.3">
      <c r="A64" s="277" t="s">
        <v>108</v>
      </c>
      <c r="B64" s="977"/>
      <c r="C64" s="302" t="s">
        <v>27</v>
      </c>
      <c r="D64" s="302" t="s">
        <v>302</v>
      </c>
      <c r="E64" s="283">
        <v>0</v>
      </c>
      <c r="F64" s="284"/>
      <c r="G64" s="336">
        <f t="shared" si="57"/>
        <v>0</v>
      </c>
      <c r="H64" s="285">
        <v>0</v>
      </c>
      <c r="I64" s="285">
        <v>0</v>
      </c>
      <c r="J64" s="356" t="str">
        <f>IFERROR(G64/#REF!,"-")</f>
        <v>-</v>
      </c>
      <c r="K64" s="336">
        <f t="shared" si="58"/>
        <v>0</v>
      </c>
      <c r="L64" s="275">
        <f t="shared" si="60"/>
        <v>0</v>
      </c>
      <c r="M64" s="276">
        <f t="shared" si="61"/>
        <v>0</v>
      </c>
      <c r="N64" s="286"/>
      <c r="O64" s="264" t="str">
        <f t="shared" si="28"/>
        <v>-</v>
      </c>
    </row>
    <row r="65" spans="1:15" ht="23.4" x14ac:dyDescent="0.3">
      <c r="A65" s="277"/>
      <c r="B65" s="977"/>
      <c r="C65" s="302" t="s">
        <v>369</v>
      </c>
      <c r="D65" s="302" t="s">
        <v>190</v>
      </c>
      <c r="E65" s="283">
        <v>0</v>
      </c>
      <c r="F65" s="284"/>
      <c r="G65" s="337">
        <f t="shared" si="57"/>
        <v>0</v>
      </c>
      <c r="H65" s="285">
        <v>0</v>
      </c>
      <c r="I65" s="285">
        <v>0</v>
      </c>
      <c r="J65" s="356" t="str">
        <f>IFERROR(G65/#REF!,"-")</f>
        <v>-</v>
      </c>
      <c r="K65" s="337">
        <f t="shared" si="58"/>
        <v>0</v>
      </c>
      <c r="L65" s="275">
        <f t="shared" si="60"/>
        <v>0</v>
      </c>
      <c r="M65" s="276">
        <f t="shared" si="61"/>
        <v>0</v>
      </c>
      <c r="N65" s="286"/>
      <c r="O65" s="264" t="str">
        <f t="shared" si="28"/>
        <v>-</v>
      </c>
    </row>
    <row r="66" spans="1:15" ht="23.4" x14ac:dyDescent="0.3">
      <c r="A66" s="277"/>
      <c r="B66" s="977"/>
      <c r="C66" s="302" t="s">
        <v>314</v>
      </c>
      <c r="D66" s="302" t="s">
        <v>101</v>
      </c>
      <c r="E66" s="283">
        <v>0</v>
      </c>
      <c r="F66" s="284"/>
      <c r="G66" s="337">
        <f t="shared" si="57"/>
        <v>0</v>
      </c>
      <c r="H66" s="285">
        <v>0</v>
      </c>
      <c r="I66" s="285">
        <v>0</v>
      </c>
      <c r="J66" s="356" t="str">
        <f>IFERROR(G66/#REF!,"-")</f>
        <v>-</v>
      </c>
      <c r="K66" s="337">
        <f t="shared" si="58"/>
        <v>0</v>
      </c>
      <c r="L66" s="275">
        <f t="shared" si="60"/>
        <v>0</v>
      </c>
      <c r="M66" s="276">
        <f t="shared" si="61"/>
        <v>0</v>
      </c>
      <c r="N66" s="286"/>
      <c r="O66" s="264" t="str">
        <f t="shared" si="28"/>
        <v>-</v>
      </c>
    </row>
    <row r="67" spans="1:15" ht="23.4" x14ac:dyDescent="0.3">
      <c r="A67" s="277"/>
      <c r="B67" s="977"/>
      <c r="C67" s="302" t="s">
        <v>314</v>
      </c>
      <c r="D67" s="302" t="s">
        <v>370</v>
      </c>
      <c r="E67" s="283">
        <v>0</v>
      </c>
      <c r="F67" s="284"/>
      <c r="G67" s="337">
        <f t="shared" si="57"/>
        <v>0</v>
      </c>
      <c r="H67" s="285">
        <v>0</v>
      </c>
      <c r="I67" s="285">
        <v>0</v>
      </c>
      <c r="J67" s="356" t="str">
        <f>IFERROR(G67/#REF!,"-")</f>
        <v>-</v>
      </c>
      <c r="K67" s="337">
        <f t="shared" si="58"/>
        <v>0</v>
      </c>
      <c r="L67" s="275">
        <f t="shared" si="60"/>
        <v>0</v>
      </c>
      <c r="M67" s="276">
        <f t="shared" si="61"/>
        <v>0</v>
      </c>
      <c r="N67" s="286"/>
      <c r="O67" s="264" t="str">
        <f t="shared" si="28"/>
        <v>-</v>
      </c>
    </row>
    <row r="68" spans="1:15" ht="24" thickBot="1" x14ac:dyDescent="0.35">
      <c r="A68" s="277" t="s">
        <v>108</v>
      </c>
      <c r="B68" s="977"/>
      <c r="C68" s="303" t="s">
        <v>315</v>
      </c>
      <c r="D68" s="302" t="s">
        <v>313</v>
      </c>
      <c r="E68" s="283">
        <v>0</v>
      </c>
      <c r="F68" s="284"/>
      <c r="G68" s="337">
        <f t="shared" si="57"/>
        <v>0</v>
      </c>
      <c r="H68" s="285">
        <v>0</v>
      </c>
      <c r="I68" s="285">
        <v>0</v>
      </c>
      <c r="J68" s="356" t="str">
        <f>IFERROR(G68/#REF!,"-")</f>
        <v>-</v>
      </c>
      <c r="K68" s="337">
        <f t="shared" si="58"/>
        <v>0</v>
      </c>
      <c r="L68" s="275">
        <f t="shared" si="60"/>
        <v>0</v>
      </c>
      <c r="M68" s="276">
        <f t="shared" si="61"/>
        <v>0</v>
      </c>
      <c r="N68" s="341" t="str">
        <f t="shared" ref="N68:N73" si="62">IFERROR(K68/E68,"-")</f>
        <v>-</v>
      </c>
      <c r="O68" s="350" t="str">
        <f t="shared" si="28"/>
        <v>-</v>
      </c>
    </row>
    <row r="69" spans="1:15" ht="24" thickBot="1" x14ac:dyDescent="0.35">
      <c r="A69" s="277" t="s">
        <v>108</v>
      </c>
      <c r="B69" s="990"/>
      <c r="C69" s="304"/>
      <c r="D69" s="305" t="s">
        <v>55</v>
      </c>
      <c r="E69" s="287">
        <v>0</v>
      </c>
      <c r="F69" s="288"/>
      <c r="G69" s="323">
        <f>SUM(G60:G68)</f>
        <v>0</v>
      </c>
      <c r="H69" s="324">
        <f>SUM(H60:H68)</f>
        <v>0</v>
      </c>
      <c r="I69" s="324">
        <f>SUM(I60:I68)</f>
        <v>0</v>
      </c>
      <c r="J69" s="348" t="str">
        <f>IFERROR(G69/#REF!,"-")</f>
        <v>-</v>
      </c>
      <c r="K69" s="323">
        <f>SUM(K60:K68)</f>
        <v>0</v>
      </c>
      <c r="L69" s="324">
        <f>SUM(L60:L68)</f>
        <v>0</v>
      </c>
      <c r="M69" s="325">
        <f>SUM(M60:M68)</f>
        <v>0</v>
      </c>
      <c r="N69" s="342" t="str">
        <f t="shared" si="62"/>
        <v>-</v>
      </c>
      <c r="O69" s="348" t="str">
        <f t="shared" si="28"/>
        <v>-</v>
      </c>
    </row>
    <row r="70" spans="1:15" ht="23.4" x14ac:dyDescent="0.3">
      <c r="A70" s="277" t="s">
        <v>108</v>
      </c>
      <c r="B70" s="976" t="s">
        <v>28</v>
      </c>
      <c r="C70" s="302" t="s">
        <v>27</v>
      </c>
      <c r="D70" s="300" t="s">
        <v>302</v>
      </c>
      <c r="E70" s="273">
        <v>0</v>
      </c>
      <c r="F70" s="274"/>
      <c r="G70" s="335">
        <f t="shared" ref="G70:G72" si="63">+H70+I70</f>
        <v>4258</v>
      </c>
      <c r="H70" s="275">
        <v>3978</v>
      </c>
      <c r="I70" s="275">
        <v>280</v>
      </c>
      <c r="J70" s="354" t="str">
        <f>IFERROR(G70/#REF!,"-")</f>
        <v>-</v>
      </c>
      <c r="K70" s="335">
        <f t="shared" ref="K70:K72" si="64">+L70+M70</f>
        <v>4258</v>
      </c>
      <c r="L70" s="275">
        <f>+H70</f>
        <v>3978</v>
      </c>
      <c r="M70" s="276">
        <f>+I70</f>
        <v>280</v>
      </c>
      <c r="N70" s="339" t="str">
        <f t="shared" si="62"/>
        <v>-</v>
      </c>
      <c r="O70" s="349">
        <f t="shared" si="28"/>
        <v>6.5758572099577264E-2</v>
      </c>
    </row>
    <row r="71" spans="1:15" ht="23.4" x14ac:dyDescent="0.3">
      <c r="A71" s="277" t="s">
        <v>108</v>
      </c>
      <c r="B71" s="977"/>
      <c r="C71" s="302" t="s">
        <v>27</v>
      </c>
      <c r="D71" s="302" t="s">
        <v>370</v>
      </c>
      <c r="E71" s="279">
        <v>0</v>
      </c>
      <c r="F71" s="280"/>
      <c r="G71" s="336">
        <f t="shared" si="63"/>
        <v>24591</v>
      </c>
      <c r="H71" s="281">
        <v>23868</v>
      </c>
      <c r="I71" s="281">
        <v>723</v>
      </c>
      <c r="J71" s="355" t="str">
        <f>IFERROR(G71/#REF!,"-")</f>
        <v>-</v>
      </c>
      <c r="K71" s="336">
        <f t="shared" si="64"/>
        <v>24591</v>
      </c>
      <c r="L71" s="275">
        <f t="shared" ref="L71:L72" si="65">+H71</f>
        <v>23868</v>
      </c>
      <c r="M71" s="276">
        <f t="shared" ref="M71:M72" si="66">+I71</f>
        <v>723</v>
      </c>
      <c r="N71" s="340" t="str">
        <f t="shared" si="62"/>
        <v>-</v>
      </c>
      <c r="O71" s="264">
        <f t="shared" si="28"/>
        <v>2.9401000365987556E-2</v>
      </c>
    </row>
    <row r="72" spans="1:15" ht="24" thickBot="1" x14ac:dyDescent="0.35">
      <c r="A72" s="277" t="s">
        <v>108</v>
      </c>
      <c r="B72" s="977"/>
      <c r="C72" s="302" t="s">
        <v>27</v>
      </c>
      <c r="D72" s="303" t="s">
        <v>254</v>
      </c>
      <c r="E72" s="283">
        <v>0</v>
      </c>
      <c r="F72" s="284"/>
      <c r="G72" s="337">
        <f t="shared" si="63"/>
        <v>56268</v>
      </c>
      <c r="H72" s="285">
        <v>55692</v>
      </c>
      <c r="I72" s="285">
        <v>576</v>
      </c>
      <c r="J72" s="356" t="str">
        <f>IFERROR(G72/#REF!,"-")</f>
        <v>-</v>
      </c>
      <c r="K72" s="337">
        <f t="shared" si="64"/>
        <v>56268</v>
      </c>
      <c r="L72" s="275">
        <f t="shared" si="65"/>
        <v>55692</v>
      </c>
      <c r="M72" s="276">
        <f t="shared" si="66"/>
        <v>576</v>
      </c>
      <c r="N72" s="341" t="str">
        <f t="shared" si="62"/>
        <v>-</v>
      </c>
      <c r="O72" s="350">
        <f t="shared" si="28"/>
        <v>1.0236724248240563E-2</v>
      </c>
    </row>
    <row r="73" spans="1:15" ht="24" thickBot="1" x14ac:dyDescent="0.35">
      <c r="A73" s="277" t="s">
        <v>108</v>
      </c>
      <c r="B73" s="977"/>
      <c r="C73" s="307"/>
      <c r="D73" s="308" t="s">
        <v>55</v>
      </c>
      <c r="E73" s="309">
        <v>0</v>
      </c>
      <c r="F73" s="310"/>
      <c r="G73" s="369">
        <f>SUM(G70:G72)</f>
        <v>85117</v>
      </c>
      <c r="H73" s="368">
        <f t="shared" ref="H73:I73" si="67">SUM(H70:H72)</f>
        <v>83538</v>
      </c>
      <c r="I73" s="368">
        <f t="shared" si="67"/>
        <v>1579</v>
      </c>
      <c r="J73" s="359" t="str">
        <f>IFERROR(G73/#REF!,"-")</f>
        <v>-</v>
      </c>
      <c r="K73" s="369">
        <f>SUM(K70:K72)</f>
        <v>85117</v>
      </c>
      <c r="L73" s="368">
        <f>SUM(L70:L72)</f>
        <v>83538</v>
      </c>
      <c r="M73" s="370">
        <f t="shared" ref="M73" si="68">SUM(M70:M72)</f>
        <v>1579</v>
      </c>
      <c r="N73" s="358" t="str">
        <f t="shared" si="62"/>
        <v>-</v>
      </c>
      <c r="O73" s="359">
        <f t="shared" si="28"/>
        <v>1.8550935770762597E-2</v>
      </c>
    </row>
    <row r="74" spans="1:15" ht="24" thickBot="1" x14ac:dyDescent="0.35">
      <c r="A74" s="685" t="s">
        <v>108</v>
      </c>
      <c r="B74" s="978" t="s">
        <v>170</v>
      </c>
      <c r="C74" s="979"/>
      <c r="D74" s="980"/>
      <c r="E74" s="311">
        <v>0</v>
      </c>
      <c r="F74" s="312">
        <v>80000</v>
      </c>
      <c r="G74" s="372">
        <f>+G69+G73</f>
        <v>85117</v>
      </c>
      <c r="H74" s="371">
        <f t="shared" ref="H74:I74" si="69">+H69+H73</f>
        <v>83538</v>
      </c>
      <c r="I74" s="371">
        <f t="shared" si="69"/>
        <v>1579</v>
      </c>
      <c r="J74" s="361" t="str">
        <f>IFERROR(G74/#REF!,"-")</f>
        <v>-</v>
      </c>
      <c r="K74" s="372">
        <f>+K69+K73</f>
        <v>85117</v>
      </c>
      <c r="L74" s="371">
        <f>+L69+L73</f>
        <v>83538</v>
      </c>
      <c r="M74" s="373">
        <f t="shared" ref="M74" si="70">+M69+M73</f>
        <v>1579</v>
      </c>
      <c r="N74" s="360" t="str">
        <f>IFERROR(K74/E74,"-")</f>
        <v>-</v>
      </c>
      <c r="O74" s="361">
        <f t="shared" si="28"/>
        <v>1.8550935770762597E-2</v>
      </c>
    </row>
    <row r="75" spans="1:15" ht="23.4" x14ac:dyDescent="0.3">
      <c r="A75" s="277" t="s">
        <v>108</v>
      </c>
      <c r="B75" s="977" t="s">
        <v>30</v>
      </c>
      <c r="C75" s="306" t="s">
        <v>372</v>
      </c>
      <c r="D75" s="300" t="s">
        <v>191</v>
      </c>
      <c r="E75" s="273">
        <v>0</v>
      </c>
      <c r="F75" s="274"/>
      <c r="G75" s="335">
        <f t="shared" ref="G75:G77" si="71">+H75+I75</f>
        <v>0</v>
      </c>
      <c r="H75" s="275">
        <v>0</v>
      </c>
      <c r="I75" s="275">
        <v>0</v>
      </c>
      <c r="J75" s="354" t="str">
        <f>IFERROR(G75/#REF!,"-")</f>
        <v>-</v>
      </c>
      <c r="K75" s="335">
        <f t="shared" ref="K75:K77" si="72">+L75+M75</f>
        <v>0</v>
      </c>
      <c r="L75" s="275">
        <f>+H75</f>
        <v>0</v>
      </c>
      <c r="M75" s="276">
        <f>+I75</f>
        <v>0</v>
      </c>
      <c r="N75" s="339" t="str">
        <f t="shared" ref="N75:N85" si="73">IFERROR(K75/E75,"-")</f>
        <v>-</v>
      </c>
      <c r="O75" s="349" t="str">
        <f t="shared" si="28"/>
        <v>-</v>
      </c>
    </row>
    <row r="76" spans="1:15" ht="23.4" x14ac:dyDescent="0.3">
      <c r="A76" s="277" t="s">
        <v>108</v>
      </c>
      <c r="B76" s="977"/>
      <c r="C76" s="306" t="s">
        <v>371</v>
      </c>
      <c r="D76" s="306" t="s">
        <v>313</v>
      </c>
      <c r="E76" s="279">
        <v>0</v>
      </c>
      <c r="F76" s="280"/>
      <c r="G76" s="336">
        <f t="shared" si="71"/>
        <v>0</v>
      </c>
      <c r="H76" s="281">
        <v>0</v>
      </c>
      <c r="I76" s="281">
        <v>0</v>
      </c>
      <c r="J76" s="355" t="str">
        <f>IFERROR(G76/#REF!,"-")</f>
        <v>-</v>
      </c>
      <c r="K76" s="336">
        <f t="shared" si="72"/>
        <v>0</v>
      </c>
      <c r="L76" s="275">
        <f t="shared" ref="L76:L77" si="74">+H76</f>
        <v>0</v>
      </c>
      <c r="M76" s="276">
        <f t="shared" ref="M76:M77" si="75">+I76</f>
        <v>0</v>
      </c>
      <c r="N76" s="340" t="str">
        <f t="shared" si="73"/>
        <v>-</v>
      </c>
      <c r="O76" s="264" t="str">
        <f t="shared" si="28"/>
        <v>-</v>
      </c>
    </row>
    <row r="77" spans="1:15" ht="24" thickBot="1" x14ac:dyDescent="0.35">
      <c r="A77" s="277" t="s">
        <v>108</v>
      </c>
      <c r="B77" s="977"/>
      <c r="C77" s="303" t="s">
        <v>316</v>
      </c>
      <c r="D77" s="303" t="s">
        <v>410</v>
      </c>
      <c r="E77" s="283">
        <v>0</v>
      </c>
      <c r="F77" s="284"/>
      <c r="G77" s="337">
        <f t="shared" si="71"/>
        <v>19288</v>
      </c>
      <c r="H77" s="285">
        <v>18720</v>
      </c>
      <c r="I77" s="285">
        <v>568</v>
      </c>
      <c r="J77" s="356" t="str">
        <f>IFERROR(G77/#REF!,"-")</f>
        <v>-</v>
      </c>
      <c r="K77" s="337">
        <f t="shared" si="72"/>
        <v>19288</v>
      </c>
      <c r="L77" s="275">
        <f t="shared" si="74"/>
        <v>18720</v>
      </c>
      <c r="M77" s="276">
        <f t="shared" si="75"/>
        <v>568</v>
      </c>
      <c r="N77" s="341" t="str">
        <f t="shared" si="73"/>
        <v>-</v>
      </c>
      <c r="O77" s="350">
        <f t="shared" si="28"/>
        <v>2.9448361675653255E-2</v>
      </c>
    </row>
    <row r="78" spans="1:15" ht="24" thickBot="1" x14ac:dyDescent="0.35">
      <c r="A78" s="277" t="s">
        <v>108</v>
      </c>
      <c r="B78" s="977"/>
      <c r="C78" s="304"/>
      <c r="D78" s="305" t="s">
        <v>53</v>
      </c>
      <c r="E78" s="287">
        <v>0</v>
      </c>
      <c r="F78" s="288"/>
      <c r="G78" s="323">
        <f>SUM(G75:G77)</f>
        <v>19288</v>
      </c>
      <c r="H78" s="324">
        <f t="shared" ref="H78:I78" si="76">SUM(H75:H77)</f>
        <v>18720</v>
      </c>
      <c r="I78" s="324">
        <f t="shared" si="76"/>
        <v>568</v>
      </c>
      <c r="J78" s="348" t="str">
        <f>IFERROR(G78/#REF!,"-")</f>
        <v>-</v>
      </c>
      <c r="K78" s="323">
        <f t="shared" ref="K78" si="77">SUM(K75:K77)</f>
        <v>19288</v>
      </c>
      <c r="L78" s="324">
        <f>SUM(L75:L77)</f>
        <v>18720</v>
      </c>
      <c r="M78" s="325">
        <f t="shared" ref="M78" si="78">SUM(M75:M77)</f>
        <v>568</v>
      </c>
      <c r="N78" s="342" t="str">
        <f t="shared" si="73"/>
        <v>-</v>
      </c>
      <c r="O78" s="348">
        <f t="shared" si="28"/>
        <v>2.9448361675653255E-2</v>
      </c>
    </row>
    <row r="79" spans="1:15" ht="23.4" x14ac:dyDescent="0.3">
      <c r="A79" s="277" t="s">
        <v>108</v>
      </c>
      <c r="B79" s="977"/>
      <c r="C79" s="300" t="s">
        <v>339</v>
      </c>
      <c r="D79" s="300"/>
      <c r="E79" s="273">
        <v>0</v>
      </c>
      <c r="F79" s="274"/>
      <c r="G79" s="335">
        <f t="shared" ref="G79:G81" si="79">+H79+I79</f>
        <v>0</v>
      </c>
      <c r="H79" s="275">
        <v>0</v>
      </c>
      <c r="I79" s="275">
        <v>0</v>
      </c>
      <c r="J79" s="354" t="str">
        <f>IFERROR(G79/#REF!,"-")</f>
        <v>-</v>
      </c>
      <c r="K79" s="335">
        <f t="shared" ref="K79:K81" si="80">+L79+M79</f>
        <v>0</v>
      </c>
      <c r="L79" s="275">
        <f>+H79</f>
        <v>0</v>
      </c>
      <c r="M79" s="276">
        <f>+I79</f>
        <v>0</v>
      </c>
      <c r="N79" s="339" t="str">
        <f t="shared" si="73"/>
        <v>-</v>
      </c>
      <c r="O79" s="349" t="str">
        <f t="shared" si="28"/>
        <v>-</v>
      </c>
    </row>
    <row r="80" spans="1:15" ht="23.4" x14ac:dyDescent="0.3">
      <c r="A80" s="277" t="s">
        <v>108</v>
      </c>
      <c r="B80" s="977"/>
      <c r="C80" s="306" t="s">
        <v>373</v>
      </c>
      <c r="D80" s="306" t="s">
        <v>254</v>
      </c>
      <c r="E80" s="279">
        <v>0</v>
      </c>
      <c r="F80" s="280"/>
      <c r="G80" s="336">
        <f t="shared" si="79"/>
        <v>0</v>
      </c>
      <c r="H80" s="281">
        <v>0</v>
      </c>
      <c r="I80" s="281">
        <v>0</v>
      </c>
      <c r="J80" s="355" t="str">
        <f>IFERROR(G80/#REF!,"-")</f>
        <v>-</v>
      </c>
      <c r="K80" s="336">
        <f t="shared" si="80"/>
        <v>0</v>
      </c>
      <c r="L80" s="275">
        <f t="shared" ref="L80:L81" si="81">+H80</f>
        <v>0</v>
      </c>
      <c r="M80" s="276">
        <f t="shared" ref="M80:M81" si="82">+I80</f>
        <v>0</v>
      </c>
      <c r="N80" s="340" t="str">
        <f t="shared" si="73"/>
        <v>-</v>
      </c>
      <c r="O80" s="264" t="str">
        <f t="shared" si="28"/>
        <v>-</v>
      </c>
    </row>
    <row r="81" spans="1:15" ht="24" thickBot="1" x14ac:dyDescent="0.35">
      <c r="A81" s="277" t="s">
        <v>108</v>
      </c>
      <c r="B81" s="977"/>
      <c r="C81" s="303" t="s">
        <v>145</v>
      </c>
      <c r="D81" s="303"/>
      <c r="E81" s="283">
        <v>0</v>
      </c>
      <c r="F81" s="284"/>
      <c r="G81" s="337">
        <f t="shared" si="79"/>
        <v>0</v>
      </c>
      <c r="H81" s="285">
        <v>0</v>
      </c>
      <c r="I81" s="285">
        <v>0</v>
      </c>
      <c r="J81" s="356" t="str">
        <f>IFERROR(G81/#REF!,"-")</f>
        <v>-</v>
      </c>
      <c r="K81" s="337">
        <f t="shared" si="80"/>
        <v>0</v>
      </c>
      <c r="L81" s="275">
        <f t="shared" si="81"/>
        <v>0</v>
      </c>
      <c r="M81" s="276">
        <f t="shared" si="82"/>
        <v>0</v>
      </c>
      <c r="N81" s="341" t="str">
        <f t="shared" si="73"/>
        <v>-</v>
      </c>
      <c r="O81" s="350" t="str">
        <f t="shared" si="28"/>
        <v>-</v>
      </c>
    </row>
    <row r="82" spans="1:15" ht="24" thickBot="1" x14ac:dyDescent="0.35">
      <c r="A82" s="277" t="s">
        <v>108</v>
      </c>
      <c r="B82" s="977"/>
      <c r="C82" s="307"/>
      <c r="D82" s="308" t="s">
        <v>54</v>
      </c>
      <c r="E82" s="309">
        <v>0</v>
      </c>
      <c r="F82" s="310"/>
      <c r="G82" s="369">
        <f>SUM(G79:G81)</f>
        <v>0</v>
      </c>
      <c r="H82" s="368">
        <f t="shared" ref="H82:I82" si="83">SUM(H79:H81)</f>
        <v>0</v>
      </c>
      <c r="I82" s="368">
        <f t="shared" si="83"/>
        <v>0</v>
      </c>
      <c r="J82" s="359" t="str">
        <f>IFERROR(G82/#REF!,"-")</f>
        <v>-</v>
      </c>
      <c r="K82" s="369">
        <f t="shared" ref="K82:M82" si="84">SUM(K79:K81)</f>
        <v>0</v>
      </c>
      <c r="L82" s="368">
        <f t="shared" si="84"/>
        <v>0</v>
      </c>
      <c r="M82" s="370">
        <f t="shared" si="84"/>
        <v>0</v>
      </c>
      <c r="N82" s="358" t="str">
        <f t="shared" si="73"/>
        <v>-</v>
      </c>
      <c r="O82" s="359" t="str">
        <f t="shared" si="28"/>
        <v>-</v>
      </c>
    </row>
    <row r="83" spans="1:15" ht="24" thickBot="1" x14ac:dyDescent="0.35">
      <c r="A83" s="277" t="s">
        <v>108</v>
      </c>
      <c r="B83" s="978" t="s">
        <v>171</v>
      </c>
      <c r="C83" s="979"/>
      <c r="D83" s="980"/>
      <c r="E83" s="311">
        <v>0</v>
      </c>
      <c r="F83" s="312">
        <v>50000</v>
      </c>
      <c r="G83" s="372">
        <f>+G78+G82</f>
        <v>19288</v>
      </c>
      <c r="H83" s="371">
        <f t="shared" ref="H83:I83" si="85">+H78+H82</f>
        <v>18720</v>
      </c>
      <c r="I83" s="371">
        <f t="shared" si="85"/>
        <v>568</v>
      </c>
      <c r="J83" s="361" t="str">
        <f>IFERROR(G83/#REF!,"-")</f>
        <v>-</v>
      </c>
      <c r="K83" s="372">
        <f t="shared" ref="K83:M83" si="86">+K78+K82</f>
        <v>19288</v>
      </c>
      <c r="L83" s="371">
        <f t="shared" si="86"/>
        <v>18720</v>
      </c>
      <c r="M83" s="373">
        <f t="shared" si="86"/>
        <v>568</v>
      </c>
      <c r="N83" s="360" t="str">
        <f t="shared" si="73"/>
        <v>-</v>
      </c>
      <c r="O83" s="361">
        <f t="shared" si="28"/>
        <v>2.9448361675653255E-2</v>
      </c>
    </row>
    <row r="84" spans="1:15" ht="24" thickBot="1" x14ac:dyDescent="0.35">
      <c r="A84" s="277" t="s">
        <v>108</v>
      </c>
      <c r="B84" s="608" t="s">
        <v>32</v>
      </c>
      <c r="C84" s="682"/>
      <c r="D84" s="313" t="s">
        <v>32</v>
      </c>
      <c r="E84" s="290">
        <v>0</v>
      </c>
      <c r="F84" s="291">
        <v>110000</v>
      </c>
      <c r="G84" s="338">
        <f t="shared" ref="G84" si="87">+H84+I84</f>
        <v>0</v>
      </c>
      <c r="H84" s="292">
        <v>0</v>
      </c>
      <c r="I84" s="292">
        <v>0</v>
      </c>
      <c r="J84" s="357" t="str">
        <f>IFERROR(G84/#REF!,"-")</f>
        <v>-</v>
      </c>
      <c r="K84" s="338">
        <f>+L84+M84</f>
        <v>0</v>
      </c>
      <c r="L84" s="292">
        <f>+H84</f>
        <v>0</v>
      </c>
      <c r="M84" s="293">
        <f>+I84</f>
        <v>0</v>
      </c>
      <c r="N84" s="343" t="str">
        <f t="shared" si="73"/>
        <v>-</v>
      </c>
      <c r="O84" s="351" t="str">
        <f t="shared" si="28"/>
        <v>-</v>
      </c>
    </row>
    <row r="85" spans="1:15" ht="24" thickBot="1" x14ac:dyDescent="0.35">
      <c r="A85" s="277" t="s">
        <v>108</v>
      </c>
      <c r="B85" s="981" t="s">
        <v>21</v>
      </c>
      <c r="C85" s="982"/>
      <c r="D85" s="983"/>
      <c r="E85" s="329">
        <f>+E74+E83+E84</f>
        <v>0</v>
      </c>
      <c r="F85" s="330">
        <f t="shared" ref="F85" si="88">+F74+F83+F84</f>
        <v>240000</v>
      </c>
      <c r="G85" s="329">
        <f>+G74+G83+G84</f>
        <v>104405</v>
      </c>
      <c r="H85" s="327">
        <f t="shared" ref="H85:I85" si="89">+H74+H83+H84</f>
        <v>102258</v>
      </c>
      <c r="I85" s="327">
        <f t="shared" si="89"/>
        <v>2147</v>
      </c>
      <c r="J85" s="352" t="str">
        <f>IFERROR(G85/#REF!,"-")</f>
        <v>-</v>
      </c>
      <c r="K85" s="329">
        <f>+K74+K83+K84</f>
        <v>104405</v>
      </c>
      <c r="L85" s="327">
        <f>+L74+L83+L84</f>
        <v>102258</v>
      </c>
      <c r="M85" s="328">
        <f t="shared" ref="M85" si="90">+M74+M83+M84</f>
        <v>2147</v>
      </c>
      <c r="N85" s="344" t="str">
        <f t="shared" si="73"/>
        <v>-</v>
      </c>
      <c r="O85" s="352">
        <f t="shared" si="28"/>
        <v>2.0564149226569607E-2</v>
      </c>
    </row>
    <row r="86" spans="1:15" ht="24" thickBot="1" x14ac:dyDescent="0.35">
      <c r="A86" s="277" t="s">
        <v>108</v>
      </c>
      <c r="B86" s="984" t="s">
        <v>179</v>
      </c>
      <c r="C86" s="962"/>
      <c r="D86" s="963"/>
      <c r="E86" s="333">
        <f>+E85</f>
        <v>0</v>
      </c>
      <c r="F86" s="334">
        <f t="shared" ref="F86:I86" si="91">+F85</f>
        <v>240000</v>
      </c>
      <c r="G86" s="333">
        <f t="shared" si="91"/>
        <v>104405</v>
      </c>
      <c r="H86" s="331">
        <f t="shared" si="91"/>
        <v>102258</v>
      </c>
      <c r="I86" s="331">
        <f t="shared" si="91"/>
        <v>2147</v>
      </c>
      <c r="J86" s="353" t="str">
        <f>+J85</f>
        <v>-</v>
      </c>
      <c r="K86" s="333">
        <f>+K85</f>
        <v>104405</v>
      </c>
      <c r="L86" s="331">
        <f t="shared" ref="L86" si="92">+L85</f>
        <v>102258</v>
      </c>
      <c r="M86" s="332">
        <f>+M85</f>
        <v>2147</v>
      </c>
      <c r="N86" s="345" t="str">
        <f t="shared" ref="N86:O86" si="93">+N85</f>
        <v>-</v>
      </c>
      <c r="O86" s="353">
        <f t="shared" si="93"/>
        <v>2.0564149226569607E-2</v>
      </c>
    </row>
    <row r="87" spans="1:15" ht="23.4" x14ac:dyDescent="0.3">
      <c r="A87" s="271" t="s">
        <v>109</v>
      </c>
      <c r="B87" s="970" t="s">
        <v>33</v>
      </c>
      <c r="C87" s="314" t="s">
        <v>120</v>
      </c>
      <c r="D87" s="314"/>
      <c r="E87" s="273">
        <v>34000</v>
      </c>
      <c r="F87" s="274"/>
      <c r="G87" s="335">
        <f t="shared" ref="G87:G89" si="94">+H87+I87</f>
        <v>0</v>
      </c>
      <c r="H87" s="275">
        <v>0</v>
      </c>
      <c r="I87" s="275">
        <v>0</v>
      </c>
      <c r="J87" s="354" t="str">
        <f>IFERROR(G87/#REF!,"-")</f>
        <v>-</v>
      </c>
      <c r="K87" s="335">
        <f t="shared" ref="K87:K89" si="95">+L87+M87</f>
        <v>0</v>
      </c>
      <c r="L87" s="275">
        <f>+H87</f>
        <v>0</v>
      </c>
      <c r="M87" s="276">
        <f>+I87</f>
        <v>0</v>
      </c>
      <c r="N87" s="339">
        <f t="shared" ref="N87:N94" si="96">IFERROR(K87/E87,"-")</f>
        <v>0</v>
      </c>
      <c r="O87" s="349" t="str">
        <f t="shared" ref="O87:O112" si="97">IFERROR(M87/K87,"-")</f>
        <v>-</v>
      </c>
    </row>
    <row r="88" spans="1:15" ht="23.4" x14ac:dyDescent="0.3">
      <c r="A88" s="277" t="s">
        <v>109</v>
      </c>
      <c r="B88" s="972"/>
      <c r="C88" s="315" t="s">
        <v>267</v>
      </c>
      <c r="D88" s="315"/>
      <c r="E88" s="279">
        <v>0</v>
      </c>
      <c r="F88" s="280"/>
      <c r="G88" s="336">
        <f t="shared" si="94"/>
        <v>0</v>
      </c>
      <c r="H88" s="281">
        <v>0</v>
      </c>
      <c r="I88" s="281">
        <v>0</v>
      </c>
      <c r="J88" s="355" t="str">
        <f>IFERROR(G88/#REF!,"-")</f>
        <v>-</v>
      </c>
      <c r="K88" s="336">
        <f t="shared" si="95"/>
        <v>0</v>
      </c>
      <c r="L88" s="275">
        <f t="shared" ref="L88:L89" si="98">+H88</f>
        <v>0</v>
      </c>
      <c r="M88" s="276">
        <f t="shared" ref="M88:M89" si="99">+I88</f>
        <v>0</v>
      </c>
      <c r="N88" s="340" t="str">
        <f t="shared" si="96"/>
        <v>-</v>
      </c>
      <c r="O88" s="264" t="str">
        <f t="shared" si="97"/>
        <v>-</v>
      </c>
    </row>
    <row r="89" spans="1:15" ht="24" thickBot="1" x14ac:dyDescent="0.35">
      <c r="A89" s="277" t="s">
        <v>109</v>
      </c>
      <c r="B89" s="971"/>
      <c r="C89" s="316" t="s">
        <v>34</v>
      </c>
      <c r="D89" s="316"/>
      <c r="E89" s="283">
        <v>0</v>
      </c>
      <c r="F89" s="284"/>
      <c r="G89" s="337">
        <f t="shared" si="94"/>
        <v>0</v>
      </c>
      <c r="H89" s="285">
        <v>0</v>
      </c>
      <c r="I89" s="285">
        <v>0</v>
      </c>
      <c r="J89" s="356" t="str">
        <f>IFERROR(G89/#REF!,"-")</f>
        <v>-</v>
      </c>
      <c r="K89" s="337">
        <f t="shared" si="95"/>
        <v>0</v>
      </c>
      <c r="L89" s="275">
        <f t="shared" si="98"/>
        <v>0</v>
      </c>
      <c r="M89" s="276">
        <f t="shared" si="99"/>
        <v>0</v>
      </c>
      <c r="N89" s="341" t="str">
        <f t="shared" si="96"/>
        <v>-</v>
      </c>
      <c r="O89" s="350" t="str">
        <f t="shared" si="97"/>
        <v>-</v>
      </c>
    </row>
    <row r="90" spans="1:15" ht="24" thickBot="1" x14ac:dyDescent="0.35">
      <c r="A90" s="277" t="s">
        <v>109</v>
      </c>
      <c r="B90" s="967" t="s">
        <v>35</v>
      </c>
      <c r="C90" s="968"/>
      <c r="D90" s="969"/>
      <c r="E90" s="287">
        <f>SUM(E87:E89)</f>
        <v>34000</v>
      </c>
      <c r="F90" s="288"/>
      <c r="G90" s="323">
        <f>SUM(G87:G89)</f>
        <v>0</v>
      </c>
      <c r="H90" s="324">
        <f t="shared" ref="H90:I90" si="100">SUM(H87:H89)</f>
        <v>0</v>
      </c>
      <c r="I90" s="324">
        <f t="shared" si="100"/>
        <v>0</v>
      </c>
      <c r="J90" s="348" t="str">
        <f>IFERROR(G90/#REF!,"-")</f>
        <v>-</v>
      </c>
      <c r="K90" s="323">
        <f t="shared" ref="K90:M90" si="101">SUM(K87:K89)</f>
        <v>0</v>
      </c>
      <c r="L90" s="324">
        <f t="shared" si="101"/>
        <v>0</v>
      </c>
      <c r="M90" s="325">
        <f t="shared" si="101"/>
        <v>0</v>
      </c>
      <c r="N90" s="342">
        <f t="shared" si="96"/>
        <v>0</v>
      </c>
      <c r="O90" s="348" t="str">
        <f t="shared" si="97"/>
        <v>-</v>
      </c>
    </row>
    <row r="91" spans="1:15" ht="23.4" x14ac:dyDescent="0.3">
      <c r="A91" s="277" t="s">
        <v>109</v>
      </c>
      <c r="B91" s="970" t="s">
        <v>36</v>
      </c>
      <c r="C91" s="314" t="s">
        <v>120</v>
      </c>
      <c r="D91" s="314"/>
      <c r="E91" s="273">
        <v>64360</v>
      </c>
      <c r="F91" s="274"/>
      <c r="G91" s="335">
        <f t="shared" ref="G91:G94" si="102">+H91+I91</f>
        <v>0</v>
      </c>
      <c r="H91" s="275">
        <v>0</v>
      </c>
      <c r="I91" s="275">
        <v>0</v>
      </c>
      <c r="J91" s="354" t="str">
        <f>IFERROR(G91/#REF!,"-")</f>
        <v>-</v>
      </c>
      <c r="K91" s="335">
        <f t="shared" ref="K91:K94" si="103">+L91+M91</f>
        <v>0</v>
      </c>
      <c r="L91" s="275">
        <f>+H91</f>
        <v>0</v>
      </c>
      <c r="M91" s="276">
        <f>+I91</f>
        <v>0</v>
      </c>
      <c r="N91" s="339">
        <f t="shared" si="96"/>
        <v>0</v>
      </c>
      <c r="O91" s="349" t="str">
        <f t="shared" si="97"/>
        <v>-</v>
      </c>
    </row>
    <row r="92" spans="1:15" ht="23.4" x14ac:dyDescent="0.3">
      <c r="A92" s="277" t="s">
        <v>109</v>
      </c>
      <c r="B92" s="972"/>
      <c r="C92" s="315" t="s">
        <v>267</v>
      </c>
      <c r="D92" s="315"/>
      <c r="E92" s="279">
        <v>0</v>
      </c>
      <c r="F92" s="280"/>
      <c r="G92" s="336">
        <f t="shared" si="102"/>
        <v>0</v>
      </c>
      <c r="H92" s="281">
        <v>0</v>
      </c>
      <c r="I92" s="281">
        <v>0</v>
      </c>
      <c r="J92" s="355" t="str">
        <f>IFERROR(G92/#REF!,"-")</f>
        <v>-</v>
      </c>
      <c r="K92" s="336">
        <f t="shared" si="103"/>
        <v>0</v>
      </c>
      <c r="L92" s="275">
        <f t="shared" ref="L92:L94" si="104">+H92</f>
        <v>0</v>
      </c>
      <c r="M92" s="276">
        <f t="shared" ref="M92:M94" si="105">+I92</f>
        <v>0</v>
      </c>
      <c r="N92" s="340" t="str">
        <f t="shared" si="96"/>
        <v>-</v>
      </c>
      <c r="O92" s="264" t="str">
        <f t="shared" si="97"/>
        <v>-</v>
      </c>
    </row>
    <row r="93" spans="1:15" ht="23.4" x14ac:dyDescent="0.3">
      <c r="A93" s="277" t="s">
        <v>109</v>
      </c>
      <c r="B93" s="972"/>
      <c r="C93" s="315" t="s">
        <v>198</v>
      </c>
      <c r="D93" s="315"/>
      <c r="E93" s="279">
        <v>0</v>
      </c>
      <c r="F93" s="280"/>
      <c r="G93" s="336">
        <f t="shared" si="102"/>
        <v>0</v>
      </c>
      <c r="H93" s="281">
        <v>0</v>
      </c>
      <c r="I93" s="281">
        <v>0</v>
      </c>
      <c r="J93" s="355" t="str">
        <f>IFERROR(G93/#REF!,"-")</f>
        <v>-</v>
      </c>
      <c r="K93" s="336">
        <f t="shared" si="103"/>
        <v>0</v>
      </c>
      <c r="L93" s="275">
        <f t="shared" si="104"/>
        <v>0</v>
      </c>
      <c r="M93" s="276">
        <f t="shared" si="105"/>
        <v>0</v>
      </c>
      <c r="N93" s="340" t="str">
        <f t="shared" si="96"/>
        <v>-</v>
      </c>
      <c r="O93" s="264" t="str">
        <f t="shared" si="97"/>
        <v>-</v>
      </c>
    </row>
    <row r="94" spans="1:15" ht="24" thickBot="1" x14ac:dyDescent="0.35">
      <c r="A94" s="277" t="s">
        <v>109</v>
      </c>
      <c r="B94" s="971"/>
      <c r="C94" s="316" t="s">
        <v>37</v>
      </c>
      <c r="D94" s="316"/>
      <c r="E94" s="283">
        <v>0</v>
      </c>
      <c r="F94" s="284"/>
      <c r="G94" s="337">
        <f t="shared" si="102"/>
        <v>0</v>
      </c>
      <c r="H94" s="285">
        <v>0</v>
      </c>
      <c r="I94" s="285">
        <v>0</v>
      </c>
      <c r="J94" s="356" t="str">
        <f>IFERROR(G94/#REF!,"-")</f>
        <v>-</v>
      </c>
      <c r="K94" s="337">
        <f t="shared" si="103"/>
        <v>0</v>
      </c>
      <c r="L94" s="275">
        <f t="shared" si="104"/>
        <v>0</v>
      </c>
      <c r="M94" s="276">
        <f t="shared" si="105"/>
        <v>0</v>
      </c>
      <c r="N94" s="341" t="str">
        <f t="shared" si="96"/>
        <v>-</v>
      </c>
      <c r="O94" s="350" t="str">
        <f t="shared" si="97"/>
        <v>-</v>
      </c>
    </row>
    <row r="95" spans="1:15" ht="24" thickBot="1" x14ac:dyDescent="0.35">
      <c r="A95" s="277" t="s">
        <v>109</v>
      </c>
      <c r="B95" s="967" t="s">
        <v>38</v>
      </c>
      <c r="C95" s="968"/>
      <c r="D95" s="969"/>
      <c r="E95" s="287">
        <f>SUM(E91:E94)</f>
        <v>64360</v>
      </c>
      <c r="F95" s="288">
        <v>6500</v>
      </c>
      <c r="G95" s="323">
        <f>SUM(G91:G94)</f>
        <v>0</v>
      </c>
      <c r="H95" s="324">
        <f t="shared" ref="H95:I95" si="106">SUM(H91:H94)</f>
        <v>0</v>
      </c>
      <c r="I95" s="324">
        <f t="shared" si="106"/>
        <v>0</v>
      </c>
      <c r="J95" s="348" t="str">
        <f>IFERROR(G95/#REF!,"-")</f>
        <v>-</v>
      </c>
      <c r="K95" s="323">
        <f t="shared" ref="K95:M95" si="107">SUM(K91:K94)</f>
        <v>0</v>
      </c>
      <c r="L95" s="324">
        <f t="shared" si="107"/>
        <v>0</v>
      </c>
      <c r="M95" s="325">
        <f t="shared" si="107"/>
        <v>0</v>
      </c>
      <c r="N95" s="342">
        <f>IFERROR(K95/E95,"-")</f>
        <v>0</v>
      </c>
      <c r="O95" s="348" t="str">
        <f t="shared" si="97"/>
        <v>-</v>
      </c>
    </row>
    <row r="96" spans="1:15" ht="23.4" x14ac:dyDescent="0.3">
      <c r="A96" s="277" t="s">
        <v>109</v>
      </c>
      <c r="B96" s="970" t="s">
        <v>39</v>
      </c>
      <c r="C96" s="317" t="s">
        <v>123</v>
      </c>
      <c r="D96" s="317"/>
      <c r="E96" s="273">
        <v>39800</v>
      </c>
      <c r="F96" s="274"/>
      <c r="G96" s="335">
        <f t="shared" ref="G96:G97" si="108">+H96+I96</f>
        <v>0</v>
      </c>
      <c r="H96" s="275">
        <v>0</v>
      </c>
      <c r="I96" s="275">
        <v>0</v>
      </c>
      <c r="J96" s="354" t="str">
        <f>IFERROR(G96/#REF!,"-")</f>
        <v>-</v>
      </c>
      <c r="K96" s="335">
        <f t="shared" ref="K96:K97" si="109">+L96+M96</f>
        <v>0</v>
      </c>
      <c r="L96" s="275">
        <f>+H96</f>
        <v>0</v>
      </c>
      <c r="M96" s="276">
        <f>+I96</f>
        <v>0</v>
      </c>
      <c r="N96" s="339">
        <f t="shared" ref="N96:N112" si="110">IFERROR(K96/E96,"-")</f>
        <v>0</v>
      </c>
      <c r="O96" s="349" t="str">
        <f t="shared" si="97"/>
        <v>-</v>
      </c>
    </row>
    <row r="97" spans="1:15" ht="24" thickBot="1" x14ac:dyDescent="0.35">
      <c r="A97" s="277" t="s">
        <v>109</v>
      </c>
      <c r="B97" s="971"/>
      <c r="C97" s="289" t="s">
        <v>139</v>
      </c>
      <c r="D97" s="289"/>
      <c r="E97" s="283">
        <v>0</v>
      </c>
      <c r="F97" s="284"/>
      <c r="G97" s="337">
        <f t="shared" si="108"/>
        <v>240</v>
      </c>
      <c r="H97" s="285">
        <v>240</v>
      </c>
      <c r="I97" s="285">
        <v>0</v>
      </c>
      <c r="J97" s="356" t="str">
        <f>IFERROR(G97/#REF!,"-")</f>
        <v>-</v>
      </c>
      <c r="K97" s="337">
        <f t="shared" si="109"/>
        <v>240</v>
      </c>
      <c r="L97" s="275">
        <f>+H97</f>
        <v>240</v>
      </c>
      <c r="M97" s="276">
        <f>+I97</f>
        <v>0</v>
      </c>
      <c r="N97" s="341" t="str">
        <f t="shared" si="110"/>
        <v>-</v>
      </c>
      <c r="O97" s="350">
        <f t="shared" si="97"/>
        <v>0</v>
      </c>
    </row>
    <row r="98" spans="1:15" ht="24" thickBot="1" x14ac:dyDescent="0.35">
      <c r="A98" s="685" t="s">
        <v>109</v>
      </c>
      <c r="B98" s="967" t="s">
        <v>40</v>
      </c>
      <c r="C98" s="968"/>
      <c r="D98" s="969"/>
      <c r="E98" s="287">
        <f>SUM(E96:E97)</f>
        <v>39800</v>
      </c>
      <c r="F98" s="288">
        <v>2800</v>
      </c>
      <c r="G98" s="323">
        <f>SUM(G96:G97)</f>
        <v>240</v>
      </c>
      <c r="H98" s="324">
        <f t="shared" ref="H98:I98" si="111">SUM(H96:H97)</f>
        <v>240</v>
      </c>
      <c r="I98" s="324">
        <f t="shared" si="111"/>
        <v>0</v>
      </c>
      <c r="J98" s="348" t="str">
        <f>IFERROR(G98/#REF!,"-")</f>
        <v>-</v>
      </c>
      <c r="K98" s="323">
        <f t="shared" ref="K98:M98" si="112">SUM(K96:K97)</f>
        <v>240</v>
      </c>
      <c r="L98" s="324">
        <f t="shared" si="112"/>
        <v>240</v>
      </c>
      <c r="M98" s="325">
        <f t="shared" si="112"/>
        <v>0</v>
      </c>
      <c r="N98" s="342">
        <f t="shared" si="110"/>
        <v>6.030150753768844E-3</v>
      </c>
      <c r="O98" s="348">
        <f t="shared" si="97"/>
        <v>0</v>
      </c>
    </row>
    <row r="99" spans="1:15" ht="23.4" x14ac:dyDescent="0.3">
      <c r="A99" s="277" t="s">
        <v>109</v>
      </c>
      <c r="B99" s="970" t="s">
        <v>41</v>
      </c>
      <c r="C99" s="272" t="s">
        <v>335</v>
      </c>
      <c r="D99" s="272"/>
      <c r="E99" s="273">
        <v>916640</v>
      </c>
      <c r="F99" s="318"/>
      <c r="G99" s="335">
        <f t="shared" ref="G99:G103" si="113">+H99+I99</f>
        <v>15225</v>
      </c>
      <c r="H99" s="275">
        <v>15120</v>
      </c>
      <c r="I99" s="275">
        <v>105</v>
      </c>
      <c r="J99" s="374" t="str">
        <f>IFERROR(G99/#REF!,"-")</f>
        <v>-</v>
      </c>
      <c r="K99" s="335">
        <f t="shared" ref="K99:K103" si="114">+L99+M99</f>
        <v>15225</v>
      </c>
      <c r="L99" s="275">
        <f>+H99</f>
        <v>15120</v>
      </c>
      <c r="M99" s="276">
        <f>+I99</f>
        <v>105</v>
      </c>
      <c r="N99" s="362">
        <f t="shared" si="110"/>
        <v>1.6609574096700996E-2</v>
      </c>
      <c r="O99" s="363">
        <f t="shared" si="97"/>
        <v>6.8965517241379309E-3</v>
      </c>
    </row>
    <row r="100" spans="1:15" ht="23.4" x14ac:dyDescent="0.3">
      <c r="A100" s="277" t="s">
        <v>109</v>
      </c>
      <c r="B100" s="972"/>
      <c r="C100" s="272" t="s">
        <v>336</v>
      </c>
      <c r="D100" s="278"/>
      <c r="E100" s="279">
        <v>0</v>
      </c>
      <c r="F100" s="319"/>
      <c r="G100" s="336">
        <f t="shared" si="113"/>
        <v>0</v>
      </c>
      <c r="H100" s="281">
        <v>0</v>
      </c>
      <c r="I100" s="281">
        <v>0</v>
      </c>
      <c r="J100" s="375" t="str">
        <f>IFERROR(G100/#REF!,"-")</f>
        <v>-</v>
      </c>
      <c r="K100" s="336">
        <f t="shared" si="114"/>
        <v>0</v>
      </c>
      <c r="L100" s="275">
        <f t="shared" ref="L100:L103" si="115">+H100</f>
        <v>0</v>
      </c>
      <c r="M100" s="276">
        <f t="shared" ref="M100:M103" si="116">+I100</f>
        <v>0</v>
      </c>
      <c r="N100" s="364" t="str">
        <f t="shared" si="110"/>
        <v>-</v>
      </c>
      <c r="O100" s="365" t="str">
        <f t="shared" si="97"/>
        <v>-</v>
      </c>
    </row>
    <row r="101" spans="1:15" ht="23.4" x14ac:dyDescent="0.3">
      <c r="A101" s="277" t="s">
        <v>109</v>
      </c>
      <c r="B101" s="972"/>
      <c r="C101" s="278" t="s">
        <v>383</v>
      </c>
      <c r="D101" s="278"/>
      <c r="E101" s="279">
        <v>40000</v>
      </c>
      <c r="F101" s="319"/>
      <c r="G101" s="336">
        <f t="shared" si="113"/>
        <v>0</v>
      </c>
      <c r="H101" s="281">
        <v>0</v>
      </c>
      <c r="I101" s="281">
        <v>0</v>
      </c>
      <c r="J101" s="375" t="str">
        <f>IFERROR(G101/#REF!,"-")</f>
        <v>-</v>
      </c>
      <c r="K101" s="336">
        <f t="shared" si="114"/>
        <v>0</v>
      </c>
      <c r="L101" s="275">
        <f t="shared" si="115"/>
        <v>0</v>
      </c>
      <c r="M101" s="276">
        <f t="shared" si="116"/>
        <v>0</v>
      </c>
      <c r="N101" s="364">
        <f t="shared" si="110"/>
        <v>0</v>
      </c>
      <c r="O101" s="365" t="str">
        <f t="shared" si="97"/>
        <v>-</v>
      </c>
    </row>
    <row r="102" spans="1:15" ht="23.4" x14ac:dyDescent="0.3">
      <c r="A102" s="277" t="s">
        <v>109</v>
      </c>
      <c r="B102" s="972"/>
      <c r="C102" s="278" t="s">
        <v>165</v>
      </c>
      <c r="D102" s="278"/>
      <c r="E102" s="279">
        <v>0</v>
      </c>
      <c r="F102" s="319"/>
      <c r="G102" s="336">
        <f t="shared" si="113"/>
        <v>0</v>
      </c>
      <c r="H102" s="281">
        <v>0</v>
      </c>
      <c r="I102" s="281">
        <v>0</v>
      </c>
      <c r="J102" s="375" t="str">
        <f>IFERROR(G102/#REF!,"-")</f>
        <v>-</v>
      </c>
      <c r="K102" s="336">
        <f t="shared" si="114"/>
        <v>0</v>
      </c>
      <c r="L102" s="275">
        <f t="shared" si="115"/>
        <v>0</v>
      </c>
      <c r="M102" s="276">
        <f t="shared" si="116"/>
        <v>0</v>
      </c>
      <c r="N102" s="364" t="str">
        <f t="shared" si="110"/>
        <v>-</v>
      </c>
      <c r="O102" s="365" t="str">
        <f t="shared" si="97"/>
        <v>-</v>
      </c>
    </row>
    <row r="103" spans="1:15" ht="24" thickBot="1" x14ac:dyDescent="0.35">
      <c r="A103" s="277" t="s">
        <v>109</v>
      </c>
      <c r="B103" s="971"/>
      <c r="C103" s="282" t="s">
        <v>166</v>
      </c>
      <c r="D103" s="282"/>
      <c r="E103" s="283">
        <v>0</v>
      </c>
      <c r="F103" s="320"/>
      <c r="G103" s="337">
        <f t="shared" si="113"/>
        <v>0</v>
      </c>
      <c r="H103" s="285">
        <v>0</v>
      </c>
      <c r="I103" s="285">
        <v>0</v>
      </c>
      <c r="J103" s="376" t="str">
        <f>IFERROR(G103/#REF!,"-")</f>
        <v>-</v>
      </c>
      <c r="K103" s="337">
        <f t="shared" si="114"/>
        <v>0</v>
      </c>
      <c r="L103" s="275">
        <f t="shared" si="115"/>
        <v>0</v>
      </c>
      <c r="M103" s="276">
        <f t="shared" si="116"/>
        <v>0</v>
      </c>
      <c r="N103" s="366" t="str">
        <f t="shared" si="110"/>
        <v>-</v>
      </c>
      <c r="O103" s="367" t="str">
        <f t="shared" si="97"/>
        <v>-</v>
      </c>
    </row>
    <row r="104" spans="1:15" ht="24" thickBot="1" x14ac:dyDescent="0.35">
      <c r="A104" s="277" t="s">
        <v>109</v>
      </c>
      <c r="B104" s="967" t="s">
        <v>42</v>
      </c>
      <c r="C104" s="968"/>
      <c r="D104" s="969"/>
      <c r="E104" s="323">
        <f>SUM(E99:E103)</f>
        <v>956640</v>
      </c>
      <c r="F104" s="288">
        <v>25000</v>
      </c>
      <c r="G104" s="323">
        <f>SUM(G100:G103)</f>
        <v>0</v>
      </c>
      <c r="H104" s="324">
        <f>SUM(H99:H103)</f>
        <v>15120</v>
      </c>
      <c r="I104" s="324">
        <f t="shared" ref="I104" si="117">SUM(I100:I103)</f>
        <v>0</v>
      </c>
      <c r="J104" s="348" t="str">
        <f>IFERROR(G104/#REF!,"-")</f>
        <v>-</v>
      </c>
      <c r="K104" s="323">
        <f>SUM(K99:K103)</f>
        <v>15225</v>
      </c>
      <c r="L104" s="324">
        <f>SUM(L99:L103)</f>
        <v>15120</v>
      </c>
      <c r="M104" s="325">
        <f>SUM(M99:M103)</f>
        <v>105</v>
      </c>
      <c r="N104" s="342">
        <f t="shared" si="110"/>
        <v>1.5915077772202711E-2</v>
      </c>
      <c r="O104" s="348">
        <f t="shared" si="97"/>
        <v>6.8965517241379309E-3</v>
      </c>
    </row>
    <row r="105" spans="1:15" ht="23.4" x14ac:dyDescent="0.3">
      <c r="A105" s="277" t="s">
        <v>109</v>
      </c>
      <c r="B105" s="970" t="s">
        <v>43</v>
      </c>
      <c r="C105" s="272" t="s">
        <v>200</v>
      </c>
      <c r="D105" s="272"/>
      <c r="E105" s="273">
        <v>0</v>
      </c>
      <c r="F105" s="274"/>
      <c r="G105" s="335">
        <f t="shared" ref="G105:G107" si="118">+H105+I105</f>
        <v>0</v>
      </c>
      <c r="H105" s="275">
        <v>0</v>
      </c>
      <c r="I105" s="275">
        <v>0</v>
      </c>
      <c r="J105" s="354" t="str">
        <f>IFERROR(G105/#REF!,"-")</f>
        <v>-</v>
      </c>
      <c r="K105" s="335">
        <f t="shared" ref="K105:K107" si="119">+L105+M105</f>
        <v>0</v>
      </c>
      <c r="L105" s="275">
        <f>+H105</f>
        <v>0</v>
      </c>
      <c r="M105" s="276">
        <f>+I105</f>
        <v>0</v>
      </c>
      <c r="N105" s="339" t="str">
        <f t="shared" si="110"/>
        <v>-</v>
      </c>
      <c r="O105" s="349" t="str">
        <f t="shared" si="97"/>
        <v>-</v>
      </c>
    </row>
    <row r="106" spans="1:15" ht="23.4" x14ac:dyDescent="0.3">
      <c r="A106" s="277" t="s">
        <v>109</v>
      </c>
      <c r="B106" s="972"/>
      <c r="C106" s="278" t="s">
        <v>167</v>
      </c>
      <c r="D106" s="278"/>
      <c r="E106" s="279">
        <v>50000</v>
      </c>
      <c r="F106" s="280"/>
      <c r="G106" s="336">
        <f t="shared" si="118"/>
        <v>0</v>
      </c>
      <c r="H106" s="281">
        <v>0</v>
      </c>
      <c r="I106" s="281">
        <v>0</v>
      </c>
      <c r="J106" s="375" t="str">
        <f>IFERROR(G106/#REF!,"-")</f>
        <v>-</v>
      </c>
      <c r="K106" s="336">
        <f t="shared" si="119"/>
        <v>0</v>
      </c>
      <c r="L106" s="275">
        <f t="shared" ref="L106:L107" si="120">+H106</f>
        <v>0</v>
      </c>
      <c r="M106" s="276">
        <f t="shared" ref="M106:M107" si="121">+I106</f>
        <v>0</v>
      </c>
      <c r="N106" s="364">
        <f t="shared" si="110"/>
        <v>0</v>
      </c>
      <c r="O106" s="365" t="str">
        <f t="shared" si="97"/>
        <v>-</v>
      </c>
    </row>
    <row r="107" spans="1:15" ht="24" thickBot="1" x14ac:dyDescent="0.35">
      <c r="A107" s="277" t="s">
        <v>109</v>
      </c>
      <c r="B107" s="971"/>
      <c r="C107" s="282" t="s">
        <v>200</v>
      </c>
      <c r="D107" s="282"/>
      <c r="E107" s="283">
        <v>0</v>
      </c>
      <c r="F107" s="284"/>
      <c r="G107" s="337">
        <f t="shared" si="118"/>
        <v>0</v>
      </c>
      <c r="H107" s="285">
        <v>0</v>
      </c>
      <c r="I107" s="285">
        <v>0</v>
      </c>
      <c r="J107" s="376" t="str">
        <f>IFERROR(G107/#REF!,"-")</f>
        <v>-</v>
      </c>
      <c r="K107" s="337">
        <f t="shared" si="119"/>
        <v>0</v>
      </c>
      <c r="L107" s="275">
        <f t="shared" si="120"/>
        <v>0</v>
      </c>
      <c r="M107" s="276">
        <f t="shared" si="121"/>
        <v>0</v>
      </c>
      <c r="N107" s="366" t="str">
        <f t="shared" si="110"/>
        <v>-</v>
      </c>
      <c r="O107" s="367" t="str">
        <f t="shared" si="97"/>
        <v>-</v>
      </c>
    </row>
    <row r="108" spans="1:15" ht="24" thickBot="1" x14ac:dyDescent="0.35">
      <c r="A108" s="277" t="s">
        <v>109</v>
      </c>
      <c r="B108" s="973" t="s">
        <v>44</v>
      </c>
      <c r="C108" s="974"/>
      <c r="D108" s="975"/>
      <c r="E108" s="323">
        <f>SUM(E105:E107)</f>
        <v>50000</v>
      </c>
      <c r="F108" s="288"/>
      <c r="G108" s="323">
        <f>SUM(G105:G107)</f>
        <v>0</v>
      </c>
      <c r="H108" s="324">
        <f t="shared" ref="H108:I108" si="122">SUM(H105:H107)</f>
        <v>0</v>
      </c>
      <c r="I108" s="324">
        <f t="shared" si="122"/>
        <v>0</v>
      </c>
      <c r="J108" s="348" t="str">
        <f>IFERROR(G108/#REF!,"-")</f>
        <v>-</v>
      </c>
      <c r="K108" s="323">
        <f t="shared" ref="K108:M108" si="123">SUM(K105:K107)</f>
        <v>0</v>
      </c>
      <c r="L108" s="324">
        <f t="shared" si="123"/>
        <v>0</v>
      </c>
      <c r="M108" s="325">
        <f t="shared" si="123"/>
        <v>0</v>
      </c>
      <c r="N108" s="342">
        <f t="shared" si="110"/>
        <v>0</v>
      </c>
      <c r="O108" s="348" t="str">
        <f t="shared" si="97"/>
        <v>-</v>
      </c>
    </row>
    <row r="109" spans="1:15" ht="23.4" x14ac:dyDescent="0.3">
      <c r="A109" s="277" t="s">
        <v>109</v>
      </c>
      <c r="B109" s="970" t="s">
        <v>45</v>
      </c>
      <c r="C109" s="272" t="s">
        <v>168</v>
      </c>
      <c r="D109" s="272"/>
      <c r="E109" s="273">
        <v>0</v>
      </c>
      <c r="F109" s="274"/>
      <c r="G109" s="335">
        <f t="shared" ref="G109:G110" si="124">+H109+I109</f>
        <v>0</v>
      </c>
      <c r="H109" s="275">
        <v>0</v>
      </c>
      <c r="I109" s="275">
        <v>0</v>
      </c>
      <c r="J109" s="374" t="str">
        <f>IFERROR(G109/#REF!,"-")</f>
        <v>-</v>
      </c>
      <c r="K109" s="335">
        <f t="shared" ref="K109:K110" si="125">+L109+M109</f>
        <v>0</v>
      </c>
      <c r="L109" s="275">
        <f>+H109</f>
        <v>0</v>
      </c>
      <c r="M109" s="276">
        <f>+I109</f>
        <v>0</v>
      </c>
      <c r="N109" s="362" t="str">
        <f t="shared" si="110"/>
        <v>-</v>
      </c>
      <c r="O109" s="363" t="str">
        <f t="shared" si="97"/>
        <v>-</v>
      </c>
    </row>
    <row r="110" spans="1:15" ht="24" thickBot="1" x14ac:dyDescent="0.35">
      <c r="A110" s="277" t="s">
        <v>109</v>
      </c>
      <c r="B110" s="971"/>
      <c r="C110" s="282" t="s">
        <v>169</v>
      </c>
      <c r="D110" s="282"/>
      <c r="E110" s="283">
        <v>0</v>
      </c>
      <c r="F110" s="284"/>
      <c r="G110" s="337">
        <f t="shared" si="124"/>
        <v>0</v>
      </c>
      <c r="H110" s="285">
        <v>0</v>
      </c>
      <c r="I110" s="285">
        <v>0</v>
      </c>
      <c r="J110" s="376" t="str">
        <f>IFERROR(G110/#REF!,"-")</f>
        <v>-</v>
      </c>
      <c r="K110" s="337">
        <f t="shared" si="125"/>
        <v>0</v>
      </c>
      <c r="L110" s="275">
        <f>+H110</f>
        <v>0</v>
      </c>
      <c r="M110" s="276">
        <f>+I110</f>
        <v>0</v>
      </c>
      <c r="N110" s="366" t="str">
        <f t="shared" si="110"/>
        <v>-</v>
      </c>
      <c r="O110" s="367" t="str">
        <f t="shared" si="97"/>
        <v>-</v>
      </c>
    </row>
    <row r="111" spans="1:15" ht="24" thickBot="1" x14ac:dyDescent="0.35">
      <c r="A111" s="277" t="s">
        <v>109</v>
      </c>
      <c r="B111" s="973" t="s">
        <v>46</v>
      </c>
      <c r="C111" s="974"/>
      <c r="D111" s="975"/>
      <c r="E111" s="287">
        <v>0</v>
      </c>
      <c r="F111" s="288">
        <v>25000</v>
      </c>
      <c r="G111" s="323">
        <f>SUM(G109:G110)</f>
        <v>0</v>
      </c>
      <c r="H111" s="324">
        <f t="shared" ref="H111:I111" si="126">SUM(H109:H110)</f>
        <v>0</v>
      </c>
      <c r="I111" s="324">
        <f t="shared" si="126"/>
        <v>0</v>
      </c>
      <c r="J111" s="348" t="str">
        <f>IFERROR(G111/#REF!,"-")</f>
        <v>-</v>
      </c>
      <c r="K111" s="323">
        <f t="shared" ref="K111:M111" si="127">SUM(K109:K110)</f>
        <v>0</v>
      </c>
      <c r="L111" s="324">
        <f t="shared" si="127"/>
        <v>0</v>
      </c>
      <c r="M111" s="325">
        <f t="shared" si="127"/>
        <v>0</v>
      </c>
      <c r="N111" s="342" t="str">
        <f t="shared" si="110"/>
        <v>-</v>
      </c>
      <c r="O111" s="348" t="str">
        <f t="shared" si="97"/>
        <v>-</v>
      </c>
    </row>
    <row r="112" spans="1:15" ht="24" thickBot="1" x14ac:dyDescent="0.35">
      <c r="A112" s="277" t="s">
        <v>109</v>
      </c>
      <c r="B112" s="959" t="s">
        <v>25</v>
      </c>
      <c r="C112" s="960"/>
      <c r="D112" s="961"/>
      <c r="E112" s="329">
        <f t="shared" ref="E112:F112" si="128">+E90+E95+E98+E104+E108+E111</f>
        <v>1144800</v>
      </c>
      <c r="F112" s="330">
        <f t="shared" si="128"/>
        <v>59300</v>
      </c>
      <c r="G112" s="329">
        <f>+G90+G95+G98+G104+G108+G111</f>
        <v>240</v>
      </c>
      <c r="H112" s="327">
        <f>+H90+H95+H98+H104+H108+H111</f>
        <v>15360</v>
      </c>
      <c r="I112" s="327">
        <f t="shared" ref="I112" si="129">+I90+I95+I98+I104+I108+I111</f>
        <v>0</v>
      </c>
      <c r="J112" s="352" t="str">
        <f>IFERROR(G112/#REF!,"-")</f>
        <v>-</v>
      </c>
      <c r="K112" s="329">
        <f>+K90+K95+K98+K104+K108+K111</f>
        <v>15465</v>
      </c>
      <c r="L112" s="327">
        <f t="shared" ref="L112:M112" si="130">+L90+L95+L98+L104+L108+L111</f>
        <v>15360</v>
      </c>
      <c r="M112" s="328">
        <f t="shared" si="130"/>
        <v>105</v>
      </c>
      <c r="N112" s="344">
        <f t="shared" si="110"/>
        <v>1.3508909853249476E-2</v>
      </c>
      <c r="O112" s="352">
        <f t="shared" si="97"/>
        <v>6.7895247332686714E-3</v>
      </c>
    </row>
    <row r="113" spans="1:15" ht="24" thickBot="1" x14ac:dyDescent="0.35">
      <c r="A113" s="321" t="s">
        <v>109</v>
      </c>
      <c r="B113" s="962" t="s">
        <v>181</v>
      </c>
      <c r="C113" s="962"/>
      <c r="D113" s="963"/>
      <c r="E113" s="333">
        <f>+E112</f>
        <v>1144800</v>
      </c>
      <c r="F113" s="334">
        <f t="shared" ref="F113:O113" si="131">+F112</f>
        <v>59300</v>
      </c>
      <c r="G113" s="333">
        <f t="shared" si="131"/>
        <v>240</v>
      </c>
      <c r="H113" s="331">
        <f t="shared" si="131"/>
        <v>15360</v>
      </c>
      <c r="I113" s="331">
        <f t="shared" si="131"/>
        <v>0</v>
      </c>
      <c r="J113" s="353" t="str">
        <f t="shared" si="131"/>
        <v>-</v>
      </c>
      <c r="K113" s="333">
        <f t="shared" si="131"/>
        <v>15465</v>
      </c>
      <c r="L113" s="331">
        <f t="shared" si="131"/>
        <v>15360</v>
      </c>
      <c r="M113" s="332">
        <f t="shared" si="131"/>
        <v>105</v>
      </c>
      <c r="N113" s="345">
        <f t="shared" si="131"/>
        <v>1.3508909853249476E-2</v>
      </c>
      <c r="O113" s="353">
        <f t="shared" si="131"/>
        <v>6.7895247332686714E-3</v>
      </c>
    </row>
    <row r="114" spans="1:15" ht="24.6" thickBot="1" x14ac:dyDescent="0.35">
      <c r="A114" s="322"/>
      <c r="B114" s="964" t="s">
        <v>182</v>
      </c>
      <c r="C114" s="965"/>
      <c r="D114" s="966"/>
      <c r="E114" s="377">
        <f>+E59+E86+E113</f>
        <v>4644800</v>
      </c>
      <c r="F114" s="377">
        <f>+F59+F86+F113</f>
        <v>748300</v>
      </c>
      <c r="G114" s="377">
        <f>+G59+G86+G113</f>
        <v>293780</v>
      </c>
      <c r="H114" s="377">
        <f>+H59+H86+H113</f>
        <v>314346</v>
      </c>
      <c r="I114" s="377">
        <f>+I59+I86+I113</f>
        <v>3239</v>
      </c>
      <c r="J114" s="378" t="str">
        <f>IFERROR(G114/#REF!,"-")</f>
        <v>-</v>
      </c>
      <c r="K114" s="377">
        <f>+K59+K86+K113</f>
        <v>317690</v>
      </c>
      <c r="L114" s="377">
        <f>+L59+L86+L113</f>
        <v>314346</v>
      </c>
      <c r="M114" s="377">
        <f>+M59+M86+M113</f>
        <v>3344</v>
      </c>
      <c r="N114" s="378">
        <f>IFERROR(K114/E114,"-")</f>
        <v>6.8396916982431971E-2</v>
      </c>
      <c r="O114" s="378">
        <f>IFERROR(M114/K114,"-")</f>
        <v>1.0525984450250244E-2</v>
      </c>
    </row>
    <row r="115" spans="1:15" ht="23.4" x14ac:dyDescent="0.3">
      <c r="A115" s="991" t="s">
        <v>1</v>
      </c>
      <c r="B115" s="994" t="s">
        <v>2</v>
      </c>
      <c r="C115" s="997" t="s">
        <v>3</v>
      </c>
      <c r="D115" s="997" t="s">
        <v>93</v>
      </c>
      <c r="E115" s="1000" t="s">
        <v>4</v>
      </c>
      <c r="F115" s="1001"/>
      <c r="G115" s="1001"/>
      <c r="H115" s="1001"/>
      <c r="I115" s="1001"/>
      <c r="J115" s="1001"/>
      <c r="K115" s="1001"/>
      <c r="L115" s="1001"/>
      <c r="M115" s="1001"/>
      <c r="N115" s="1001"/>
      <c r="O115" s="1002"/>
    </row>
    <row r="116" spans="1:15" ht="23.4" x14ac:dyDescent="0.3">
      <c r="A116" s="992"/>
      <c r="B116" s="995"/>
      <c r="C116" s="998"/>
      <c r="D116" s="998"/>
      <c r="E116" s="1003" t="s">
        <v>7</v>
      </c>
      <c r="F116" s="1005" t="s">
        <v>115</v>
      </c>
      <c r="G116" s="1007" t="s">
        <v>426</v>
      </c>
      <c r="H116" s="1008"/>
      <c r="I116" s="1008"/>
      <c r="J116" s="1009"/>
      <c r="K116" s="1010" t="s">
        <v>8</v>
      </c>
      <c r="L116" s="1011"/>
      <c r="M116" s="1012"/>
      <c r="N116" s="1013" t="s">
        <v>173</v>
      </c>
      <c r="O116" s="1015" t="s">
        <v>172</v>
      </c>
    </row>
    <row r="117" spans="1:15" ht="41.4" thickBot="1" x14ac:dyDescent="0.35">
      <c r="A117" s="993"/>
      <c r="B117" s="996"/>
      <c r="C117" s="999"/>
      <c r="D117" s="999"/>
      <c r="E117" s="1004"/>
      <c r="F117" s="1006"/>
      <c r="G117" s="455" t="s">
        <v>13</v>
      </c>
      <c r="H117" s="456" t="s">
        <v>14</v>
      </c>
      <c r="I117" s="456" t="s">
        <v>15</v>
      </c>
      <c r="J117" s="457" t="s">
        <v>174</v>
      </c>
      <c r="K117" s="712" t="s">
        <v>13</v>
      </c>
      <c r="L117" s="710" t="s">
        <v>14</v>
      </c>
      <c r="M117" s="711" t="s">
        <v>15</v>
      </c>
      <c r="N117" s="1014"/>
      <c r="O117" s="1016"/>
    </row>
    <row r="118" spans="1:15" ht="23.4" x14ac:dyDescent="0.3">
      <c r="A118" s="271" t="s">
        <v>110</v>
      </c>
      <c r="B118" s="956" t="s">
        <v>16</v>
      </c>
      <c r="C118" s="272" t="s">
        <v>424</v>
      </c>
      <c r="D118" s="272" t="s">
        <v>425</v>
      </c>
      <c r="E118" s="273">
        <v>0</v>
      </c>
      <c r="F118" s="274"/>
      <c r="G118" s="335">
        <f>+H118+I118</f>
        <v>3753</v>
      </c>
      <c r="H118" s="275">
        <v>3520</v>
      </c>
      <c r="I118" s="275">
        <v>233</v>
      </c>
      <c r="J118" s="354" t="str">
        <f>IFERROR(G118/#REF!,"-")</f>
        <v>-</v>
      </c>
      <c r="K118" s="461">
        <f>+L118+M118</f>
        <v>3753</v>
      </c>
      <c r="L118" s="462">
        <f>+H118+L14</f>
        <v>3520</v>
      </c>
      <c r="M118" s="462">
        <f>+I118+M14</f>
        <v>233</v>
      </c>
      <c r="N118" s="339" t="str">
        <f>IFERROR(K118/E118,"-")</f>
        <v>-</v>
      </c>
      <c r="O118" s="346">
        <f t="shared" ref="O118:O119" si="132">IFERROR(M118/K118,"-")</f>
        <v>6.2083666400213164E-2</v>
      </c>
    </row>
    <row r="119" spans="1:15" ht="23.4" x14ac:dyDescent="0.3">
      <c r="A119" s="277" t="s">
        <v>110</v>
      </c>
      <c r="B119" s="957"/>
      <c r="C119" s="278" t="s">
        <v>188</v>
      </c>
      <c r="D119" s="278" t="s">
        <v>101</v>
      </c>
      <c r="E119" s="279">
        <v>0</v>
      </c>
      <c r="F119" s="280"/>
      <c r="G119" s="336">
        <f t="shared" ref="G119:G121" si="133">+H119+I119</f>
        <v>0</v>
      </c>
      <c r="H119" s="281">
        <v>0</v>
      </c>
      <c r="I119" s="281">
        <v>0</v>
      </c>
      <c r="J119" s="355" t="str">
        <f>IFERROR(G119/#REF!,"-")</f>
        <v>-</v>
      </c>
      <c r="K119" s="336">
        <f t="shared" ref="K119:K121" si="134">+L119+M119</f>
        <v>0</v>
      </c>
      <c r="L119" s="281">
        <f t="shared" ref="L119:M119" si="135">+H119+L15</f>
        <v>0</v>
      </c>
      <c r="M119" s="439">
        <f t="shared" si="135"/>
        <v>0</v>
      </c>
      <c r="N119" s="340" t="str">
        <f t="shared" ref="N119:N121" si="136">IFERROR(K119/E119,"-")</f>
        <v>-</v>
      </c>
      <c r="O119" s="268" t="str">
        <f t="shared" si="132"/>
        <v>-</v>
      </c>
    </row>
    <row r="120" spans="1:15" ht="23.4" x14ac:dyDescent="0.3">
      <c r="A120" s="277" t="s">
        <v>110</v>
      </c>
      <c r="B120" s="957"/>
      <c r="C120" s="278" t="s">
        <v>186</v>
      </c>
      <c r="D120" s="278" t="s">
        <v>184</v>
      </c>
      <c r="E120" s="279">
        <v>0</v>
      </c>
      <c r="F120" s="280"/>
      <c r="G120" s="336">
        <f t="shared" si="133"/>
        <v>0</v>
      </c>
      <c r="H120" s="281">
        <v>0</v>
      </c>
      <c r="I120" s="281">
        <v>0</v>
      </c>
      <c r="J120" s="355" t="str">
        <f>IFERROR(G120/#REF!,"-")</f>
        <v>-</v>
      </c>
      <c r="K120" s="336">
        <f t="shared" si="134"/>
        <v>0</v>
      </c>
      <c r="L120" s="281">
        <f t="shared" ref="L120:M120" si="137">+H120+L16</f>
        <v>0</v>
      </c>
      <c r="M120" s="439">
        <f t="shared" si="137"/>
        <v>0</v>
      </c>
      <c r="N120" s="340" t="str">
        <f t="shared" si="136"/>
        <v>-</v>
      </c>
      <c r="O120" s="268" t="str">
        <f>IFERROR(M120/K120,"-")</f>
        <v>-</v>
      </c>
    </row>
    <row r="121" spans="1:15" ht="24" thickBot="1" x14ac:dyDescent="0.35">
      <c r="A121" s="277" t="s">
        <v>110</v>
      </c>
      <c r="B121" s="958"/>
      <c r="C121" s="282" t="s">
        <v>250</v>
      </c>
      <c r="D121" s="282" t="s">
        <v>251</v>
      </c>
      <c r="E121" s="283">
        <v>0</v>
      </c>
      <c r="F121" s="284"/>
      <c r="G121" s="337">
        <f t="shared" si="133"/>
        <v>0</v>
      </c>
      <c r="H121" s="285">
        <v>0</v>
      </c>
      <c r="I121" s="285">
        <v>0</v>
      </c>
      <c r="J121" s="356" t="str">
        <f>IFERROR(G121/#REF!,"-")</f>
        <v>-</v>
      </c>
      <c r="K121" s="464">
        <f t="shared" si="134"/>
        <v>0</v>
      </c>
      <c r="L121" s="465">
        <f t="shared" ref="L121:M121" si="138">+H121+L17</f>
        <v>0</v>
      </c>
      <c r="M121" s="466">
        <f t="shared" si="138"/>
        <v>0</v>
      </c>
      <c r="N121" s="341" t="str">
        <f t="shared" si="136"/>
        <v>-</v>
      </c>
      <c r="O121" s="347" t="str">
        <f t="shared" ref="O121:O139" si="139">IFERROR(M121/K121,"-")</f>
        <v>-</v>
      </c>
    </row>
    <row r="122" spans="1:15" ht="24" thickBot="1" x14ac:dyDescent="0.35">
      <c r="A122" s="277" t="s">
        <v>110</v>
      </c>
      <c r="B122" s="967" t="s">
        <v>47</v>
      </c>
      <c r="C122" s="968"/>
      <c r="D122" s="969"/>
      <c r="E122" s="323">
        <v>0</v>
      </c>
      <c r="F122" s="288">
        <v>15000</v>
      </c>
      <c r="G122" s="323">
        <f>SUM(G118:G121)</f>
        <v>3753</v>
      </c>
      <c r="H122" s="324">
        <f t="shared" ref="H122:I122" si="140">SUM(H118:H121)</f>
        <v>3520</v>
      </c>
      <c r="I122" s="324">
        <f t="shared" si="140"/>
        <v>233</v>
      </c>
      <c r="J122" s="348" t="str">
        <f>IFERROR(G122/#REF!,"-")</f>
        <v>-</v>
      </c>
      <c r="K122" s="323">
        <f t="shared" ref="K122:M122" si="141">SUM(K118:K121)</f>
        <v>3753</v>
      </c>
      <c r="L122" s="324">
        <f t="shared" si="141"/>
        <v>3520</v>
      </c>
      <c r="M122" s="325">
        <f t="shared" si="141"/>
        <v>233</v>
      </c>
      <c r="N122" s="342" t="str">
        <f>IFERROR(K122/E122,"-")</f>
        <v>-</v>
      </c>
      <c r="O122" s="348">
        <f t="shared" si="139"/>
        <v>6.2083666400213164E-2</v>
      </c>
    </row>
    <row r="123" spans="1:15" ht="23.4" x14ac:dyDescent="0.3">
      <c r="A123" s="277" t="s">
        <v>110</v>
      </c>
      <c r="B123" s="956" t="s">
        <v>17</v>
      </c>
      <c r="C123" s="272" t="s">
        <v>320</v>
      </c>
      <c r="D123" s="272"/>
      <c r="E123" s="273">
        <v>0</v>
      </c>
      <c r="F123" s="274"/>
      <c r="G123" s="335">
        <f t="shared" ref="G123:G129" si="142">+H123+I123</f>
        <v>0</v>
      </c>
      <c r="H123" s="275">
        <v>0</v>
      </c>
      <c r="I123" s="275">
        <v>0</v>
      </c>
      <c r="J123" s="354" t="str">
        <f>IFERROR(G123/#REF!,"-")</f>
        <v>-</v>
      </c>
      <c r="K123" s="461">
        <f t="shared" ref="K123:K129" si="143">+L123+M123</f>
        <v>0</v>
      </c>
      <c r="L123" s="462">
        <f t="shared" ref="L123:M123" si="144">+H123+L19</f>
        <v>0</v>
      </c>
      <c r="M123" s="463">
        <f t="shared" si="144"/>
        <v>0</v>
      </c>
      <c r="N123" s="339" t="str">
        <f t="shared" ref="N123:N129" si="145">IFERROR(K123/E123,"-")</f>
        <v>-</v>
      </c>
      <c r="O123" s="349" t="str">
        <f t="shared" si="139"/>
        <v>-</v>
      </c>
    </row>
    <row r="124" spans="1:15" ht="23.4" x14ac:dyDescent="0.3">
      <c r="A124" s="277" t="s">
        <v>110</v>
      </c>
      <c r="B124" s="957"/>
      <c r="C124" s="278" t="s">
        <v>382</v>
      </c>
      <c r="D124" s="278" t="s">
        <v>252</v>
      </c>
      <c r="E124" s="279">
        <v>0</v>
      </c>
      <c r="F124" s="280"/>
      <c r="G124" s="336">
        <f t="shared" si="142"/>
        <v>0</v>
      </c>
      <c r="H124" s="281">
        <v>0</v>
      </c>
      <c r="I124" s="281">
        <v>0</v>
      </c>
      <c r="J124" s="355" t="str">
        <f>IFERROR(G124/#REF!,"-")</f>
        <v>-</v>
      </c>
      <c r="K124" s="336">
        <f t="shared" si="143"/>
        <v>6120</v>
      </c>
      <c r="L124" s="281">
        <f t="shared" ref="L124:M124" si="146">+H124+L20</f>
        <v>6120</v>
      </c>
      <c r="M124" s="439">
        <f t="shared" si="146"/>
        <v>0</v>
      </c>
      <c r="N124" s="340" t="str">
        <f t="shared" si="145"/>
        <v>-</v>
      </c>
      <c r="O124" s="264">
        <f t="shared" si="139"/>
        <v>0</v>
      </c>
    </row>
    <row r="125" spans="1:15" ht="23.4" x14ac:dyDescent="0.3">
      <c r="A125" s="277" t="s">
        <v>110</v>
      </c>
      <c r="B125" s="957"/>
      <c r="C125" s="278" t="s">
        <v>422</v>
      </c>
      <c r="D125" s="278" t="s">
        <v>201</v>
      </c>
      <c r="E125" s="279">
        <v>0</v>
      </c>
      <c r="F125" s="280"/>
      <c r="G125" s="336">
        <f t="shared" si="142"/>
        <v>159526</v>
      </c>
      <c r="H125" s="281">
        <f>67320+91800</f>
        <v>159120</v>
      </c>
      <c r="I125" s="281">
        <f>156+250</f>
        <v>406</v>
      </c>
      <c r="J125" s="355" t="str">
        <f>IFERROR(G125/#REF!,"-")</f>
        <v>-</v>
      </c>
      <c r="K125" s="336">
        <f t="shared" si="143"/>
        <v>294959</v>
      </c>
      <c r="L125" s="281">
        <f t="shared" ref="L125:M125" si="147">+H125+L21</f>
        <v>293760</v>
      </c>
      <c r="M125" s="439">
        <f t="shared" si="147"/>
        <v>1199</v>
      </c>
      <c r="N125" s="340" t="str">
        <f t="shared" si="145"/>
        <v>-</v>
      </c>
      <c r="O125" s="264">
        <f t="shared" si="139"/>
        <v>4.0649717418353055E-3</v>
      </c>
    </row>
    <row r="126" spans="1:15" ht="23.4" x14ac:dyDescent="0.3">
      <c r="A126" s="277" t="s">
        <v>110</v>
      </c>
      <c r="B126" s="957"/>
      <c r="C126" s="278" t="s">
        <v>319</v>
      </c>
      <c r="D126" s="278" t="s">
        <v>202</v>
      </c>
      <c r="E126" s="279">
        <v>0</v>
      </c>
      <c r="F126" s="280"/>
      <c r="G126" s="336">
        <f t="shared" si="142"/>
        <v>0</v>
      </c>
      <c r="H126" s="281">
        <v>0</v>
      </c>
      <c r="I126" s="281">
        <v>0</v>
      </c>
      <c r="J126" s="355" t="str">
        <f>IFERROR(G126/#REF!,"-")</f>
        <v>-</v>
      </c>
      <c r="K126" s="336">
        <f t="shared" si="143"/>
        <v>0</v>
      </c>
      <c r="L126" s="281">
        <f t="shared" ref="L126:M126" si="148">+H126+L22</f>
        <v>0</v>
      </c>
      <c r="M126" s="439">
        <f t="shared" si="148"/>
        <v>0</v>
      </c>
      <c r="N126" s="340" t="str">
        <f t="shared" si="145"/>
        <v>-</v>
      </c>
      <c r="O126" s="264" t="str">
        <f t="shared" si="139"/>
        <v>-</v>
      </c>
    </row>
    <row r="127" spans="1:15" ht="23.4" x14ac:dyDescent="0.3">
      <c r="A127" s="277" t="s">
        <v>110</v>
      </c>
      <c r="B127" s="957"/>
      <c r="C127" s="278" t="s">
        <v>358</v>
      </c>
      <c r="D127" s="278" t="s">
        <v>352</v>
      </c>
      <c r="E127" s="279">
        <v>0</v>
      </c>
      <c r="F127" s="280"/>
      <c r="G127" s="336">
        <f t="shared" si="142"/>
        <v>0</v>
      </c>
      <c r="H127" s="281">
        <v>0</v>
      </c>
      <c r="I127" s="281">
        <v>0</v>
      </c>
      <c r="J127" s="355" t="str">
        <f>IFERROR(G127/#REF!,"-")</f>
        <v>-</v>
      </c>
      <c r="K127" s="336">
        <f t="shared" si="143"/>
        <v>0</v>
      </c>
      <c r="L127" s="281">
        <f t="shared" ref="L127:M127" si="149">+H127+L23</f>
        <v>0</v>
      </c>
      <c r="M127" s="439">
        <f t="shared" si="149"/>
        <v>0</v>
      </c>
      <c r="N127" s="340" t="str">
        <f t="shared" si="145"/>
        <v>-</v>
      </c>
      <c r="O127" s="264" t="str">
        <f t="shared" si="139"/>
        <v>-</v>
      </c>
    </row>
    <row r="128" spans="1:15" ht="23.4" x14ac:dyDescent="0.3">
      <c r="A128" s="277" t="s">
        <v>110</v>
      </c>
      <c r="B128" s="957"/>
      <c r="C128" s="278" t="s">
        <v>392</v>
      </c>
      <c r="D128" s="278" t="s">
        <v>203</v>
      </c>
      <c r="E128" s="279">
        <v>0</v>
      </c>
      <c r="F128" s="280"/>
      <c r="G128" s="336">
        <f t="shared" si="142"/>
        <v>0</v>
      </c>
      <c r="H128" s="281">
        <v>0</v>
      </c>
      <c r="I128" s="281">
        <v>0</v>
      </c>
      <c r="J128" s="355" t="str">
        <f>IFERROR(G128/#REF!,"-")</f>
        <v>-</v>
      </c>
      <c r="K128" s="336">
        <f t="shared" si="143"/>
        <v>0</v>
      </c>
      <c r="L128" s="281">
        <f t="shared" ref="L128:M128" si="150">+H128+L24</f>
        <v>0</v>
      </c>
      <c r="M128" s="439">
        <f t="shared" si="150"/>
        <v>0</v>
      </c>
      <c r="N128" s="340" t="str">
        <f t="shared" si="145"/>
        <v>-</v>
      </c>
      <c r="O128" s="264" t="str">
        <f t="shared" si="139"/>
        <v>-</v>
      </c>
    </row>
    <row r="129" spans="1:15" ht="24" thickBot="1" x14ac:dyDescent="0.35">
      <c r="A129" s="277" t="s">
        <v>110</v>
      </c>
      <c r="B129" s="958"/>
      <c r="C129" s="282" t="s">
        <v>379</v>
      </c>
      <c r="D129" s="282" t="s">
        <v>252</v>
      </c>
      <c r="E129" s="283">
        <v>0</v>
      </c>
      <c r="F129" s="284"/>
      <c r="G129" s="337">
        <f t="shared" si="142"/>
        <v>0</v>
      </c>
      <c r="H129" s="285">
        <v>0</v>
      </c>
      <c r="I129" s="285">
        <v>0</v>
      </c>
      <c r="J129" s="356" t="str">
        <f>IFERROR(G129/#REF!,"-")</f>
        <v>-</v>
      </c>
      <c r="K129" s="464">
        <f t="shared" si="143"/>
        <v>0</v>
      </c>
      <c r="L129" s="674">
        <f t="shared" ref="L129:M129" si="151">+H129+L25</f>
        <v>0</v>
      </c>
      <c r="M129" s="713">
        <f t="shared" si="151"/>
        <v>0</v>
      </c>
      <c r="N129" s="341" t="str">
        <f t="shared" si="145"/>
        <v>-</v>
      </c>
      <c r="O129" s="350" t="str">
        <f t="shared" si="139"/>
        <v>-</v>
      </c>
    </row>
    <row r="130" spans="1:15" ht="24" thickBot="1" x14ac:dyDescent="0.35">
      <c r="A130" s="277" t="s">
        <v>110</v>
      </c>
      <c r="B130" s="967" t="s">
        <v>48</v>
      </c>
      <c r="C130" s="968"/>
      <c r="D130" s="969"/>
      <c r="E130" s="323">
        <v>0</v>
      </c>
      <c r="F130" s="288">
        <v>100000</v>
      </c>
      <c r="G130" s="323">
        <f>SUM(G123:G129)</f>
        <v>159526</v>
      </c>
      <c r="H130" s="324">
        <f t="shared" ref="H130:I130" si="152">SUM(H123:H129)</f>
        <v>159120</v>
      </c>
      <c r="I130" s="324">
        <f t="shared" si="152"/>
        <v>406</v>
      </c>
      <c r="J130" s="348" t="str">
        <f>IFERROR(G130/#REF!,"-")</f>
        <v>-</v>
      </c>
      <c r="K130" s="323">
        <f>SUM(K123:K129)</f>
        <v>301079</v>
      </c>
      <c r="L130" s="324">
        <f>SUM(L123:L129)</f>
        <v>299880</v>
      </c>
      <c r="M130" s="325">
        <f t="shared" ref="M130" si="153">SUM(M123:M129)</f>
        <v>1199</v>
      </c>
      <c r="N130" s="342" t="str">
        <f>IFERROR(K130/E130,"-")</f>
        <v>-</v>
      </c>
      <c r="O130" s="348">
        <f t="shared" si="139"/>
        <v>3.9823435045287115E-3</v>
      </c>
    </row>
    <row r="131" spans="1:15" ht="23.4" x14ac:dyDescent="0.3">
      <c r="A131" s="277" t="s">
        <v>110</v>
      </c>
      <c r="B131" s="956" t="s">
        <v>18</v>
      </c>
      <c r="C131" s="272" t="s">
        <v>344</v>
      </c>
      <c r="D131" s="272" t="s">
        <v>99</v>
      </c>
      <c r="E131" s="273">
        <v>0</v>
      </c>
      <c r="F131" s="274"/>
      <c r="G131" s="335">
        <f t="shared" ref="G131:G137" si="154">+H131+I131</f>
        <v>0</v>
      </c>
      <c r="H131" s="275">
        <v>0</v>
      </c>
      <c r="I131" s="275">
        <v>0</v>
      </c>
      <c r="J131" s="354" t="str">
        <f>IFERROR(G131/#REF!,"-")</f>
        <v>-</v>
      </c>
      <c r="K131" s="335">
        <f t="shared" ref="K131:K137" si="155">+L131+M131</f>
        <v>0</v>
      </c>
      <c r="L131" s="275">
        <f t="shared" ref="L131:M131" si="156">+H131+L27</f>
        <v>0</v>
      </c>
      <c r="M131" s="276">
        <f t="shared" si="156"/>
        <v>0</v>
      </c>
      <c r="N131" s="339" t="str">
        <f t="shared" ref="N131:N138" si="157">IFERROR(K131/E131,"-")</f>
        <v>-</v>
      </c>
      <c r="O131" s="349" t="str">
        <f t="shared" si="139"/>
        <v>-</v>
      </c>
    </row>
    <row r="132" spans="1:15" ht="23.4" x14ac:dyDescent="0.3">
      <c r="A132" s="277" t="s">
        <v>110</v>
      </c>
      <c r="B132" s="957"/>
      <c r="C132" s="278" t="s">
        <v>253</v>
      </c>
      <c r="D132" s="278" t="s">
        <v>254</v>
      </c>
      <c r="E132" s="279">
        <v>0</v>
      </c>
      <c r="F132" s="280"/>
      <c r="G132" s="336">
        <f t="shared" si="154"/>
        <v>0</v>
      </c>
      <c r="H132" s="281">
        <v>0</v>
      </c>
      <c r="I132" s="281">
        <v>0</v>
      </c>
      <c r="J132" s="355" t="str">
        <f>IFERROR(G132/#REF!,"-")</f>
        <v>-</v>
      </c>
      <c r="K132" s="336">
        <f t="shared" si="155"/>
        <v>0</v>
      </c>
      <c r="L132" s="275">
        <f t="shared" ref="L132:M132" si="158">+H132+L28</f>
        <v>0</v>
      </c>
      <c r="M132" s="276">
        <f t="shared" si="158"/>
        <v>0</v>
      </c>
      <c r="N132" s="340" t="str">
        <f t="shared" si="157"/>
        <v>-</v>
      </c>
      <c r="O132" s="264" t="str">
        <f t="shared" si="139"/>
        <v>-</v>
      </c>
    </row>
    <row r="133" spans="1:15" ht="23.4" x14ac:dyDescent="0.3">
      <c r="A133" s="277" t="s">
        <v>110</v>
      </c>
      <c r="B133" s="957"/>
      <c r="C133" s="278" t="s">
        <v>122</v>
      </c>
      <c r="D133" s="278"/>
      <c r="E133" s="279">
        <v>0</v>
      </c>
      <c r="F133" s="280"/>
      <c r="G133" s="336">
        <f t="shared" si="154"/>
        <v>0</v>
      </c>
      <c r="H133" s="281">
        <v>0</v>
      </c>
      <c r="I133" s="281">
        <v>0</v>
      </c>
      <c r="J133" s="355" t="str">
        <f>IFERROR(G133/#REF!,"-")</f>
        <v>-</v>
      </c>
      <c r="K133" s="336">
        <f t="shared" si="155"/>
        <v>0</v>
      </c>
      <c r="L133" s="275">
        <f t="shared" ref="L133:M133" si="159">+H133+L29</f>
        <v>0</v>
      </c>
      <c r="M133" s="276">
        <f t="shared" si="159"/>
        <v>0</v>
      </c>
      <c r="N133" s="340" t="str">
        <f t="shared" si="157"/>
        <v>-</v>
      </c>
      <c r="O133" s="264" t="str">
        <f t="shared" si="139"/>
        <v>-</v>
      </c>
    </row>
    <row r="134" spans="1:15" ht="23.4" x14ac:dyDescent="0.3">
      <c r="A134" s="277" t="s">
        <v>110</v>
      </c>
      <c r="B134" s="957"/>
      <c r="C134" s="278" t="s">
        <v>129</v>
      </c>
      <c r="D134" s="278"/>
      <c r="E134" s="279">
        <v>0</v>
      </c>
      <c r="F134" s="280"/>
      <c r="G134" s="336">
        <f t="shared" si="154"/>
        <v>0</v>
      </c>
      <c r="H134" s="281">
        <v>0</v>
      </c>
      <c r="I134" s="281">
        <v>0</v>
      </c>
      <c r="J134" s="355" t="str">
        <f>IFERROR(G134/#REF!,"-")</f>
        <v>-</v>
      </c>
      <c r="K134" s="336">
        <f t="shared" si="155"/>
        <v>0</v>
      </c>
      <c r="L134" s="275">
        <f t="shared" ref="L134:M134" si="160">+H134+L30</f>
        <v>0</v>
      </c>
      <c r="M134" s="276">
        <f t="shared" si="160"/>
        <v>0</v>
      </c>
      <c r="N134" s="340" t="str">
        <f t="shared" si="157"/>
        <v>-</v>
      </c>
      <c r="O134" s="264" t="str">
        <f t="shared" si="139"/>
        <v>-</v>
      </c>
    </row>
    <row r="135" spans="1:15" ht="23.4" x14ac:dyDescent="0.3">
      <c r="A135" s="277" t="s">
        <v>110</v>
      </c>
      <c r="B135" s="957"/>
      <c r="C135" s="278" t="s">
        <v>189</v>
      </c>
      <c r="D135" s="278" t="s">
        <v>190</v>
      </c>
      <c r="E135" s="279">
        <v>0</v>
      </c>
      <c r="F135" s="280"/>
      <c r="G135" s="336">
        <f t="shared" si="154"/>
        <v>0</v>
      </c>
      <c r="H135" s="281">
        <v>0</v>
      </c>
      <c r="I135" s="281">
        <v>0</v>
      </c>
      <c r="J135" s="355" t="str">
        <f>IFERROR(G135/#REF!,"-")</f>
        <v>-</v>
      </c>
      <c r="K135" s="336">
        <f t="shared" si="155"/>
        <v>0</v>
      </c>
      <c r="L135" s="275">
        <f t="shared" ref="L135:M135" si="161">+H135+L31</f>
        <v>0</v>
      </c>
      <c r="M135" s="276">
        <f t="shared" si="161"/>
        <v>0</v>
      </c>
      <c r="N135" s="340" t="str">
        <f t="shared" si="157"/>
        <v>-</v>
      </c>
      <c r="O135" s="264" t="str">
        <f t="shared" si="139"/>
        <v>-</v>
      </c>
    </row>
    <row r="136" spans="1:15" ht="23.4" x14ac:dyDescent="0.3">
      <c r="A136" s="277" t="s">
        <v>110</v>
      </c>
      <c r="B136" s="957"/>
      <c r="C136" s="278" t="s">
        <v>192</v>
      </c>
      <c r="D136" s="278" t="s">
        <v>191</v>
      </c>
      <c r="E136" s="279">
        <v>0</v>
      </c>
      <c r="F136" s="280"/>
      <c r="G136" s="336">
        <f t="shared" si="154"/>
        <v>0</v>
      </c>
      <c r="H136" s="281">
        <v>0</v>
      </c>
      <c r="I136" s="281">
        <v>0</v>
      </c>
      <c r="J136" s="355" t="str">
        <f>IFERROR(G136/#REF!,"-")</f>
        <v>-</v>
      </c>
      <c r="K136" s="336">
        <f t="shared" si="155"/>
        <v>0</v>
      </c>
      <c r="L136" s="275">
        <f t="shared" ref="L136:M136" si="162">+H136+L32</f>
        <v>0</v>
      </c>
      <c r="M136" s="276">
        <f t="shared" si="162"/>
        <v>0</v>
      </c>
      <c r="N136" s="340" t="str">
        <f t="shared" si="157"/>
        <v>-</v>
      </c>
      <c r="O136" s="264" t="str">
        <f t="shared" si="139"/>
        <v>-</v>
      </c>
    </row>
    <row r="137" spans="1:15" ht="24" thickBot="1" x14ac:dyDescent="0.35">
      <c r="A137" s="277" t="s">
        <v>110</v>
      </c>
      <c r="B137" s="958"/>
      <c r="C137" s="289" t="s">
        <v>193</v>
      </c>
      <c r="D137" s="289" t="s">
        <v>114</v>
      </c>
      <c r="E137" s="283">
        <v>0</v>
      </c>
      <c r="F137" s="284"/>
      <c r="G137" s="337">
        <f t="shared" si="154"/>
        <v>0</v>
      </c>
      <c r="H137" s="285">
        <v>0</v>
      </c>
      <c r="I137" s="285">
        <v>0</v>
      </c>
      <c r="J137" s="356" t="str">
        <f>IFERROR(G137/#REF!,"-")</f>
        <v>-</v>
      </c>
      <c r="K137" s="337">
        <f t="shared" si="155"/>
        <v>0</v>
      </c>
      <c r="L137" s="275">
        <f t="shared" ref="L137:M137" si="163">+H137+L33</f>
        <v>0</v>
      </c>
      <c r="M137" s="276">
        <f t="shared" si="163"/>
        <v>0</v>
      </c>
      <c r="N137" s="341" t="str">
        <f t="shared" si="157"/>
        <v>-</v>
      </c>
      <c r="O137" s="350" t="str">
        <f t="shared" si="139"/>
        <v>-</v>
      </c>
    </row>
    <row r="138" spans="1:15" ht="24" thickBot="1" x14ac:dyDescent="0.35">
      <c r="A138" s="277" t="s">
        <v>110</v>
      </c>
      <c r="B138" s="967" t="s">
        <v>29</v>
      </c>
      <c r="C138" s="968"/>
      <c r="D138" s="969"/>
      <c r="E138" s="323">
        <f t="shared" ref="E138" si="164">SUM(E131:E137)</f>
        <v>0</v>
      </c>
      <c r="F138" s="288">
        <v>80000</v>
      </c>
      <c r="G138" s="323">
        <f>SUM(G131:G137)</f>
        <v>0</v>
      </c>
      <c r="H138" s="324">
        <f t="shared" ref="H138:I138" si="165">SUM(H131:H137)</f>
        <v>0</v>
      </c>
      <c r="I138" s="324">
        <f t="shared" si="165"/>
        <v>0</v>
      </c>
      <c r="J138" s="348" t="str">
        <f>IFERROR(G138/#REF!,"-")</f>
        <v>-</v>
      </c>
      <c r="K138" s="323">
        <f t="shared" ref="K138:M138" si="166">SUM(K131:K137)</f>
        <v>0</v>
      </c>
      <c r="L138" s="324">
        <f t="shared" si="166"/>
        <v>0</v>
      </c>
      <c r="M138" s="325">
        <f t="shared" si="166"/>
        <v>0</v>
      </c>
      <c r="N138" s="342" t="str">
        <f t="shared" si="157"/>
        <v>-</v>
      </c>
      <c r="O138" s="348" t="str">
        <f t="shared" si="139"/>
        <v>-</v>
      </c>
    </row>
    <row r="139" spans="1:15" ht="24" thickBot="1" x14ac:dyDescent="0.35">
      <c r="A139" s="252" t="s">
        <v>110</v>
      </c>
      <c r="B139" s="985" t="s">
        <v>19</v>
      </c>
      <c r="C139" s="653" t="s">
        <v>255</v>
      </c>
      <c r="D139" s="690" t="s">
        <v>190</v>
      </c>
      <c r="E139" s="695">
        <v>0</v>
      </c>
      <c r="F139" s="692">
        <v>110000</v>
      </c>
      <c r="G139" s="656">
        <f t="shared" ref="G139:G141" si="167">+H139+I139</f>
        <v>0</v>
      </c>
      <c r="H139" s="462">
        <v>0</v>
      </c>
      <c r="I139" s="462">
        <v>0</v>
      </c>
      <c r="J139" s="536" t="str">
        <f>IFERROR(G139/#REF!,"-")</f>
        <v>-</v>
      </c>
      <c r="K139" s="461">
        <f>+L139+M139</f>
        <v>0</v>
      </c>
      <c r="L139" s="462">
        <f t="shared" ref="L139:M139" si="168">+H139+L35</f>
        <v>0</v>
      </c>
      <c r="M139" s="463">
        <f t="shared" si="168"/>
        <v>0</v>
      </c>
      <c r="N139" s="658" t="str">
        <f>IFERROR(K139/E139,"-")</f>
        <v>-</v>
      </c>
      <c r="O139" s="659" t="str">
        <f t="shared" si="139"/>
        <v>-</v>
      </c>
    </row>
    <row r="140" spans="1:15" ht="24" thickBot="1" x14ac:dyDescent="0.35">
      <c r="A140" s="252"/>
      <c r="B140" s="986"/>
      <c r="C140" s="299" t="s">
        <v>399</v>
      </c>
      <c r="D140" s="657" t="s">
        <v>421</v>
      </c>
      <c r="E140" s="696">
        <v>0</v>
      </c>
      <c r="F140" s="693">
        <v>110000</v>
      </c>
      <c r="G140" s="652">
        <f t="shared" si="167"/>
        <v>0</v>
      </c>
      <c r="H140" s="275">
        <v>0</v>
      </c>
      <c r="I140" s="275">
        <v>0</v>
      </c>
      <c r="J140" s="354" t="str">
        <f>IFERROR(G140/#REF!,"-")</f>
        <v>-</v>
      </c>
      <c r="K140" s="338">
        <f>+L140+M140</f>
        <v>8685</v>
      </c>
      <c r="L140" s="462">
        <f t="shared" ref="L140:M140" si="169">+H140+L36</f>
        <v>8448</v>
      </c>
      <c r="M140" s="463">
        <f t="shared" si="169"/>
        <v>237</v>
      </c>
      <c r="N140" s="343" t="str">
        <f t="shared" ref="N140:N141" si="170">IFERROR(K140/E140,"-")</f>
        <v>-</v>
      </c>
      <c r="O140" s="651">
        <f>IFERROR(M140/K140,"-")</f>
        <v>2.7288428324697755E-2</v>
      </c>
    </row>
    <row r="141" spans="1:15" ht="24" thickBot="1" x14ac:dyDescent="0.35">
      <c r="A141" s="252"/>
      <c r="B141" s="987"/>
      <c r="C141" s="647" t="s">
        <v>380</v>
      </c>
      <c r="D141" s="691"/>
      <c r="E141" s="697">
        <v>0</v>
      </c>
      <c r="F141" s="694">
        <v>110000</v>
      </c>
      <c r="G141" s="599">
        <f t="shared" si="167"/>
        <v>0</v>
      </c>
      <c r="H141" s="285">
        <v>0</v>
      </c>
      <c r="I141" s="285">
        <v>0</v>
      </c>
      <c r="J141" s="356"/>
      <c r="K141" s="464">
        <f>+L141+M141</f>
        <v>0</v>
      </c>
      <c r="L141" s="462">
        <f t="shared" ref="L141:M141" si="171">+H141+L37</f>
        <v>0</v>
      </c>
      <c r="M141" s="463">
        <f t="shared" si="171"/>
        <v>0</v>
      </c>
      <c r="N141" s="341" t="str">
        <f t="shared" si="170"/>
        <v>-</v>
      </c>
      <c r="O141" s="648" t="str">
        <f t="shared" ref="O141:O189" si="172">IFERROR(M141/K141,"-")</f>
        <v>-</v>
      </c>
    </row>
    <row r="142" spans="1:15" ht="24" thickBot="1" x14ac:dyDescent="0.35">
      <c r="A142" s="277" t="s">
        <v>110</v>
      </c>
      <c r="B142" s="988" t="s">
        <v>49</v>
      </c>
      <c r="C142" s="968"/>
      <c r="D142" s="969"/>
      <c r="E142" s="323">
        <f>SUM(E139:E141)</f>
        <v>0</v>
      </c>
      <c r="F142" s="326">
        <f t="shared" ref="F142" si="173">SUM(F139)</f>
        <v>110000</v>
      </c>
      <c r="G142" s="323">
        <f>SUM(G139)</f>
        <v>0</v>
      </c>
      <c r="H142" s="324">
        <f>SUM(H139:H141)</f>
        <v>0</v>
      </c>
      <c r="I142" s="324">
        <f>SUM(I139:I141)</f>
        <v>0</v>
      </c>
      <c r="J142" s="348" t="str">
        <f>IFERROR(G142/#REF!,"-")</f>
        <v>-</v>
      </c>
      <c r="K142" s="649">
        <f>SUM(K139:K140)</f>
        <v>8685</v>
      </c>
      <c r="L142" s="324">
        <f>SUM(L139:L140)</f>
        <v>8448</v>
      </c>
      <c r="M142" s="325">
        <f>SUM(M139:M140)</f>
        <v>237</v>
      </c>
      <c r="N142" s="342" t="str">
        <f>IFERROR(K142/E142,"-")</f>
        <v>-</v>
      </c>
      <c r="O142" s="348">
        <f t="shared" si="172"/>
        <v>2.7288428324697755E-2</v>
      </c>
    </row>
    <row r="143" spans="1:15" ht="23.4" x14ac:dyDescent="0.3">
      <c r="A143" s="277" t="s">
        <v>110</v>
      </c>
      <c r="B143" s="956" t="s">
        <v>20</v>
      </c>
      <c r="C143" s="294" t="s">
        <v>351</v>
      </c>
      <c r="D143" s="294" t="s">
        <v>313</v>
      </c>
      <c r="E143" s="273">
        <v>0</v>
      </c>
      <c r="F143" s="274"/>
      <c r="G143" s="335">
        <f t="shared" ref="G143:G145" si="174">+H143+I143</f>
        <v>0</v>
      </c>
      <c r="H143" s="275">
        <v>0</v>
      </c>
      <c r="I143" s="275">
        <v>0</v>
      </c>
      <c r="J143" s="354" t="str">
        <f>IFERROR(G143/#REF!,"-")</f>
        <v>-</v>
      </c>
      <c r="K143" s="335">
        <f t="shared" ref="K143:K145" si="175">+L143+M143</f>
        <v>0</v>
      </c>
      <c r="L143" s="275">
        <f t="shared" ref="L143:M143" si="176">+H143+L39</f>
        <v>0</v>
      </c>
      <c r="M143" s="276">
        <f t="shared" si="176"/>
        <v>0</v>
      </c>
      <c r="N143" s="339" t="str">
        <f t="shared" ref="N143:N146" si="177">IFERROR(K143/E143,"-")</f>
        <v>-</v>
      </c>
      <c r="O143" s="349" t="str">
        <f t="shared" si="172"/>
        <v>-</v>
      </c>
    </row>
    <row r="144" spans="1:15" ht="23.4" x14ac:dyDescent="0.3">
      <c r="A144" s="277" t="s">
        <v>110</v>
      </c>
      <c r="B144" s="957"/>
      <c r="C144" s="295" t="s">
        <v>121</v>
      </c>
      <c r="D144" s="295"/>
      <c r="E144" s="279">
        <v>0</v>
      </c>
      <c r="F144" s="280"/>
      <c r="G144" s="336">
        <f t="shared" si="174"/>
        <v>0</v>
      </c>
      <c r="H144" s="281">
        <v>0</v>
      </c>
      <c r="I144" s="281">
        <v>0</v>
      </c>
      <c r="J144" s="355" t="str">
        <f>IFERROR(G144/#REF!,"-")</f>
        <v>-</v>
      </c>
      <c r="K144" s="336">
        <f t="shared" si="175"/>
        <v>0</v>
      </c>
      <c r="L144" s="275">
        <f t="shared" ref="L144:M144" si="178">+H144+L40</f>
        <v>0</v>
      </c>
      <c r="M144" s="276">
        <f t="shared" si="178"/>
        <v>0</v>
      </c>
      <c r="N144" s="340" t="str">
        <f t="shared" si="177"/>
        <v>-</v>
      </c>
      <c r="O144" s="264" t="str">
        <f t="shared" si="172"/>
        <v>-</v>
      </c>
    </row>
    <row r="145" spans="1:15" ht="24" thickBot="1" x14ac:dyDescent="0.35">
      <c r="A145" s="277" t="s">
        <v>110</v>
      </c>
      <c r="B145" s="958"/>
      <c r="C145" s="296" t="s">
        <v>127</v>
      </c>
      <c r="D145" s="296"/>
      <c r="E145" s="283">
        <v>0</v>
      </c>
      <c r="F145" s="284"/>
      <c r="G145" s="337">
        <f t="shared" si="174"/>
        <v>0</v>
      </c>
      <c r="H145" s="285">
        <v>0</v>
      </c>
      <c r="I145" s="285">
        <v>0</v>
      </c>
      <c r="J145" s="356" t="str">
        <f>IFERROR(G145/#REF!,"-")</f>
        <v>-</v>
      </c>
      <c r="K145" s="337">
        <f t="shared" si="175"/>
        <v>0</v>
      </c>
      <c r="L145" s="275">
        <f t="shared" ref="L145:M145" si="179">+H145+L41</f>
        <v>0</v>
      </c>
      <c r="M145" s="276">
        <f t="shared" si="179"/>
        <v>0</v>
      </c>
      <c r="N145" s="341" t="str">
        <f t="shared" si="177"/>
        <v>-</v>
      </c>
      <c r="O145" s="350" t="str">
        <f t="shared" si="172"/>
        <v>-</v>
      </c>
    </row>
    <row r="146" spans="1:15" ht="24" thickBot="1" x14ac:dyDescent="0.35">
      <c r="A146" s="277" t="s">
        <v>110</v>
      </c>
      <c r="B146" s="968" t="s">
        <v>50</v>
      </c>
      <c r="C146" s="968"/>
      <c r="D146" s="989"/>
      <c r="E146" s="323">
        <f t="shared" ref="E146" si="180">SUM(E143:E145)</f>
        <v>0</v>
      </c>
      <c r="F146" s="288">
        <v>50000</v>
      </c>
      <c r="G146" s="323">
        <f>SUM(G143:G145)</f>
        <v>0</v>
      </c>
      <c r="H146" s="324">
        <f t="shared" ref="H146:I146" si="181">SUM(H143:H145)</f>
        <v>0</v>
      </c>
      <c r="I146" s="324">
        <f t="shared" si="181"/>
        <v>0</v>
      </c>
      <c r="J146" s="348" t="str">
        <f>IFERROR(G146/#REF!,"-")</f>
        <v>-</v>
      </c>
      <c r="K146" s="323">
        <f t="shared" ref="K146:M146" si="182">SUM(K143:K145)</f>
        <v>0</v>
      </c>
      <c r="L146" s="324">
        <f t="shared" si="182"/>
        <v>0</v>
      </c>
      <c r="M146" s="325">
        <f t="shared" si="182"/>
        <v>0</v>
      </c>
      <c r="N146" s="342" t="str">
        <f t="shared" si="177"/>
        <v>-</v>
      </c>
      <c r="O146" s="348" t="str">
        <f t="shared" si="172"/>
        <v>-</v>
      </c>
    </row>
    <row r="147" spans="1:15" ht="24" thickBot="1" x14ac:dyDescent="0.35">
      <c r="A147" s="277" t="s">
        <v>110</v>
      </c>
      <c r="B147" s="981" t="s">
        <v>21</v>
      </c>
      <c r="C147" s="982"/>
      <c r="D147" s="983"/>
      <c r="E147" s="329">
        <f>+E122+E130+E138+E142+E146</f>
        <v>0</v>
      </c>
      <c r="F147" s="330">
        <f>+F122+F130+F138+F142+F146</f>
        <v>355000</v>
      </c>
      <c r="G147" s="329">
        <f>+G122+G130+G138+G142+G146</f>
        <v>163279</v>
      </c>
      <c r="H147" s="327">
        <f>+H122+H130+H138+H142+H146</f>
        <v>162640</v>
      </c>
      <c r="I147" s="327">
        <f>+I122+I130+I138+I142+I146</f>
        <v>639</v>
      </c>
      <c r="J147" s="352" t="str">
        <f>IFERROR(G147/#REF!,"-")</f>
        <v>-</v>
      </c>
      <c r="K147" s="329">
        <f>+K122+K130+K138+K142+K146</f>
        <v>313517</v>
      </c>
      <c r="L147" s="327">
        <f>+L122+L130+L138+L142+L146</f>
        <v>311848</v>
      </c>
      <c r="M147" s="328">
        <f>+M122+M130+M138+M142+M146</f>
        <v>1669</v>
      </c>
      <c r="N147" s="344" t="str">
        <f>IFERROR(K147/E147,"-")</f>
        <v>-</v>
      </c>
      <c r="O147" s="352">
        <f t="shared" si="172"/>
        <v>5.3234752820421226E-3</v>
      </c>
    </row>
    <row r="148" spans="1:15" ht="23.4" x14ac:dyDescent="0.3">
      <c r="A148" s="277" t="s">
        <v>110</v>
      </c>
      <c r="B148" s="956" t="s">
        <v>22</v>
      </c>
      <c r="C148" s="272" t="s">
        <v>132</v>
      </c>
      <c r="D148" s="272"/>
      <c r="E148" s="273">
        <v>0</v>
      </c>
      <c r="F148" s="274"/>
      <c r="G148" s="335">
        <f t="shared" ref="G148:G151" si="183">+H148+I148</f>
        <v>0</v>
      </c>
      <c r="H148" s="275">
        <v>0</v>
      </c>
      <c r="I148" s="275">
        <v>0</v>
      </c>
      <c r="J148" s="354" t="str">
        <f>IFERROR(G148/#REF!,"-")</f>
        <v>-</v>
      </c>
      <c r="K148" s="335">
        <f t="shared" ref="K148:K151" si="184">+L148+M148</f>
        <v>0</v>
      </c>
      <c r="L148" s="275">
        <f t="shared" ref="L148:M148" si="185">+H148+L44</f>
        <v>0</v>
      </c>
      <c r="M148" s="276">
        <f t="shared" si="185"/>
        <v>0</v>
      </c>
      <c r="N148" s="339" t="str">
        <f t="shared" ref="N148:N162" si="186">IFERROR(K148/E148,"-")</f>
        <v>-</v>
      </c>
      <c r="O148" s="349" t="str">
        <f t="shared" si="172"/>
        <v>-</v>
      </c>
    </row>
    <row r="149" spans="1:15" ht="23.4" x14ac:dyDescent="0.3">
      <c r="A149" s="277" t="s">
        <v>110</v>
      </c>
      <c r="B149" s="957"/>
      <c r="C149" s="298" t="s">
        <v>283</v>
      </c>
      <c r="D149" s="298" t="s">
        <v>194</v>
      </c>
      <c r="E149" s="279">
        <v>0</v>
      </c>
      <c r="F149" s="280"/>
      <c r="G149" s="336">
        <f t="shared" si="183"/>
        <v>0</v>
      </c>
      <c r="H149" s="281">
        <v>0</v>
      </c>
      <c r="I149" s="281">
        <v>0</v>
      </c>
      <c r="J149" s="355" t="str">
        <f>IFERROR(G149/#REF!,"-")</f>
        <v>-</v>
      </c>
      <c r="K149" s="336">
        <f t="shared" si="184"/>
        <v>0</v>
      </c>
      <c r="L149" s="275">
        <f t="shared" ref="L149:M149" si="187">+H149+L45</f>
        <v>0</v>
      </c>
      <c r="M149" s="276">
        <f t="shared" si="187"/>
        <v>0</v>
      </c>
      <c r="N149" s="340" t="str">
        <f t="shared" si="186"/>
        <v>-</v>
      </c>
      <c r="O149" s="264" t="str">
        <f t="shared" si="172"/>
        <v>-</v>
      </c>
    </row>
    <row r="150" spans="1:15" ht="23.4" x14ac:dyDescent="0.3">
      <c r="A150" s="277" t="s">
        <v>110</v>
      </c>
      <c r="B150" s="957"/>
      <c r="C150" s="298" t="s">
        <v>405</v>
      </c>
      <c r="D150" s="298" t="s">
        <v>194</v>
      </c>
      <c r="E150" s="279">
        <v>0</v>
      </c>
      <c r="F150" s="280"/>
      <c r="G150" s="336">
        <f t="shared" si="183"/>
        <v>152593</v>
      </c>
      <c r="H150" s="281">
        <f>95040+57420</f>
        <v>152460</v>
      </c>
      <c r="I150" s="281">
        <f>65+68</f>
        <v>133</v>
      </c>
      <c r="J150" s="355" t="str">
        <f>IFERROR(G150/#REF!,"-")</f>
        <v>-</v>
      </c>
      <c r="K150" s="336">
        <f t="shared" si="184"/>
        <v>200175</v>
      </c>
      <c r="L150" s="275">
        <f t="shared" ref="L150:M150" si="188">+H150+L46</f>
        <v>199980</v>
      </c>
      <c r="M150" s="276">
        <f t="shared" si="188"/>
        <v>195</v>
      </c>
      <c r="N150" s="340" t="str">
        <f t="shared" si="186"/>
        <v>-</v>
      </c>
      <c r="O150" s="264">
        <f t="shared" si="172"/>
        <v>9.7414762083177224E-4</v>
      </c>
    </row>
    <row r="151" spans="1:15" ht="24" thickBot="1" x14ac:dyDescent="0.35">
      <c r="A151" s="277" t="s">
        <v>110</v>
      </c>
      <c r="B151" s="958"/>
      <c r="C151" s="282" t="s">
        <v>195</v>
      </c>
      <c r="D151" s="282" t="s">
        <v>100</v>
      </c>
      <c r="E151" s="283">
        <v>0</v>
      </c>
      <c r="F151" s="284"/>
      <c r="G151" s="337">
        <f t="shared" si="183"/>
        <v>0</v>
      </c>
      <c r="H151" s="285">
        <v>0</v>
      </c>
      <c r="I151" s="285">
        <v>0</v>
      </c>
      <c r="J151" s="356" t="str">
        <f>IFERROR(G151/#REF!,"-")</f>
        <v>-</v>
      </c>
      <c r="K151" s="337">
        <f t="shared" si="184"/>
        <v>0</v>
      </c>
      <c r="L151" s="275">
        <f t="shared" ref="L151:M151" si="189">+H151+L47</f>
        <v>0</v>
      </c>
      <c r="M151" s="276">
        <f t="shared" si="189"/>
        <v>0</v>
      </c>
      <c r="N151" s="341" t="str">
        <f t="shared" si="186"/>
        <v>-</v>
      </c>
      <c r="O151" s="350" t="str">
        <f t="shared" si="172"/>
        <v>-</v>
      </c>
    </row>
    <row r="152" spans="1:15" ht="24" thickBot="1" x14ac:dyDescent="0.35">
      <c r="A152" s="277" t="s">
        <v>110</v>
      </c>
      <c r="B152" s="967" t="s">
        <v>51</v>
      </c>
      <c r="C152" s="968"/>
      <c r="D152" s="969"/>
      <c r="E152" s="287">
        <f>SUM(E148:E151)</f>
        <v>0</v>
      </c>
      <c r="F152" s="288">
        <v>80000</v>
      </c>
      <c r="G152" s="323">
        <f>SUM(G148:G151)</f>
        <v>152593</v>
      </c>
      <c r="H152" s="324">
        <f t="shared" ref="H152:I152" si="190">SUM(H148:H151)</f>
        <v>152460</v>
      </c>
      <c r="I152" s="324">
        <f t="shared" si="190"/>
        <v>133</v>
      </c>
      <c r="J152" s="348" t="str">
        <f>IFERROR(G152/#REF!,"-")</f>
        <v>-</v>
      </c>
      <c r="K152" s="323">
        <f t="shared" ref="K152:M152" si="191">SUM(K148:K151)</f>
        <v>200175</v>
      </c>
      <c r="L152" s="324">
        <f t="shared" si="191"/>
        <v>199980</v>
      </c>
      <c r="M152" s="325">
        <f t="shared" si="191"/>
        <v>195</v>
      </c>
      <c r="N152" s="342" t="str">
        <f t="shared" si="186"/>
        <v>-</v>
      </c>
      <c r="O152" s="348">
        <f t="shared" si="172"/>
        <v>9.7414762083177224E-4</v>
      </c>
    </row>
    <row r="153" spans="1:15" ht="23.4" x14ac:dyDescent="0.3">
      <c r="A153" s="277" t="s">
        <v>110</v>
      </c>
      <c r="B153" s="956" t="s">
        <v>23</v>
      </c>
      <c r="C153" s="299" t="s">
        <v>337</v>
      </c>
      <c r="D153" s="299" t="s">
        <v>258</v>
      </c>
      <c r="E153" s="273">
        <v>0</v>
      </c>
      <c r="F153" s="274"/>
      <c r="G153" s="335">
        <f t="shared" ref="G153:G160" si="192">+H153+I153</f>
        <v>0</v>
      </c>
      <c r="H153" s="275">
        <v>0</v>
      </c>
      <c r="I153" s="275">
        <v>0</v>
      </c>
      <c r="J153" s="354" t="str">
        <f>IFERROR(G153/#REF!,"-")</f>
        <v>-</v>
      </c>
      <c r="K153" s="335">
        <f t="shared" ref="K153:K160" si="193">+L153+M153</f>
        <v>0</v>
      </c>
      <c r="L153" s="275">
        <f t="shared" ref="L153:M153" si="194">+H153+L49</f>
        <v>0</v>
      </c>
      <c r="M153" s="276">
        <f t="shared" si="194"/>
        <v>0</v>
      </c>
      <c r="N153" s="339" t="str">
        <f t="shared" si="186"/>
        <v>-</v>
      </c>
      <c r="O153" s="349" t="str">
        <f t="shared" si="172"/>
        <v>-</v>
      </c>
    </row>
    <row r="154" spans="1:15" ht="23.4" x14ac:dyDescent="0.3">
      <c r="A154" s="277" t="s">
        <v>110</v>
      </c>
      <c r="B154" s="957"/>
      <c r="C154" s="278" t="s">
        <v>24</v>
      </c>
      <c r="D154" s="278" t="s">
        <v>258</v>
      </c>
      <c r="E154" s="279">
        <v>0</v>
      </c>
      <c r="F154" s="280"/>
      <c r="G154" s="336">
        <f t="shared" si="192"/>
        <v>0</v>
      </c>
      <c r="H154" s="281">
        <v>0</v>
      </c>
      <c r="I154" s="281">
        <v>0</v>
      </c>
      <c r="J154" s="355" t="str">
        <f>IFERROR(G154/#REF!,"-")</f>
        <v>-</v>
      </c>
      <c r="K154" s="336">
        <f t="shared" si="193"/>
        <v>0</v>
      </c>
      <c r="L154" s="275">
        <f t="shared" ref="L154:M154" si="195">+H154+L50</f>
        <v>0</v>
      </c>
      <c r="M154" s="276">
        <f t="shared" si="195"/>
        <v>0</v>
      </c>
      <c r="N154" s="340" t="str">
        <f t="shared" si="186"/>
        <v>-</v>
      </c>
      <c r="O154" s="264" t="str">
        <f t="shared" si="172"/>
        <v>-</v>
      </c>
    </row>
    <row r="155" spans="1:15" ht="23.4" x14ac:dyDescent="0.3">
      <c r="A155" s="277" t="s">
        <v>110</v>
      </c>
      <c r="B155" s="957"/>
      <c r="C155" s="278" t="s">
        <v>256</v>
      </c>
      <c r="D155" s="278" t="s">
        <v>258</v>
      </c>
      <c r="E155" s="279">
        <v>0</v>
      </c>
      <c r="F155" s="280"/>
      <c r="G155" s="336">
        <f t="shared" si="192"/>
        <v>0</v>
      </c>
      <c r="H155" s="281">
        <v>0</v>
      </c>
      <c r="I155" s="281">
        <v>0</v>
      </c>
      <c r="J155" s="355" t="str">
        <f>IFERROR(G155/#REF!,"-")</f>
        <v>-</v>
      </c>
      <c r="K155" s="336">
        <f t="shared" si="193"/>
        <v>0</v>
      </c>
      <c r="L155" s="275">
        <f t="shared" ref="L155:M155" si="196">+H155+L51</f>
        <v>0</v>
      </c>
      <c r="M155" s="276">
        <f t="shared" si="196"/>
        <v>0</v>
      </c>
      <c r="N155" s="340" t="str">
        <f t="shared" si="186"/>
        <v>-</v>
      </c>
      <c r="O155" s="264" t="str">
        <f t="shared" si="172"/>
        <v>-</v>
      </c>
    </row>
    <row r="156" spans="1:15" ht="23.4" x14ac:dyDescent="0.3">
      <c r="A156" s="277" t="s">
        <v>110</v>
      </c>
      <c r="B156" s="957"/>
      <c r="C156" s="278" t="s">
        <v>257</v>
      </c>
      <c r="D156" s="278" t="s">
        <v>258</v>
      </c>
      <c r="E156" s="279">
        <v>0</v>
      </c>
      <c r="F156" s="280"/>
      <c r="G156" s="336">
        <f t="shared" si="192"/>
        <v>0</v>
      </c>
      <c r="H156" s="281">
        <v>0</v>
      </c>
      <c r="I156" s="281">
        <v>0</v>
      </c>
      <c r="J156" s="355" t="str">
        <f>IFERROR(G156/#REF!,"-")</f>
        <v>-</v>
      </c>
      <c r="K156" s="336">
        <f t="shared" si="193"/>
        <v>0</v>
      </c>
      <c r="L156" s="275">
        <f t="shared" ref="L156:M156" si="197">+H156+L52</f>
        <v>0</v>
      </c>
      <c r="M156" s="276">
        <f t="shared" si="197"/>
        <v>0</v>
      </c>
      <c r="N156" s="340" t="str">
        <f t="shared" si="186"/>
        <v>-</v>
      </c>
      <c r="O156" s="264" t="str">
        <f t="shared" si="172"/>
        <v>-</v>
      </c>
    </row>
    <row r="157" spans="1:15" ht="23.4" x14ac:dyDescent="0.3">
      <c r="A157" s="277" t="s">
        <v>110</v>
      </c>
      <c r="B157" s="957"/>
      <c r="C157" s="298" t="s">
        <v>259</v>
      </c>
      <c r="D157" s="278" t="s">
        <v>258</v>
      </c>
      <c r="E157" s="279">
        <v>0</v>
      </c>
      <c r="F157" s="280"/>
      <c r="G157" s="336">
        <f t="shared" si="192"/>
        <v>0</v>
      </c>
      <c r="H157" s="281">
        <v>0</v>
      </c>
      <c r="I157" s="281">
        <v>0</v>
      </c>
      <c r="J157" s="355" t="str">
        <f>IFERROR(G157/#REF!,"-")</f>
        <v>-</v>
      </c>
      <c r="K157" s="336">
        <f t="shared" si="193"/>
        <v>0</v>
      </c>
      <c r="L157" s="275">
        <f t="shared" ref="L157:M157" si="198">+H157+L53</f>
        <v>0</v>
      </c>
      <c r="M157" s="276">
        <f t="shared" si="198"/>
        <v>0</v>
      </c>
      <c r="N157" s="340" t="str">
        <f t="shared" si="186"/>
        <v>-</v>
      </c>
      <c r="O157" s="264" t="str">
        <f t="shared" si="172"/>
        <v>-</v>
      </c>
    </row>
    <row r="158" spans="1:15" ht="23.4" x14ac:dyDescent="0.3">
      <c r="A158" s="277" t="s">
        <v>110</v>
      </c>
      <c r="B158" s="957"/>
      <c r="C158" s="298" t="s">
        <v>260</v>
      </c>
      <c r="D158" s="278" t="s">
        <v>258</v>
      </c>
      <c r="E158" s="279">
        <v>0</v>
      </c>
      <c r="F158" s="280"/>
      <c r="G158" s="336">
        <f t="shared" si="192"/>
        <v>0</v>
      </c>
      <c r="H158" s="281">
        <v>0</v>
      </c>
      <c r="I158" s="281">
        <v>0</v>
      </c>
      <c r="J158" s="355" t="str">
        <f>IFERROR(G158/#REF!,"-")</f>
        <v>-</v>
      </c>
      <c r="K158" s="336">
        <f t="shared" si="193"/>
        <v>0</v>
      </c>
      <c r="L158" s="275">
        <f t="shared" ref="L158:M158" si="199">+H158+L54</f>
        <v>0</v>
      </c>
      <c r="M158" s="276">
        <f t="shared" si="199"/>
        <v>0</v>
      </c>
      <c r="N158" s="340" t="str">
        <f t="shared" si="186"/>
        <v>-</v>
      </c>
      <c r="O158" s="264" t="str">
        <f t="shared" si="172"/>
        <v>-</v>
      </c>
    </row>
    <row r="159" spans="1:15" ht="23.4" x14ac:dyDescent="0.3">
      <c r="A159" s="277" t="s">
        <v>110</v>
      </c>
      <c r="B159" s="957"/>
      <c r="C159" s="298" t="s">
        <v>261</v>
      </c>
      <c r="D159" s="278" t="s">
        <v>263</v>
      </c>
      <c r="E159" s="279">
        <v>0</v>
      </c>
      <c r="F159" s="280"/>
      <c r="G159" s="336">
        <f t="shared" si="192"/>
        <v>0</v>
      </c>
      <c r="H159" s="281">
        <v>0</v>
      </c>
      <c r="I159" s="281">
        <v>0</v>
      </c>
      <c r="J159" s="355" t="str">
        <f>IFERROR(G159/#REF!,"-")</f>
        <v>-</v>
      </c>
      <c r="K159" s="336">
        <f t="shared" si="193"/>
        <v>0</v>
      </c>
      <c r="L159" s="275">
        <f t="shared" ref="L159:M159" si="200">+H159+L55</f>
        <v>0</v>
      </c>
      <c r="M159" s="276">
        <f t="shared" si="200"/>
        <v>0</v>
      </c>
      <c r="N159" s="340" t="str">
        <f t="shared" si="186"/>
        <v>-</v>
      </c>
      <c r="O159" s="264" t="str">
        <f t="shared" si="172"/>
        <v>-</v>
      </c>
    </row>
    <row r="160" spans="1:15" ht="24" thickBot="1" x14ac:dyDescent="0.35">
      <c r="A160" s="277" t="s">
        <v>110</v>
      </c>
      <c r="B160" s="958"/>
      <c r="C160" s="298" t="s">
        <v>262</v>
      </c>
      <c r="D160" s="278" t="s">
        <v>258</v>
      </c>
      <c r="E160" s="283">
        <v>0</v>
      </c>
      <c r="F160" s="284"/>
      <c r="G160" s="337">
        <f t="shared" si="192"/>
        <v>0</v>
      </c>
      <c r="H160" s="285">
        <v>0</v>
      </c>
      <c r="I160" s="285">
        <v>0</v>
      </c>
      <c r="J160" s="356" t="str">
        <f>IFERROR(G160/#REF!,"-")</f>
        <v>-</v>
      </c>
      <c r="K160" s="337">
        <f t="shared" si="193"/>
        <v>0</v>
      </c>
      <c r="L160" s="275">
        <f t="shared" ref="L160:M160" si="201">+H160+L56</f>
        <v>0</v>
      </c>
      <c r="M160" s="276">
        <f t="shared" si="201"/>
        <v>0</v>
      </c>
      <c r="N160" s="341" t="str">
        <f t="shared" si="186"/>
        <v>-</v>
      </c>
      <c r="O160" s="350" t="str">
        <f t="shared" si="172"/>
        <v>-</v>
      </c>
    </row>
    <row r="161" spans="1:15" ht="24" thickBot="1" x14ac:dyDescent="0.35">
      <c r="A161" s="277" t="s">
        <v>110</v>
      </c>
      <c r="B161" s="967" t="s">
        <v>52</v>
      </c>
      <c r="C161" s="968"/>
      <c r="D161" s="969"/>
      <c r="E161" s="287">
        <v>0</v>
      </c>
      <c r="F161" s="288">
        <v>14000</v>
      </c>
      <c r="G161" s="323">
        <f>SUM(G153:G160)</f>
        <v>0</v>
      </c>
      <c r="H161" s="324">
        <f t="shared" ref="H161:I161" si="202">SUM(H153:H160)</f>
        <v>0</v>
      </c>
      <c r="I161" s="324">
        <f t="shared" si="202"/>
        <v>0</v>
      </c>
      <c r="J161" s="348" t="str">
        <f>IFERROR(G161/#REF!,"-")</f>
        <v>-</v>
      </c>
      <c r="K161" s="323">
        <f>SUM(K153:K160)</f>
        <v>0</v>
      </c>
      <c r="L161" s="324">
        <f t="shared" ref="L161:M161" si="203">SUM(L153:L160)</f>
        <v>0</v>
      </c>
      <c r="M161" s="325">
        <f t="shared" si="203"/>
        <v>0</v>
      </c>
      <c r="N161" s="342" t="str">
        <f t="shared" si="186"/>
        <v>-</v>
      </c>
      <c r="O161" s="348" t="str">
        <f t="shared" si="172"/>
        <v>-</v>
      </c>
    </row>
    <row r="162" spans="1:15" ht="24" thickBot="1" x14ac:dyDescent="0.35">
      <c r="A162" s="277" t="s">
        <v>110</v>
      </c>
      <c r="B162" s="981" t="s">
        <v>25</v>
      </c>
      <c r="C162" s="982"/>
      <c r="D162" s="983"/>
      <c r="E162" s="329">
        <f t="shared" ref="E162:F162" si="204">+E152+E161</f>
        <v>0</v>
      </c>
      <c r="F162" s="330">
        <f t="shared" si="204"/>
        <v>94000</v>
      </c>
      <c r="G162" s="329">
        <f>+G152+G161</f>
        <v>152593</v>
      </c>
      <c r="H162" s="327">
        <f t="shared" ref="H162:I162" si="205">+H152+H161</f>
        <v>152460</v>
      </c>
      <c r="I162" s="327">
        <f t="shared" si="205"/>
        <v>133</v>
      </c>
      <c r="J162" s="352" t="str">
        <f>IFERROR(G162/#REF!,"-")</f>
        <v>-</v>
      </c>
      <c r="K162" s="329">
        <f t="shared" ref="K162" si="206">+K152+K161</f>
        <v>200175</v>
      </c>
      <c r="L162" s="327">
        <f>+L152+L161</f>
        <v>199980</v>
      </c>
      <c r="M162" s="328">
        <f t="shared" ref="M162" si="207">+M152+M161</f>
        <v>195</v>
      </c>
      <c r="N162" s="344" t="str">
        <f t="shared" si="186"/>
        <v>-</v>
      </c>
      <c r="O162" s="352">
        <f t="shared" si="172"/>
        <v>9.7414762083177224E-4</v>
      </c>
    </row>
    <row r="163" spans="1:15" ht="24" thickBot="1" x14ac:dyDescent="0.35">
      <c r="A163" s="277" t="s">
        <v>110</v>
      </c>
      <c r="B163" s="984" t="s">
        <v>180</v>
      </c>
      <c r="C163" s="962"/>
      <c r="D163" s="963"/>
      <c r="E163" s="333">
        <f>+E147+E162</f>
        <v>0</v>
      </c>
      <c r="F163" s="334">
        <f t="shared" ref="F163:I163" si="208">+F147+F162</f>
        <v>449000</v>
      </c>
      <c r="G163" s="333">
        <f t="shared" si="208"/>
        <v>315872</v>
      </c>
      <c r="H163" s="331">
        <f t="shared" si="208"/>
        <v>315100</v>
      </c>
      <c r="I163" s="331">
        <f t="shared" si="208"/>
        <v>772</v>
      </c>
      <c r="J163" s="353" t="str">
        <f>IFERROR(G163/#REF!,"-")</f>
        <v>-</v>
      </c>
      <c r="K163" s="333">
        <f>+K147+K162</f>
        <v>513692</v>
      </c>
      <c r="L163" s="331">
        <f t="shared" ref="L163:M163" si="209">+L147+L162</f>
        <v>511828</v>
      </c>
      <c r="M163" s="332">
        <f t="shared" si="209"/>
        <v>1864</v>
      </c>
      <c r="N163" s="345" t="str">
        <f>IFERROR(K163/E163,"-")</f>
        <v>-</v>
      </c>
      <c r="O163" s="353">
        <f t="shared" si="172"/>
        <v>3.6286335002297097E-3</v>
      </c>
    </row>
    <row r="164" spans="1:15" ht="23.4" x14ac:dyDescent="0.3">
      <c r="A164" s="271" t="s">
        <v>108</v>
      </c>
      <c r="B164" s="977" t="s">
        <v>26</v>
      </c>
      <c r="C164" s="300" t="s">
        <v>323</v>
      </c>
      <c r="D164" s="300" t="s">
        <v>190</v>
      </c>
      <c r="E164" s="273">
        <v>0</v>
      </c>
      <c r="F164" s="274"/>
      <c r="G164" s="335">
        <f t="shared" ref="G164:G172" si="210">+H164+I164</f>
        <v>0</v>
      </c>
      <c r="H164" s="275">
        <v>0</v>
      </c>
      <c r="I164" s="275">
        <v>0</v>
      </c>
      <c r="J164" s="354" t="str">
        <f>IFERROR(G164/#REF!,"-")</f>
        <v>-</v>
      </c>
      <c r="K164" s="335">
        <f t="shared" ref="K164:K172" si="211">+L164+M164</f>
        <v>0</v>
      </c>
      <c r="L164" s="275">
        <f t="shared" ref="L164:M164" si="212">+H164+L60</f>
        <v>0</v>
      </c>
      <c r="M164" s="276">
        <f t="shared" si="212"/>
        <v>0</v>
      </c>
      <c r="N164" s="339" t="str">
        <f t="shared" ref="N164:N165" si="213">IFERROR(K164/E164,"-")</f>
        <v>-</v>
      </c>
      <c r="O164" s="349" t="str">
        <f t="shared" si="172"/>
        <v>-</v>
      </c>
    </row>
    <row r="165" spans="1:15" ht="23.4" x14ac:dyDescent="0.3">
      <c r="A165" s="277" t="s">
        <v>108</v>
      </c>
      <c r="B165" s="977"/>
      <c r="C165" s="301" t="s">
        <v>196</v>
      </c>
      <c r="D165" s="301" t="s">
        <v>114</v>
      </c>
      <c r="E165" s="279">
        <v>0</v>
      </c>
      <c r="F165" s="280"/>
      <c r="G165" s="336">
        <f t="shared" si="210"/>
        <v>0</v>
      </c>
      <c r="H165" s="281">
        <v>0</v>
      </c>
      <c r="I165" s="281">
        <v>0</v>
      </c>
      <c r="J165" s="355" t="str">
        <f>IFERROR(G165/#REF!,"-")</f>
        <v>-</v>
      </c>
      <c r="K165" s="336">
        <f t="shared" si="211"/>
        <v>0</v>
      </c>
      <c r="L165" s="275">
        <f t="shared" ref="L165:M165" si="214">+H165+L61</f>
        <v>0</v>
      </c>
      <c r="M165" s="276">
        <f t="shared" si="214"/>
        <v>0</v>
      </c>
      <c r="N165" s="340" t="str">
        <f t="shared" si="213"/>
        <v>-</v>
      </c>
      <c r="O165" s="264" t="str">
        <f t="shared" si="172"/>
        <v>-</v>
      </c>
    </row>
    <row r="166" spans="1:15" ht="23.4" x14ac:dyDescent="0.3">
      <c r="A166" s="277" t="s">
        <v>108</v>
      </c>
      <c r="B166" s="977"/>
      <c r="C166" s="302" t="s">
        <v>27</v>
      </c>
      <c r="D166" s="302" t="s">
        <v>370</v>
      </c>
      <c r="E166" s="283">
        <v>0</v>
      </c>
      <c r="F166" s="284"/>
      <c r="G166" s="336">
        <f t="shared" si="210"/>
        <v>0</v>
      </c>
      <c r="H166" s="285">
        <v>0</v>
      </c>
      <c r="I166" s="285">
        <v>0</v>
      </c>
      <c r="J166" s="356" t="str">
        <f>IFERROR(G166/#REF!,"-")</f>
        <v>-</v>
      </c>
      <c r="K166" s="336">
        <f t="shared" si="211"/>
        <v>0</v>
      </c>
      <c r="L166" s="275">
        <f t="shared" ref="L166:M166" si="215">+H166+L62</f>
        <v>0</v>
      </c>
      <c r="M166" s="276">
        <f t="shared" si="215"/>
        <v>0</v>
      </c>
      <c r="N166" s="286"/>
      <c r="O166" s="264" t="str">
        <f t="shared" si="172"/>
        <v>-</v>
      </c>
    </row>
    <row r="167" spans="1:15" ht="23.4" x14ac:dyDescent="0.3">
      <c r="A167" s="277" t="s">
        <v>108</v>
      </c>
      <c r="B167" s="977"/>
      <c r="C167" s="302" t="s">
        <v>27</v>
      </c>
      <c r="D167" s="302" t="s">
        <v>254</v>
      </c>
      <c r="E167" s="283">
        <v>0</v>
      </c>
      <c r="F167" s="284"/>
      <c r="G167" s="336">
        <f t="shared" si="210"/>
        <v>0</v>
      </c>
      <c r="H167" s="285">
        <v>0</v>
      </c>
      <c r="I167" s="285">
        <v>0</v>
      </c>
      <c r="J167" s="356" t="str">
        <f>IFERROR(G167/#REF!,"-")</f>
        <v>-</v>
      </c>
      <c r="K167" s="336">
        <f t="shared" si="211"/>
        <v>0</v>
      </c>
      <c r="L167" s="275">
        <f t="shared" ref="L167:M167" si="216">+H167+L63</f>
        <v>0</v>
      </c>
      <c r="M167" s="276">
        <f t="shared" si="216"/>
        <v>0</v>
      </c>
      <c r="N167" s="286"/>
      <c r="O167" s="264" t="str">
        <f t="shared" si="172"/>
        <v>-</v>
      </c>
    </row>
    <row r="168" spans="1:15" ht="23.4" x14ac:dyDescent="0.3">
      <c r="A168" s="277" t="s">
        <v>108</v>
      </c>
      <c r="B168" s="977"/>
      <c r="C168" s="302" t="s">
        <v>27</v>
      </c>
      <c r="D168" s="302" t="s">
        <v>302</v>
      </c>
      <c r="E168" s="283">
        <v>0</v>
      </c>
      <c r="F168" s="284"/>
      <c r="G168" s="336">
        <f t="shared" si="210"/>
        <v>0</v>
      </c>
      <c r="H168" s="285">
        <v>0</v>
      </c>
      <c r="I168" s="285">
        <v>0</v>
      </c>
      <c r="J168" s="356" t="str">
        <f>IFERROR(G168/#REF!,"-")</f>
        <v>-</v>
      </c>
      <c r="K168" s="336">
        <f t="shared" si="211"/>
        <v>0</v>
      </c>
      <c r="L168" s="275">
        <f t="shared" ref="L168:M168" si="217">+H168+L64</f>
        <v>0</v>
      </c>
      <c r="M168" s="276">
        <f t="shared" si="217"/>
        <v>0</v>
      </c>
      <c r="N168" s="286"/>
      <c r="O168" s="264" t="str">
        <f t="shared" si="172"/>
        <v>-</v>
      </c>
    </row>
    <row r="169" spans="1:15" ht="23.4" x14ac:dyDescent="0.3">
      <c r="A169" s="277"/>
      <c r="B169" s="977"/>
      <c r="C169" s="302" t="s">
        <v>369</v>
      </c>
      <c r="D169" s="302" t="s">
        <v>190</v>
      </c>
      <c r="E169" s="283">
        <v>0</v>
      </c>
      <c r="F169" s="284"/>
      <c r="G169" s="337">
        <f t="shared" si="210"/>
        <v>0</v>
      </c>
      <c r="H169" s="285">
        <v>0</v>
      </c>
      <c r="I169" s="285">
        <v>0</v>
      </c>
      <c r="J169" s="356" t="str">
        <f>IFERROR(G169/#REF!,"-")</f>
        <v>-</v>
      </c>
      <c r="K169" s="337">
        <f t="shared" si="211"/>
        <v>0</v>
      </c>
      <c r="L169" s="275">
        <f t="shared" ref="L169:M169" si="218">+H169+L65</f>
        <v>0</v>
      </c>
      <c r="M169" s="276">
        <f t="shared" si="218"/>
        <v>0</v>
      </c>
      <c r="N169" s="286"/>
      <c r="O169" s="264" t="str">
        <f t="shared" si="172"/>
        <v>-</v>
      </c>
    </row>
    <row r="170" spans="1:15" ht="23.4" x14ac:dyDescent="0.3">
      <c r="A170" s="277"/>
      <c r="B170" s="977"/>
      <c r="C170" s="302" t="s">
        <v>314</v>
      </c>
      <c r="D170" s="302" t="s">
        <v>101</v>
      </c>
      <c r="E170" s="283">
        <v>0</v>
      </c>
      <c r="F170" s="284"/>
      <c r="G170" s="337">
        <f t="shared" si="210"/>
        <v>0</v>
      </c>
      <c r="H170" s="285">
        <v>0</v>
      </c>
      <c r="I170" s="285">
        <v>0</v>
      </c>
      <c r="J170" s="356" t="str">
        <f>IFERROR(G170/#REF!,"-")</f>
        <v>-</v>
      </c>
      <c r="K170" s="337">
        <f t="shared" si="211"/>
        <v>0</v>
      </c>
      <c r="L170" s="275">
        <f t="shared" ref="L170:M170" si="219">+H170+L66</f>
        <v>0</v>
      </c>
      <c r="M170" s="276">
        <f t="shared" si="219"/>
        <v>0</v>
      </c>
      <c r="N170" s="286"/>
      <c r="O170" s="264" t="str">
        <f t="shared" si="172"/>
        <v>-</v>
      </c>
    </row>
    <row r="171" spans="1:15" ht="23.4" x14ac:dyDescent="0.3">
      <c r="A171" s="277"/>
      <c r="B171" s="977"/>
      <c r="C171" s="302" t="s">
        <v>314</v>
      </c>
      <c r="D171" s="302" t="s">
        <v>370</v>
      </c>
      <c r="E171" s="283">
        <v>0</v>
      </c>
      <c r="F171" s="284"/>
      <c r="G171" s="337">
        <f t="shared" si="210"/>
        <v>0</v>
      </c>
      <c r="H171" s="285">
        <v>0</v>
      </c>
      <c r="I171" s="285">
        <v>0</v>
      </c>
      <c r="J171" s="356" t="str">
        <f>IFERROR(G171/#REF!,"-")</f>
        <v>-</v>
      </c>
      <c r="K171" s="337">
        <f t="shared" si="211"/>
        <v>0</v>
      </c>
      <c r="L171" s="275">
        <f t="shared" ref="L171:M171" si="220">+H171+L67</f>
        <v>0</v>
      </c>
      <c r="M171" s="276">
        <f t="shared" si="220"/>
        <v>0</v>
      </c>
      <c r="N171" s="286"/>
      <c r="O171" s="264" t="str">
        <f t="shared" si="172"/>
        <v>-</v>
      </c>
    </row>
    <row r="172" spans="1:15" ht="24" thickBot="1" x14ac:dyDescent="0.35">
      <c r="A172" s="277" t="s">
        <v>108</v>
      </c>
      <c r="B172" s="977"/>
      <c r="C172" s="303" t="s">
        <v>315</v>
      </c>
      <c r="D172" s="302" t="s">
        <v>313</v>
      </c>
      <c r="E172" s="283">
        <v>0</v>
      </c>
      <c r="F172" s="284"/>
      <c r="G172" s="337">
        <f t="shared" si="210"/>
        <v>0</v>
      </c>
      <c r="H172" s="285">
        <v>0</v>
      </c>
      <c r="I172" s="285">
        <v>0</v>
      </c>
      <c r="J172" s="356" t="str">
        <f>IFERROR(G172/#REF!,"-")</f>
        <v>-</v>
      </c>
      <c r="K172" s="337">
        <f t="shared" si="211"/>
        <v>0</v>
      </c>
      <c r="L172" s="275">
        <f t="shared" ref="L172:M172" si="221">+H172+L68</f>
        <v>0</v>
      </c>
      <c r="M172" s="276">
        <f t="shared" si="221"/>
        <v>0</v>
      </c>
      <c r="N172" s="341" t="str">
        <f t="shared" ref="N172:N177" si="222">IFERROR(K172/E172,"-")</f>
        <v>-</v>
      </c>
      <c r="O172" s="350" t="str">
        <f t="shared" si="172"/>
        <v>-</v>
      </c>
    </row>
    <row r="173" spans="1:15" ht="24" thickBot="1" x14ac:dyDescent="0.35">
      <c r="A173" s="277" t="s">
        <v>108</v>
      </c>
      <c r="B173" s="990"/>
      <c r="C173" s="304"/>
      <c r="D173" s="305" t="s">
        <v>55</v>
      </c>
      <c r="E173" s="287">
        <v>0</v>
      </c>
      <c r="F173" s="288"/>
      <c r="G173" s="323">
        <f>SUM(G164:G172)</f>
        <v>0</v>
      </c>
      <c r="H173" s="324">
        <f>SUM(H164:H172)</f>
        <v>0</v>
      </c>
      <c r="I173" s="324">
        <f>SUM(I164:I172)</f>
        <v>0</v>
      </c>
      <c r="J173" s="348" t="str">
        <f>IFERROR(G173/#REF!,"-")</f>
        <v>-</v>
      </c>
      <c r="K173" s="323">
        <f>SUM(K164:K172)</f>
        <v>0</v>
      </c>
      <c r="L173" s="324">
        <f>SUM(L164:L172)</f>
        <v>0</v>
      </c>
      <c r="M173" s="325">
        <f>SUM(M164:M172)</f>
        <v>0</v>
      </c>
      <c r="N173" s="342" t="str">
        <f t="shared" si="222"/>
        <v>-</v>
      </c>
      <c r="O173" s="348" t="str">
        <f t="shared" si="172"/>
        <v>-</v>
      </c>
    </row>
    <row r="174" spans="1:15" ht="23.4" x14ac:dyDescent="0.3">
      <c r="A174" s="277" t="s">
        <v>108</v>
      </c>
      <c r="B174" s="976" t="s">
        <v>28</v>
      </c>
      <c r="C174" s="302" t="s">
        <v>27</v>
      </c>
      <c r="D174" s="300" t="s">
        <v>302</v>
      </c>
      <c r="E174" s="273">
        <v>0</v>
      </c>
      <c r="F174" s="274"/>
      <c r="G174" s="335">
        <f t="shared" ref="G174:G176" si="223">+H174+I174</f>
        <v>0</v>
      </c>
      <c r="H174" s="275">
        <v>0</v>
      </c>
      <c r="I174" s="275">
        <v>0</v>
      </c>
      <c r="J174" s="354" t="str">
        <f>IFERROR(G174/#REF!,"-")</f>
        <v>-</v>
      </c>
      <c r="K174" s="335">
        <f t="shared" ref="K174:K176" si="224">+L174+M174</f>
        <v>4258</v>
      </c>
      <c r="L174" s="275">
        <f t="shared" ref="L174:M174" si="225">+H174+L70</f>
        <v>3978</v>
      </c>
      <c r="M174" s="276">
        <f t="shared" si="225"/>
        <v>280</v>
      </c>
      <c r="N174" s="339" t="str">
        <f t="shared" si="222"/>
        <v>-</v>
      </c>
      <c r="O174" s="349">
        <f t="shared" si="172"/>
        <v>6.5758572099577264E-2</v>
      </c>
    </row>
    <row r="175" spans="1:15" ht="23.4" x14ac:dyDescent="0.3">
      <c r="A175" s="277" t="s">
        <v>108</v>
      </c>
      <c r="B175" s="977"/>
      <c r="C175" s="302" t="s">
        <v>27</v>
      </c>
      <c r="D175" s="302" t="s">
        <v>370</v>
      </c>
      <c r="E175" s="279">
        <v>0</v>
      </c>
      <c r="F175" s="280"/>
      <c r="G175" s="336">
        <f t="shared" si="223"/>
        <v>0</v>
      </c>
      <c r="H175" s="281">
        <v>0</v>
      </c>
      <c r="I175" s="281">
        <v>0</v>
      </c>
      <c r="J175" s="355" t="str">
        <f>IFERROR(G175/#REF!,"-")</f>
        <v>-</v>
      </c>
      <c r="K175" s="336">
        <f t="shared" si="224"/>
        <v>24591</v>
      </c>
      <c r="L175" s="275">
        <f t="shared" ref="L175:M175" si="226">+H175+L71</f>
        <v>23868</v>
      </c>
      <c r="M175" s="276">
        <f t="shared" si="226"/>
        <v>723</v>
      </c>
      <c r="N175" s="340" t="str">
        <f t="shared" si="222"/>
        <v>-</v>
      </c>
      <c r="O175" s="264">
        <f t="shared" si="172"/>
        <v>2.9401000365987556E-2</v>
      </c>
    </row>
    <row r="176" spans="1:15" ht="24" thickBot="1" x14ac:dyDescent="0.35">
      <c r="A176" s="277" t="s">
        <v>108</v>
      </c>
      <c r="B176" s="977"/>
      <c r="C176" s="302" t="s">
        <v>27</v>
      </c>
      <c r="D176" s="303" t="s">
        <v>254</v>
      </c>
      <c r="E176" s="283">
        <v>0</v>
      </c>
      <c r="F176" s="284"/>
      <c r="G176" s="337">
        <f t="shared" si="223"/>
        <v>139230</v>
      </c>
      <c r="H176" s="285">
        <f>75582+63648</f>
        <v>139230</v>
      </c>
      <c r="I176" s="285">
        <v>0</v>
      </c>
      <c r="J176" s="356" t="str">
        <f>IFERROR(G176/#REF!,"-")</f>
        <v>-</v>
      </c>
      <c r="K176" s="337">
        <f t="shared" si="224"/>
        <v>195498</v>
      </c>
      <c r="L176" s="275">
        <f t="shared" ref="L176:M176" si="227">+H176+L72</f>
        <v>194922</v>
      </c>
      <c r="M176" s="276">
        <f t="shared" si="227"/>
        <v>576</v>
      </c>
      <c r="N176" s="341" t="str">
        <f t="shared" si="222"/>
        <v>-</v>
      </c>
      <c r="O176" s="350">
        <f t="shared" si="172"/>
        <v>2.9463217015007828E-3</v>
      </c>
    </row>
    <row r="177" spans="1:15" ht="24" thickBot="1" x14ac:dyDescent="0.35">
      <c r="A177" s="277" t="s">
        <v>108</v>
      </c>
      <c r="B177" s="977"/>
      <c r="C177" s="307"/>
      <c r="D177" s="308" t="s">
        <v>55</v>
      </c>
      <c r="E177" s="309">
        <v>0</v>
      </c>
      <c r="F177" s="310"/>
      <c r="G177" s="369">
        <f>SUM(G174:G176)</f>
        <v>139230</v>
      </c>
      <c r="H177" s="368">
        <f t="shared" ref="H177:I177" si="228">SUM(H174:H176)</f>
        <v>139230</v>
      </c>
      <c r="I177" s="368">
        <f t="shared" si="228"/>
        <v>0</v>
      </c>
      <c r="J177" s="359" t="str">
        <f>IFERROR(G177/#REF!,"-")</f>
        <v>-</v>
      </c>
      <c r="K177" s="369">
        <f>SUM(K174:K176)</f>
        <v>224347</v>
      </c>
      <c r="L177" s="368">
        <f>SUM(L174:L176)</f>
        <v>222768</v>
      </c>
      <c r="M177" s="370">
        <f t="shared" ref="M177" si="229">SUM(M174:M176)</f>
        <v>1579</v>
      </c>
      <c r="N177" s="358" t="str">
        <f t="shared" si="222"/>
        <v>-</v>
      </c>
      <c r="O177" s="359">
        <f t="shared" si="172"/>
        <v>7.0382042104418603E-3</v>
      </c>
    </row>
    <row r="178" spans="1:15" ht="24" thickBot="1" x14ac:dyDescent="0.35">
      <c r="A178" s="709" t="s">
        <v>108</v>
      </c>
      <c r="B178" s="978" t="s">
        <v>170</v>
      </c>
      <c r="C178" s="979"/>
      <c r="D178" s="980"/>
      <c r="E178" s="311">
        <v>0</v>
      </c>
      <c r="F178" s="312">
        <v>80000</v>
      </c>
      <c r="G178" s="372">
        <f>+G173+G177</f>
        <v>139230</v>
      </c>
      <c r="H178" s="371">
        <f t="shared" ref="H178:I178" si="230">+H173+H177</f>
        <v>139230</v>
      </c>
      <c r="I178" s="371">
        <f t="shared" si="230"/>
        <v>0</v>
      </c>
      <c r="J178" s="361" t="str">
        <f>IFERROR(G178/#REF!,"-")</f>
        <v>-</v>
      </c>
      <c r="K178" s="372">
        <f>+K173+K177</f>
        <v>224347</v>
      </c>
      <c r="L178" s="371">
        <f>+L173+L177</f>
        <v>222768</v>
      </c>
      <c r="M178" s="373">
        <f t="shared" ref="M178" si="231">+M173+M177</f>
        <v>1579</v>
      </c>
      <c r="N178" s="360" t="str">
        <f>IFERROR(K178/E178,"-")</f>
        <v>-</v>
      </c>
      <c r="O178" s="361">
        <f t="shared" si="172"/>
        <v>7.0382042104418603E-3</v>
      </c>
    </row>
    <row r="179" spans="1:15" ht="23.4" x14ac:dyDescent="0.3">
      <c r="A179" s="277" t="s">
        <v>108</v>
      </c>
      <c r="B179" s="977" t="s">
        <v>30</v>
      </c>
      <c r="C179" s="306" t="s">
        <v>372</v>
      </c>
      <c r="D179" s="300" t="s">
        <v>191</v>
      </c>
      <c r="E179" s="273">
        <v>0</v>
      </c>
      <c r="F179" s="274"/>
      <c r="G179" s="335">
        <f t="shared" ref="G179:G181" si="232">+H179+I179</f>
        <v>0</v>
      </c>
      <c r="H179" s="275">
        <v>0</v>
      </c>
      <c r="I179" s="275">
        <v>0</v>
      </c>
      <c r="J179" s="354" t="str">
        <f>IFERROR(G179/#REF!,"-")</f>
        <v>-</v>
      </c>
      <c r="K179" s="335">
        <f t="shared" ref="K179:K181" si="233">+L179+M179</f>
        <v>0</v>
      </c>
      <c r="L179" s="275">
        <f t="shared" ref="L179:M179" si="234">+H179+L75</f>
        <v>0</v>
      </c>
      <c r="M179" s="276">
        <f t="shared" si="234"/>
        <v>0</v>
      </c>
      <c r="N179" s="339" t="str">
        <f t="shared" ref="N179:N189" si="235">IFERROR(K179/E179,"-")</f>
        <v>-</v>
      </c>
      <c r="O179" s="349" t="str">
        <f t="shared" si="172"/>
        <v>-</v>
      </c>
    </row>
    <row r="180" spans="1:15" ht="23.4" x14ac:dyDescent="0.3">
      <c r="A180" s="277" t="s">
        <v>108</v>
      </c>
      <c r="B180" s="977"/>
      <c r="C180" s="306" t="s">
        <v>371</v>
      </c>
      <c r="D180" s="306" t="s">
        <v>313</v>
      </c>
      <c r="E180" s="279">
        <v>0</v>
      </c>
      <c r="F180" s="280"/>
      <c r="G180" s="336">
        <f t="shared" si="232"/>
        <v>0</v>
      </c>
      <c r="H180" s="281">
        <v>0</v>
      </c>
      <c r="I180" s="281">
        <v>0</v>
      </c>
      <c r="J180" s="355" t="str">
        <f>IFERROR(G180/#REF!,"-")</f>
        <v>-</v>
      </c>
      <c r="K180" s="336">
        <f t="shared" si="233"/>
        <v>0</v>
      </c>
      <c r="L180" s="275">
        <f t="shared" ref="L180:M180" si="236">+H180+L76</f>
        <v>0</v>
      </c>
      <c r="M180" s="276">
        <f t="shared" si="236"/>
        <v>0</v>
      </c>
      <c r="N180" s="340" t="str">
        <f t="shared" si="235"/>
        <v>-</v>
      </c>
      <c r="O180" s="264" t="str">
        <f t="shared" si="172"/>
        <v>-</v>
      </c>
    </row>
    <row r="181" spans="1:15" ht="24" thickBot="1" x14ac:dyDescent="0.35">
      <c r="A181" s="277" t="s">
        <v>108</v>
      </c>
      <c r="B181" s="977"/>
      <c r="C181" s="303" t="s">
        <v>316</v>
      </c>
      <c r="D181" s="303" t="s">
        <v>410</v>
      </c>
      <c r="E181" s="283">
        <v>0</v>
      </c>
      <c r="F181" s="284"/>
      <c r="G181" s="337">
        <f t="shared" si="232"/>
        <v>6418</v>
      </c>
      <c r="H181" s="285">
        <v>5616</v>
      </c>
      <c r="I181" s="285">
        <v>802</v>
      </c>
      <c r="J181" s="356" t="str">
        <f>IFERROR(G181/#REF!,"-")</f>
        <v>-</v>
      </c>
      <c r="K181" s="337">
        <f t="shared" si="233"/>
        <v>25706</v>
      </c>
      <c r="L181" s="275">
        <f t="shared" ref="L181:M181" si="237">+H181+L77</f>
        <v>24336</v>
      </c>
      <c r="M181" s="276">
        <f t="shared" si="237"/>
        <v>1370</v>
      </c>
      <c r="N181" s="341" t="str">
        <f t="shared" si="235"/>
        <v>-</v>
      </c>
      <c r="O181" s="350">
        <f t="shared" si="172"/>
        <v>5.3294950595191785E-2</v>
      </c>
    </row>
    <row r="182" spans="1:15" ht="24" thickBot="1" x14ac:dyDescent="0.35">
      <c r="A182" s="277" t="s">
        <v>108</v>
      </c>
      <c r="B182" s="977"/>
      <c r="C182" s="304"/>
      <c r="D182" s="305" t="s">
        <v>53</v>
      </c>
      <c r="E182" s="287">
        <v>0</v>
      </c>
      <c r="F182" s="288"/>
      <c r="G182" s="323">
        <f>SUM(G179:G181)</f>
        <v>6418</v>
      </c>
      <c r="H182" s="324">
        <f t="shared" ref="H182:I182" si="238">SUM(H179:H181)</f>
        <v>5616</v>
      </c>
      <c r="I182" s="324">
        <f t="shared" si="238"/>
        <v>802</v>
      </c>
      <c r="J182" s="348" t="str">
        <f>IFERROR(G182/#REF!,"-")</f>
        <v>-</v>
      </c>
      <c r="K182" s="323">
        <f t="shared" ref="K182" si="239">SUM(K179:K181)</f>
        <v>25706</v>
      </c>
      <c r="L182" s="324">
        <f>SUM(L179:L181)</f>
        <v>24336</v>
      </c>
      <c r="M182" s="325">
        <f t="shared" ref="M182" si="240">SUM(M179:M181)</f>
        <v>1370</v>
      </c>
      <c r="N182" s="342" t="str">
        <f t="shared" si="235"/>
        <v>-</v>
      </c>
      <c r="O182" s="348">
        <f t="shared" si="172"/>
        <v>5.3294950595191785E-2</v>
      </c>
    </row>
    <row r="183" spans="1:15" ht="23.4" x14ac:dyDescent="0.3">
      <c r="A183" s="277" t="s">
        <v>108</v>
      </c>
      <c r="B183" s="977"/>
      <c r="C183" s="300" t="s">
        <v>339</v>
      </c>
      <c r="D183" s="300"/>
      <c r="E183" s="273">
        <v>0</v>
      </c>
      <c r="F183" s="274"/>
      <c r="G183" s="335">
        <f t="shared" ref="G183:G185" si="241">+H183+I183</f>
        <v>0</v>
      </c>
      <c r="H183" s="275">
        <v>0</v>
      </c>
      <c r="I183" s="275">
        <v>0</v>
      </c>
      <c r="J183" s="354" t="str">
        <f>IFERROR(G183/#REF!,"-")</f>
        <v>-</v>
      </c>
      <c r="K183" s="335">
        <f t="shared" ref="K183:K185" si="242">+L183+M183</f>
        <v>0</v>
      </c>
      <c r="L183" s="275">
        <f t="shared" ref="L183:M183" si="243">+H183+L79</f>
        <v>0</v>
      </c>
      <c r="M183" s="276">
        <f t="shared" si="243"/>
        <v>0</v>
      </c>
      <c r="N183" s="339" t="str">
        <f t="shared" si="235"/>
        <v>-</v>
      </c>
      <c r="O183" s="349" t="str">
        <f t="shared" si="172"/>
        <v>-</v>
      </c>
    </row>
    <row r="184" spans="1:15" ht="23.4" x14ac:dyDescent="0.3">
      <c r="A184" s="277" t="s">
        <v>108</v>
      </c>
      <c r="B184" s="977"/>
      <c r="C184" s="306" t="s">
        <v>373</v>
      </c>
      <c r="D184" s="306" t="s">
        <v>254</v>
      </c>
      <c r="E184" s="279">
        <v>0</v>
      </c>
      <c r="F184" s="280"/>
      <c r="G184" s="336">
        <f t="shared" si="241"/>
        <v>1872</v>
      </c>
      <c r="H184" s="281">
        <v>1872</v>
      </c>
      <c r="I184" s="281">
        <v>0</v>
      </c>
      <c r="J184" s="355" t="str">
        <f>IFERROR(G184/#REF!,"-")</f>
        <v>-</v>
      </c>
      <c r="K184" s="336">
        <f t="shared" si="242"/>
        <v>1872</v>
      </c>
      <c r="L184" s="275">
        <f t="shared" ref="L184:M184" si="244">+H184+L80</f>
        <v>1872</v>
      </c>
      <c r="M184" s="276">
        <f t="shared" si="244"/>
        <v>0</v>
      </c>
      <c r="N184" s="340" t="str">
        <f t="shared" si="235"/>
        <v>-</v>
      </c>
      <c r="O184" s="264">
        <f t="shared" si="172"/>
        <v>0</v>
      </c>
    </row>
    <row r="185" spans="1:15" ht="24" thickBot="1" x14ac:dyDescent="0.35">
      <c r="A185" s="277" t="s">
        <v>108</v>
      </c>
      <c r="B185" s="977"/>
      <c r="C185" s="303" t="s">
        <v>145</v>
      </c>
      <c r="D185" s="303"/>
      <c r="E185" s="283">
        <v>0</v>
      </c>
      <c r="F185" s="284"/>
      <c r="G185" s="337">
        <f t="shared" si="241"/>
        <v>0</v>
      </c>
      <c r="H185" s="285">
        <v>0</v>
      </c>
      <c r="I185" s="285">
        <v>0</v>
      </c>
      <c r="J185" s="356" t="str">
        <f>IFERROR(G185/#REF!,"-")</f>
        <v>-</v>
      </c>
      <c r="K185" s="337">
        <f t="shared" si="242"/>
        <v>0</v>
      </c>
      <c r="L185" s="275">
        <f t="shared" ref="L185:M185" si="245">+H185+L81</f>
        <v>0</v>
      </c>
      <c r="M185" s="276">
        <f t="shared" si="245"/>
        <v>0</v>
      </c>
      <c r="N185" s="341" t="str">
        <f t="shared" si="235"/>
        <v>-</v>
      </c>
      <c r="O185" s="350" t="str">
        <f t="shared" si="172"/>
        <v>-</v>
      </c>
    </row>
    <row r="186" spans="1:15" ht="24" thickBot="1" x14ac:dyDescent="0.35">
      <c r="A186" s="277" t="s">
        <v>108</v>
      </c>
      <c r="B186" s="977"/>
      <c r="C186" s="307"/>
      <c r="D186" s="308" t="s">
        <v>54</v>
      </c>
      <c r="E186" s="309">
        <v>0</v>
      </c>
      <c r="F186" s="310"/>
      <c r="G186" s="369">
        <f>SUM(G183:G185)</f>
        <v>1872</v>
      </c>
      <c r="H186" s="368">
        <f t="shared" ref="H186:I186" si="246">SUM(H183:H185)</f>
        <v>1872</v>
      </c>
      <c r="I186" s="368">
        <f t="shared" si="246"/>
        <v>0</v>
      </c>
      <c r="J186" s="359" t="str">
        <f>IFERROR(G186/#REF!,"-")</f>
        <v>-</v>
      </c>
      <c r="K186" s="369">
        <f t="shared" ref="K186:M186" si="247">SUM(K183:K185)</f>
        <v>1872</v>
      </c>
      <c r="L186" s="368">
        <f t="shared" si="247"/>
        <v>1872</v>
      </c>
      <c r="M186" s="370">
        <f t="shared" si="247"/>
        <v>0</v>
      </c>
      <c r="N186" s="358" t="str">
        <f t="shared" si="235"/>
        <v>-</v>
      </c>
      <c r="O186" s="359">
        <f t="shared" si="172"/>
        <v>0</v>
      </c>
    </row>
    <row r="187" spans="1:15" ht="24" thickBot="1" x14ac:dyDescent="0.35">
      <c r="A187" s="277" t="s">
        <v>108</v>
      </c>
      <c r="B187" s="978" t="s">
        <v>171</v>
      </c>
      <c r="C187" s="979"/>
      <c r="D187" s="980"/>
      <c r="E187" s="311">
        <v>0</v>
      </c>
      <c r="F187" s="312">
        <v>50000</v>
      </c>
      <c r="G187" s="372">
        <f>+G182+G186</f>
        <v>8290</v>
      </c>
      <c r="H187" s="371">
        <f t="shared" ref="H187:I187" si="248">+H182+H186</f>
        <v>7488</v>
      </c>
      <c r="I187" s="371">
        <f t="shared" si="248"/>
        <v>802</v>
      </c>
      <c r="J187" s="361" t="str">
        <f>IFERROR(G187/#REF!,"-")</f>
        <v>-</v>
      </c>
      <c r="K187" s="372">
        <f t="shared" ref="K187:M187" si="249">+K182+K186</f>
        <v>27578</v>
      </c>
      <c r="L187" s="371">
        <f t="shared" si="249"/>
        <v>26208</v>
      </c>
      <c r="M187" s="373">
        <f t="shared" si="249"/>
        <v>1370</v>
      </c>
      <c r="N187" s="360" t="str">
        <f t="shared" si="235"/>
        <v>-</v>
      </c>
      <c r="O187" s="361">
        <f t="shared" si="172"/>
        <v>4.9677278990499674E-2</v>
      </c>
    </row>
    <row r="188" spans="1:15" ht="24" thickBot="1" x14ac:dyDescent="0.35">
      <c r="A188" s="277" t="s">
        <v>108</v>
      </c>
      <c r="B188" s="608" t="s">
        <v>32</v>
      </c>
      <c r="C188" s="706"/>
      <c r="D188" s="313" t="s">
        <v>32</v>
      </c>
      <c r="E188" s="290">
        <v>0</v>
      </c>
      <c r="F188" s="291">
        <v>110000</v>
      </c>
      <c r="G188" s="338">
        <f t="shared" ref="G188" si="250">+H188+I188</f>
        <v>0</v>
      </c>
      <c r="H188" s="292">
        <v>0</v>
      </c>
      <c r="I188" s="292">
        <v>0</v>
      </c>
      <c r="J188" s="357" t="str">
        <f>IFERROR(G188/#REF!,"-")</f>
        <v>-</v>
      </c>
      <c r="K188" s="338">
        <f>+L188+M188</f>
        <v>0</v>
      </c>
      <c r="L188" s="292">
        <f>+H188</f>
        <v>0</v>
      </c>
      <c r="M188" s="293">
        <f>+I188</f>
        <v>0</v>
      </c>
      <c r="N188" s="343" t="str">
        <f t="shared" si="235"/>
        <v>-</v>
      </c>
      <c r="O188" s="351" t="str">
        <f t="shared" si="172"/>
        <v>-</v>
      </c>
    </row>
    <row r="189" spans="1:15" ht="24" thickBot="1" x14ac:dyDescent="0.35">
      <c r="A189" s="277" t="s">
        <v>108</v>
      </c>
      <c r="B189" s="981" t="s">
        <v>21</v>
      </c>
      <c r="C189" s="982"/>
      <c r="D189" s="983"/>
      <c r="E189" s="329">
        <f>+E178+E187+E188</f>
        <v>0</v>
      </c>
      <c r="F189" s="330">
        <f t="shared" ref="F189" si="251">+F178+F187+F188</f>
        <v>240000</v>
      </c>
      <c r="G189" s="329">
        <f>+G178+G187+G188</f>
        <v>147520</v>
      </c>
      <c r="H189" s="327">
        <f t="shared" ref="H189:I189" si="252">+H178+H187+H188</f>
        <v>146718</v>
      </c>
      <c r="I189" s="327">
        <f t="shared" si="252"/>
        <v>802</v>
      </c>
      <c r="J189" s="352" t="str">
        <f>IFERROR(G189/#REF!,"-")</f>
        <v>-</v>
      </c>
      <c r="K189" s="329">
        <f>+K178+K187+K188</f>
        <v>251925</v>
      </c>
      <c r="L189" s="327">
        <f>+L178+L187+L188</f>
        <v>248976</v>
      </c>
      <c r="M189" s="328">
        <f t="shared" ref="M189" si="253">+M178+M187+M188</f>
        <v>2949</v>
      </c>
      <c r="N189" s="344" t="str">
        <f t="shared" si="235"/>
        <v>-</v>
      </c>
      <c r="O189" s="352">
        <f t="shared" si="172"/>
        <v>1.1705864840726407E-2</v>
      </c>
    </row>
    <row r="190" spans="1:15" ht="24" thickBot="1" x14ac:dyDescent="0.35">
      <c r="A190" s="277" t="s">
        <v>108</v>
      </c>
      <c r="B190" s="984" t="s">
        <v>179</v>
      </c>
      <c r="C190" s="962"/>
      <c r="D190" s="963"/>
      <c r="E190" s="333">
        <f>+E189</f>
        <v>0</v>
      </c>
      <c r="F190" s="334">
        <f t="shared" ref="F190:I190" si="254">+F189</f>
        <v>240000</v>
      </c>
      <c r="G190" s="333">
        <f t="shared" si="254"/>
        <v>147520</v>
      </c>
      <c r="H190" s="331">
        <f t="shared" si="254"/>
        <v>146718</v>
      </c>
      <c r="I190" s="331">
        <f t="shared" si="254"/>
        <v>802</v>
      </c>
      <c r="J190" s="353" t="str">
        <f>+J189</f>
        <v>-</v>
      </c>
      <c r="K190" s="333">
        <f>+K189</f>
        <v>251925</v>
      </c>
      <c r="L190" s="331">
        <f t="shared" ref="L190" si="255">+L189</f>
        <v>248976</v>
      </c>
      <c r="M190" s="332">
        <f>+M189</f>
        <v>2949</v>
      </c>
      <c r="N190" s="345" t="str">
        <f t="shared" ref="N190:O190" si="256">+N189</f>
        <v>-</v>
      </c>
      <c r="O190" s="353">
        <f t="shared" si="256"/>
        <v>1.1705864840726407E-2</v>
      </c>
    </row>
    <row r="191" spans="1:15" ht="23.4" x14ac:dyDescent="0.3">
      <c r="A191" s="271" t="s">
        <v>109</v>
      </c>
      <c r="B191" s="970" t="s">
        <v>33</v>
      </c>
      <c r="C191" s="314" t="s">
        <v>120</v>
      </c>
      <c r="D191" s="314"/>
      <c r="E191" s="273">
        <v>0</v>
      </c>
      <c r="F191" s="274"/>
      <c r="G191" s="335">
        <f t="shared" ref="G191:G193" si="257">+H191+I191</f>
        <v>0</v>
      </c>
      <c r="H191" s="275">
        <v>0</v>
      </c>
      <c r="I191" s="275">
        <v>0</v>
      </c>
      <c r="J191" s="354" t="str">
        <f>IFERROR(G191/#REF!,"-")</f>
        <v>-</v>
      </c>
      <c r="K191" s="335">
        <f t="shared" ref="K191:K193" si="258">+L191+M191</f>
        <v>0</v>
      </c>
      <c r="L191" s="275">
        <f t="shared" ref="L191:M191" si="259">+H191+L87</f>
        <v>0</v>
      </c>
      <c r="M191" s="276">
        <f t="shared" si="259"/>
        <v>0</v>
      </c>
      <c r="N191" s="339" t="str">
        <f t="shared" ref="N191:N198" si="260">IFERROR(K191/E191,"-")</f>
        <v>-</v>
      </c>
      <c r="O191" s="349" t="str">
        <f t="shared" ref="O191:O216" si="261">IFERROR(M191/K191,"-")</f>
        <v>-</v>
      </c>
    </row>
    <row r="192" spans="1:15" ht="23.4" x14ac:dyDescent="0.3">
      <c r="A192" s="277" t="s">
        <v>109</v>
      </c>
      <c r="B192" s="972"/>
      <c r="C192" s="315" t="s">
        <v>267</v>
      </c>
      <c r="D192" s="315"/>
      <c r="E192" s="279">
        <v>0</v>
      </c>
      <c r="F192" s="280"/>
      <c r="G192" s="336">
        <f t="shared" si="257"/>
        <v>0</v>
      </c>
      <c r="H192" s="281">
        <v>0</v>
      </c>
      <c r="I192" s="281">
        <v>0</v>
      </c>
      <c r="J192" s="355" t="str">
        <f>IFERROR(G192/#REF!,"-")</f>
        <v>-</v>
      </c>
      <c r="K192" s="336">
        <f t="shared" si="258"/>
        <v>0</v>
      </c>
      <c r="L192" s="275">
        <f t="shared" ref="L192:M192" si="262">+H192+L88</f>
        <v>0</v>
      </c>
      <c r="M192" s="276">
        <f t="shared" si="262"/>
        <v>0</v>
      </c>
      <c r="N192" s="340" t="str">
        <f t="shared" si="260"/>
        <v>-</v>
      </c>
      <c r="O192" s="264" t="str">
        <f t="shared" si="261"/>
        <v>-</v>
      </c>
    </row>
    <row r="193" spans="1:15" ht="24" thickBot="1" x14ac:dyDescent="0.35">
      <c r="A193" s="277" t="s">
        <v>109</v>
      </c>
      <c r="B193" s="971"/>
      <c r="C193" s="316" t="s">
        <v>34</v>
      </c>
      <c r="D193" s="316"/>
      <c r="E193" s="283">
        <v>0</v>
      </c>
      <c r="F193" s="284"/>
      <c r="G193" s="337">
        <f t="shared" si="257"/>
        <v>0</v>
      </c>
      <c r="H193" s="285">
        <v>0</v>
      </c>
      <c r="I193" s="285">
        <v>0</v>
      </c>
      <c r="J193" s="356" t="str">
        <f>IFERROR(G193/#REF!,"-")</f>
        <v>-</v>
      </c>
      <c r="K193" s="337">
        <f t="shared" si="258"/>
        <v>0</v>
      </c>
      <c r="L193" s="275">
        <f t="shared" ref="L193:M193" si="263">+H193+L89</f>
        <v>0</v>
      </c>
      <c r="M193" s="276">
        <f t="shared" si="263"/>
        <v>0</v>
      </c>
      <c r="N193" s="341" t="str">
        <f t="shared" si="260"/>
        <v>-</v>
      </c>
      <c r="O193" s="350" t="str">
        <f t="shared" si="261"/>
        <v>-</v>
      </c>
    </row>
    <row r="194" spans="1:15" ht="24" thickBot="1" x14ac:dyDescent="0.35">
      <c r="A194" s="277" t="s">
        <v>109</v>
      </c>
      <c r="B194" s="967" t="s">
        <v>35</v>
      </c>
      <c r="C194" s="968"/>
      <c r="D194" s="969"/>
      <c r="E194" s="287">
        <v>0</v>
      </c>
      <c r="F194" s="288"/>
      <c r="G194" s="323">
        <f>SUM(G191:G193)</f>
        <v>0</v>
      </c>
      <c r="H194" s="324">
        <f t="shared" ref="H194:I194" si="264">SUM(H191:H193)</f>
        <v>0</v>
      </c>
      <c r="I194" s="324">
        <f t="shared" si="264"/>
        <v>0</v>
      </c>
      <c r="J194" s="348" t="str">
        <f>IFERROR(G194/#REF!,"-")</f>
        <v>-</v>
      </c>
      <c r="K194" s="323">
        <f t="shared" ref="K194:M194" si="265">SUM(K191:K193)</f>
        <v>0</v>
      </c>
      <c r="L194" s="324">
        <f t="shared" si="265"/>
        <v>0</v>
      </c>
      <c r="M194" s="325">
        <f t="shared" si="265"/>
        <v>0</v>
      </c>
      <c r="N194" s="342" t="str">
        <f t="shared" si="260"/>
        <v>-</v>
      </c>
      <c r="O194" s="348" t="str">
        <f t="shared" si="261"/>
        <v>-</v>
      </c>
    </row>
    <row r="195" spans="1:15" ht="23.4" x14ac:dyDescent="0.3">
      <c r="A195" s="277" t="s">
        <v>109</v>
      </c>
      <c r="B195" s="970" t="s">
        <v>36</v>
      </c>
      <c r="C195" s="314" t="s">
        <v>120</v>
      </c>
      <c r="D195" s="314"/>
      <c r="E195" s="273">
        <v>0</v>
      </c>
      <c r="F195" s="274"/>
      <c r="G195" s="335">
        <f t="shared" ref="G195:G198" si="266">+H195+I195</f>
        <v>0</v>
      </c>
      <c r="H195" s="275">
        <v>0</v>
      </c>
      <c r="I195" s="275">
        <v>0</v>
      </c>
      <c r="J195" s="354" t="str">
        <f>IFERROR(G195/#REF!,"-")</f>
        <v>-</v>
      </c>
      <c r="K195" s="335">
        <f t="shared" ref="K195:K198" si="267">+L195+M195</f>
        <v>0</v>
      </c>
      <c r="L195" s="275">
        <f t="shared" ref="L195:M195" si="268">+H195+L91</f>
        <v>0</v>
      </c>
      <c r="M195" s="276">
        <f t="shared" si="268"/>
        <v>0</v>
      </c>
      <c r="N195" s="339" t="str">
        <f t="shared" si="260"/>
        <v>-</v>
      </c>
      <c r="O195" s="349" t="str">
        <f t="shared" si="261"/>
        <v>-</v>
      </c>
    </row>
    <row r="196" spans="1:15" ht="23.4" x14ac:dyDescent="0.3">
      <c r="A196" s="277" t="s">
        <v>109</v>
      </c>
      <c r="B196" s="972"/>
      <c r="C196" s="315" t="s">
        <v>267</v>
      </c>
      <c r="D196" s="315"/>
      <c r="E196" s="279">
        <v>0</v>
      </c>
      <c r="F196" s="280"/>
      <c r="G196" s="336">
        <f t="shared" si="266"/>
        <v>0</v>
      </c>
      <c r="H196" s="281">
        <v>0</v>
      </c>
      <c r="I196" s="281">
        <v>0</v>
      </c>
      <c r="J196" s="355" t="str">
        <f>IFERROR(G196/#REF!,"-")</f>
        <v>-</v>
      </c>
      <c r="K196" s="336">
        <f t="shared" si="267"/>
        <v>0</v>
      </c>
      <c r="L196" s="275">
        <f t="shared" ref="L196:M196" si="269">+H196+L92</f>
        <v>0</v>
      </c>
      <c r="M196" s="276">
        <f t="shared" si="269"/>
        <v>0</v>
      </c>
      <c r="N196" s="340" t="str">
        <f t="shared" si="260"/>
        <v>-</v>
      </c>
      <c r="O196" s="264" t="str">
        <f t="shared" si="261"/>
        <v>-</v>
      </c>
    </row>
    <row r="197" spans="1:15" ht="23.4" x14ac:dyDescent="0.3">
      <c r="A197" s="277" t="s">
        <v>109</v>
      </c>
      <c r="B197" s="972"/>
      <c r="C197" s="315" t="s">
        <v>198</v>
      </c>
      <c r="D197" s="315"/>
      <c r="E197" s="279">
        <v>0</v>
      </c>
      <c r="F197" s="280"/>
      <c r="G197" s="336">
        <f t="shared" si="266"/>
        <v>0</v>
      </c>
      <c r="H197" s="281">
        <v>0</v>
      </c>
      <c r="I197" s="281">
        <v>0</v>
      </c>
      <c r="J197" s="355" t="str">
        <f>IFERROR(G197/#REF!,"-")</f>
        <v>-</v>
      </c>
      <c r="K197" s="336">
        <f t="shared" si="267"/>
        <v>0</v>
      </c>
      <c r="L197" s="275">
        <f t="shared" ref="L197:M197" si="270">+H197+L93</f>
        <v>0</v>
      </c>
      <c r="M197" s="276">
        <f t="shared" si="270"/>
        <v>0</v>
      </c>
      <c r="N197" s="340" t="str">
        <f t="shared" si="260"/>
        <v>-</v>
      </c>
      <c r="O197" s="264" t="str">
        <f t="shared" si="261"/>
        <v>-</v>
      </c>
    </row>
    <row r="198" spans="1:15" ht="24" thickBot="1" x14ac:dyDescent="0.35">
      <c r="A198" s="277" t="s">
        <v>109</v>
      </c>
      <c r="B198" s="971"/>
      <c r="C198" s="316" t="s">
        <v>37</v>
      </c>
      <c r="D198" s="316"/>
      <c r="E198" s="283">
        <v>0</v>
      </c>
      <c r="F198" s="284"/>
      <c r="G198" s="337">
        <f t="shared" si="266"/>
        <v>0</v>
      </c>
      <c r="H198" s="285">
        <v>0</v>
      </c>
      <c r="I198" s="285">
        <v>0</v>
      </c>
      <c r="J198" s="356" t="str">
        <f>IFERROR(G198/#REF!,"-")</f>
        <v>-</v>
      </c>
      <c r="K198" s="337">
        <f t="shared" si="267"/>
        <v>0</v>
      </c>
      <c r="L198" s="275">
        <f t="shared" ref="L198:M198" si="271">+H198+L94</f>
        <v>0</v>
      </c>
      <c r="M198" s="276">
        <f t="shared" si="271"/>
        <v>0</v>
      </c>
      <c r="N198" s="341" t="str">
        <f t="shared" si="260"/>
        <v>-</v>
      </c>
      <c r="O198" s="350" t="str">
        <f t="shared" si="261"/>
        <v>-</v>
      </c>
    </row>
    <row r="199" spans="1:15" ht="24" thickBot="1" x14ac:dyDescent="0.35">
      <c r="A199" s="277" t="s">
        <v>109</v>
      </c>
      <c r="B199" s="967" t="s">
        <v>38</v>
      </c>
      <c r="C199" s="968"/>
      <c r="D199" s="969"/>
      <c r="E199" s="287">
        <v>0</v>
      </c>
      <c r="F199" s="288">
        <v>6500</v>
      </c>
      <c r="G199" s="323">
        <f>SUM(G195:G198)</f>
        <v>0</v>
      </c>
      <c r="H199" s="324">
        <f t="shared" ref="H199:I199" si="272">SUM(H195:H198)</f>
        <v>0</v>
      </c>
      <c r="I199" s="324">
        <f t="shared" si="272"/>
        <v>0</v>
      </c>
      <c r="J199" s="348" t="str">
        <f>IFERROR(G199/#REF!,"-")</f>
        <v>-</v>
      </c>
      <c r="K199" s="323">
        <f t="shared" ref="K199:M199" si="273">SUM(K195:K198)</f>
        <v>0</v>
      </c>
      <c r="L199" s="324">
        <f t="shared" si="273"/>
        <v>0</v>
      </c>
      <c r="M199" s="325">
        <f t="shared" si="273"/>
        <v>0</v>
      </c>
      <c r="N199" s="342" t="str">
        <f>IFERROR(K199/E199,"-")</f>
        <v>-</v>
      </c>
      <c r="O199" s="348" t="str">
        <f t="shared" si="261"/>
        <v>-</v>
      </c>
    </row>
    <row r="200" spans="1:15" ht="23.4" x14ac:dyDescent="0.3">
      <c r="A200" s="277" t="s">
        <v>109</v>
      </c>
      <c r="B200" s="970" t="s">
        <v>39</v>
      </c>
      <c r="C200" s="317" t="s">
        <v>123</v>
      </c>
      <c r="D200" s="317"/>
      <c r="E200" s="273">
        <v>0</v>
      </c>
      <c r="F200" s="274"/>
      <c r="G200" s="335">
        <f t="shared" ref="G200:G201" si="274">+H200+I200</f>
        <v>0</v>
      </c>
      <c r="H200" s="275">
        <v>0</v>
      </c>
      <c r="I200" s="275">
        <v>0</v>
      </c>
      <c r="J200" s="354" t="str">
        <f>IFERROR(G200/#REF!,"-")</f>
        <v>-</v>
      </c>
      <c r="K200" s="335">
        <f t="shared" ref="K200:K201" si="275">+L200+M200</f>
        <v>0</v>
      </c>
      <c r="L200" s="275">
        <f t="shared" ref="L200:M200" si="276">+H200+L96</f>
        <v>0</v>
      </c>
      <c r="M200" s="276">
        <f t="shared" si="276"/>
        <v>0</v>
      </c>
      <c r="N200" s="339" t="str">
        <f t="shared" ref="N200:N216" si="277">IFERROR(K200/E200,"-")</f>
        <v>-</v>
      </c>
      <c r="O200" s="349" t="str">
        <f t="shared" si="261"/>
        <v>-</v>
      </c>
    </row>
    <row r="201" spans="1:15" ht="24" thickBot="1" x14ac:dyDescent="0.35">
      <c r="A201" s="277" t="s">
        <v>109</v>
      </c>
      <c r="B201" s="971"/>
      <c r="C201" s="289" t="s">
        <v>139</v>
      </c>
      <c r="D201" s="289"/>
      <c r="E201" s="283">
        <v>0</v>
      </c>
      <c r="F201" s="284"/>
      <c r="G201" s="337">
        <f t="shared" si="274"/>
        <v>0</v>
      </c>
      <c r="H201" s="285">
        <v>0</v>
      </c>
      <c r="I201" s="285">
        <v>0</v>
      </c>
      <c r="J201" s="356" t="str">
        <f>IFERROR(G201/#REF!,"-")</f>
        <v>-</v>
      </c>
      <c r="K201" s="337">
        <f t="shared" si="275"/>
        <v>240</v>
      </c>
      <c r="L201" s="275">
        <f t="shared" ref="L201:M201" si="278">+H201+L97</f>
        <v>240</v>
      </c>
      <c r="M201" s="276">
        <f t="shared" si="278"/>
        <v>0</v>
      </c>
      <c r="N201" s="341" t="str">
        <f t="shared" si="277"/>
        <v>-</v>
      </c>
      <c r="O201" s="350">
        <f t="shared" si="261"/>
        <v>0</v>
      </c>
    </row>
    <row r="202" spans="1:15" ht="24" thickBot="1" x14ac:dyDescent="0.35">
      <c r="A202" s="709" t="s">
        <v>109</v>
      </c>
      <c r="B202" s="967" t="s">
        <v>40</v>
      </c>
      <c r="C202" s="968"/>
      <c r="D202" s="969"/>
      <c r="E202" s="287">
        <v>0</v>
      </c>
      <c r="F202" s="288">
        <v>2800</v>
      </c>
      <c r="G202" s="323">
        <f>SUM(G200:G201)</f>
        <v>0</v>
      </c>
      <c r="H202" s="324">
        <f t="shared" ref="H202:I202" si="279">SUM(H200:H201)</f>
        <v>0</v>
      </c>
      <c r="I202" s="324">
        <f t="shared" si="279"/>
        <v>0</v>
      </c>
      <c r="J202" s="348" t="str">
        <f>IFERROR(G202/#REF!,"-")</f>
        <v>-</v>
      </c>
      <c r="K202" s="323">
        <f t="shared" ref="K202:M202" si="280">SUM(K200:K201)</f>
        <v>240</v>
      </c>
      <c r="L202" s="324">
        <f t="shared" si="280"/>
        <v>240</v>
      </c>
      <c r="M202" s="325">
        <f t="shared" si="280"/>
        <v>0</v>
      </c>
      <c r="N202" s="342" t="str">
        <f t="shared" si="277"/>
        <v>-</v>
      </c>
      <c r="O202" s="348">
        <f t="shared" si="261"/>
        <v>0</v>
      </c>
    </row>
    <row r="203" spans="1:15" ht="23.4" x14ac:dyDescent="0.3">
      <c r="A203" s="277" t="s">
        <v>109</v>
      </c>
      <c r="B203" s="970" t="s">
        <v>41</v>
      </c>
      <c r="C203" s="272" t="s">
        <v>335</v>
      </c>
      <c r="D203" s="272"/>
      <c r="E203" s="273">
        <v>0</v>
      </c>
      <c r="F203" s="318"/>
      <c r="G203" s="335">
        <f t="shared" ref="G203:G207" si="281">+H203+I203</f>
        <v>14680</v>
      </c>
      <c r="H203" s="275">
        <v>14436</v>
      </c>
      <c r="I203" s="275">
        <v>244</v>
      </c>
      <c r="J203" s="374" t="str">
        <f>IFERROR(G203/#REF!,"-")</f>
        <v>-</v>
      </c>
      <c r="K203" s="335">
        <f t="shared" ref="K203:K207" si="282">+L203+M203</f>
        <v>29905</v>
      </c>
      <c r="L203" s="275">
        <f t="shared" ref="L203:M203" si="283">+H203+L99</f>
        <v>29556</v>
      </c>
      <c r="M203" s="276">
        <f t="shared" si="283"/>
        <v>349</v>
      </c>
      <c r="N203" s="362" t="str">
        <f t="shared" si="277"/>
        <v>-</v>
      </c>
      <c r="O203" s="363">
        <f t="shared" si="261"/>
        <v>1.1670289249289416E-2</v>
      </c>
    </row>
    <row r="204" spans="1:15" ht="23.4" x14ac:dyDescent="0.3">
      <c r="A204" s="277" t="s">
        <v>109</v>
      </c>
      <c r="B204" s="972"/>
      <c r="C204" s="272" t="s">
        <v>336</v>
      </c>
      <c r="D204" s="278"/>
      <c r="E204" s="279">
        <v>0</v>
      </c>
      <c r="F204" s="319"/>
      <c r="G204" s="336">
        <f t="shared" si="281"/>
        <v>0</v>
      </c>
      <c r="H204" s="281">
        <v>0</v>
      </c>
      <c r="I204" s="281">
        <v>0</v>
      </c>
      <c r="J204" s="375" t="str">
        <f>IFERROR(G204/#REF!,"-")</f>
        <v>-</v>
      </c>
      <c r="K204" s="336">
        <f t="shared" si="282"/>
        <v>0</v>
      </c>
      <c r="L204" s="275">
        <f t="shared" ref="L204:M204" si="284">+H204+L100</f>
        <v>0</v>
      </c>
      <c r="M204" s="276">
        <f t="shared" si="284"/>
        <v>0</v>
      </c>
      <c r="N204" s="364" t="str">
        <f t="shared" si="277"/>
        <v>-</v>
      </c>
      <c r="O204" s="365" t="str">
        <f t="shared" si="261"/>
        <v>-</v>
      </c>
    </row>
    <row r="205" spans="1:15" ht="23.4" x14ac:dyDescent="0.3">
      <c r="A205" s="277" t="s">
        <v>109</v>
      </c>
      <c r="B205" s="972"/>
      <c r="C205" s="278" t="s">
        <v>383</v>
      </c>
      <c r="D205" s="278"/>
      <c r="E205" s="279">
        <v>0</v>
      </c>
      <c r="F205" s="319"/>
      <c r="G205" s="336">
        <f t="shared" si="281"/>
        <v>0</v>
      </c>
      <c r="H205" s="281">
        <v>0</v>
      </c>
      <c r="I205" s="281">
        <v>0</v>
      </c>
      <c r="J205" s="375" t="str">
        <f>IFERROR(G205/#REF!,"-")</f>
        <v>-</v>
      </c>
      <c r="K205" s="336">
        <f t="shared" si="282"/>
        <v>0</v>
      </c>
      <c r="L205" s="275">
        <f t="shared" ref="L205:M205" si="285">+H205+L101</f>
        <v>0</v>
      </c>
      <c r="M205" s="276">
        <f t="shared" si="285"/>
        <v>0</v>
      </c>
      <c r="N205" s="364" t="str">
        <f t="shared" si="277"/>
        <v>-</v>
      </c>
      <c r="O205" s="365" t="str">
        <f t="shared" si="261"/>
        <v>-</v>
      </c>
    </row>
    <row r="206" spans="1:15" ht="23.4" x14ac:dyDescent="0.3">
      <c r="A206" s="277" t="s">
        <v>109</v>
      </c>
      <c r="B206" s="972"/>
      <c r="C206" s="278" t="s">
        <v>165</v>
      </c>
      <c r="D206" s="278"/>
      <c r="E206" s="279">
        <v>0</v>
      </c>
      <c r="F206" s="319"/>
      <c r="G206" s="336">
        <f t="shared" si="281"/>
        <v>0</v>
      </c>
      <c r="H206" s="281">
        <v>0</v>
      </c>
      <c r="I206" s="281">
        <v>0</v>
      </c>
      <c r="J206" s="375" t="str">
        <f>IFERROR(G206/#REF!,"-")</f>
        <v>-</v>
      </c>
      <c r="K206" s="336">
        <f t="shared" si="282"/>
        <v>0</v>
      </c>
      <c r="L206" s="275">
        <f t="shared" ref="L206:M206" si="286">+H206+L102</f>
        <v>0</v>
      </c>
      <c r="M206" s="276">
        <f t="shared" si="286"/>
        <v>0</v>
      </c>
      <c r="N206" s="364" t="str">
        <f t="shared" si="277"/>
        <v>-</v>
      </c>
      <c r="O206" s="365" t="str">
        <f t="shared" si="261"/>
        <v>-</v>
      </c>
    </row>
    <row r="207" spans="1:15" ht="24" thickBot="1" x14ac:dyDescent="0.35">
      <c r="A207" s="277" t="s">
        <v>109</v>
      </c>
      <c r="B207" s="971"/>
      <c r="C207" s="282" t="s">
        <v>166</v>
      </c>
      <c r="D207" s="282"/>
      <c r="E207" s="283">
        <v>0</v>
      </c>
      <c r="F207" s="320"/>
      <c r="G207" s="337">
        <f t="shared" si="281"/>
        <v>0</v>
      </c>
      <c r="H207" s="285">
        <v>0</v>
      </c>
      <c r="I207" s="285">
        <v>0</v>
      </c>
      <c r="J207" s="376" t="str">
        <f>IFERROR(G207/#REF!,"-")</f>
        <v>-</v>
      </c>
      <c r="K207" s="337">
        <f t="shared" si="282"/>
        <v>0</v>
      </c>
      <c r="L207" s="275">
        <f t="shared" ref="L207:M207" si="287">+H207+L103</f>
        <v>0</v>
      </c>
      <c r="M207" s="276">
        <f t="shared" si="287"/>
        <v>0</v>
      </c>
      <c r="N207" s="366" t="str">
        <f t="shared" si="277"/>
        <v>-</v>
      </c>
      <c r="O207" s="367" t="str">
        <f t="shared" si="261"/>
        <v>-</v>
      </c>
    </row>
    <row r="208" spans="1:15" ht="24" thickBot="1" x14ac:dyDescent="0.35">
      <c r="A208" s="277" t="s">
        <v>109</v>
      </c>
      <c r="B208" s="967" t="s">
        <v>42</v>
      </c>
      <c r="C208" s="968"/>
      <c r="D208" s="969"/>
      <c r="E208" s="323">
        <v>0</v>
      </c>
      <c r="F208" s="288">
        <v>25000</v>
      </c>
      <c r="G208" s="323">
        <f>SUM(G204:G207)</f>
        <v>0</v>
      </c>
      <c r="H208" s="324">
        <f>SUM(H203:H207)</f>
        <v>14436</v>
      </c>
      <c r="I208" s="324">
        <f t="shared" ref="I208" si="288">SUM(I204:I207)</f>
        <v>0</v>
      </c>
      <c r="J208" s="348" t="str">
        <f>IFERROR(G208/#REF!,"-")</f>
        <v>-</v>
      </c>
      <c r="K208" s="323">
        <f>SUM(K203:K207)</f>
        <v>29905</v>
      </c>
      <c r="L208" s="324">
        <f>SUM(L203:L207)</f>
        <v>29556</v>
      </c>
      <c r="M208" s="325">
        <f>SUM(M203:M207)</f>
        <v>349</v>
      </c>
      <c r="N208" s="342" t="str">
        <f t="shared" si="277"/>
        <v>-</v>
      </c>
      <c r="O208" s="348">
        <f t="shared" si="261"/>
        <v>1.1670289249289416E-2</v>
      </c>
    </row>
    <row r="209" spans="1:15" ht="23.4" x14ac:dyDescent="0.3">
      <c r="A209" s="277" t="s">
        <v>109</v>
      </c>
      <c r="B209" s="970" t="s">
        <v>43</v>
      </c>
      <c r="C209" s="272" t="s">
        <v>200</v>
      </c>
      <c r="D209" s="272"/>
      <c r="E209" s="273">
        <v>0</v>
      </c>
      <c r="F209" s="274"/>
      <c r="G209" s="335">
        <f t="shared" ref="G209:G211" si="289">+H209+I209</f>
        <v>0</v>
      </c>
      <c r="H209" s="275">
        <v>0</v>
      </c>
      <c r="I209" s="275">
        <v>0</v>
      </c>
      <c r="J209" s="354" t="str">
        <f>IFERROR(G209/#REF!,"-")</f>
        <v>-</v>
      </c>
      <c r="K209" s="335">
        <f t="shared" ref="K209:K211" si="290">+L209+M209</f>
        <v>0</v>
      </c>
      <c r="L209" s="275">
        <f t="shared" ref="L209:M209" si="291">+H209+L105</f>
        <v>0</v>
      </c>
      <c r="M209" s="276">
        <f t="shared" si="291"/>
        <v>0</v>
      </c>
      <c r="N209" s="339" t="str">
        <f t="shared" si="277"/>
        <v>-</v>
      </c>
      <c r="O209" s="349" t="str">
        <f t="shared" si="261"/>
        <v>-</v>
      </c>
    </row>
    <row r="210" spans="1:15" ht="23.4" x14ac:dyDescent="0.3">
      <c r="A210" s="277" t="s">
        <v>109</v>
      </c>
      <c r="B210" s="972"/>
      <c r="C210" s="278" t="s">
        <v>167</v>
      </c>
      <c r="D210" s="278"/>
      <c r="E210" s="279">
        <v>0</v>
      </c>
      <c r="F210" s="280"/>
      <c r="G210" s="336">
        <f t="shared" si="289"/>
        <v>6436</v>
      </c>
      <c r="H210" s="281">
        <v>5760</v>
      </c>
      <c r="I210" s="281">
        <v>676</v>
      </c>
      <c r="J210" s="375" t="str">
        <f>IFERROR(G210/#REF!,"-")</f>
        <v>-</v>
      </c>
      <c r="K210" s="336">
        <f t="shared" si="290"/>
        <v>6436</v>
      </c>
      <c r="L210" s="729">
        <f t="shared" ref="L210:M210" si="292">+H210+L106</f>
        <v>5760</v>
      </c>
      <c r="M210" s="276">
        <f t="shared" si="292"/>
        <v>676</v>
      </c>
      <c r="N210" s="364" t="str">
        <f t="shared" si="277"/>
        <v>-</v>
      </c>
      <c r="O210" s="365">
        <f t="shared" si="261"/>
        <v>0.10503418272218769</v>
      </c>
    </row>
    <row r="211" spans="1:15" ht="24" thickBot="1" x14ac:dyDescent="0.35">
      <c r="A211" s="277" t="s">
        <v>109</v>
      </c>
      <c r="B211" s="971"/>
      <c r="C211" s="282" t="s">
        <v>200</v>
      </c>
      <c r="D211" s="282"/>
      <c r="E211" s="283">
        <v>0</v>
      </c>
      <c r="F211" s="284"/>
      <c r="G211" s="337">
        <f t="shared" si="289"/>
        <v>0</v>
      </c>
      <c r="H211" s="285">
        <v>0</v>
      </c>
      <c r="I211" s="285">
        <v>0</v>
      </c>
      <c r="J211" s="376" t="str">
        <f>IFERROR(G211/#REF!,"-")</f>
        <v>-</v>
      </c>
      <c r="K211" s="337">
        <f t="shared" si="290"/>
        <v>0</v>
      </c>
      <c r="L211" s="275">
        <f t="shared" ref="L211:M211" si="293">+H211+L107</f>
        <v>0</v>
      </c>
      <c r="M211" s="276">
        <f t="shared" si="293"/>
        <v>0</v>
      </c>
      <c r="N211" s="366" t="str">
        <f t="shared" si="277"/>
        <v>-</v>
      </c>
      <c r="O211" s="367" t="str">
        <f t="shared" si="261"/>
        <v>-</v>
      </c>
    </row>
    <row r="212" spans="1:15" ht="24" thickBot="1" x14ac:dyDescent="0.35">
      <c r="A212" s="277" t="s">
        <v>109</v>
      </c>
      <c r="B212" s="973" t="s">
        <v>44</v>
      </c>
      <c r="C212" s="974"/>
      <c r="D212" s="975"/>
      <c r="E212" s="323">
        <v>0</v>
      </c>
      <c r="F212" s="288"/>
      <c r="G212" s="323">
        <f>SUM(G209:G211)</f>
        <v>6436</v>
      </c>
      <c r="H212" s="324">
        <f t="shared" ref="H212:I212" si="294">SUM(H209:H211)</f>
        <v>5760</v>
      </c>
      <c r="I212" s="324">
        <f t="shared" si="294"/>
        <v>676</v>
      </c>
      <c r="J212" s="348" t="str">
        <f>IFERROR(G212/#REF!,"-")</f>
        <v>-</v>
      </c>
      <c r="K212" s="323">
        <f t="shared" ref="K212:M212" si="295">SUM(K209:K211)</f>
        <v>6436</v>
      </c>
      <c r="L212" s="324">
        <f t="shared" si="295"/>
        <v>5760</v>
      </c>
      <c r="M212" s="325">
        <f t="shared" si="295"/>
        <v>676</v>
      </c>
      <c r="N212" s="342" t="str">
        <f t="shared" si="277"/>
        <v>-</v>
      </c>
      <c r="O212" s="348">
        <f t="shared" si="261"/>
        <v>0.10503418272218769</v>
      </c>
    </row>
    <row r="213" spans="1:15" ht="23.4" x14ac:dyDescent="0.3">
      <c r="A213" s="277" t="s">
        <v>109</v>
      </c>
      <c r="B213" s="970" t="s">
        <v>45</v>
      </c>
      <c r="C213" s="272" t="s">
        <v>168</v>
      </c>
      <c r="D213" s="272"/>
      <c r="E213" s="273">
        <v>0</v>
      </c>
      <c r="F213" s="274"/>
      <c r="G213" s="335">
        <f t="shared" ref="G213:G214" si="296">+H213+I213</f>
        <v>0</v>
      </c>
      <c r="H213" s="275">
        <v>0</v>
      </c>
      <c r="I213" s="275">
        <v>0</v>
      </c>
      <c r="J213" s="374" t="str">
        <f>IFERROR(G213/#REF!,"-")</f>
        <v>-</v>
      </c>
      <c r="K213" s="335">
        <f t="shared" ref="K213:K214" si="297">+L213+M213</f>
        <v>0</v>
      </c>
      <c r="L213" s="275">
        <f t="shared" ref="L213:M213" si="298">+H213+L109</f>
        <v>0</v>
      </c>
      <c r="M213" s="276">
        <f t="shared" si="298"/>
        <v>0</v>
      </c>
      <c r="N213" s="362" t="str">
        <f t="shared" si="277"/>
        <v>-</v>
      </c>
      <c r="O213" s="363" t="str">
        <f t="shared" si="261"/>
        <v>-</v>
      </c>
    </row>
    <row r="214" spans="1:15" ht="24" thickBot="1" x14ac:dyDescent="0.35">
      <c r="A214" s="277" t="s">
        <v>109</v>
      </c>
      <c r="B214" s="971"/>
      <c r="C214" s="282" t="s">
        <v>169</v>
      </c>
      <c r="D214" s="282"/>
      <c r="E214" s="283">
        <v>0</v>
      </c>
      <c r="F214" s="284"/>
      <c r="G214" s="337">
        <f t="shared" si="296"/>
        <v>0</v>
      </c>
      <c r="H214" s="285">
        <v>0</v>
      </c>
      <c r="I214" s="285">
        <v>0</v>
      </c>
      <c r="J214" s="376" t="str">
        <f>IFERROR(G214/#REF!,"-")</f>
        <v>-</v>
      </c>
      <c r="K214" s="337">
        <f t="shared" si="297"/>
        <v>0</v>
      </c>
      <c r="L214" s="275">
        <f t="shared" ref="L214:M214" si="299">+H214+L110</f>
        <v>0</v>
      </c>
      <c r="M214" s="276">
        <f t="shared" si="299"/>
        <v>0</v>
      </c>
      <c r="N214" s="366" t="str">
        <f t="shared" si="277"/>
        <v>-</v>
      </c>
      <c r="O214" s="367" t="str">
        <f t="shared" si="261"/>
        <v>-</v>
      </c>
    </row>
    <row r="215" spans="1:15" ht="24" thickBot="1" x14ac:dyDescent="0.35">
      <c r="A215" s="277" t="s">
        <v>109</v>
      </c>
      <c r="B215" s="973" t="s">
        <v>46</v>
      </c>
      <c r="C215" s="974"/>
      <c r="D215" s="975"/>
      <c r="E215" s="287">
        <v>0</v>
      </c>
      <c r="F215" s="288">
        <v>25000</v>
      </c>
      <c r="G215" s="323">
        <f>SUM(G213:G214)</f>
        <v>0</v>
      </c>
      <c r="H215" s="324">
        <f t="shared" ref="H215:I215" si="300">SUM(H213:H214)</f>
        <v>0</v>
      </c>
      <c r="I215" s="324">
        <f t="shared" si="300"/>
        <v>0</v>
      </c>
      <c r="J215" s="348" t="str">
        <f>IFERROR(G215/#REF!,"-")</f>
        <v>-</v>
      </c>
      <c r="K215" s="323">
        <f t="shared" ref="K215:M215" si="301">SUM(K213:K214)</f>
        <v>0</v>
      </c>
      <c r="L215" s="324">
        <f t="shared" si="301"/>
        <v>0</v>
      </c>
      <c r="M215" s="325">
        <f t="shared" si="301"/>
        <v>0</v>
      </c>
      <c r="N215" s="342" t="str">
        <f t="shared" si="277"/>
        <v>-</v>
      </c>
      <c r="O215" s="348" t="str">
        <f t="shared" si="261"/>
        <v>-</v>
      </c>
    </row>
    <row r="216" spans="1:15" ht="24" thickBot="1" x14ac:dyDescent="0.35">
      <c r="A216" s="277" t="s">
        <v>109</v>
      </c>
      <c r="B216" s="959" t="s">
        <v>25</v>
      </c>
      <c r="C216" s="960"/>
      <c r="D216" s="961"/>
      <c r="E216" s="329">
        <f t="shared" ref="E216:F216" si="302">+E194+E199+E202+E208+E212+E215</f>
        <v>0</v>
      </c>
      <c r="F216" s="330">
        <f t="shared" si="302"/>
        <v>59300</v>
      </c>
      <c r="G216" s="329">
        <f>+G194+G199+G202+G208+G212+G215</f>
        <v>6436</v>
      </c>
      <c r="H216" s="327">
        <f>+H194+H199+H202+H208+H212+H215</f>
        <v>20196</v>
      </c>
      <c r="I216" s="327">
        <f t="shared" ref="I216" si="303">+I194+I199+I202+I208+I212+I215</f>
        <v>676</v>
      </c>
      <c r="J216" s="352" t="str">
        <f>IFERROR(G216/#REF!,"-")</f>
        <v>-</v>
      </c>
      <c r="K216" s="329">
        <f>+K194+K199+K202+K208+K212+K215</f>
        <v>36581</v>
      </c>
      <c r="L216" s="327">
        <f t="shared" ref="L216:M216" si="304">+L194+L199+L202+L208+L212+L215</f>
        <v>35556</v>
      </c>
      <c r="M216" s="328">
        <f t="shared" si="304"/>
        <v>1025</v>
      </c>
      <c r="N216" s="344" t="str">
        <f t="shared" si="277"/>
        <v>-</v>
      </c>
      <c r="O216" s="352">
        <f t="shared" si="261"/>
        <v>2.8020010387906292E-2</v>
      </c>
    </row>
    <row r="217" spans="1:15" ht="24" thickBot="1" x14ac:dyDescent="0.35">
      <c r="A217" s="321" t="s">
        <v>109</v>
      </c>
      <c r="B217" s="962" t="s">
        <v>181</v>
      </c>
      <c r="C217" s="962"/>
      <c r="D217" s="963"/>
      <c r="E217" s="333">
        <f>+E216</f>
        <v>0</v>
      </c>
      <c r="F217" s="334">
        <f t="shared" ref="F217:O217" si="305">+F216</f>
        <v>59300</v>
      </c>
      <c r="G217" s="333">
        <f t="shared" si="305"/>
        <v>6436</v>
      </c>
      <c r="H217" s="331">
        <f t="shared" si="305"/>
        <v>20196</v>
      </c>
      <c r="I217" s="331">
        <f t="shared" si="305"/>
        <v>676</v>
      </c>
      <c r="J217" s="353" t="str">
        <f t="shared" si="305"/>
        <v>-</v>
      </c>
      <c r="K217" s="333">
        <f t="shared" si="305"/>
        <v>36581</v>
      </c>
      <c r="L217" s="331">
        <f t="shared" si="305"/>
        <v>35556</v>
      </c>
      <c r="M217" s="332">
        <f t="shared" si="305"/>
        <v>1025</v>
      </c>
      <c r="N217" s="345" t="str">
        <f t="shared" si="305"/>
        <v>-</v>
      </c>
      <c r="O217" s="353">
        <f t="shared" si="305"/>
        <v>2.8020010387906292E-2</v>
      </c>
    </row>
    <row r="218" spans="1:15" ht="24.6" thickBot="1" x14ac:dyDescent="0.35">
      <c r="A218" s="322"/>
      <c r="B218" s="964" t="s">
        <v>182</v>
      </c>
      <c r="C218" s="965"/>
      <c r="D218" s="966"/>
      <c r="E218" s="377">
        <f>+E163+E190+E217</f>
        <v>0</v>
      </c>
      <c r="F218" s="377">
        <f>+F163+F190+F217</f>
        <v>748300</v>
      </c>
      <c r="G218" s="377">
        <f>+G163+G190+G217</f>
        <v>469828</v>
      </c>
      <c r="H218" s="377">
        <f>+H163+H190+H217</f>
        <v>482014</v>
      </c>
      <c r="I218" s="377">
        <f>+I163+I190+I217</f>
        <v>2250</v>
      </c>
      <c r="J218" s="378" t="str">
        <f>IFERROR(G218/#REF!,"-")</f>
        <v>-</v>
      </c>
      <c r="K218" s="377">
        <f>+K163+K190+K217</f>
        <v>802198</v>
      </c>
      <c r="L218" s="377">
        <f>+L163+L190+L217</f>
        <v>796360</v>
      </c>
      <c r="M218" s="377">
        <f>+M163+M190+M217</f>
        <v>5838</v>
      </c>
      <c r="N218" s="378" t="str">
        <f>IFERROR(K218/E218,"-")</f>
        <v>-</v>
      </c>
      <c r="O218" s="378">
        <f>IFERROR(M218/K218,"-")</f>
        <v>7.2775050548617671E-3</v>
      </c>
    </row>
    <row r="219" spans="1:15" ht="23.4" x14ac:dyDescent="0.3">
      <c r="A219" s="991" t="s">
        <v>1</v>
      </c>
      <c r="B219" s="994" t="s">
        <v>2</v>
      </c>
      <c r="C219" s="997" t="s">
        <v>3</v>
      </c>
      <c r="D219" s="997" t="s">
        <v>93</v>
      </c>
      <c r="E219" s="1000" t="s">
        <v>4</v>
      </c>
      <c r="F219" s="1001"/>
      <c r="G219" s="1001"/>
      <c r="H219" s="1001"/>
      <c r="I219" s="1001"/>
      <c r="J219" s="1001"/>
      <c r="K219" s="1001"/>
      <c r="L219" s="1001"/>
      <c r="M219" s="1001"/>
      <c r="N219" s="1001"/>
      <c r="O219" s="1002"/>
    </row>
    <row r="220" spans="1:15" ht="23.4" x14ac:dyDescent="0.3">
      <c r="A220" s="992"/>
      <c r="B220" s="995"/>
      <c r="C220" s="998"/>
      <c r="D220" s="998"/>
      <c r="E220" s="1003" t="s">
        <v>7</v>
      </c>
      <c r="F220" s="1005" t="s">
        <v>115</v>
      </c>
      <c r="G220" s="1007">
        <v>44535</v>
      </c>
      <c r="H220" s="1008"/>
      <c r="I220" s="1008"/>
      <c r="J220" s="1009"/>
      <c r="K220" s="1010" t="s">
        <v>8</v>
      </c>
      <c r="L220" s="1011"/>
      <c r="M220" s="1012"/>
      <c r="N220" s="1013" t="s">
        <v>173</v>
      </c>
      <c r="O220" s="1015" t="s">
        <v>172</v>
      </c>
    </row>
    <row r="221" spans="1:15" ht="41.4" thickBot="1" x14ac:dyDescent="0.35">
      <c r="A221" s="993"/>
      <c r="B221" s="996"/>
      <c r="C221" s="999"/>
      <c r="D221" s="999"/>
      <c r="E221" s="1004"/>
      <c r="F221" s="1006"/>
      <c r="G221" s="455" t="s">
        <v>13</v>
      </c>
      <c r="H221" s="456" t="s">
        <v>14</v>
      </c>
      <c r="I221" s="456" t="s">
        <v>15</v>
      </c>
      <c r="J221" s="457" t="s">
        <v>174</v>
      </c>
      <c r="K221" s="712" t="s">
        <v>13</v>
      </c>
      <c r="L221" s="710" t="s">
        <v>14</v>
      </c>
      <c r="M221" s="711" t="s">
        <v>15</v>
      </c>
      <c r="N221" s="1014"/>
      <c r="O221" s="1016"/>
    </row>
    <row r="222" spans="1:15" ht="24" thickBot="1" x14ac:dyDescent="0.35">
      <c r="A222" s="271" t="s">
        <v>110</v>
      </c>
      <c r="B222" s="956" t="s">
        <v>16</v>
      </c>
      <c r="C222" s="272" t="s">
        <v>424</v>
      </c>
      <c r="D222" s="272" t="s">
        <v>425</v>
      </c>
      <c r="E222" s="273">
        <v>20000</v>
      </c>
      <c r="F222" s="274"/>
      <c r="G222" s="335">
        <f>+H222+I222</f>
        <v>15571</v>
      </c>
      <c r="H222" s="275">
        <v>15360</v>
      </c>
      <c r="I222" s="275">
        <v>211</v>
      </c>
      <c r="J222" s="354" t="str">
        <f>IFERROR(G222/#REF!,"-")</f>
        <v>-</v>
      </c>
      <c r="K222" s="461">
        <f>+L222+M222</f>
        <v>19324</v>
      </c>
      <c r="L222" s="732">
        <f>+H222+L118</f>
        <v>18880</v>
      </c>
      <c r="M222" s="732">
        <f>+I222+M118</f>
        <v>444</v>
      </c>
      <c r="N222" s="339">
        <f>IFERROR(K222/E222,"-")</f>
        <v>0.96619999999999995</v>
      </c>
      <c r="O222" s="346">
        <f t="shared" ref="O222:O223" si="306">IFERROR(M222/K222,"-")</f>
        <v>2.2976609397640239E-2</v>
      </c>
    </row>
    <row r="223" spans="1:15" ht="23.4" x14ac:dyDescent="0.3">
      <c r="A223" s="277" t="s">
        <v>110</v>
      </c>
      <c r="B223" s="957"/>
      <c r="C223" s="278" t="s">
        <v>438</v>
      </c>
      <c r="D223" s="278" t="s">
        <v>437</v>
      </c>
      <c r="E223" s="279">
        <v>50000</v>
      </c>
      <c r="F223" s="280"/>
      <c r="G223" s="336">
        <f t="shared" ref="G223:G225" si="307">+H223+I223</f>
        <v>0</v>
      </c>
      <c r="H223" s="281">
        <v>0</v>
      </c>
      <c r="I223" s="281">
        <v>0</v>
      </c>
      <c r="J223" s="355" t="str">
        <f>IFERROR(G223/#REF!,"-")</f>
        <v>-</v>
      </c>
      <c r="K223" s="734">
        <f t="shared" ref="K223:K225" si="308">+L223+M223</f>
        <v>0</v>
      </c>
      <c r="L223" s="532">
        <f t="shared" ref="L223:M223" si="309">+H223+L119</f>
        <v>0</v>
      </c>
      <c r="M223" s="463">
        <f t="shared" si="309"/>
        <v>0</v>
      </c>
      <c r="N223" s="340">
        <f t="shared" ref="N223:N225" si="310">IFERROR(K223/E223,"-")</f>
        <v>0</v>
      </c>
      <c r="O223" s="268" t="str">
        <f t="shared" si="306"/>
        <v>-</v>
      </c>
    </row>
    <row r="224" spans="1:15" ht="23.4" x14ac:dyDescent="0.3">
      <c r="A224" s="277" t="s">
        <v>110</v>
      </c>
      <c r="B224" s="957"/>
      <c r="C224" s="278" t="s">
        <v>186</v>
      </c>
      <c r="D224" s="278" t="s">
        <v>184</v>
      </c>
      <c r="E224" s="279">
        <v>0</v>
      </c>
      <c r="F224" s="280"/>
      <c r="G224" s="336">
        <f t="shared" si="307"/>
        <v>0</v>
      </c>
      <c r="H224" s="281">
        <v>0</v>
      </c>
      <c r="I224" s="281">
        <v>0</v>
      </c>
      <c r="J224" s="355" t="str">
        <f>IFERROR(G224/#REF!,"-")</f>
        <v>-</v>
      </c>
      <c r="K224" s="734">
        <f t="shared" si="308"/>
        <v>0</v>
      </c>
      <c r="L224" s="279">
        <f t="shared" ref="L224:M224" si="311">+H224+L120</f>
        <v>0</v>
      </c>
      <c r="M224" s="439">
        <f t="shared" si="311"/>
        <v>0</v>
      </c>
      <c r="N224" s="340" t="str">
        <f t="shared" si="310"/>
        <v>-</v>
      </c>
      <c r="O224" s="268" t="str">
        <f>IFERROR(M224/K224,"-")</f>
        <v>-</v>
      </c>
    </row>
    <row r="225" spans="1:15" ht="24" thickBot="1" x14ac:dyDescent="0.35">
      <c r="A225" s="277" t="s">
        <v>110</v>
      </c>
      <c r="B225" s="958"/>
      <c r="C225" s="282" t="s">
        <v>250</v>
      </c>
      <c r="D225" s="282" t="s">
        <v>436</v>
      </c>
      <c r="E225" s="283">
        <v>30000</v>
      </c>
      <c r="F225" s="284"/>
      <c r="G225" s="337">
        <f t="shared" si="307"/>
        <v>0</v>
      </c>
      <c r="H225" s="285">
        <v>0</v>
      </c>
      <c r="I225" s="285">
        <v>0</v>
      </c>
      <c r="J225" s="356" t="str">
        <f>IFERROR(G225/#REF!,"-")</f>
        <v>-</v>
      </c>
      <c r="K225" s="735">
        <f t="shared" si="308"/>
        <v>0</v>
      </c>
      <c r="L225" s="535">
        <f t="shared" ref="L225:M225" si="312">+H225+L121</f>
        <v>0</v>
      </c>
      <c r="M225" s="466">
        <f t="shared" si="312"/>
        <v>0</v>
      </c>
      <c r="N225" s="341">
        <f t="shared" si="310"/>
        <v>0</v>
      </c>
      <c r="O225" s="347" t="str">
        <f t="shared" ref="O225:O243" si="313">IFERROR(M225/K225,"-")</f>
        <v>-</v>
      </c>
    </row>
    <row r="226" spans="1:15" ht="24" thickBot="1" x14ac:dyDescent="0.35">
      <c r="A226" s="277" t="s">
        <v>110</v>
      </c>
      <c r="B226" s="967" t="s">
        <v>47</v>
      </c>
      <c r="C226" s="968"/>
      <c r="D226" s="969"/>
      <c r="E226" s="323">
        <f>SUM(E222:E225)</f>
        <v>100000</v>
      </c>
      <c r="F226" s="288">
        <v>15000</v>
      </c>
      <c r="G226" s="323">
        <f>SUM(G222:G225)</f>
        <v>15571</v>
      </c>
      <c r="H226" s="324">
        <f t="shared" ref="H226:I226" si="314">SUM(H222:H225)</f>
        <v>15360</v>
      </c>
      <c r="I226" s="324">
        <f t="shared" si="314"/>
        <v>211</v>
      </c>
      <c r="J226" s="348" t="str">
        <f>IFERROR(G226/#REF!,"-")</f>
        <v>-</v>
      </c>
      <c r="K226" s="323">
        <f t="shared" ref="K226:M226" si="315">SUM(K222:K225)</f>
        <v>19324</v>
      </c>
      <c r="L226" s="736">
        <f t="shared" si="315"/>
        <v>18880</v>
      </c>
      <c r="M226" s="737">
        <f t="shared" si="315"/>
        <v>444</v>
      </c>
      <c r="N226" s="342">
        <f>IFERROR(K226/E226,"-")</f>
        <v>0.19324</v>
      </c>
      <c r="O226" s="348">
        <f t="shared" si="313"/>
        <v>2.2976609397640239E-2</v>
      </c>
    </row>
    <row r="227" spans="1:15" ht="23.4" x14ac:dyDescent="0.3">
      <c r="A227" s="277" t="s">
        <v>110</v>
      </c>
      <c r="B227" s="956" t="s">
        <v>17</v>
      </c>
      <c r="C227" s="272" t="s">
        <v>320</v>
      </c>
      <c r="D227" s="272"/>
      <c r="E227" s="273">
        <v>0</v>
      </c>
      <c r="F227" s="274"/>
      <c r="G227" s="335">
        <f t="shared" ref="G227:G233" si="316">+H227+I227</f>
        <v>0</v>
      </c>
      <c r="H227" s="275">
        <v>0</v>
      </c>
      <c r="I227" s="275">
        <v>0</v>
      </c>
      <c r="J227" s="354" t="str">
        <f>IFERROR(G227/#REF!,"-")</f>
        <v>-</v>
      </c>
      <c r="K227" s="738">
        <f t="shared" ref="K227:K233" si="317">+L227+M227</f>
        <v>0</v>
      </c>
      <c r="L227" s="532">
        <f t="shared" ref="L227:M227" si="318">+H227+L123</f>
        <v>0</v>
      </c>
      <c r="M227" s="463">
        <f t="shared" si="318"/>
        <v>0</v>
      </c>
      <c r="N227" s="339" t="str">
        <f t="shared" ref="N227:N233" si="319">IFERROR(K227/E227,"-")</f>
        <v>-</v>
      </c>
      <c r="O227" s="349" t="str">
        <f t="shared" si="313"/>
        <v>-</v>
      </c>
    </row>
    <row r="228" spans="1:15" ht="23.4" x14ac:dyDescent="0.3">
      <c r="A228" s="277" t="s">
        <v>110</v>
      </c>
      <c r="B228" s="957"/>
      <c r="C228" s="278" t="s">
        <v>382</v>
      </c>
      <c r="D228" s="278" t="s">
        <v>252</v>
      </c>
      <c r="E228" s="279">
        <v>2000000</v>
      </c>
      <c r="F228" s="280"/>
      <c r="G228" s="336">
        <f t="shared" si="316"/>
        <v>0</v>
      </c>
      <c r="H228" s="281">
        <v>0</v>
      </c>
      <c r="I228" s="281">
        <v>0</v>
      </c>
      <c r="J228" s="355" t="str">
        <f>IFERROR(G228/#REF!,"-")</f>
        <v>-</v>
      </c>
      <c r="K228" s="734">
        <f t="shared" si="317"/>
        <v>6120</v>
      </c>
      <c r="L228" s="279">
        <f t="shared" ref="L228:M228" si="320">+H228+L124</f>
        <v>6120</v>
      </c>
      <c r="M228" s="439">
        <f t="shared" si="320"/>
        <v>0</v>
      </c>
      <c r="N228" s="340">
        <f t="shared" si="319"/>
        <v>3.0599999999999998E-3</v>
      </c>
      <c r="O228" s="264">
        <f t="shared" si="313"/>
        <v>0</v>
      </c>
    </row>
    <row r="229" spans="1:15" ht="23.4" x14ac:dyDescent="0.3">
      <c r="A229" s="277" t="s">
        <v>110</v>
      </c>
      <c r="B229" s="957"/>
      <c r="C229" s="278" t="s">
        <v>422</v>
      </c>
      <c r="D229" s="278" t="s">
        <v>201</v>
      </c>
      <c r="E229" s="279">
        <v>1000000</v>
      </c>
      <c r="F229" s="280"/>
      <c r="G229" s="336">
        <f t="shared" si="316"/>
        <v>98060</v>
      </c>
      <c r="H229" s="281">
        <v>97920</v>
      </c>
      <c r="I229" s="281">
        <v>140</v>
      </c>
      <c r="J229" s="355" t="str">
        <f>IFERROR(G229/#REF!,"-")</f>
        <v>-</v>
      </c>
      <c r="K229" s="734">
        <f t="shared" si="317"/>
        <v>393019</v>
      </c>
      <c r="L229" s="279">
        <f t="shared" ref="L229:M229" si="321">+H229+L125</f>
        <v>391680</v>
      </c>
      <c r="M229" s="439">
        <f t="shared" si="321"/>
        <v>1339</v>
      </c>
      <c r="N229" s="340">
        <f t="shared" si="319"/>
        <v>0.39301900000000001</v>
      </c>
      <c r="O229" s="264">
        <f t="shared" si="313"/>
        <v>3.4069599688564675E-3</v>
      </c>
    </row>
    <row r="230" spans="1:15" ht="23.4" x14ac:dyDescent="0.3">
      <c r="A230" s="277" t="s">
        <v>110</v>
      </c>
      <c r="B230" s="957"/>
      <c r="C230" s="278" t="s">
        <v>319</v>
      </c>
      <c r="D230" s="278" t="s">
        <v>202</v>
      </c>
      <c r="E230" s="279">
        <v>0</v>
      </c>
      <c r="F230" s="280"/>
      <c r="G230" s="336">
        <f t="shared" si="316"/>
        <v>0</v>
      </c>
      <c r="H230" s="281">
        <v>0</v>
      </c>
      <c r="I230" s="281">
        <v>0</v>
      </c>
      <c r="J230" s="355" t="str">
        <f>IFERROR(G230/#REF!,"-")</f>
        <v>-</v>
      </c>
      <c r="K230" s="734">
        <f t="shared" si="317"/>
        <v>0</v>
      </c>
      <c r="L230" s="279">
        <f t="shared" ref="L230:M230" si="322">+H230+L126</f>
        <v>0</v>
      </c>
      <c r="M230" s="439">
        <f t="shared" si="322"/>
        <v>0</v>
      </c>
      <c r="N230" s="340" t="str">
        <f t="shared" si="319"/>
        <v>-</v>
      </c>
      <c r="O230" s="264" t="str">
        <f t="shared" si="313"/>
        <v>-</v>
      </c>
    </row>
    <row r="231" spans="1:15" ht="23.4" x14ac:dyDescent="0.3">
      <c r="A231" s="277" t="s">
        <v>110</v>
      </c>
      <c r="B231" s="957"/>
      <c r="C231" s="278" t="s">
        <v>358</v>
      </c>
      <c r="D231" s="278" t="s">
        <v>352</v>
      </c>
      <c r="E231" s="279">
        <v>500000</v>
      </c>
      <c r="F231" s="280"/>
      <c r="G231" s="336">
        <f t="shared" si="316"/>
        <v>0</v>
      </c>
      <c r="H231" s="281">
        <v>0</v>
      </c>
      <c r="I231" s="281">
        <v>0</v>
      </c>
      <c r="J231" s="355" t="str">
        <f>IFERROR(G231/#REF!,"-")</f>
        <v>-</v>
      </c>
      <c r="K231" s="734">
        <f t="shared" si="317"/>
        <v>0</v>
      </c>
      <c r="L231" s="279">
        <f t="shared" ref="L231:M231" si="323">+H231+L127</f>
        <v>0</v>
      </c>
      <c r="M231" s="439">
        <f t="shared" si="323"/>
        <v>0</v>
      </c>
      <c r="N231" s="340">
        <f t="shared" si="319"/>
        <v>0</v>
      </c>
      <c r="O231" s="264" t="str">
        <f t="shared" si="313"/>
        <v>-</v>
      </c>
    </row>
    <row r="232" spans="1:15" ht="23.4" x14ac:dyDescent="0.3">
      <c r="A232" s="277" t="s">
        <v>110</v>
      </c>
      <c r="B232" s="957"/>
      <c r="C232" s="278" t="s">
        <v>392</v>
      </c>
      <c r="D232" s="278" t="s">
        <v>203</v>
      </c>
      <c r="E232" s="279">
        <v>0</v>
      </c>
      <c r="F232" s="280"/>
      <c r="G232" s="336">
        <f t="shared" si="316"/>
        <v>0</v>
      </c>
      <c r="H232" s="281">
        <v>0</v>
      </c>
      <c r="I232" s="281">
        <v>0</v>
      </c>
      <c r="J232" s="355" t="str">
        <f>IFERROR(G232/#REF!,"-")</f>
        <v>-</v>
      </c>
      <c r="K232" s="734">
        <f t="shared" si="317"/>
        <v>0</v>
      </c>
      <c r="L232" s="279">
        <f t="shared" ref="L232:M232" si="324">+H232+L128</f>
        <v>0</v>
      </c>
      <c r="M232" s="439">
        <f t="shared" si="324"/>
        <v>0</v>
      </c>
      <c r="N232" s="340" t="str">
        <f t="shared" si="319"/>
        <v>-</v>
      </c>
      <c r="O232" s="264" t="str">
        <f t="shared" si="313"/>
        <v>-</v>
      </c>
    </row>
    <row r="233" spans="1:15" ht="24" thickBot="1" x14ac:dyDescent="0.35">
      <c r="A233" s="277" t="s">
        <v>110</v>
      </c>
      <c r="B233" s="958"/>
      <c r="C233" s="282" t="s">
        <v>379</v>
      </c>
      <c r="D233" s="282" t="s">
        <v>252</v>
      </c>
      <c r="E233" s="283">
        <v>0</v>
      </c>
      <c r="F233" s="284"/>
      <c r="G233" s="337">
        <f t="shared" si="316"/>
        <v>0</v>
      </c>
      <c r="H233" s="285">
        <v>0</v>
      </c>
      <c r="I233" s="285">
        <v>0</v>
      </c>
      <c r="J233" s="356" t="str">
        <f>IFERROR(G233/#REF!,"-")</f>
        <v>-</v>
      </c>
      <c r="K233" s="735">
        <f t="shared" si="317"/>
        <v>0</v>
      </c>
      <c r="L233" s="535">
        <f t="shared" ref="L233:M233" si="325">+H233+L129</f>
        <v>0</v>
      </c>
      <c r="M233" s="466">
        <f t="shared" si="325"/>
        <v>0</v>
      </c>
      <c r="N233" s="341" t="str">
        <f t="shared" si="319"/>
        <v>-</v>
      </c>
      <c r="O233" s="350" t="str">
        <f t="shared" si="313"/>
        <v>-</v>
      </c>
    </row>
    <row r="234" spans="1:15" ht="24" thickBot="1" x14ac:dyDescent="0.35">
      <c r="A234" s="277" t="s">
        <v>110</v>
      </c>
      <c r="B234" s="967" t="s">
        <v>48</v>
      </c>
      <c r="C234" s="968"/>
      <c r="D234" s="969"/>
      <c r="E234" s="323">
        <f>SUM(E227:E233)</f>
        <v>3500000</v>
      </c>
      <c r="F234" s="288">
        <v>100000</v>
      </c>
      <c r="G234" s="323">
        <f>SUM(G227:G233)</f>
        <v>98060</v>
      </c>
      <c r="H234" s="324">
        <f t="shared" ref="H234:I234" si="326">SUM(H227:H233)</f>
        <v>97920</v>
      </c>
      <c r="I234" s="324">
        <f t="shared" si="326"/>
        <v>140</v>
      </c>
      <c r="J234" s="348" t="str">
        <f>IFERROR(G234/#REF!,"-")</f>
        <v>-</v>
      </c>
      <c r="K234" s="323">
        <f>SUM(K227:K233)</f>
        <v>399139</v>
      </c>
      <c r="L234" s="524">
        <f>SUM(L227:L233)</f>
        <v>397800</v>
      </c>
      <c r="M234" s="733">
        <f t="shared" ref="M234" si="327">SUM(M227:M233)</f>
        <v>1339</v>
      </c>
      <c r="N234" s="342">
        <f>IFERROR(K234/E234,"-")</f>
        <v>0.11403971428571429</v>
      </c>
      <c r="O234" s="348">
        <f t="shared" si="313"/>
        <v>3.3547210370322117E-3</v>
      </c>
    </row>
    <row r="235" spans="1:15" ht="23.4" x14ac:dyDescent="0.3">
      <c r="A235" s="277" t="s">
        <v>110</v>
      </c>
      <c r="B235" s="956" t="s">
        <v>18</v>
      </c>
      <c r="C235" s="272" t="s">
        <v>344</v>
      </c>
      <c r="D235" s="272" t="s">
        <v>99</v>
      </c>
      <c r="E235" s="273">
        <v>0</v>
      </c>
      <c r="F235" s="274"/>
      <c r="G235" s="335">
        <f t="shared" ref="G235:G241" si="328">+H235+I235</f>
        <v>0</v>
      </c>
      <c r="H235" s="275">
        <v>0</v>
      </c>
      <c r="I235" s="275">
        <v>0</v>
      </c>
      <c r="J235" s="354" t="str">
        <f>IFERROR(G235/#REF!,"-")</f>
        <v>-</v>
      </c>
      <c r="K235" s="335">
        <f t="shared" ref="K235:K241" si="329">+L235+M235</f>
        <v>0</v>
      </c>
      <c r="L235" s="275">
        <f t="shared" ref="L235:M235" si="330">+H235+L131</f>
        <v>0</v>
      </c>
      <c r="M235" s="276">
        <f t="shared" si="330"/>
        <v>0</v>
      </c>
      <c r="N235" s="339" t="str">
        <f t="shared" ref="N235:N242" si="331">IFERROR(K235/E235,"-")</f>
        <v>-</v>
      </c>
      <c r="O235" s="349" t="str">
        <f t="shared" si="313"/>
        <v>-</v>
      </c>
    </row>
    <row r="236" spans="1:15" ht="23.4" x14ac:dyDescent="0.3">
      <c r="A236" s="277" t="s">
        <v>110</v>
      </c>
      <c r="B236" s="957"/>
      <c r="C236" s="278" t="s">
        <v>253</v>
      </c>
      <c r="D236" s="278" t="s">
        <v>254</v>
      </c>
      <c r="E236" s="279">
        <v>0</v>
      </c>
      <c r="F236" s="280"/>
      <c r="G236" s="336">
        <f t="shared" si="328"/>
        <v>0</v>
      </c>
      <c r="H236" s="281">
        <v>0</v>
      </c>
      <c r="I236" s="281">
        <v>0</v>
      </c>
      <c r="J236" s="355" t="str">
        <f>IFERROR(G236/#REF!,"-")</f>
        <v>-</v>
      </c>
      <c r="K236" s="336">
        <f t="shared" si="329"/>
        <v>0</v>
      </c>
      <c r="L236" s="275">
        <f t="shared" ref="L236:M236" si="332">+H236+L132</f>
        <v>0</v>
      </c>
      <c r="M236" s="276">
        <f t="shared" si="332"/>
        <v>0</v>
      </c>
      <c r="N236" s="340" t="str">
        <f t="shared" si="331"/>
        <v>-</v>
      </c>
      <c r="O236" s="264" t="str">
        <f t="shared" si="313"/>
        <v>-</v>
      </c>
    </row>
    <row r="237" spans="1:15" ht="23.4" x14ac:dyDescent="0.3">
      <c r="A237" s="277" t="s">
        <v>110</v>
      </c>
      <c r="B237" s="957"/>
      <c r="C237" s="278" t="s">
        <v>122</v>
      </c>
      <c r="D237" s="278"/>
      <c r="E237" s="279">
        <v>0</v>
      </c>
      <c r="F237" s="280"/>
      <c r="G237" s="336">
        <f t="shared" si="328"/>
        <v>0</v>
      </c>
      <c r="H237" s="281">
        <v>0</v>
      </c>
      <c r="I237" s="281">
        <v>0</v>
      </c>
      <c r="J237" s="355" t="str">
        <f>IFERROR(G237/#REF!,"-")</f>
        <v>-</v>
      </c>
      <c r="K237" s="336">
        <f t="shared" si="329"/>
        <v>0</v>
      </c>
      <c r="L237" s="275">
        <f t="shared" ref="L237:M237" si="333">+H237+L133</f>
        <v>0</v>
      </c>
      <c r="M237" s="276">
        <f t="shared" si="333"/>
        <v>0</v>
      </c>
      <c r="N237" s="340" t="str">
        <f t="shared" si="331"/>
        <v>-</v>
      </c>
      <c r="O237" s="264" t="str">
        <f t="shared" si="313"/>
        <v>-</v>
      </c>
    </row>
    <row r="238" spans="1:15" ht="23.4" x14ac:dyDescent="0.3">
      <c r="A238" s="277" t="s">
        <v>110</v>
      </c>
      <c r="B238" s="957"/>
      <c r="C238" s="278" t="s">
        <v>129</v>
      </c>
      <c r="D238" s="278"/>
      <c r="E238" s="279">
        <v>0</v>
      </c>
      <c r="F238" s="280"/>
      <c r="G238" s="336">
        <f t="shared" si="328"/>
        <v>0</v>
      </c>
      <c r="H238" s="281">
        <v>0</v>
      </c>
      <c r="I238" s="281">
        <v>0</v>
      </c>
      <c r="J238" s="355" t="str">
        <f>IFERROR(G238/#REF!,"-")</f>
        <v>-</v>
      </c>
      <c r="K238" s="336">
        <f t="shared" si="329"/>
        <v>0</v>
      </c>
      <c r="L238" s="275">
        <f t="shared" ref="L238:M238" si="334">+H238+L134</f>
        <v>0</v>
      </c>
      <c r="M238" s="276">
        <f t="shared" si="334"/>
        <v>0</v>
      </c>
      <c r="N238" s="340" t="str">
        <f t="shared" si="331"/>
        <v>-</v>
      </c>
      <c r="O238" s="264" t="str">
        <f t="shared" si="313"/>
        <v>-</v>
      </c>
    </row>
    <row r="239" spans="1:15" ht="23.4" x14ac:dyDescent="0.3">
      <c r="A239" s="277" t="s">
        <v>110</v>
      </c>
      <c r="B239" s="957"/>
      <c r="C239" s="278" t="s">
        <v>189</v>
      </c>
      <c r="D239" s="278" t="s">
        <v>190</v>
      </c>
      <c r="E239" s="279">
        <v>0</v>
      </c>
      <c r="F239" s="280"/>
      <c r="G239" s="336">
        <f t="shared" si="328"/>
        <v>0</v>
      </c>
      <c r="H239" s="281">
        <v>0</v>
      </c>
      <c r="I239" s="281">
        <v>0</v>
      </c>
      <c r="J239" s="355" t="str">
        <f>IFERROR(G239/#REF!,"-")</f>
        <v>-</v>
      </c>
      <c r="K239" s="336">
        <f t="shared" si="329"/>
        <v>0</v>
      </c>
      <c r="L239" s="275">
        <f t="shared" ref="L239:M239" si="335">+H239+L135</f>
        <v>0</v>
      </c>
      <c r="M239" s="276">
        <f t="shared" si="335"/>
        <v>0</v>
      </c>
      <c r="N239" s="340" t="str">
        <f t="shared" si="331"/>
        <v>-</v>
      </c>
      <c r="O239" s="264" t="str">
        <f t="shared" si="313"/>
        <v>-</v>
      </c>
    </row>
    <row r="240" spans="1:15" ht="23.4" x14ac:dyDescent="0.3">
      <c r="A240" s="277" t="s">
        <v>110</v>
      </c>
      <c r="B240" s="957"/>
      <c r="C240" s="278" t="s">
        <v>192</v>
      </c>
      <c r="D240" s="278" t="s">
        <v>191</v>
      </c>
      <c r="E240" s="279">
        <v>0</v>
      </c>
      <c r="F240" s="280"/>
      <c r="G240" s="336">
        <f t="shared" si="328"/>
        <v>0</v>
      </c>
      <c r="H240" s="281">
        <v>0</v>
      </c>
      <c r="I240" s="281">
        <v>0</v>
      </c>
      <c r="J240" s="355" t="str">
        <f>IFERROR(G240/#REF!,"-")</f>
        <v>-</v>
      </c>
      <c r="K240" s="336">
        <f t="shared" si="329"/>
        <v>0</v>
      </c>
      <c r="L240" s="275">
        <f t="shared" ref="L240:M240" si="336">+H240+L136</f>
        <v>0</v>
      </c>
      <c r="M240" s="276">
        <f t="shared" si="336"/>
        <v>0</v>
      </c>
      <c r="N240" s="340" t="str">
        <f t="shared" si="331"/>
        <v>-</v>
      </c>
      <c r="O240" s="264" t="str">
        <f t="shared" si="313"/>
        <v>-</v>
      </c>
    </row>
    <row r="241" spans="1:15" ht="24" thickBot="1" x14ac:dyDescent="0.35">
      <c r="A241" s="277" t="s">
        <v>110</v>
      </c>
      <c r="B241" s="958"/>
      <c r="C241" s="289" t="s">
        <v>193</v>
      </c>
      <c r="D241" s="289" t="s">
        <v>114</v>
      </c>
      <c r="E241" s="283">
        <v>0</v>
      </c>
      <c r="F241" s="284"/>
      <c r="G241" s="337">
        <f t="shared" si="328"/>
        <v>0</v>
      </c>
      <c r="H241" s="285">
        <v>0</v>
      </c>
      <c r="I241" s="285">
        <v>0</v>
      </c>
      <c r="J241" s="356" t="str">
        <f>IFERROR(G241/#REF!,"-")</f>
        <v>-</v>
      </c>
      <c r="K241" s="337">
        <f t="shared" si="329"/>
        <v>0</v>
      </c>
      <c r="L241" s="275">
        <f t="shared" ref="L241:M241" si="337">+H241+L137</f>
        <v>0</v>
      </c>
      <c r="M241" s="276">
        <f t="shared" si="337"/>
        <v>0</v>
      </c>
      <c r="N241" s="341" t="str">
        <f t="shared" si="331"/>
        <v>-</v>
      </c>
      <c r="O241" s="350" t="str">
        <f t="shared" si="313"/>
        <v>-</v>
      </c>
    </row>
    <row r="242" spans="1:15" ht="24" thickBot="1" x14ac:dyDescent="0.35">
      <c r="A242" s="277" t="s">
        <v>110</v>
      </c>
      <c r="B242" s="967" t="s">
        <v>29</v>
      </c>
      <c r="C242" s="968"/>
      <c r="D242" s="969"/>
      <c r="E242" s="323">
        <f t="shared" ref="E242" si="338">SUM(E235:E241)</f>
        <v>0</v>
      </c>
      <c r="F242" s="288">
        <v>80000</v>
      </c>
      <c r="G242" s="323">
        <f>SUM(G235:G241)</f>
        <v>0</v>
      </c>
      <c r="H242" s="324">
        <f t="shared" ref="H242:I242" si="339">SUM(H235:H241)</f>
        <v>0</v>
      </c>
      <c r="I242" s="324">
        <f t="shared" si="339"/>
        <v>0</v>
      </c>
      <c r="J242" s="348" t="str">
        <f>IFERROR(G242/#REF!,"-")</f>
        <v>-</v>
      </c>
      <c r="K242" s="323">
        <f t="shared" ref="K242:M242" si="340">SUM(K235:K241)</f>
        <v>0</v>
      </c>
      <c r="L242" s="324">
        <f t="shared" si="340"/>
        <v>0</v>
      </c>
      <c r="M242" s="325">
        <f t="shared" si="340"/>
        <v>0</v>
      </c>
      <c r="N242" s="342" t="str">
        <f t="shared" si="331"/>
        <v>-</v>
      </c>
      <c r="O242" s="348" t="str">
        <f t="shared" si="313"/>
        <v>-</v>
      </c>
    </row>
    <row r="243" spans="1:15" ht="24" thickBot="1" x14ac:dyDescent="0.35">
      <c r="A243" s="252" t="s">
        <v>110</v>
      </c>
      <c r="B243" s="985" t="s">
        <v>19</v>
      </c>
      <c r="C243" s="653" t="s">
        <v>255</v>
      </c>
      <c r="D243" s="690" t="s">
        <v>190</v>
      </c>
      <c r="E243" s="695">
        <v>0</v>
      </c>
      <c r="F243" s="692">
        <v>110000</v>
      </c>
      <c r="G243" s="656">
        <f t="shared" ref="G243:G245" si="341">+H243+I243</f>
        <v>0</v>
      </c>
      <c r="H243" s="462">
        <v>0</v>
      </c>
      <c r="I243" s="462">
        <v>0</v>
      </c>
      <c r="J243" s="536" t="str">
        <f>IFERROR(G243/#REF!,"-")</f>
        <v>-</v>
      </c>
      <c r="K243" s="461">
        <f>+L243+M243</f>
        <v>0</v>
      </c>
      <c r="L243" s="462">
        <f t="shared" ref="L243:M243" si="342">+H243+L139</f>
        <v>0</v>
      </c>
      <c r="M243" s="463">
        <f t="shared" si="342"/>
        <v>0</v>
      </c>
      <c r="N243" s="658" t="str">
        <f>IFERROR(K243/E243,"-")</f>
        <v>-</v>
      </c>
      <c r="O243" s="659" t="str">
        <f t="shared" si="313"/>
        <v>-</v>
      </c>
    </row>
    <row r="244" spans="1:15" ht="24" thickBot="1" x14ac:dyDescent="0.35">
      <c r="A244" s="252"/>
      <c r="B244" s="986"/>
      <c r="C244" s="299" t="s">
        <v>440</v>
      </c>
      <c r="D244" s="657" t="s">
        <v>439</v>
      </c>
      <c r="E244" s="696">
        <v>1000000</v>
      </c>
      <c r="F244" s="693">
        <v>110000</v>
      </c>
      <c r="G244" s="652">
        <f t="shared" si="341"/>
        <v>0</v>
      </c>
      <c r="H244" s="275">
        <v>0</v>
      </c>
      <c r="I244" s="275">
        <v>0</v>
      </c>
      <c r="J244" s="354" t="str">
        <f>IFERROR(G244/#REF!,"-")</f>
        <v>-</v>
      </c>
      <c r="K244" s="338">
        <f>+L244+M244</f>
        <v>8685</v>
      </c>
      <c r="L244" s="462">
        <f t="shared" ref="L244:M244" si="343">+H244+L140</f>
        <v>8448</v>
      </c>
      <c r="M244" s="463">
        <f t="shared" si="343"/>
        <v>237</v>
      </c>
      <c r="N244" s="343">
        <f t="shared" ref="N244:N245" si="344">IFERROR(K244/E244,"-")</f>
        <v>8.685E-3</v>
      </c>
      <c r="O244" s="651">
        <f>IFERROR(M244/K244,"-")</f>
        <v>2.7288428324697755E-2</v>
      </c>
    </row>
    <row r="245" spans="1:15" ht="24" thickBot="1" x14ac:dyDescent="0.35">
      <c r="A245" s="252"/>
      <c r="B245" s="987"/>
      <c r="C245" s="647" t="s">
        <v>380</v>
      </c>
      <c r="D245" s="691"/>
      <c r="E245" s="697">
        <v>150000</v>
      </c>
      <c r="F245" s="694">
        <v>110000</v>
      </c>
      <c r="G245" s="599">
        <f t="shared" si="341"/>
        <v>0</v>
      </c>
      <c r="H245" s="285">
        <v>0</v>
      </c>
      <c r="I245" s="285">
        <v>0</v>
      </c>
      <c r="J245" s="356"/>
      <c r="K245" s="464">
        <f>+L245+M245</f>
        <v>0</v>
      </c>
      <c r="L245" s="462">
        <f t="shared" ref="L245:M245" si="345">+H245+L141</f>
        <v>0</v>
      </c>
      <c r="M245" s="463">
        <f t="shared" si="345"/>
        <v>0</v>
      </c>
      <c r="N245" s="341">
        <f t="shared" si="344"/>
        <v>0</v>
      </c>
      <c r="O245" s="648" t="str">
        <f t="shared" ref="O245:O293" si="346">IFERROR(M245/K245,"-")</f>
        <v>-</v>
      </c>
    </row>
    <row r="246" spans="1:15" ht="24" thickBot="1" x14ac:dyDescent="0.35">
      <c r="A246" s="277" t="s">
        <v>110</v>
      </c>
      <c r="B246" s="988" t="s">
        <v>49</v>
      </c>
      <c r="C246" s="968"/>
      <c r="D246" s="969"/>
      <c r="E246" s="323">
        <f>SUM(E243:E245)</f>
        <v>1150000</v>
      </c>
      <c r="F246" s="326">
        <f t="shared" ref="F246" si="347">SUM(F243)</f>
        <v>110000</v>
      </c>
      <c r="G246" s="323">
        <f>SUM(G243)</f>
        <v>0</v>
      </c>
      <c r="H246" s="324">
        <f>SUM(H243:H245)</f>
        <v>0</v>
      </c>
      <c r="I246" s="324">
        <f>SUM(I243:I245)</f>
        <v>0</v>
      </c>
      <c r="J246" s="348" t="str">
        <f>IFERROR(G246/#REF!,"-")</f>
        <v>-</v>
      </c>
      <c r="K246" s="649">
        <f>SUM(K243:K244)</f>
        <v>8685</v>
      </c>
      <c r="L246" s="324">
        <f>SUM(L243:L244)</f>
        <v>8448</v>
      </c>
      <c r="M246" s="325">
        <f>SUM(M243:M244)</f>
        <v>237</v>
      </c>
      <c r="N246" s="342">
        <f>IFERROR(K246/E246,"-")</f>
        <v>7.5521739130434782E-3</v>
      </c>
      <c r="O246" s="348">
        <f t="shared" si="346"/>
        <v>2.7288428324697755E-2</v>
      </c>
    </row>
    <row r="247" spans="1:15" ht="23.4" x14ac:dyDescent="0.3">
      <c r="A247" s="277" t="s">
        <v>110</v>
      </c>
      <c r="B247" s="956" t="s">
        <v>20</v>
      </c>
      <c r="C247" s="294" t="s">
        <v>351</v>
      </c>
      <c r="D247" s="294" t="s">
        <v>313</v>
      </c>
      <c r="E247" s="273">
        <v>0</v>
      </c>
      <c r="F247" s="274"/>
      <c r="G247" s="335">
        <f t="shared" ref="G247:G249" si="348">+H247+I247</f>
        <v>0</v>
      </c>
      <c r="H247" s="275">
        <v>0</v>
      </c>
      <c r="I247" s="275">
        <v>0</v>
      </c>
      <c r="J247" s="354" t="str">
        <f>IFERROR(G247/#REF!,"-")</f>
        <v>-</v>
      </c>
      <c r="K247" s="335">
        <f t="shared" ref="K247:K249" si="349">+L247+M247</f>
        <v>0</v>
      </c>
      <c r="L247" s="275">
        <f t="shared" ref="L247:M247" si="350">+H247+L143</f>
        <v>0</v>
      </c>
      <c r="M247" s="276">
        <f t="shared" si="350"/>
        <v>0</v>
      </c>
      <c r="N247" s="339" t="str">
        <f t="shared" ref="N247:N250" si="351">IFERROR(K247/E247,"-")</f>
        <v>-</v>
      </c>
      <c r="O247" s="349" t="str">
        <f t="shared" si="346"/>
        <v>-</v>
      </c>
    </row>
    <row r="248" spans="1:15" ht="23.4" x14ac:dyDescent="0.3">
      <c r="A248" s="277" t="s">
        <v>110</v>
      </c>
      <c r="B248" s="957"/>
      <c r="C248" s="295" t="s">
        <v>121</v>
      </c>
      <c r="D248" s="295"/>
      <c r="E248" s="279">
        <v>0</v>
      </c>
      <c r="F248" s="280"/>
      <c r="G248" s="336">
        <f t="shared" si="348"/>
        <v>0</v>
      </c>
      <c r="H248" s="281">
        <v>0</v>
      </c>
      <c r="I248" s="281">
        <v>0</v>
      </c>
      <c r="J248" s="355" t="str">
        <f>IFERROR(G248/#REF!,"-")</f>
        <v>-</v>
      </c>
      <c r="K248" s="336">
        <f t="shared" si="349"/>
        <v>0</v>
      </c>
      <c r="L248" s="275">
        <f t="shared" ref="L248:M248" si="352">+H248+L144</f>
        <v>0</v>
      </c>
      <c r="M248" s="276">
        <f t="shared" si="352"/>
        <v>0</v>
      </c>
      <c r="N248" s="340" t="str">
        <f t="shared" si="351"/>
        <v>-</v>
      </c>
      <c r="O248" s="264" t="str">
        <f t="shared" si="346"/>
        <v>-</v>
      </c>
    </row>
    <row r="249" spans="1:15" ht="24" thickBot="1" x14ac:dyDescent="0.35">
      <c r="A249" s="277" t="s">
        <v>110</v>
      </c>
      <c r="B249" s="958"/>
      <c r="C249" s="296" t="s">
        <v>127</v>
      </c>
      <c r="D249" s="296"/>
      <c r="E249" s="283">
        <v>0</v>
      </c>
      <c r="F249" s="284"/>
      <c r="G249" s="337">
        <f t="shared" si="348"/>
        <v>0</v>
      </c>
      <c r="H249" s="285">
        <v>0</v>
      </c>
      <c r="I249" s="285">
        <v>0</v>
      </c>
      <c r="J249" s="356" t="str">
        <f>IFERROR(G249/#REF!,"-")</f>
        <v>-</v>
      </c>
      <c r="K249" s="337">
        <f t="shared" si="349"/>
        <v>0</v>
      </c>
      <c r="L249" s="275">
        <f t="shared" ref="L249:M249" si="353">+H249+L145</f>
        <v>0</v>
      </c>
      <c r="M249" s="276">
        <f t="shared" si="353"/>
        <v>0</v>
      </c>
      <c r="N249" s="341" t="str">
        <f t="shared" si="351"/>
        <v>-</v>
      </c>
      <c r="O249" s="350" t="str">
        <f t="shared" si="346"/>
        <v>-</v>
      </c>
    </row>
    <row r="250" spans="1:15" ht="24" thickBot="1" x14ac:dyDescent="0.35">
      <c r="A250" s="277" t="s">
        <v>110</v>
      </c>
      <c r="B250" s="968" t="s">
        <v>50</v>
      </c>
      <c r="C250" s="968"/>
      <c r="D250" s="989"/>
      <c r="E250" s="323">
        <f t="shared" ref="E250" si="354">SUM(E247:E249)</f>
        <v>0</v>
      </c>
      <c r="F250" s="288">
        <v>50000</v>
      </c>
      <c r="G250" s="323">
        <f>SUM(G247:G249)</f>
        <v>0</v>
      </c>
      <c r="H250" s="324">
        <f t="shared" ref="H250:I250" si="355">SUM(H247:H249)</f>
        <v>0</v>
      </c>
      <c r="I250" s="324">
        <f t="shared" si="355"/>
        <v>0</v>
      </c>
      <c r="J250" s="348" t="str">
        <f>IFERROR(G250/#REF!,"-")</f>
        <v>-</v>
      </c>
      <c r="K250" s="323">
        <f t="shared" ref="K250:M250" si="356">SUM(K247:K249)</f>
        <v>0</v>
      </c>
      <c r="L250" s="324">
        <f t="shared" si="356"/>
        <v>0</v>
      </c>
      <c r="M250" s="325">
        <f t="shared" si="356"/>
        <v>0</v>
      </c>
      <c r="N250" s="342" t="str">
        <f t="shared" si="351"/>
        <v>-</v>
      </c>
      <c r="O250" s="348" t="str">
        <f t="shared" si="346"/>
        <v>-</v>
      </c>
    </row>
    <row r="251" spans="1:15" ht="24" thickBot="1" x14ac:dyDescent="0.35">
      <c r="A251" s="277" t="s">
        <v>110</v>
      </c>
      <c r="B251" s="981" t="s">
        <v>21</v>
      </c>
      <c r="C251" s="982"/>
      <c r="D251" s="983"/>
      <c r="E251" s="329">
        <f>+E226+E234+E242+E246+E250</f>
        <v>4750000</v>
      </c>
      <c r="F251" s="330">
        <f>+F226+F234+F242+F246+F250</f>
        <v>355000</v>
      </c>
      <c r="G251" s="329">
        <f>+G226+G234+G242+G246+G250</f>
        <v>113631</v>
      </c>
      <c r="H251" s="327">
        <f>+H226+H234+H242+H246+H250</f>
        <v>113280</v>
      </c>
      <c r="I251" s="327">
        <f>+I226+I234+I242+I246+I250</f>
        <v>351</v>
      </c>
      <c r="J251" s="352" t="str">
        <f>IFERROR(G251/#REF!,"-")</f>
        <v>-</v>
      </c>
      <c r="K251" s="329">
        <f>+K226+K234+K242+K246+K250</f>
        <v>427148</v>
      </c>
      <c r="L251" s="327">
        <f>+L226+L234+L242+L246+L250</f>
        <v>425128</v>
      </c>
      <c r="M251" s="328">
        <f>+M226+M234+M242+M246+M250</f>
        <v>2020</v>
      </c>
      <c r="N251" s="344">
        <f>IFERROR(K251/E251,"-")</f>
        <v>8.9925894736842107E-2</v>
      </c>
      <c r="O251" s="352">
        <f t="shared" si="346"/>
        <v>4.7290400516916851E-3</v>
      </c>
    </row>
    <row r="252" spans="1:15" ht="23.4" x14ac:dyDescent="0.3">
      <c r="A252" s="277" t="s">
        <v>110</v>
      </c>
      <c r="B252" s="956" t="s">
        <v>22</v>
      </c>
      <c r="C252" s="272" t="s">
        <v>132</v>
      </c>
      <c r="D252" s="272"/>
      <c r="E252" s="273">
        <v>0</v>
      </c>
      <c r="F252" s="274"/>
      <c r="G252" s="335">
        <f t="shared" ref="G252:G255" si="357">+H252+I252</f>
        <v>0</v>
      </c>
      <c r="H252" s="275">
        <v>0</v>
      </c>
      <c r="I252" s="275">
        <v>0</v>
      </c>
      <c r="J252" s="354" t="str">
        <f>IFERROR(G252/#REF!,"-")</f>
        <v>-</v>
      </c>
      <c r="K252" s="335">
        <f t="shared" ref="K252:K255" si="358">+L252+M252</f>
        <v>0</v>
      </c>
      <c r="L252" s="275">
        <f t="shared" ref="L252:M252" si="359">+H252+L148</f>
        <v>0</v>
      </c>
      <c r="M252" s="276">
        <f t="shared" si="359"/>
        <v>0</v>
      </c>
      <c r="N252" s="339" t="str">
        <f t="shared" ref="N252:N266" si="360">IFERROR(K252/E252,"-")</f>
        <v>-</v>
      </c>
      <c r="O252" s="349" t="str">
        <f t="shared" si="346"/>
        <v>-</v>
      </c>
    </row>
    <row r="253" spans="1:15" ht="23.4" x14ac:dyDescent="0.3">
      <c r="A253" s="277" t="s">
        <v>110</v>
      </c>
      <c r="B253" s="957"/>
      <c r="C253" s="298" t="s">
        <v>283</v>
      </c>
      <c r="D253" s="298" t="s">
        <v>194</v>
      </c>
      <c r="E253" s="279">
        <v>0</v>
      </c>
      <c r="F253" s="280"/>
      <c r="G253" s="336">
        <f t="shared" si="357"/>
        <v>0</v>
      </c>
      <c r="H253" s="281">
        <v>0</v>
      </c>
      <c r="I253" s="281">
        <v>0</v>
      </c>
      <c r="J253" s="355" t="str">
        <f>IFERROR(G253/#REF!,"-")</f>
        <v>-</v>
      </c>
      <c r="K253" s="336">
        <f t="shared" si="358"/>
        <v>0</v>
      </c>
      <c r="L253" s="275">
        <f t="shared" ref="L253:M253" si="361">+H253+L149</f>
        <v>0</v>
      </c>
      <c r="M253" s="276">
        <f t="shared" si="361"/>
        <v>0</v>
      </c>
      <c r="N253" s="340" t="str">
        <f t="shared" si="360"/>
        <v>-</v>
      </c>
      <c r="O253" s="264" t="str">
        <f t="shared" si="346"/>
        <v>-</v>
      </c>
    </row>
    <row r="254" spans="1:15" ht="23.4" x14ac:dyDescent="0.3">
      <c r="A254" s="277" t="s">
        <v>110</v>
      </c>
      <c r="B254" s="957"/>
      <c r="C254" s="298" t="s">
        <v>405</v>
      </c>
      <c r="D254" s="298" t="s">
        <v>194</v>
      </c>
      <c r="E254" s="279">
        <v>0</v>
      </c>
      <c r="F254" s="280"/>
      <c r="G254" s="336">
        <f t="shared" si="357"/>
        <v>83225</v>
      </c>
      <c r="H254" s="281">
        <v>83160</v>
      </c>
      <c r="I254" s="281">
        <v>65</v>
      </c>
      <c r="J254" s="355" t="str">
        <f>IFERROR(G254/#REF!,"-")</f>
        <v>-</v>
      </c>
      <c r="K254" s="336">
        <f t="shared" si="358"/>
        <v>283400</v>
      </c>
      <c r="L254" s="275">
        <f t="shared" ref="L254:M254" si="362">+H254+L150</f>
        <v>283140</v>
      </c>
      <c r="M254" s="276">
        <f t="shared" si="362"/>
        <v>260</v>
      </c>
      <c r="N254" s="340" t="str">
        <f t="shared" si="360"/>
        <v>-</v>
      </c>
      <c r="O254" s="264">
        <f t="shared" si="346"/>
        <v>9.1743119266055051E-4</v>
      </c>
    </row>
    <row r="255" spans="1:15" ht="24" thickBot="1" x14ac:dyDescent="0.35">
      <c r="A255" s="277" t="s">
        <v>110</v>
      </c>
      <c r="B255" s="958"/>
      <c r="C255" s="282" t="s">
        <v>195</v>
      </c>
      <c r="D255" s="282" t="s">
        <v>100</v>
      </c>
      <c r="E255" s="283">
        <v>0</v>
      </c>
      <c r="F255" s="284"/>
      <c r="G255" s="337">
        <f t="shared" si="357"/>
        <v>0</v>
      </c>
      <c r="H255" s="285">
        <v>0</v>
      </c>
      <c r="I255" s="285">
        <v>0</v>
      </c>
      <c r="J255" s="356" t="str">
        <f>IFERROR(G255/#REF!,"-")</f>
        <v>-</v>
      </c>
      <c r="K255" s="337">
        <f t="shared" si="358"/>
        <v>0</v>
      </c>
      <c r="L255" s="275">
        <f t="shared" ref="L255:M255" si="363">+H255+L151</f>
        <v>0</v>
      </c>
      <c r="M255" s="276">
        <f t="shared" si="363"/>
        <v>0</v>
      </c>
      <c r="N255" s="341" t="str">
        <f t="shared" si="360"/>
        <v>-</v>
      </c>
      <c r="O255" s="350" t="str">
        <f t="shared" si="346"/>
        <v>-</v>
      </c>
    </row>
    <row r="256" spans="1:15" ht="24" thickBot="1" x14ac:dyDescent="0.35">
      <c r="A256" s="277" t="s">
        <v>110</v>
      </c>
      <c r="B256" s="967" t="s">
        <v>51</v>
      </c>
      <c r="C256" s="968"/>
      <c r="D256" s="969"/>
      <c r="E256" s="287">
        <f>SUM(E252:E255)</f>
        <v>0</v>
      </c>
      <c r="F256" s="288">
        <v>80000</v>
      </c>
      <c r="G256" s="323">
        <f>SUM(G252:G255)</f>
        <v>83225</v>
      </c>
      <c r="H256" s="324">
        <f t="shared" ref="H256:I256" si="364">SUM(H252:H255)</f>
        <v>83160</v>
      </c>
      <c r="I256" s="324">
        <f t="shared" si="364"/>
        <v>65</v>
      </c>
      <c r="J256" s="348" t="str">
        <f>IFERROR(G256/#REF!,"-")</f>
        <v>-</v>
      </c>
      <c r="K256" s="323">
        <f t="shared" ref="K256:M256" si="365">SUM(K252:K255)</f>
        <v>283400</v>
      </c>
      <c r="L256" s="324">
        <f t="shared" si="365"/>
        <v>283140</v>
      </c>
      <c r="M256" s="325">
        <f t="shared" si="365"/>
        <v>260</v>
      </c>
      <c r="N256" s="342" t="str">
        <f t="shared" si="360"/>
        <v>-</v>
      </c>
      <c r="O256" s="348">
        <f t="shared" si="346"/>
        <v>9.1743119266055051E-4</v>
      </c>
    </row>
    <row r="257" spans="1:15" ht="23.4" x14ac:dyDescent="0.3">
      <c r="A257" s="277" t="s">
        <v>110</v>
      </c>
      <c r="B257" s="956" t="s">
        <v>23</v>
      </c>
      <c r="C257" s="299" t="s">
        <v>337</v>
      </c>
      <c r="D257" s="299" t="s">
        <v>258</v>
      </c>
      <c r="E257" s="273">
        <f>25000+10775+6000</f>
        <v>41775</v>
      </c>
      <c r="F257" s="274"/>
      <c r="G257" s="335">
        <f t="shared" ref="G257:G264" si="366">+H257+I257</f>
        <v>0</v>
      </c>
      <c r="H257" s="275">
        <v>0</v>
      </c>
      <c r="I257" s="275">
        <v>0</v>
      </c>
      <c r="J257" s="354" t="str">
        <f>IFERROR(G257/#REF!,"-")</f>
        <v>-</v>
      </c>
      <c r="K257" s="335">
        <f t="shared" ref="K257:K264" si="367">+L257+M257</f>
        <v>0</v>
      </c>
      <c r="L257" s="275">
        <f t="shared" ref="L257:M257" si="368">+H257+L153</f>
        <v>0</v>
      </c>
      <c r="M257" s="276">
        <f t="shared" si="368"/>
        <v>0</v>
      </c>
      <c r="N257" s="339">
        <f t="shared" si="360"/>
        <v>0</v>
      </c>
      <c r="O257" s="349" t="str">
        <f t="shared" si="346"/>
        <v>-</v>
      </c>
    </row>
    <row r="258" spans="1:15" ht="23.4" x14ac:dyDescent="0.3">
      <c r="A258" s="277" t="s">
        <v>110</v>
      </c>
      <c r="B258" s="957"/>
      <c r="C258" s="278" t="s">
        <v>24</v>
      </c>
      <c r="D258" s="278" t="s">
        <v>258</v>
      </c>
      <c r="E258" s="279">
        <v>97500</v>
      </c>
      <c r="F258" s="280"/>
      <c r="G258" s="336">
        <f t="shared" si="366"/>
        <v>0</v>
      </c>
      <c r="H258" s="281">
        <v>0</v>
      </c>
      <c r="I258" s="281">
        <v>0</v>
      </c>
      <c r="J258" s="355" t="str">
        <f>IFERROR(G258/#REF!,"-")</f>
        <v>-</v>
      </c>
      <c r="K258" s="336">
        <f t="shared" si="367"/>
        <v>0</v>
      </c>
      <c r="L258" s="275">
        <f t="shared" ref="L258:M258" si="369">+H258+L154</f>
        <v>0</v>
      </c>
      <c r="M258" s="276">
        <f t="shared" si="369"/>
        <v>0</v>
      </c>
      <c r="N258" s="340">
        <f t="shared" si="360"/>
        <v>0</v>
      </c>
      <c r="O258" s="264" t="str">
        <f t="shared" si="346"/>
        <v>-</v>
      </c>
    </row>
    <row r="259" spans="1:15" ht="23.4" x14ac:dyDescent="0.3">
      <c r="A259" s="277" t="s">
        <v>110</v>
      </c>
      <c r="B259" s="957"/>
      <c r="C259" s="278" t="s">
        <v>256</v>
      </c>
      <c r="D259" s="278" t="s">
        <v>258</v>
      </c>
      <c r="E259" s="279">
        <v>17750</v>
      </c>
      <c r="F259" s="280"/>
      <c r="G259" s="336">
        <f t="shared" si="366"/>
        <v>0</v>
      </c>
      <c r="H259" s="281">
        <v>0</v>
      </c>
      <c r="I259" s="281">
        <v>0</v>
      </c>
      <c r="J259" s="355" t="str">
        <f>IFERROR(G259/#REF!,"-")</f>
        <v>-</v>
      </c>
      <c r="K259" s="336">
        <f t="shared" si="367"/>
        <v>0</v>
      </c>
      <c r="L259" s="275">
        <f t="shared" ref="L259:M259" si="370">+H259+L155</f>
        <v>0</v>
      </c>
      <c r="M259" s="276">
        <f t="shared" si="370"/>
        <v>0</v>
      </c>
      <c r="N259" s="340">
        <f t="shared" si="360"/>
        <v>0</v>
      </c>
      <c r="O259" s="264" t="str">
        <f t="shared" si="346"/>
        <v>-</v>
      </c>
    </row>
    <row r="260" spans="1:15" ht="23.4" x14ac:dyDescent="0.3">
      <c r="A260" s="277" t="s">
        <v>110</v>
      </c>
      <c r="B260" s="957"/>
      <c r="C260" s="278" t="s">
        <v>257</v>
      </c>
      <c r="D260" s="278" t="s">
        <v>258</v>
      </c>
      <c r="E260" s="279">
        <v>20000</v>
      </c>
      <c r="F260" s="280"/>
      <c r="G260" s="336">
        <f t="shared" si="366"/>
        <v>0</v>
      </c>
      <c r="H260" s="281">
        <v>0</v>
      </c>
      <c r="I260" s="281">
        <v>0</v>
      </c>
      <c r="J260" s="355" t="str">
        <f>IFERROR(G260/#REF!,"-")</f>
        <v>-</v>
      </c>
      <c r="K260" s="336">
        <f t="shared" si="367"/>
        <v>0</v>
      </c>
      <c r="L260" s="275">
        <f t="shared" ref="L260:M260" si="371">+H260+L156</f>
        <v>0</v>
      </c>
      <c r="M260" s="276">
        <f t="shared" si="371"/>
        <v>0</v>
      </c>
      <c r="N260" s="340">
        <f t="shared" si="360"/>
        <v>0</v>
      </c>
      <c r="O260" s="264" t="str">
        <f t="shared" si="346"/>
        <v>-</v>
      </c>
    </row>
    <row r="261" spans="1:15" ht="23.4" x14ac:dyDescent="0.3">
      <c r="A261" s="277" t="s">
        <v>110</v>
      </c>
      <c r="B261" s="957"/>
      <c r="C261" s="298" t="s">
        <v>441</v>
      </c>
      <c r="D261" s="278" t="s">
        <v>258</v>
      </c>
      <c r="E261" s="279">
        <v>10000</v>
      </c>
      <c r="F261" s="280"/>
      <c r="G261" s="336">
        <f t="shared" si="366"/>
        <v>0</v>
      </c>
      <c r="H261" s="281">
        <v>0</v>
      </c>
      <c r="I261" s="281">
        <v>0</v>
      </c>
      <c r="J261" s="355" t="str">
        <f>IFERROR(G261/#REF!,"-")</f>
        <v>-</v>
      </c>
      <c r="K261" s="336">
        <f t="shared" si="367"/>
        <v>0</v>
      </c>
      <c r="L261" s="275">
        <f t="shared" ref="L261:M261" si="372">+H261+L157</f>
        <v>0</v>
      </c>
      <c r="M261" s="276">
        <f t="shared" si="372"/>
        <v>0</v>
      </c>
      <c r="N261" s="340">
        <f t="shared" si="360"/>
        <v>0</v>
      </c>
      <c r="O261" s="264" t="str">
        <f t="shared" si="346"/>
        <v>-</v>
      </c>
    </row>
    <row r="262" spans="1:15" ht="23.4" x14ac:dyDescent="0.3">
      <c r="A262" s="277" t="s">
        <v>110</v>
      </c>
      <c r="B262" s="957"/>
      <c r="C262" s="298" t="s">
        <v>260</v>
      </c>
      <c r="D262" s="278" t="s">
        <v>258</v>
      </c>
      <c r="E262" s="279">
        <v>9000</v>
      </c>
      <c r="F262" s="280"/>
      <c r="G262" s="336">
        <f t="shared" si="366"/>
        <v>0</v>
      </c>
      <c r="H262" s="281">
        <v>0</v>
      </c>
      <c r="I262" s="281">
        <v>0</v>
      </c>
      <c r="J262" s="355" t="str">
        <f>IFERROR(G262/#REF!,"-")</f>
        <v>-</v>
      </c>
      <c r="K262" s="336">
        <f t="shared" si="367"/>
        <v>0</v>
      </c>
      <c r="L262" s="275">
        <f t="shared" ref="L262:M262" si="373">+H262+L158</f>
        <v>0</v>
      </c>
      <c r="M262" s="276">
        <f t="shared" si="373"/>
        <v>0</v>
      </c>
      <c r="N262" s="340">
        <f t="shared" si="360"/>
        <v>0</v>
      </c>
      <c r="O262" s="264" t="str">
        <f t="shared" si="346"/>
        <v>-</v>
      </c>
    </row>
    <row r="263" spans="1:15" ht="23.4" x14ac:dyDescent="0.3">
      <c r="A263" s="277" t="s">
        <v>110</v>
      </c>
      <c r="B263" s="957"/>
      <c r="C263" s="298" t="s">
        <v>261</v>
      </c>
      <c r="D263" s="278" t="s">
        <v>263</v>
      </c>
      <c r="E263" s="279">
        <v>22500</v>
      </c>
      <c r="F263" s="280"/>
      <c r="G263" s="336">
        <f t="shared" si="366"/>
        <v>0</v>
      </c>
      <c r="H263" s="281">
        <v>0</v>
      </c>
      <c r="I263" s="281">
        <v>0</v>
      </c>
      <c r="J263" s="355" t="str">
        <f>IFERROR(G263/#REF!,"-")</f>
        <v>-</v>
      </c>
      <c r="K263" s="336">
        <f t="shared" si="367"/>
        <v>0</v>
      </c>
      <c r="L263" s="275">
        <f t="shared" ref="L263:M263" si="374">+H263+L159</f>
        <v>0</v>
      </c>
      <c r="M263" s="276">
        <f t="shared" si="374"/>
        <v>0</v>
      </c>
      <c r="N263" s="340">
        <f t="shared" si="360"/>
        <v>0</v>
      </c>
      <c r="O263" s="264" t="str">
        <f t="shared" si="346"/>
        <v>-</v>
      </c>
    </row>
    <row r="264" spans="1:15" ht="24" thickBot="1" x14ac:dyDescent="0.35">
      <c r="A264" s="277" t="s">
        <v>110</v>
      </c>
      <c r="B264" s="958"/>
      <c r="C264" s="298" t="s">
        <v>262</v>
      </c>
      <c r="D264" s="278" t="s">
        <v>258</v>
      </c>
      <c r="E264" s="283">
        <v>33500</v>
      </c>
      <c r="F264" s="284"/>
      <c r="G264" s="337">
        <f t="shared" si="366"/>
        <v>0</v>
      </c>
      <c r="H264" s="285">
        <v>0</v>
      </c>
      <c r="I264" s="285">
        <v>0</v>
      </c>
      <c r="J264" s="356" t="str">
        <f>IFERROR(G264/#REF!,"-")</f>
        <v>-</v>
      </c>
      <c r="K264" s="337">
        <f t="shared" si="367"/>
        <v>0</v>
      </c>
      <c r="L264" s="275">
        <f t="shared" ref="L264:M264" si="375">+H264+L160</f>
        <v>0</v>
      </c>
      <c r="M264" s="276">
        <f t="shared" si="375"/>
        <v>0</v>
      </c>
      <c r="N264" s="341">
        <f t="shared" si="360"/>
        <v>0</v>
      </c>
      <c r="O264" s="350" t="str">
        <f t="shared" si="346"/>
        <v>-</v>
      </c>
    </row>
    <row r="265" spans="1:15" ht="24" thickBot="1" x14ac:dyDescent="0.35">
      <c r="A265" s="277" t="s">
        <v>110</v>
      </c>
      <c r="B265" s="967" t="s">
        <v>52</v>
      </c>
      <c r="C265" s="968"/>
      <c r="D265" s="969"/>
      <c r="E265" s="287">
        <f>SUM(E257:E264)</f>
        <v>252025</v>
      </c>
      <c r="F265" s="288">
        <v>14000</v>
      </c>
      <c r="G265" s="323">
        <f>SUM(G257:G264)</f>
        <v>0</v>
      </c>
      <c r="H265" s="324">
        <f t="shared" ref="H265:I265" si="376">SUM(H257:H264)</f>
        <v>0</v>
      </c>
      <c r="I265" s="324">
        <f t="shared" si="376"/>
        <v>0</v>
      </c>
      <c r="J265" s="348" t="str">
        <f>IFERROR(G265/#REF!,"-")</f>
        <v>-</v>
      </c>
      <c r="K265" s="323">
        <f>SUM(K257:K264)</f>
        <v>0</v>
      </c>
      <c r="L265" s="324">
        <f t="shared" ref="L265:M265" si="377">SUM(L257:L264)</f>
        <v>0</v>
      </c>
      <c r="M265" s="325">
        <f t="shared" si="377"/>
        <v>0</v>
      </c>
      <c r="N265" s="342">
        <f t="shared" si="360"/>
        <v>0</v>
      </c>
      <c r="O265" s="348" t="str">
        <f t="shared" si="346"/>
        <v>-</v>
      </c>
    </row>
    <row r="266" spans="1:15" ht="24" thickBot="1" x14ac:dyDescent="0.35">
      <c r="A266" s="277" t="s">
        <v>110</v>
      </c>
      <c r="B266" s="981" t="s">
        <v>25</v>
      </c>
      <c r="C266" s="982"/>
      <c r="D266" s="983"/>
      <c r="E266" s="329">
        <f t="shared" ref="E266:F266" si="378">+E256+E265</f>
        <v>252025</v>
      </c>
      <c r="F266" s="330">
        <f t="shared" si="378"/>
        <v>94000</v>
      </c>
      <c r="G266" s="329">
        <f>+G256+G265</f>
        <v>83225</v>
      </c>
      <c r="H266" s="327">
        <f t="shared" ref="H266:I266" si="379">+H256+H265</f>
        <v>83160</v>
      </c>
      <c r="I266" s="327">
        <f t="shared" si="379"/>
        <v>65</v>
      </c>
      <c r="J266" s="352" t="str">
        <f>IFERROR(G266/#REF!,"-")</f>
        <v>-</v>
      </c>
      <c r="K266" s="329">
        <f t="shared" ref="K266" si="380">+K256+K265</f>
        <v>283400</v>
      </c>
      <c r="L266" s="327">
        <f>+L256+L265</f>
        <v>283140</v>
      </c>
      <c r="M266" s="328">
        <f t="shared" ref="M266" si="381">+M256+M265</f>
        <v>260</v>
      </c>
      <c r="N266" s="344">
        <f t="shared" si="360"/>
        <v>1.1244916178950501</v>
      </c>
      <c r="O266" s="352">
        <f t="shared" si="346"/>
        <v>9.1743119266055051E-4</v>
      </c>
    </row>
    <row r="267" spans="1:15" ht="24" thickBot="1" x14ac:dyDescent="0.35">
      <c r="A267" s="277" t="s">
        <v>110</v>
      </c>
      <c r="B267" s="984" t="s">
        <v>180</v>
      </c>
      <c r="C267" s="962"/>
      <c r="D267" s="963"/>
      <c r="E267" s="333">
        <f>+E251+E266</f>
        <v>5002025</v>
      </c>
      <c r="F267" s="334">
        <f t="shared" ref="F267:I267" si="382">+F251+F266</f>
        <v>449000</v>
      </c>
      <c r="G267" s="333">
        <f t="shared" si="382"/>
        <v>196856</v>
      </c>
      <c r="H267" s="331">
        <f t="shared" si="382"/>
        <v>196440</v>
      </c>
      <c r="I267" s="331">
        <f t="shared" si="382"/>
        <v>416</v>
      </c>
      <c r="J267" s="353" t="str">
        <f>IFERROR(G267/#REF!,"-")</f>
        <v>-</v>
      </c>
      <c r="K267" s="333">
        <f>+K251+K266</f>
        <v>710548</v>
      </c>
      <c r="L267" s="331">
        <f t="shared" ref="L267:M267" si="383">+L251+L266</f>
        <v>708268</v>
      </c>
      <c r="M267" s="332">
        <f t="shared" si="383"/>
        <v>2280</v>
      </c>
      <c r="N267" s="345">
        <f>IFERROR(K267/E267,"-")</f>
        <v>0.1420520689120906</v>
      </c>
      <c r="O267" s="353">
        <f t="shared" si="346"/>
        <v>3.208790961342513E-3</v>
      </c>
    </row>
    <row r="268" spans="1:15" ht="23.4" x14ac:dyDescent="0.3">
      <c r="A268" s="271" t="s">
        <v>108</v>
      </c>
      <c r="B268" s="977" t="s">
        <v>26</v>
      </c>
      <c r="C268" s="300" t="s">
        <v>323</v>
      </c>
      <c r="D268" s="300" t="s">
        <v>190</v>
      </c>
      <c r="E268" s="273">
        <v>0</v>
      </c>
      <c r="F268" s="274"/>
      <c r="G268" s="335">
        <f t="shared" ref="G268:G276" si="384">+H268+I268</f>
        <v>0</v>
      </c>
      <c r="H268" s="275">
        <v>0</v>
      </c>
      <c r="I268" s="275">
        <v>0</v>
      </c>
      <c r="J268" s="354" t="str">
        <f>IFERROR(G268/#REF!,"-")</f>
        <v>-</v>
      </c>
      <c r="K268" s="335">
        <f t="shared" ref="K268:K276" si="385">+L268+M268</f>
        <v>0</v>
      </c>
      <c r="L268" s="275">
        <f t="shared" ref="L268:M268" si="386">+H268+L164</f>
        <v>0</v>
      </c>
      <c r="M268" s="276">
        <f t="shared" si="386"/>
        <v>0</v>
      </c>
      <c r="N268" s="339" t="str">
        <f t="shared" ref="N268:N269" si="387">IFERROR(K268/E268,"-")</f>
        <v>-</v>
      </c>
      <c r="O268" s="349" t="str">
        <f t="shared" si="346"/>
        <v>-</v>
      </c>
    </row>
    <row r="269" spans="1:15" ht="23.4" x14ac:dyDescent="0.3">
      <c r="A269" s="277" t="s">
        <v>108</v>
      </c>
      <c r="B269" s="977"/>
      <c r="C269" s="301" t="s">
        <v>196</v>
      </c>
      <c r="D269" s="301" t="s">
        <v>114</v>
      </c>
      <c r="E269" s="279">
        <v>0</v>
      </c>
      <c r="F269" s="280"/>
      <c r="G269" s="336">
        <f t="shared" si="384"/>
        <v>0</v>
      </c>
      <c r="H269" s="281">
        <v>0</v>
      </c>
      <c r="I269" s="281">
        <v>0</v>
      </c>
      <c r="J269" s="355" t="str">
        <f>IFERROR(G269/#REF!,"-")</f>
        <v>-</v>
      </c>
      <c r="K269" s="336">
        <f t="shared" si="385"/>
        <v>0</v>
      </c>
      <c r="L269" s="275">
        <f t="shared" ref="L269:M269" si="388">+H269+L165</f>
        <v>0</v>
      </c>
      <c r="M269" s="276">
        <f t="shared" si="388"/>
        <v>0</v>
      </c>
      <c r="N269" s="340" t="str">
        <f t="shared" si="387"/>
        <v>-</v>
      </c>
      <c r="O269" s="264" t="str">
        <f t="shared" si="346"/>
        <v>-</v>
      </c>
    </row>
    <row r="270" spans="1:15" ht="23.4" x14ac:dyDescent="0.3">
      <c r="A270" s="277" t="s">
        <v>108</v>
      </c>
      <c r="B270" s="977"/>
      <c r="C270" s="302" t="s">
        <v>27</v>
      </c>
      <c r="D270" s="302" t="s">
        <v>370</v>
      </c>
      <c r="E270" s="283">
        <v>0</v>
      </c>
      <c r="F270" s="284"/>
      <c r="G270" s="336">
        <f t="shared" si="384"/>
        <v>0</v>
      </c>
      <c r="H270" s="285">
        <v>0</v>
      </c>
      <c r="I270" s="285">
        <v>0</v>
      </c>
      <c r="J270" s="356" t="str">
        <f>IFERROR(G270/#REF!,"-")</f>
        <v>-</v>
      </c>
      <c r="K270" s="336">
        <f t="shared" si="385"/>
        <v>0</v>
      </c>
      <c r="L270" s="275">
        <f t="shared" ref="L270:M270" si="389">+H270+L166</f>
        <v>0</v>
      </c>
      <c r="M270" s="276">
        <f t="shared" si="389"/>
        <v>0</v>
      </c>
      <c r="N270" s="286"/>
      <c r="O270" s="264" t="str">
        <f t="shared" si="346"/>
        <v>-</v>
      </c>
    </row>
    <row r="271" spans="1:15" ht="23.4" x14ac:dyDescent="0.3">
      <c r="A271" s="277" t="s">
        <v>108</v>
      </c>
      <c r="B271" s="977"/>
      <c r="C271" s="302" t="s">
        <v>27</v>
      </c>
      <c r="D271" s="302" t="s">
        <v>254</v>
      </c>
      <c r="E271" s="283">
        <v>0</v>
      </c>
      <c r="F271" s="284"/>
      <c r="G271" s="336">
        <f t="shared" si="384"/>
        <v>0</v>
      </c>
      <c r="H271" s="285">
        <v>0</v>
      </c>
      <c r="I271" s="285">
        <v>0</v>
      </c>
      <c r="J271" s="356" t="str">
        <f>IFERROR(G271/#REF!,"-")</f>
        <v>-</v>
      </c>
      <c r="K271" s="336">
        <f t="shared" si="385"/>
        <v>0</v>
      </c>
      <c r="L271" s="275">
        <f t="shared" ref="L271:M271" si="390">+H271+L167</f>
        <v>0</v>
      </c>
      <c r="M271" s="276">
        <f t="shared" si="390"/>
        <v>0</v>
      </c>
      <c r="N271" s="286"/>
      <c r="O271" s="264" t="str">
        <f t="shared" si="346"/>
        <v>-</v>
      </c>
    </row>
    <row r="272" spans="1:15" ht="23.4" x14ac:dyDescent="0.3">
      <c r="A272" s="277" t="s">
        <v>108</v>
      </c>
      <c r="B272" s="977"/>
      <c r="C272" s="302" t="s">
        <v>27</v>
      </c>
      <c r="D272" s="302" t="s">
        <v>302</v>
      </c>
      <c r="E272" s="283">
        <v>0</v>
      </c>
      <c r="F272" s="284"/>
      <c r="G272" s="336">
        <f t="shared" si="384"/>
        <v>0</v>
      </c>
      <c r="H272" s="285">
        <v>0</v>
      </c>
      <c r="I272" s="285">
        <v>0</v>
      </c>
      <c r="J272" s="356" t="str">
        <f>IFERROR(G272/#REF!,"-")</f>
        <v>-</v>
      </c>
      <c r="K272" s="336">
        <f t="shared" si="385"/>
        <v>0</v>
      </c>
      <c r="L272" s="275">
        <f t="shared" ref="L272:M272" si="391">+H272+L168</f>
        <v>0</v>
      </c>
      <c r="M272" s="276">
        <f t="shared" si="391"/>
        <v>0</v>
      </c>
      <c r="N272" s="286"/>
      <c r="O272" s="264" t="str">
        <f t="shared" si="346"/>
        <v>-</v>
      </c>
    </row>
    <row r="273" spans="1:15" ht="23.4" x14ac:dyDescent="0.3">
      <c r="A273" s="277"/>
      <c r="B273" s="977"/>
      <c r="C273" s="302" t="s">
        <v>369</v>
      </c>
      <c r="D273" s="302" t="s">
        <v>190</v>
      </c>
      <c r="E273" s="283">
        <v>0</v>
      </c>
      <c r="F273" s="284"/>
      <c r="G273" s="337">
        <f t="shared" si="384"/>
        <v>0</v>
      </c>
      <c r="H273" s="285">
        <v>0</v>
      </c>
      <c r="I273" s="285">
        <v>0</v>
      </c>
      <c r="J273" s="356" t="str">
        <f>IFERROR(G273/#REF!,"-")</f>
        <v>-</v>
      </c>
      <c r="K273" s="337">
        <f t="shared" si="385"/>
        <v>0</v>
      </c>
      <c r="L273" s="275">
        <f t="shared" ref="L273:M273" si="392">+H273+L169</f>
        <v>0</v>
      </c>
      <c r="M273" s="276">
        <f t="shared" si="392"/>
        <v>0</v>
      </c>
      <c r="N273" s="286"/>
      <c r="O273" s="264" t="str">
        <f t="shared" si="346"/>
        <v>-</v>
      </c>
    </row>
    <row r="274" spans="1:15" ht="23.4" x14ac:dyDescent="0.3">
      <c r="A274" s="277"/>
      <c r="B274" s="977"/>
      <c r="C274" s="302" t="s">
        <v>314</v>
      </c>
      <c r="D274" s="302" t="s">
        <v>101</v>
      </c>
      <c r="E274" s="283">
        <v>0</v>
      </c>
      <c r="F274" s="284"/>
      <c r="G274" s="337">
        <f t="shared" si="384"/>
        <v>0</v>
      </c>
      <c r="H274" s="285">
        <v>0</v>
      </c>
      <c r="I274" s="285">
        <v>0</v>
      </c>
      <c r="J274" s="356" t="str">
        <f>IFERROR(G274/#REF!,"-")</f>
        <v>-</v>
      </c>
      <c r="K274" s="337">
        <f t="shared" si="385"/>
        <v>0</v>
      </c>
      <c r="L274" s="275">
        <f t="shared" ref="L274:M274" si="393">+H274+L170</f>
        <v>0</v>
      </c>
      <c r="M274" s="276">
        <f t="shared" si="393"/>
        <v>0</v>
      </c>
      <c r="N274" s="286"/>
      <c r="O274" s="264" t="str">
        <f t="shared" si="346"/>
        <v>-</v>
      </c>
    </row>
    <row r="275" spans="1:15" ht="23.4" x14ac:dyDescent="0.3">
      <c r="A275" s="277"/>
      <c r="B275" s="977"/>
      <c r="C275" s="302" t="s">
        <v>314</v>
      </c>
      <c r="D275" s="302" t="s">
        <v>370</v>
      </c>
      <c r="E275" s="283">
        <v>0</v>
      </c>
      <c r="F275" s="284"/>
      <c r="G275" s="337">
        <f t="shared" si="384"/>
        <v>0</v>
      </c>
      <c r="H275" s="285">
        <v>0</v>
      </c>
      <c r="I275" s="285">
        <v>0</v>
      </c>
      <c r="J275" s="356" t="str">
        <f>IFERROR(G275/#REF!,"-")</f>
        <v>-</v>
      </c>
      <c r="K275" s="337">
        <f t="shared" si="385"/>
        <v>0</v>
      </c>
      <c r="L275" s="275">
        <f t="shared" ref="L275:M275" si="394">+H275+L171</f>
        <v>0</v>
      </c>
      <c r="M275" s="276">
        <f t="shared" si="394"/>
        <v>0</v>
      </c>
      <c r="N275" s="286"/>
      <c r="O275" s="264" t="str">
        <f t="shared" si="346"/>
        <v>-</v>
      </c>
    </row>
    <row r="276" spans="1:15" ht="24" thickBot="1" x14ac:dyDescent="0.35">
      <c r="A276" s="277" t="s">
        <v>108</v>
      </c>
      <c r="B276" s="977"/>
      <c r="C276" s="303" t="s">
        <v>315</v>
      </c>
      <c r="D276" s="302" t="s">
        <v>313</v>
      </c>
      <c r="E276" s="283">
        <v>0</v>
      </c>
      <c r="F276" s="284"/>
      <c r="G276" s="337">
        <f t="shared" si="384"/>
        <v>0</v>
      </c>
      <c r="H276" s="285">
        <v>0</v>
      </c>
      <c r="I276" s="285">
        <v>0</v>
      </c>
      <c r="J276" s="356" t="str">
        <f>IFERROR(G276/#REF!,"-")</f>
        <v>-</v>
      </c>
      <c r="K276" s="337">
        <f t="shared" si="385"/>
        <v>0</v>
      </c>
      <c r="L276" s="275">
        <f t="shared" ref="L276:M276" si="395">+H276+L172</f>
        <v>0</v>
      </c>
      <c r="M276" s="276">
        <f t="shared" si="395"/>
        <v>0</v>
      </c>
      <c r="N276" s="341" t="str">
        <f t="shared" ref="N276:N281" si="396">IFERROR(K276/E276,"-")</f>
        <v>-</v>
      </c>
      <c r="O276" s="350" t="str">
        <f t="shared" si="346"/>
        <v>-</v>
      </c>
    </row>
    <row r="277" spans="1:15" ht="24" thickBot="1" x14ac:dyDescent="0.35">
      <c r="A277" s="277" t="s">
        <v>108</v>
      </c>
      <c r="B277" s="990"/>
      <c r="C277" s="304"/>
      <c r="D277" s="305" t="s">
        <v>55</v>
      </c>
      <c r="E277" s="287">
        <f>SUM(E268:E276)</f>
        <v>0</v>
      </c>
      <c r="F277" s="288"/>
      <c r="G277" s="323">
        <f>SUM(G268:G276)</f>
        <v>0</v>
      </c>
      <c r="H277" s="324">
        <f>SUM(H268:H276)</f>
        <v>0</v>
      </c>
      <c r="I277" s="324">
        <f>SUM(I268:I276)</f>
        <v>0</v>
      </c>
      <c r="J277" s="348" t="str">
        <f>IFERROR(G277/#REF!,"-")</f>
        <v>-</v>
      </c>
      <c r="K277" s="323">
        <f>SUM(K268:K276)</f>
        <v>0</v>
      </c>
      <c r="L277" s="324">
        <f>SUM(L268:L276)</f>
        <v>0</v>
      </c>
      <c r="M277" s="325">
        <f>SUM(M268:M276)</f>
        <v>0</v>
      </c>
      <c r="N277" s="342" t="str">
        <f t="shared" si="396"/>
        <v>-</v>
      </c>
      <c r="O277" s="348" t="str">
        <f t="shared" si="346"/>
        <v>-</v>
      </c>
    </row>
    <row r="278" spans="1:15" ht="23.4" x14ac:dyDescent="0.3">
      <c r="A278" s="277" t="s">
        <v>108</v>
      </c>
      <c r="B278" s="976" t="s">
        <v>28</v>
      </c>
      <c r="C278" s="302" t="s">
        <v>27</v>
      </c>
      <c r="D278" s="300" t="s">
        <v>302</v>
      </c>
      <c r="E278" s="273">
        <v>2612056</v>
      </c>
      <c r="F278" s="274"/>
      <c r="G278" s="335">
        <f t="shared" ref="G278:G280" si="397">+H278+I278</f>
        <v>0</v>
      </c>
      <c r="H278" s="275">
        <v>0</v>
      </c>
      <c r="I278" s="275">
        <v>0</v>
      </c>
      <c r="J278" s="354" t="str">
        <f>IFERROR(G278/#REF!,"-")</f>
        <v>-</v>
      </c>
      <c r="K278" s="335">
        <f t="shared" ref="K278:K280" si="398">+L278+M278</f>
        <v>4258</v>
      </c>
      <c r="L278" s="275">
        <f t="shared" ref="L278:M278" si="399">+H278+L174</f>
        <v>3978</v>
      </c>
      <c r="M278" s="276">
        <f t="shared" si="399"/>
        <v>280</v>
      </c>
      <c r="N278" s="339">
        <f t="shared" si="396"/>
        <v>1.6301335040290101E-3</v>
      </c>
      <c r="O278" s="349">
        <f t="shared" si="346"/>
        <v>6.5758572099577264E-2</v>
      </c>
    </row>
    <row r="279" spans="1:15" ht="23.4" x14ac:dyDescent="0.3">
      <c r="A279" s="277" t="s">
        <v>108</v>
      </c>
      <c r="B279" s="977"/>
      <c r="C279" s="302" t="s">
        <v>27</v>
      </c>
      <c r="D279" s="302" t="s">
        <v>370</v>
      </c>
      <c r="E279" s="279">
        <v>0</v>
      </c>
      <c r="F279" s="280"/>
      <c r="G279" s="336">
        <f t="shared" si="397"/>
        <v>0</v>
      </c>
      <c r="H279" s="281">
        <v>0</v>
      </c>
      <c r="I279" s="281">
        <v>0</v>
      </c>
      <c r="J279" s="355" t="str">
        <f>IFERROR(G279/#REF!,"-")</f>
        <v>-</v>
      </c>
      <c r="K279" s="336">
        <f t="shared" si="398"/>
        <v>24591</v>
      </c>
      <c r="L279" s="275">
        <f t="shared" ref="L279:M279" si="400">+H279+L175</f>
        <v>23868</v>
      </c>
      <c r="M279" s="276">
        <f t="shared" si="400"/>
        <v>723</v>
      </c>
      <c r="N279" s="340" t="str">
        <f t="shared" si="396"/>
        <v>-</v>
      </c>
      <c r="O279" s="264">
        <f t="shared" si="346"/>
        <v>2.9401000365987556E-2</v>
      </c>
    </row>
    <row r="280" spans="1:15" ht="24" thickBot="1" x14ac:dyDescent="0.35">
      <c r="A280" s="277" t="s">
        <v>108</v>
      </c>
      <c r="B280" s="977"/>
      <c r="C280" s="302" t="s">
        <v>27</v>
      </c>
      <c r="D280" s="303" t="s">
        <v>254</v>
      </c>
      <c r="E280" s="283">
        <v>0</v>
      </c>
      <c r="F280" s="284"/>
      <c r="G280" s="337">
        <f t="shared" si="397"/>
        <v>158352</v>
      </c>
      <c r="H280" s="285">
        <v>155142</v>
      </c>
      <c r="I280" s="285">
        <v>3210</v>
      </c>
      <c r="J280" s="356" t="str">
        <f>IFERROR(G280/#REF!,"-")</f>
        <v>-</v>
      </c>
      <c r="K280" s="337">
        <f t="shared" si="398"/>
        <v>353850</v>
      </c>
      <c r="L280" s="275">
        <f t="shared" ref="L280:M280" si="401">+H280+L176</f>
        <v>350064</v>
      </c>
      <c r="M280" s="755">
        <f t="shared" si="401"/>
        <v>3786</v>
      </c>
      <c r="N280" s="341" t="str">
        <f t="shared" si="396"/>
        <v>-</v>
      </c>
      <c r="O280" s="350">
        <f t="shared" si="346"/>
        <v>1.0699448919033488E-2</v>
      </c>
    </row>
    <row r="281" spans="1:15" ht="24" thickBot="1" x14ac:dyDescent="0.35">
      <c r="A281" s="277" t="s">
        <v>108</v>
      </c>
      <c r="B281" s="977"/>
      <c r="C281" s="307"/>
      <c r="D281" s="308" t="s">
        <v>55</v>
      </c>
      <c r="E281" s="309">
        <f>SUM(E278:E280)</f>
        <v>2612056</v>
      </c>
      <c r="F281" s="310"/>
      <c r="G281" s="369">
        <f>SUM(G278:G280)</f>
        <v>158352</v>
      </c>
      <c r="H281" s="368">
        <f t="shared" ref="H281:I281" si="402">SUM(H278:H280)</f>
        <v>155142</v>
      </c>
      <c r="I281" s="368">
        <f t="shared" si="402"/>
        <v>3210</v>
      </c>
      <c r="J281" s="359" t="str">
        <f>IFERROR(G281/#REF!,"-")</f>
        <v>-</v>
      </c>
      <c r="K281" s="369">
        <f>SUM(K278:K280)</f>
        <v>382699</v>
      </c>
      <c r="L281" s="368">
        <f>SUM(L278:L280)</f>
        <v>377910</v>
      </c>
      <c r="M281" s="370">
        <f t="shared" ref="M281" si="403">SUM(M278:M280)</f>
        <v>4789</v>
      </c>
      <c r="N281" s="358">
        <f t="shared" si="396"/>
        <v>0.14651255562667875</v>
      </c>
      <c r="O281" s="359">
        <f t="shared" si="346"/>
        <v>1.2513751015811382E-2</v>
      </c>
    </row>
    <row r="282" spans="1:15" ht="24" thickBot="1" x14ac:dyDescent="0.35">
      <c r="A282" s="723" t="s">
        <v>108</v>
      </c>
      <c r="B282" s="978" t="s">
        <v>170</v>
      </c>
      <c r="C282" s="979"/>
      <c r="D282" s="980"/>
      <c r="E282" s="311">
        <f>+E281+E277</f>
        <v>2612056</v>
      </c>
      <c r="F282" s="312">
        <v>80000</v>
      </c>
      <c r="G282" s="372">
        <f>+G277+G281</f>
        <v>158352</v>
      </c>
      <c r="H282" s="371">
        <f t="shared" ref="H282:I282" si="404">+H277+H281</f>
        <v>155142</v>
      </c>
      <c r="I282" s="371">
        <f t="shared" si="404"/>
        <v>3210</v>
      </c>
      <c r="J282" s="361" t="str">
        <f>IFERROR(G282/#REF!,"-")</f>
        <v>-</v>
      </c>
      <c r="K282" s="372">
        <f>+K277+K281</f>
        <v>382699</v>
      </c>
      <c r="L282" s="371">
        <f>+L277+L281</f>
        <v>377910</v>
      </c>
      <c r="M282" s="373">
        <f t="shared" ref="M282" si="405">+M277+M281</f>
        <v>4789</v>
      </c>
      <c r="N282" s="360">
        <f>IFERROR(K282/E282,"-")</f>
        <v>0.14651255562667875</v>
      </c>
      <c r="O282" s="361">
        <f t="shared" si="346"/>
        <v>1.2513751015811382E-2</v>
      </c>
    </row>
    <row r="283" spans="1:15" ht="23.4" x14ac:dyDescent="0.3">
      <c r="A283" s="277" t="s">
        <v>108</v>
      </c>
      <c r="B283" s="977" t="s">
        <v>30</v>
      </c>
      <c r="C283" s="306" t="s">
        <v>372</v>
      </c>
      <c r="D283" s="300" t="s">
        <v>191</v>
      </c>
      <c r="E283" s="273">
        <v>0</v>
      </c>
      <c r="F283" s="274"/>
      <c r="G283" s="335">
        <f t="shared" ref="G283:G285" si="406">+H283+I283</f>
        <v>0</v>
      </c>
      <c r="H283" s="275">
        <v>0</v>
      </c>
      <c r="I283" s="275">
        <v>0</v>
      </c>
      <c r="J283" s="354" t="str">
        <f>IFERROR(G283/#REF!,"-")</f>
        <v>-</v>
      </c>
      <c r="K283" s="335">
        <f t="shared" ref="K283:K285" si="407">+L283+M283</f>
        <v>0</v>
      </c>
      <c r="L283" s="275">
        <f t="shared" ref="L283:M283" si="408">+H283+L179</f>
        <v>0</v>
      </c>
      <c r="M283" s="276">
        <f t="shared" si="408"/>
        <v>0</v>
      </c>
      <c r="N283" s="339" t="str">
        <f t="shared" ref="N283:N293" si="409">IFERROR(K283/E283,"-")</f>
        <v>-</v>
      </c>
      <c r="O283" s="349" t="str">
        <f t="shared" si="346"/>
        <v>-</v>
      </c>
    </row>
    <row r="284" spans="1:15" ht="23.4" x14ac:dyDescent="0.3">
      <c r="A284" s="277" t="s">
        <v>108</v>
      </c>
      <c r="B284" s="977"/>
      <c r="C284" s="306" t="s">
        <v>371</v>
      </c>
      <c r="D284" s="306" t="s">
        <v>313</v>
      </c>
      <c r="E284" s="279">
        <v>0</v>
      </c>
      <c r="F284" s="280"/>
      <c r="G284" s="336">
        <f t="shared" si="406"/>
        <v>0</v>
      </c>
      <c r="H284" s="281">
        <v>0</v>
      </c>
      <c r="I284" s="281">
        <v>0</v>
      </c>
      <c r="J284" s="355" t="str">
        <f>IFERROR(G284/#REF!,"-")</f>
        <v>-</v>
      </c>
      <c r="K284" s="336">
        <f t="shared" si="407"/>
        <v>0</v>
      </c>
      <c r="L284" s="275">
        <f>+H284+L180</f>
        <v>0</v>
      </c>
      <c r="M284" s="276">
        <f>+I284+M180</f>
        <v>0</v>
      </c>
      <c r="N284" s="340" t="str">
        <f t="shared" si="409"/>
        <v>-</v>
      </c>
      <c r="O284" s="264" t="str">
        <f t="shared" si="346"/>
        <v>-</v>
      </c>
    </row>
    <row r="285" spans="1:15" ht="24" thickBot="1" x14ac:dyDescent="0.35">
      <c r="A285" s="277" t="s">
        <v>108</v>
      </c>
      <c r="B285" s="977"/>
      <c r="C285" s="303" t="s">
        <v>316</v>
      </c>
      <c r="D285" s="303" t="s">
        <v>410</v>
      </c>
      <c r="E285" s="283">
        <v>0</v>
      </c>
      <c r="F285" s="284"/>
      <c r="G285" s="337">
        <f t="shared" si="406"/>
        <v>28900</v>
      </c>
      <c r="H285" s="285">
        <v>28080</v>
      </c>
      <c r="I285" s="285">
        <v>820</v>
      </c>
      <c r="J285" s="356" t="str">
        <f>IFERROR(G285/#REF!,"-")</f>
        <v>-</v>
      </c>
      <c r="K285" s="337">
        <f t="shared" si="407"/>
        <v>54606</v>
      </c>
      <c r="L285" s="275">
        <f>+H285+L181</f>
        <v>52416</v>
      </c>
      <c r="M285" s="276">
        <f>+I285+M181</f>
        <v>2190</v>
      </c>
      <c r="N285" s="341" t="str">
        <f t="shared" si="409"/>
        <v>-</v>
      </c>
      <c r="O285" s="350">
        <f t="shared" si="346"/>
        <v>4.0105482913965498E-2</v>
      </c>
    </row>
    <row r="286" spans="1:15" ht="24" thickBot="1" x14ac:dyDescent="0.35">
      <c r="A286" s="277" t="s">
        <v>108</v>
      </c>
      <c r="B286" s="977"/>
      <c r="C286" s="304"/>
      <c r="D286" s="305" t="s">
        <v>53</v>
      </c>
      <c r="E286" s="287">
        <v>0</v>
      </c>
      <c r="F286" s="288"/>
      <c r="G286" s="323">
        <f>SUM(G283:G285)</f>
        <v>28900</v>
      </c>
      <c r="H286" s="324">
        <f>SUM(H283:H285)</f>
        <v>28080</v>
      </c>
      <c r="I286" s="324">
        <f>SUM(I283:I285)</f>
        <v>820</v>
      </c>
      <c r="J286" s="348" t="str">
        <f>IFERROR(G286/#REF!,"-")</f>
        <v>-</v>
      </c>
      <c r="K286" s="323">
        <f>SUM(K283:K285)</f>
        <v>54606</v>
      </c>
      <c r="L286" s="324">
        <f>SUM(L283:L285)</f>
        <v>52416</v>
      </c>
      <c r="M286" s="325">
        <f>SUM(M283:M285)</f>
        <v>2190</v>
      </c>
      <c r="N286" s="342" t="str">
        <f t="shared" si="409"/>
        <v>-</v>
      </c>
      <c r="O286" s="348">
        <f t="shared" si="346"/>
        <v>4.0105482913965498E-2</v>
      </c>
    </row>
    <row r="287" spans="1:15" ht="23.4" x14ac:dyDescent="0.3">
      <c r="A287" s="277" t="s">
        <v>108</v>
      </c>
      <c r="B287" s="977"/>
      <c r="C287" s="300" t="s">
        <v>339</v>
      </c>
      <c r="D287" s="300"/>
      <c r="E287" s="273">
        <v>0</v>
      </c>
      <c r="F287" s="274"/>
      <c r="G287" s="335">
        <f t="shared" ref="G287:G289" si="410">+H287+I287</f>
        <v>0</v>
      </c>
      <c r="H287" s="275">
        <v>0</v>
      </c>
      <c r="I287" s="275">
        <v>0</v>
      </c>
      <c r="J287" s="354" t="str">
        <f>IFERROR(G287/#REF!,"-")</f>
        <v>-</v>
      </c>
      <c r="K287" s="335">
        <f t="shared" ref="K287:K289" si="411">+L287+M287</f>
        <v>0</v>
      </c>
      <c r="L287" s="275">
        <f t="shared" ref="L287:M289" si="412">+H287+L183</f>
        <v>0</v>
      </c>
      <c r="M287" s="276">
        <f t="shared" si="412"/>
        <v>0</v>
      </c>
      <c r="N287" s="339" t="str">
        <f t="shared" si="409"/>
        <v>-</v>
      </c>
      <c r="O287" s="349" t="str">
        <f t="shared" si="346"/>
        <v>-</v>
      </c>
    </row>
    <row r="288" spans="1:15" ht="23.4" x14ac:dyDescent="0.3">
      <c r="A288" s="277" t="s">
        <v>108</v>
      </c>
      <c r="B288" s="977"/>
      <c r="C288" s="306" t="s">
        <v>373</v>
      </c>
      <c r="D288" s="306" t="s">
        <v>254</v>
      </c>
      <c r="E288" s="279">
        <v>0</v>
      </c>
      <c r="F288" s="280"/>
      <c r="G288" s="336">
        <f t="shared" si="410"/>
        <v>7766</v>
      </c>
      <c r="H288" s="281">
        <v>7488</v>
      </c>
      <c r="I288" s="281">
        <v>278</v>
      </c>
      <c r="J288" s="355" t="str">
        <f>IFERROR(G288/#REF!,"-")</f>
        <v>-</v>
      </c>
      <c r="K288" s="336">
        <f t="shared" si="411"/>
        <v>9638</v>
      </c>
      <c r="L288" s="275">
        <f t="shared" si="412"/>
        <v>9360</v>
      </c>
      <c r="M288" s="276">
        <f t="shared" si="412"/>
        <v>278</v>
      </c>
      <c r="N288" s="340" t="str">
        <f t="shared" si="409"/>
        <v>-</v>
      </c>
      <c r="O288" s="264">
        <f t="shared" si="346"/>
        <v>2.8844158539116E-2</v>
      </c>
    </row>
    <row r="289" spans="1:15" ht="24" thickBot="1" x14ac:dyDescent="0.35">
      <c r="A289" s="277" t="s">
        <v>108</v>
      </c>
      <c r="B289" s="977"/>
      <c r="C289" s="303" t="s">
        <v>145</v>
      </c>
      <c r="D289" s="303"/>
      <c r="E289" s="283">
        <v>0</v>
      </c>
      <c r="F289" s="284"/>
      <c r="G289" s="337">
        <f t="shared" si="410"/>
        <v>0</v>
      </c>
      <c r="H289" s="285">
        <v>0</v>
      </c>
      <c r="I289" s="285">
        <v>0</v>
      </c>
      <c r="J289" s="356" t="str">
        <f>IFERROR(G289/#REF!,"-")</f>
        <v>-</v>
      </c>
      <c r="K289" s="337">
        <f t="shared" si="411"/>
        <v>0</v>
      </c>
      <c r="L289" s="275">
        <f t="shared" si="412"/>
        <v>0</v>
      </c>
      <c r="M289" s="276">
        <f t="shared" si="412"/>
        <v>0</v>
      </c>
      <c r="N289" s="341" t="str">
        <f t="shared" si="409"/>
        <v>-</v>
      </c>
      <c r="O289" s="350" t="str">
        <f t="shared" si="346"/>
        <v>-</v>
      </c>
    </row>
    <row r="290" spans="1:15" ht="24" thickBot="1" x14ac:dyDescent="0.35">
      <c r="A290" s="277" t="s">
        <v>108</v>
      </c>
      <c r="B290" s="977"/>
      <c r="C290" s="307"/>
      <c r="D290" s="308" t="s">
        <v>54</v>
      </c>
      <c r="E290" s="309">
        <v>0</v>
      </c>
      <c r="F290" s="310"/>
      <c r="G290" s="369">
        <f>SUM(G287:G289)</f>
        <v>7766</v>
      </c>
      <c r="H290" s="368">
        <f t="shared" ref="H290:I290" si="413">SUM(H287:H289)</f>
        <v>7488</v>
      </c>
      <c r="I290" s="368">
        <f t="shared" si="413"/>
        <v>278</v>
      </c>
      <c r="J290" s="359" t="str">
        <f>IFERROR(G290/#REF!,"-")</f>
        <v>-</v>
      </c>
      <c r="K290" s="369">
        <f t="shared" ref="K290:M290" si="414">SUM(K287:K289)</f>
        <v>9638</v>
      </c>
      <c r="L290" s="368">
        <f t="shared" si="414"/>
        <v>9360</v>
      </c>
      <c r="M290" s="370">
        <f t="shared" si="414"/>
        <v>278</v>
      </c>
      <c r="N290" s="358" t="str">
        <f t="shared" si="409"/>
        <v>-</v>
      </c>
      <c r="O290" s="359">
        <f t="shared" si="346"/>
        <v>2.8844158539116E-2</v>
      </c>
    </row>
    <row r="291" spans="1:15" ht="24" thickBot="1" x14ac:dyDescent="0.35">
      <c r="A291" s="277" t="s">
        <v>108</v>
      </c>
      <c r="B291" s="978" t="s">
        <v>171</v>
      </c>
      <c r="C291" s="979"/>
      <c r="D291" s="980"/>
      <c r="E291" s="311">
        <v>0</v>
      </c>
      <c r="F291" s="312">
        <v>50000</v>
      </c>
      <c r="G291" s="372">
        <f>+G286+G290</f>
        <v>36666</v>
      </c>
      <c r="H291" s="371">
        <f t="shared" ref="H291:I291" si="415">+H286+H290</f>
        <v>35568</v>
      </c>
      <c r="I291" s="371">
        <f t="shared" si="415"/>
        <v>1098</v>
      </c>
      <c r="J291" s="361" t="str">
        <f>IFERROR(G291/#REF!,"-")</f>
        <v>-</v>
      </c>
      <c r="K291" s="372">
        <f t="shared" ref="K291:M291" si="416">+K286+K290</f>
        <v>64244</v>
      </c>
      <c r="L291" s="371">
        <f t="shared" si="416"/>
        <v>61776</v>
      </c>
      <c r="M291" s="373">
        <f t="shared" si="416"/>
        <v>2468</v>
      </c>
      <c r="N291" s="360" t="str">
        <f t="shared" si="409"/>
        <v>-</v>
      </c>
      <c r="O291" s="361">
        <f t="shared" si="346"/>
        <v>3.8416038851877221E-2</v>
      </c>
    </row>
    <row r="292" spans="1:15" ht="24" thickBot="1" x14ac:dyDescent="0.35">
      <c r="A292" s="277" t="s">
        <v>108</v>
      </c>
      <c r="B292" s="608" t="s">
        <v>32</v>
      </c>
      <c r="C292" s="719"/>
      <c r="D292" s="313" t="s">
        <v>32</v>
      </c>
      <c r="E292" s="290">
        <v>0</v>
      </c>
      <c r="F292" s="291">
        <v>110000</v>
      </c>
      <c r="G292" s="338">
        <f t="shared" ref="G292" si="417">+H292+I292</f>
        <v>0</v>
      </c>
      <c r="H292" s="292">
        <v>0</v>
      </c>
      <c r="I292" s="292">
        <v>0</v>
      </c>
      <c r="J292" s="357" t="str">
        <f>IFERROR(G292/#REF!,"-")</f>
        <v>-</v>
      </c>
      <c r="K292" s="338">
        <f>+L292+M292</f>
        <v>0</v>
      </c>
      <c r="L292" s="292">
        <f>+H292+L188</f>
        <v>0</v>
      </c>
      <c r="M292" s="293">
        <f>+I292+M188</f>
        <v>0</v>
      </c>
      <c r="N292" s="343" t="str">
        <f t="shared" si="409"/>
        <v>-</v>
      </c>
      <c r="O292" s="351" t="str">
        <f t="shared" si="346"/>
        <v>-</v>
      </c>
    </row>
    <row r="293" spans="1:15" ht="24" thickBot="1" x14ac:dyDescent="0.35">
      <c r="A293" s="277" t="s">
        <v>108</v>
      </c>
      <c r="B293" s="981" t="s">
        <v>21</v>
      </c>
      <c r="C293" s="982"/>
      <c r="D293" s="983"/>
      <c r="E293" s="329">
        <f>+E282+E291+E292</f>
        <v>2612056</v>
      </c>
      <c r="F293" s="330">
        <f>+F282+F291+F292</f>
        <v>240000</v>
      </c>
      <c r="G293" s="329">
        <f>+G282+G291+G292</f>
        <v>195018</v>
      </c>
      <c r="H293" s="327">
        <f>+H282+H291+H292</f>
        <v>190710</v>
      </c>
      <c r="I293" s="327">
        <f>+I282+I291+I292</f>
        <v>4308</v>
      </c>
      <c r="J293" s="352" t="str">
        <f>IFERROR(G293/#REF!,"-")</f>
        <v>-</v>
      </c>
      <c r="K293" s="329">
        <f>+K282+K291+K292</f>
        <v>446943</v>
      </c>
      <c r="L293" s="327">
        <f>+L282+L291+L292</f>
        <v>439686</v>
      </c>
      <c r="M293" s="328">
        <f>+M282+M291+M292</f>
        <v>7257</v>
      </c>
      <c r="N293" s="344">
        <f t="shared" si="409"/>
        <v>0.17110774041597884</v>
      </c>
      <c r="O293" s="352">
        <f t="shared" si="346"/>
        <v>1.6236969814942846E-2</v>
      </c>
    </row>
    <row r="294" spans="1:15" ht="24" thickBot="1" x14ac:dyDescent="0.35">
      <c r="A294" s="277" t="s">
        <v>108</v>
      </c>
      <c r="B294" s="984" t="s">
        <v>179</v>
      </c>
      <c r="C294" s="962"/>
      <c r="D294" s="963"/>
      <c r="E294" s="333">
        <f>+E293</f>
        <v>2612056</v>
      </c>
      <c r="F294" s="334">
        <f t="shared" ref="F294:I294" si="418">+F293</f>
        <v>240000</v>
      </c>
      <c r="G294" s="333">
        <f t="shared" si="418"/>
        <v>195018</v>
      </c>
      <c r="H294" s="331">
        <f t="shared" si="418"/>
        <v>190710</v>
      </c>
      <c r="I294" s="331">
        <f t="shared" si="418"/>
        <v>4308</v>
      </c>
      <c r="J294" s="353" t="str">
        <f>+J293</f>
        <v>-</v>
      </c>
      <c r="K294" s="333">
        <f>+K293</f>
        <v>446943</v>
      </c>
      <c r="L294" s="331">
        <f t="shared" ref="L294" si="419">+L293</f>
        <v>439686</v>
      </c>
      <c r="M294" s="332">
        <f>+M293</f>
        <v>7257</v>
      </c>
      <c r="N294" s="345">
        <f t="shared" ref="N294:O294" si="420">+N293</f>
        <v>0.17110774041597884</v>
      </c>
      <c r="O294" s="353">
        <f t="shared" si="420"/>
        <v>1.6236969814942846E-2</v>
      </c>
    </row>
    <row r="295" spans="1:15" ht="23.4" x14ac:dyDescent="0.3">
      <c r="A295" s="271" t="s">
        <v>109</v>
      </c>
      <c r="B295" s="970" t="s">
        <v>33</v>
      </c>
      <c r="C295" s="314" t="s">
        <v>120</v>
      </c>
      <c r="D295" s="314"/>
      <c r="E295" s="273">
        <v>34000</v>
      </c>
      <c r="F295" s="274"/>
      <c r="G295" s="335">
        <f t="shared" ref="G295:G297" si="421">+H295+I295</f>
        <v>0</v>
      </c>
      <c r="H295" s="275">
        <v>0</v>
      </c>
      <c r="I295" s="275">
        <v>0</v>
      </c>
      <c r="J295" s="354" t="str">
        <f>IFERROR(G295/#REF!,"-")</f>
        <v>-</v>
      </c>
      <c r="K295" s="335">
        <f t="shared" ref="K295:K297" si="422">+L295+M295</f>
        <v>0</v>
      </c>
      <c r="L295" s="275">
        <f t="shared" ref="L295:M297" si="423">+H295+L191</f>
        <v>0</v>
      </c>
      <c r="M295" s="276">
        <f t="shared" si="423"/>
        <v>0</v>
      </c>
      <c r="N295" s="339">
        <f t="shared" ref="N295:N302" si="424">IFERROR(K295/E295,"-")</f>
        <v>0</v>
      </c>
      <c r="O295" s="349" t="str">
        <f t="shared" ref="O295:O320" si="425">IFERROR(M295/K295,"-")</f>
        <v>-</v>
      </c>
    </row>
    <row r="296" spans="1:15" ht="23.4" x14ac:dyDescent="0.3">
      <c r="A296" s="277" t="s">
        <v>109</v>
      </c>
      <c r="B296" s="972"/>
      <c r="C296" s="315" t="s">
        <v>267</v>
      </c>
      <c r="D296" s="315"/>
      <c r="E296" s="279">
        <v>0</v>
      </c>
      <c r="F296" s="280"/>
      <c r="G296" s="336">
        <f t="shared" si="421"/>
        <v>0</v>
      </c>
      <c r="H296" s="281">
        <v>0</v>
      </c>
      <c r="I296" s="281">
        <v>0</v>
      </c>
      <c r="J296" s="355" t="str">
        <f>IFERROR(G296/#REF!,"-")</f>
        <v>-</v>
      </c>
      <c r="K296" s="336">
        <f t="shared" si="422"/>
        <v>0</v>
      </c>
      <c r="L296" s="275">
        <f t="shared" si="423"/>
        <v>0</v>
      </c>
      <c r="M296" s="276">
        <f t="shared" si="423"/>
        <v>0</v>
      </c>
      <c r="N296" s="340" t="str">
        <f t="shared" si="424"/>
        <v>-</v>
      </c>
      <c r="O296" s="264" t="str">
        <f t="shared" si="425"/>
        <v>-</v>
      </c>
    </row>
    <row r="297" spans="1:15" ht="24" thickBot="1" x14ac:dyDescent="0.35">
      <c r="A297" s="277" t="s">
        <v>109</v>
      </c>
      <c r="B297" s="971"/>
      <c r="C297" s="316" t="s">
        <v>34</v>
      </c>
      <c r="D297" s="316"/>
      <c r="E297" s="283">
        <v>0</v>
      </c>
      <c r="F297" s="284"/>
      <c r="G297" s="337">
        <f t="shared" si="421"/>
        <v>0</v>
      </c>
      <c r="H297" s="285">
        <v>0</v>
      </c>
      <c r="I297" s="285">
        <v>0</v>
      </c>
      <c r="J297" s="356" t="str">
        <f>IFERROR(G297/#REF!,"-")</f>
        <v>-</v>
      </c>
      <c r="K297" s="337">
        <f t="shared" si="422"/>
        <v>0</v>
      </c>
      <c r="L297" s="275">
        <f t="shared" si="423"/>
        <v>0</v>
      </c>
      <c r="M297" s="276">
        <f t="shared" si="423"/>
        <v>0</v>
      </c>
      <c r="N297" s="341" t="str">
        <f t="shared" si="424"/>
        <v>-</v>
      </c>
      <c r="O297" s="350" t="str">
        <f t="shared" si="425"/>
        <v>-</v>
      </c>
    </row>
    <row r="298" spans="1:15" ht="24" thickBot="1" x14ac:dyDescent="0.35">
      <c r="A298" s="277" t="s">
        <v>109</v>
      </c>
      <c r="B298" s="967" t="s">
        <v>35</v>
      </c>
      <c r="C298" s="968"/>
      <c r="D298" s="969"/>
      <c r="E298" s="287">
        <f>SUM(E295:E297)</f>
        <v>34000</v>
      </c>
      <c r="F298" s="288"/>
      <c r="G298" s="323">
        <f>SUM(G295:G297)</f>
        <v>0</v>
      </c>
      <c r="H298" s="324">
        <f t="shared" ref="H298:I298" si="426">SUM(H295:H297)</f>
        <v>0</v>
      </c>
      <c r="I298" s="324">
        <f t="shared" si="426"/>
        <v>0</v>
      </c>
      <c r="J298" s="348" t="str">
        <f>IFERROR(G298/#REF!,"-")</f>
        <v>-</v>
      </c>
      <c r="K298" s="323">
        <f t="shared" ref="K298:M298" si="427">SUM(K295:K297)</f>
        <v>0</v>
      </c>
      <c r="L298" s="324">
        <f t="shared" si="427"/>
        <v>0</v>
      </c>
      <c r="M298" s="325">
        <f t="shared" si="427"/>
        <v>0</v>
      </c>
      <c r="N298" s="342">
        <f t="shared" si="424"/>
        <v>0</v>
      </c>
      <c r="O298" s="348" t="str">
        <f t="shared" si="425"/>
        <v>-</v>
      </c>
    </row>
    <row r="299" spans="1:15" ht="23.4" x14ac:dyDescent="0.3">
      <c r="A299" s="277" t="s">
        <v>109</v>
      </c>
      <c r="B299" s="970" t="s">
        <v>36</v>
      </c>
      <c r="C299" s="314" t="s">
        <v>120</v>
      </c>
      <c r="D299" s="314"/>
      <c r="E299" s="273">
        <v>64360</v>
      </c>
      <c r="F299" s="274"/>
      <c r="G299" s="335">
        <f t="shared" ref="G299:G302" si="428">+H299+I299</f>
        <v>0</v>
      </c>
      <c r="H299" s="275">
        <v>0</v>
      </c>
      <c r="I299" s="275">
        <v>0</v>
      </c>
      <c r="J299" s="354" t="str">
        <f>IFERROR(G299/#REF!,"-")</f>
        <v>-</v>
      </c>
      <c r="K299" s="335">
        <f t="shared" ref="K299:K302" si="429">+L299+M299</f>
        <v>0</v>
      </c>
      <c r="L299" s="275">
        <f t="shared" ref="L299:M302" si="430">+H299+L195</f>
        <v>0</v>
      </c>
      <c r="M299" s="276">
        <f t="shared" si="430"/>
        <v>0</v>
      </c>
      <c r="N299" s="339">
        <f t="shared" si="424"/>
        <v>0</v>
      </c>
      <c r="O299" s="349" t="str">
        <f t="shared" si="425"/>
        <v>-</v>
      </c>
    </row>
    <row r="300" spans="1:15" ht="23.4" x14ac:dyDescent="0.3">
      <c r="A300" s="277" t="s">
        <v>109</v>
      </c>
      <c r="B300" s="972"/>
      <c r="C300" s="315" t="s">
        <v>267</v>
      </c>
      <c r="D300" s="315"/>
      <c r="E300" s="279">
        <v>0</v>
      </c>
      <c r="F300" s="280"/>
      <c r="G300" s="336">
        <f t="shared" si="428"/>
        <v>0</v>
      </c>
      <c r="H300" s="281">
        <v>0</v>
      </c>
      <c r="I300" s="281">
        <v>0</v>
      </c>
      <c r="J300" s="355" t="str">
        <f>IFERROR(G300/#REF!,"-")</f>
        <v>-</v>
      </c>
      <c r="K300" s="336">
        <f t="shared" si="429"/>
        <v>0</v>
      </c>
      <c r="L300" s="275">
        <f t="shared" si="430"/>
        <v>0</v>
      </c>
      <c r="M300" s="276">
        <f t="shared" si="430"/>
        <v>0</v>
      </c>
      <c r="N300" s="340" t="str">
        <f t="shared" si="424"/>
        <v>-</v>
      </c>
      <c r="O300" s="264" t="str">
        <f t="shared" si="425"/>
        <v>-</v>
      </c>
    </row>
    <row r="301" spans="1:15" ht="23.4" x14ac:dyDescent="0.3">
      <c r="A301" s="277" t="s">
        <v>109</v>
      </c>
      <c r="B301" s="972"/>
      <c r="C301" s="315" t="s">
        <v>198</v>
      </c>
      <c r="D301" s="315"/>
      <c r="E301" s="279">
        <v>0</v>
      </c>
      <c r="F301" s="280"/>
      <c r="G301" s="336">
        <f t="shared" si="428"/>
        <v>0</v>
      </c>
      <c r="H301" s="281">
        <v>0</v>
      </c>
      <c r="I301" s="281">
        <v>0</v>
      </c>
      <c r="J301" s="355" t="str">
        <f>IFERROR(G301/#REF!,"-")</f>
        <v>-</v>
      </c>
      <c r="K301" s="336">
        <f t="shared" si="429"/>
        <v>0</v>
      </c>
      <c r="L301" s="275">
        <f t="shared" si="430"/>
        <v>0</v>
      </c>
      <c r="M301" s="276">
        <f t="shared" si="430"/>
        <v>0</v>
      </c>
      <c r="N301" s="340" t="str">
        <f t="shared" si="424"/>
        <v>-</v>
      </c>
      <c r="O301" s="264" t="str">
        <f t="shared" si="425"/>
        <v>-</v>
      </c>
    </row>
    <row r="302" spans="1:15" ht="24" thickBot="1" x14ac:dyDescent="0.35">
      <c r="A302" s="277" t="s">
        <v>109</v>
      </c>
      <c r="B302" s="971"/>
      <c r="C302" s="316" t="s">
        <v>37</v>
      </c>
      <c r="D302" s="316"/>
      <c r="E302" s="283">
        <v>0</v>
      </c>
      <c r="F302" s="284"/>
      <c r="G302" s="337">
        <f t="shared" si="428"/>
        <v>0</v>
      </c>
      <c r="H302" s="285">
        <v>0</v>
      </c>
      <c r="I302" s="285">
        <v>0</v>
      </c>
      <c r="J302" s="356" t="str">
        <f>IFERROR(G302/#REF!,"-")</f>
        <v>-</v>
      </c>
      <c r="K302" s="337">
        <f t="shared" si="429"/>
        <v>0</v>
      </c>
      <c r="L302" s="275">
        <f t="shared" si="430"/>
        <v>0</v>
      </c>
      <c r="M302" s="276">
        <f t="shared" si="430"/>
        <v>0</v>
      </c>
      <c r="N302" s="341" t="str">
        <f t="shared" si="424"/>
        <v>-</v>
      </c>
      <c r="O302" s="350" t="str">
        <f t="shared" si="425"/>
        <v>-</v>
      </c>
    </row>
    <row r="303" spans="1:15" ht="24" thickBot="1" x14ac:dyDescent="0.35">
      <c r="A303" s="277" t="s">
        <v>109</v>
      </c>
      <c r="B303" s="967" t="s">
        <v>38</v>
      </c>
      <c r="C303" s="968"/>
      <c r="D303" s="969"/>
      <c r="E303" s="287">
        <f>SUM(E299:E302)</f>
        <v>64360</v>
      </c>
      <c r="F303" s="288">
        <v>6500</v>
      </c>
      <c r="G303" s="323">
        <f>SUM(G299:G302)</f>
        <v>0</v>
      </c>
      <c r="H303" s="324">
        <f t="shared" ref="H303:I303" si="431">SUM(H299:H302)</f>
        <v>0</v>
      </c>
      <c r="I303" s="324">
        <f t="shared" si="431"/>
        <v>0</v>
      </c>
      <c r="J303" s="348" t="str">
        <f>IFERROR(G303/#REF!,"-")</f>
        <v>-</v>
      </c>
      <c r="K303" s="323">
        <f t="shared" ref="K303:M303" si="432">SUM(K299:K302)</f>
        <v>0</v>
      </c>
      <c r="L303" s="324">
        <f t="shared" si="432"/>
        <v>0</v>
      </c>
      <c r="M303" s="325">
        <f t="shared" si="432"/>
        <v>0</v>
      </c>
      <c r="N303" s="342">
        <f>IFERROR(K303/E303,"-")</f>
        <v>0</v>
      </c>
      <c r="O303" s="348" t="str">
        <f t="shared" si="425"/>
        <v>-</v>
      </c>
    </row>
    <row r="304" spans="1:15" ht="23.4" x14ac:dyDescent="0.3">
      <c r="A304" s="277" t="s">
        <v>109</v>
      </c>
      <c r="B304" s="970" t="s">
        <v>39</v>
      </c>
      <c r="C304" s="317" t="s">
        <v>123</v>
      </c>
      <c r="D304" s="317"/>
      <c r="E304" s="273">
        <v>39800</v>
      </c>
      <c r="F304" s="274"/>
      <c r="G304" s="335">
        <f t="shared" ref="G304:G305" si="433">+H304+I304</f>
        <v>0</v>
      </c>
      <c r="H304" s="275">
        <v>0</v>
      </c>
      <c r="I304" s="275">
        <v>0</v>
      </c>
      <c r="J304" s="354" t="str">
        <f>IFERROR(G304/#REF!,"-")</f>
        <v>-</v>
      </c>
      <c r="K304" s="335">
        <f t="shared" ref="K304:K305" si="434">+L304+M304</f>
        <v>0</v>
      </c>
      <c r="L304" s="275">
        <f>+H304+L200</f>
        <v>0</v>
      </c>
      <c r="M304" s="276">
        <f>+I304+M200</f>
        <v>0</v>
      </c>
      <c r="N304" s="339">
        <f t="shared" ref="N304:N320" si="435">IFERROR(K304/E304,"-")</f>
        <v>0</v>
      </c>
      <c r="O304" s="349" t="str">
        <f t="shared" si="425"/>
        <v>-</v>
      </c>
    </row>
    <row r="305" spans="1:15" ht="24" thickBot="1" x14ac:dyDescent="0.35">
      <c r="A305" s="277" t="s">
        <v>109</v>
      </c>
      <c r="B305" s="971"/>
      <c r="C305" s="289" t="s">
        <v>139</v>
      </c>
      <c r="D305" s="289"/>
      <c r="E305" s="283">
        <v>0</v>
      </c>
      <c r="F305" s="284"/>
      <c r="G305" s="337">
        <f t="shared" si="433"/>
        <v>0</v>
      </c>
      <c r="H305" s="285">
        <v>0</v>
      </c>
      <c r="I305" s="285">
        <v>0</v>
      </c>
      <c r="J305" s="356" t="str">
        <f>IFERROR(G305/#REF!,"-")</f>
        <v>-</v>
      </c>
      <c r="K305" s="337">
        <f t="shared" si="434"/>
        <v>240</v>
      </c>
      <c r="L305" s="275">
        <f>+H305+L201</f>
        <v>240</v>
      </c>
      <c r="M305" s="276">
        <f>+I305+M201</f>
        <v>0</v>
      </c>
      <c r="N305" s="341" t="str">
        <f t="shared" si="435"/>
        <v>-</v>
      </c>
      <c r="O305" s="350">
        <f t="shared" si="425"/>
        <v>0</v>
      </c>
    </row>
    <row r="306" spans="1:15" ht="24" thickBot="1" x14ac:dyDescent="0.35">
      <c r="A306" s="723" t="s">
        <v>109</v>
      </c>
      <c r="B306" s="967" t="s">
        <v>40</v>
      </c>
      <c r="C306" s="968"/>
      <c r="D306" s="969"/>
      <c r="E306" s="287">
        <f>SUM(E304:E305)</f>
        <v>39800</v>
      </c>
      <c r="F306" s="288">
        <v>2800</v>
      </c>
      <c r="G306" s="323">
        <f>SUM(G304:G305)</f>
        <v>0</v>
      </c>
      <c r="H306" s="324">
        <f t="shared" ref="H306:I306" si="436">SUM(H304:H305)</f>
        <v>0</v>
      </c>
      <c r="I306" s="324">
        <f t="shared" si="436"/>
        <v>0</v>
      </c>
      <c r="J306" s="348" t="str">
        <f>IFERROR(G306/#REF!,"-")</f>
        <v>-</v>
      </c>
      <c r="K306" s="323">
        <f t="shared" ref="K306:M306" si="437">SUM(K304:K305)</f>
        <v>240</v>
      </c>
      <c r="L306" s="324">
        <f t="shared" si="437"/>
        <v>240</v>
      </c>
      <c r="M306" s="325">
        <f t="shared" si="437"/>
        <v>0</v>
      </c>
      <c r="N306" s="342">
        <f t="shared" si="435"/>
        <v>6.030150753768844E-3</v>
      </c>
      <c r="O306" s="348">
        <f t="shared" si="425"/>
        <v>0</v>
      </c>
    </row>
    <row r="307" spans="1:15" ht="23.4" x14ac:dyDescent="0.3">
      <c r="A307" s="277" t="s">
        <v>109</v>
      </c>
      <c r="B307" s="970" t="s">
        <v>41</v>
      </c>
      <c r="C307" s="272" t="s">
        <v>335</v>
      </c>
      <c r="D307" s="272"/>
      <c r="E307" s="273">
        <v>916640</v>
      </c>
      <c r="F307" s="318"/>
      <c r="G307" s="335">
        <f t="shared" ref="G307:G311" si="438">+H307+I307</f>
        <v>30513</v>
      </c>
      <c r="H307" s="275">
        <v>29964</v>
      </c>
      <c r="I307" s="275">
        <v>549</v>
      </c>
      <c r="J307" s="374" t="str">
        <f>IFERROR(G307/#REF!,"-")</f>
        <v>-</v>
      </c>
      <c r="K307" s="335">
        <f t="shared" ref="K307:K311" si="439">+L307+M307</f>
        <v>60418</v>
      </c>
      <c r="L307" s="275">
        <f t="shared" ref="L307:M311" si="440">+H307+L203</f>
        <v>59520</v>
      </c>
      <c r="M307" s="275">
        <f t="shared" si="440"/>
        <v>898</v>
      </c>
      <c r="N307" s="362">
        <f t="shared" si="435"/>
        <v>6.5912462908011865E-2</v>
      </c>
      <c r="O307" s="363">
        <f t="shared" si="425"/>
        <v>1.4863120262173525E-2</v>
      </c>
    </row>
    <row r="308" spans="1:15" ht="23.4" x14ac:dyDescent="0.3">
      <c r="A308" s="277" t="s">
        <v>109</v>
      </c>
      <c r="B308" s="972"/>
      <c r="C308" s="272" t="s">
        <v>336</v>
      </c>
      <c r="D308" s="278"/>
      <c r="E308" s="279">
        <v>0</v>
      </c>
      <c r="F308" s="319"/>
      <c r="G308" s="336">
        <f t="shared" si="438"/>
        <v>0</v>
      </c>
      <c r="H308" s="281">
        <v>0</v>
      </c>
      <c r="I308" s="281">
        <v>0</v>
      </c>
      <c r="J308" s="375" t="str">
        <f>IFERROR(G308/#REF!,"-")</f>
        <v>-</v>
      </c>
      <c r="K308" s="336">
        <f t="shared" si="439"/>
        <v>0</v>
      </c>
      <c r="L308" s="275">
        <f t="shared" si="440"/>
        <v>0</v>
      </c>
      <c r="M308" s="276">
        <f t="shared" si="440"/>
        <v>0</v>
      </c>
      <c r="N308" s="364" t="str">
        <f t="shared" si="435"/>
        <v>-</v>
      </c>
      <c r="O308" s="365" t="str">
        <f t="shared" si="425"/>
        <v>-</v>
      </c>
    </row>
    <row r="309" spans="1:15" ht="23.4" x14ac:dyDescent="0.3">
      <c r="A309" s="277" t="s">
        <v>109</v>
      </c>
      <c r="B309" s="972"/>
      <c r="C309" s="278" t="s">
        <v>383</v>
      </c>
      <c r="D309" s="278"/>
      <c r="E309" s="279">
        <v>40000</v>
      </c>
      <c r="F309" s="319"/>
      <c r="G309" s="336">
        <f t="shared" si="438"/>
        <v>0</v>
      </c>
      <c r="H309" s="281">
        <v>0</v>
      </c>
      <c r="I309" s="281">
        <v>0</v>
      </c>
      <c r="J309" s="375" t="str">
        <f>IFERROR(G309/#REF!,"-")</f>
        <v>-</v>
      </c>
      <c r="K309" s="336">
        <f t="shared" si="439"/>
        <v>0</v>
      </c>
      <c r="L309" s="275">
        <f t="shared" si="440"/>
        <v>0</v>
      </c>
      <c r="M309" s="276">
        <f t="shared" si="440"/>
        <v>0</v>
      </c>
      <c r="N309" s="364">
        <f t="shared" si="435"/>
        <v>0</v>
      </c>
      <c r="O309" s="365" t="str">
        <f t="shared" si="425"/>
        <v>-</v>
      </c>
    </row>
    <row r="310" spans="1:15" ht="23.4" x14ac:dyDescent="0.3">
      <c r="A310" s="277" t="s">
        <v>109</v>
      </c>
      <c r="B310" s="972"/>
      <c r="C310" s="278" t="s">
        <v>165</v>
      </c>
      <c r="D310" s="278"/>
      <c r="E310" s="279">
        <v>0</v>
      </c>
      <c r="F310" s="319"/>
      <c r="G310" s="336">
        <f t="shared" si="438"/>
        <v>0</v>
      </c>
      <c r="H310" s="281">
        <v>0</v>
      </c>
      <c r="I310" s="281">
        <v>0</v>
      </c>
      <c r="J310" s="375" t="str">
        <f>IFERROR(G310/#REF!,"-")</f>
        <v>-</v>
      </c>
      <c r="K310" s="336">
        <f t="shared" si="439"/>
        <v>0</v>
      </c>
      <c r="L310" s="275">
        <f t="shared" si="440"/>
        <v>0</v>
      </c>
      <c r="M310" s="276">
        <f t="shared" si="440"/>
        <v>0</v>
      </c>
      <c r="N310" s="364" t="str">
        <f t="shared" si="435"/>
        <v>-</v>
      </c>
      <c r="O310" s="365" t="str">
        <f t="shared" si="425"/>
        <v>-</v>
      </c>
    </row>
    <row r="311" spans="1:15" ht="24" thickBot="1" x14ac:dyDescent="0.35">
      <c r="A311" s="277" t="s">
        <v>109</v>
      </c>
      <c r="B311" s="971"/>
      <c r="C311" s="282" t="s">
        <v>166</v>
      </c>
      <c r="D311" s="282"/>
      <c r="E311" s="283">
        <v>0</v>
      </c>
      <c r="F311" s="320"/>
      <c r="G311" s="337">
        <f t="shared" si="438"/>
        <v>0</v>
      </c>
      <c r="H311" s="285">
        <v>0</v>
      </c>
      <c r="I311" s="285">
        <v>0</v>
      </c>
      <c r="J311" s="376" t="str">
        <f>IFERROR(G311/#REF!,"-")</f>
        <v>-</v>
      </c>
      <c r="K311" s="337">
        <f t="shared" si="439"/>
        <v>0</v>
      </c>
      <c r="L311" s="275">
        <f t="shared" si="440"/>
        <v>0</v>
      </c>
      <c r="M311" s="276">
        <f t="shared" si="440"/>
        <v>0</v>
      </c>
      <c r="N311" s="366" t="str">
        <f t="shared" si="435"/>
        <v>-</v>
      </c>
      <c r="O311" s="367" t="str">
        <f t="shared" si="425"/>
        <v>-</v>
      </c>
    </row>
    <row r="312" spans="1:15" ht="24" thickBot="1" x14ac:dyDescent="0.35">
      <c r="A312" s="277" t="s">
        <v>109</v>
      </c>
      <c r="B312" s="967" t="s">
        <v>42</v>
      </c>
      <c r="C312" s="968"/>
      <c r="D312" s="969"/>
      <c r="E312" s="323">
        <f>SUM(E307:E311)</f>
        <v>956640</v>
      </c>
      <c r="F312" s="288">
        <v>25000</v>
      </c>
      <c r="G312" s="323">
        <f>SUM(G308:G311)</f>
        <v>0</v>
      </c>
      <c r="H312" s="324">
        <f>SUM(H307:H311)</f>
        <v>29964</v>
      </c>
      <c r="I312" s="324">
        <f t="shared" ref="I312" si="441">SUM(I308:I311)</f>
        <v>0</v>
      </c>
      <c r="J312" s="348" t="str">
        <f>IFERROR(G312/#REF!,"-")</f>
        <v>-</v>
      </c>
      <c r="K312" s="323">
        <f>SUM(K307:K311)</f>
        <v>60418</v>
      </c>
      <c r="L312" s="324">
        <f>SUM(L307:L311)</f>
        <v>59520</v>
      </c>
      <c r="M312" s="325">
        <f>SUM(M307:M311)</f>
        <v>898</v>
      </c>
      <c r="N312" s="342">
        <f t="shared" si="435"/>
        <v>6.3156464291687572E-2</v>
      </c>
      <c r="O312" s="348">
        <f t="shared" si="425"/>
        <v>1.4863120262173525E-2</v>
      </c>
    </row>
    <row r="313" spans="1:15" ht="23.4" x14ac:dyDescent="0.3">
      <c r="A313" s="277" t="s">
        <v>109</v>
      </c>
      <c r="B313" s="970" t="s">
        <v>43</v>
      </c>
      <c r="C313" s="272" t="s">
        <v>200</v>
      </c>
      <c r="D313" s="272"/>
      <c r="E313" s="273">
        <v>0</v>
      </c>
      <c r="F313" s="274"/>
      <c r="G313" s="335">
        <f t="shared" ref="G313:G315" si="442">+H313+I313</f>
        <v>0</v>
      </c>
      <c r="H313" s="275">
        <v>0</v>
      </c>
      <c r="I313" s="275">
        <v>0</v>
      </c>
      <c r="J313" s="354" t="str">
        <f>IFERROR(G313/#REF!,"-")</f>
        <v>-</v>
      </c>
      <c r="K313" s="335">
        <f t="shared" ref="K313:K315" si="443">+L313+M313</f>
        <v>0</v>
      </c>
      <c r="L313" s="275">
        <f t="shared" ref="L313:M315" si="444">+H313+L209</f>
        <v>0</v>
      </c>
      <c r="M313" s="276">
        <f t="shared" si="444"/>
        <v>0</v>
      </c>
      <c r="N313" s="339" t="str">
        <f t="shared" si="435"/>
        <v>-</v>
      </c>
      <c r="O313" s="349" t="str">
        <f t="shared" si="425"/>
        <v>-</v>
      </c>
    </row>
    <row r="314" spans="1:15" ht="23.4" x14ac:dyDescent="0.3">
      <c r="A314" s="277" t="s">
        <v>109</v>
      </c>
      <c r="B314" s="972"/>
      <c r="C314" s="278" t="s">
        <v>167</v>
      </c>
      <c r="D314" s="278"/>
      <c r="E314" s="279">
        <v>50000</v>
      </c>
      <c r="F314" s="280"/>
      <c r="G314" s="336">
        <f t="shared" si="442"/>
        <v>20456</v>
      </c>
      <c r="H314" s="281">
        <v>20160</v>
      </c>
      <c r="I314" s="281">
        <v>296</v>
      </c>
      <c r="J314" s="375" t="str">
        <f>IFERROR(G314/#REF!,"-")</f>
        <v>-</v>
      </c>
      <c r="K314" s="336">
        <f t="shared" si="443"/>
        <v>26892</v>
      </c>
      <c r="L314" s="729">
        <f t="shared" si="444"/>
        <v>25920</v>
      </c>
      <c r="M314" s="276">
        <f t="shared" si="444"/>
        <v>972</v>
      </c>
      <c r="N314" s="364">
        <f t="shared" si="435"/>
        <v>0.53783999999999998</v>
      </c>
      <c r="O314" s="365">
        <f t="shared" si="425"/>
        <v>3.614457831325301E-2</v>
      </c>
    </row>
    <row r="315" spans="1:15" ht="24" thickBot="1" x14ac:dyDescent="0.35">
      <c r="A315" s="277" t="s">
        <v>109</v>
      </c>
      <c r="B315" s="971"/>
      <c r="C315" s="282" t="s">
        <v>200</v>
      </c>
      <c r="D315" s="282"/>
      <c r="E315" s="283">
        <v>0</v>
      </c>
      <c r="F315" s="284"/>
      <c r="G315" s="337">
        <f t="shared" si="442"/>
        <v>0</v>
      </c>
      <c r="H315" s="285">
        <v>0</v>
      </c>
      <c r="I315" s="285">
        <v>0</v>
      </c>
      <c r="J315" s="376" t="str">
        <f>IFERROR(G315/#REF!,"-")</f>
        <v>-</v>
      </c>
      <c r="K315" s="337">
        <f t="shared" si="443"/>
        <v>0</v>
      </c>
      <c r="L315" s="275">
        <f t="shared" si="444"/>
        <v>0</v>
      </c>
      <c r="M315" s="276">
        <f t="shared" si="444"/>
        <v>0</v>
      </c>
      <c r="N315" s="366" t="str">
        <f t="shared" si="435"/>
        <v>-</v>
      </c>
      <c r="O315" s="367" t="str">
        <f t="shared" si="425"/>
        <v>-</v>
      </c>
    </row>
    <row r="316" spans="1:15" ht="24" thickBot="1" x14ac:dyDescent="0.35">
      <c r="A316" s="277" t="s">
        <v>109</v>
      </c>
      <c r="B316" s="973" t="s">
        <v>44</v>
      </c>
      <c r="C316" s="974"/>
      <c r="D316" s="975"/>
      <c r="E316" s="323">
        <f>SUM(E313:E315)</f>
        <v>50000</v>
      </c>
      <c r="F316" s="288"/>
      <c r="G316" s="323">
        <f>SUM(G313:G315)</f>
        <v>20456</v>
      </c>
      <c r="H316" s="324">
        <f t="shared" ref="H316:I316" si="445">SUM(H313:H315)</f>
        <v>20160</v>
      </c>
      <c r="I316" s="324">
        <f t="shared" si="445"/>
        <v>296</v>
      </c>
      <c r="J316" s="348" t="str">
        <f>IFERROR(G316/#REF!,"-")</f>
        <v>-</v>
      </c>
      <c r="K316" s="323">
        <f t="shared" ref="K316:M316" si="446">SUM(K313:K315)</f>
        <v>26892</v>
      </c>
      <c r="L316" s="368">
        <f t="shared" si="446"/>
        <v>25920</v>
      </c>
      <c r="M316" s="370">
        <f t="shared" si="446"/>
        <v>972</v>
      </c>
      <c r="N316" s="342">
        <f t="shared" si="435"/>
        <v>0.53783999999999998</v>
      </c>
      <c r="O316" s="348">
        <f t="shared" si="425"/>
        <v>3.614457831325301E-2</v>
      </c>
    </row>
    <row r="317" spans="1:15" ht="23.4" x14ac:dyDescent="0.3">
      <c r="A317" s="277" t="s">
        <v>109</v>
      </c>
      <c r="B317" s="970" t="s">
        <v>45</v>
      </c>
      <c r="C317" s="272" t="s">
        <v>168</v>
      </c>
      <c r="D317" s="272"/>
      <c r="E317" s="273">
        <v>0</v>
      </c>
      <c r="F317" s="274"/>
      <c r="G317" s="335">
        <f t="shared" ref="G317:G318" si="447">+H317+I317</f>
        <v>0</v>
      </c>
      <c r="H317" s="275">
        <v>0</v>
      </c>
      <c r="I317" s="275">
        <v>0</v>
      </c>
      <c r="J317" s="374" t="str">
        <f>IFERROR(G317/#REF!,"-")</f>
        <v>-</v>
      </c>
      <c r="K317" s="739">
        <f t="shared" ref="K317:K318" si="448">+L317+M317</f>
        <v>0</v>
      </c>
      <c r="L317" s="532">
        <f>+H317+L213</f>
        <v>0</v>
      </c>
      <c r="M317" s="247">
        <f>+I317+M213</f>
        <v>0</v>
      </c>
      <c r="N317" s="362" t="str">
        <f t="shared" si="435"/>
        <v>-</v>
      </c>
      <c r="O317" s="363" t="str">
        <f t="shared" si="425"/>
        <v>-</v>
      </c>
    </row>
    <row r="318" spans="1:15" ht="24" thickBot="1" x14ac:dyDescent="0.35">
      <c r="A318" s="277" t="s">
        <v>109</v>
      </c>
      <c r="B318" s="971"/>
      <c r="C318" s="282" t="s">
        <v>169</v>
      </c>
      <c r="D318" s="282"/>
      <c r="E318" s="283">
        <v>0</v>
      </c>
      <c r="F318" s="284"/>
      <c r="G318" s="337">
        <f t="shared" si="447"/>
        <v>0</v>
      </c>
      <c r="H318" s="285">
        <v>0</v>
      </c>
      <c r="I318" s="285">
        <v>0</v>
      </c>
      <c r="J318" s="376" t="str">
        <f>IFERROR(G318/#REF!,"-")</f>
        <v>-</v>
      </c>
      <c r="K318" s="740">
        <f t="shared" si="448"/>
        <v>0</v>
      </c>
      <c r="L318" s="535">
        <f>+H318+L214</f>
        <v>0</v>
      </c>
      <c r="M318" s="258">
        <f>+I318+M214</f>
        <v>0</v>
      </c>
      <c r="N318" s="366" t="str">
        <f t="shared" si="435"/>
        <v>-</v>
      </c>
      <c r="O318" s="367" t="str">
        <f t="shared" si="425"/>
        <v>-</v>
      </c>
    </row>
    <row r="319" spans="1:15" ht="24" thickBot="1" x14ac:dyDescent="0.35">
      <c r="A319" s="277" t="s">
        <v>109</v>
      </c>
      <c r="B319" s="973" t="s">
        <v>46</v>
      </c>
      <c r="C319" s="974"/>
      <c r="D319" s="975"/>
      <c r="E319" s="287">
        <v>0</v>
      </c>
      <c r="F319" s="288">
        <v>25000</v>
      </c>
      <c r="G319" s="323">
        <f>SUM(G317:G318)</f>
        <v>0</v>
      </c>
      <c r="H319" s="324">
        <f t="shared" ref="H319:I319" si="449">SUM(H317:H318)</f>
        <v>0</v>
      </c>
      <c r="I319" s="324">
        <f t="shared" si="449"/>
        <v>0</v>
      </c>
      <c r="J319" s="348" t="str">
        <f>IFERROR(G319/#REF!,"-")</f>
        <v>-</v>
      </c>
      <c r="K319" s="323">
        <f t="shared" ref="K319:M319" si="450">SUM(K317:K318)</f>
        <v>0</v>
      </c>
      <c r="L319" s="524">
        <f t="shared" si="450"/>
        <v>0</v>
      </c>
      <c r="M319" s="733">
        <f t="shared" si="450"/>
        <v>0</v>
      </c>
      <c r="N319" s="342" t="str">
        <f t="shared" si="435"/>
        <v>-</v>
      </c>
      <c r="O319" s="348" t="str">
        <f t="shared" si="425"/>
        <v>-</v>
      </c>
    </row>
    <row r="320" spans="1:15" ht="24" thickBot="1" x14ac:dyDescent="0.35">
      <c r="A320" s="277" t="s">
        <v>109</v>
      </c>
      <c r="B320" s="959" t="s">
        <v>25</v>
      </c>
      <c r="C320" s="960"/>
      <c r="D320" s="961"/>
      <c r="E320" s="329">
        <f t="shared" ref="E320:F320" si="451">+E298+E303+E306+E312+E316+E319</f>
        <v>1144800</v>
      </c>
      <c r="F320" s="330">
        <f t="shared" si="451"/>
        <v>59300</v>
      </c>
      <c r="G320" s="329">
        <f>+G298+G303+G306+G312+G316+G319</f>
        <v>20456</v>
      </c>
      <c r="H320" s="327">
        <f>+H298+H303+H306+H312+H316+H319</f>
        <v>50124</v>
      </c>
      <c r="I320" s="327">
        <f t="shared" ref="I320" si="452">+I298+I303+I306+I312+I316+I319</f>
        <v>296</v>
      </c>
      <c r="J320" s="352" t="str">
        <f>IFERROR(G320/#REF!,"-")</f>
        <v>-</v>
      </c>
      <c r="K320" s="329">
        <f>+K298+K303+K306+K312+K316+K319</f>
        <v>87550</v>
      </c>
      <c r="L320" s="327">
        <f t="shared" ref="L320:M320" si="453">+L298+L303+L306+L312+L316+L319</f>
        <v>85680</v>
      </c>
      <c r="M320" s="328">
        <f t="shared" si="453"/>
        <v>1870</v>
      </c>
      <c r="N320" s="344">
        <f t="shared" si="435"/>
        <v>7.6476240391334729E-2</v>
      </c>
      <c r="O320" s="352">
        <f t="shared" si="425"/>
        <v>2.1359223300970873E-2</v>
      </c>
    </row>
    <row r="321" spans="1:15" ht="24" thickBot="1" x14ac:dyDescent="0.35">
      <c r="A321" s="321" t="s">
        <v>109</v>
      </c>
      <c r="B321" s="962" t="s">
        <v>181</v>
      </c>
      <c r="C321" s="962"/>
      <c r="D321" s="963"/>
      <c r="E321" s="333">
        <f>+E320</f>
        <v>1144800</v>
      </c>
      <c r="F321" s="334">
        <f t="shared" ref="F321:O321" si="454">+F320</f>
        <v>59300</v>
      </c>
      <c r="G321" s="333">
        <f t="shared" si="454"/>
        <v>20456</v>
      </c>
      <c r="H321" s="331">
        <f t="shared" si="454"/>
        <v>50124</v>
      </c>
      <c r="I321" s="331">
        <f t="shared" si="454"/>
        <v>296</v>
      </c>
      <c r="J321" s="353" t="str">
        <f t="shared" si="454"/>
        <v>-</v>
      </c>
      <c r="K321" s="333">
        <f t="shared" si="454"/>
        <v>87550</v>
      </c>
      <c r="L321" s="331">
        <f t="shared" si="454"/>
        <v>85680</v>
      </c>
      <c r="M321" s="332">
        <f t="shared" si="454"/>
        <v>1870</v>
      </c>
      <c r="N321" s="345">
        <f t="shared" si="454"/>
        <v>7.6476240391334729E-2</v>
      </c>
      <c r="O321" s="353">
        <f t="shared" si="454"/>
        <v>2.1359223300970873E-2</v>
      </c>
    </row>
    <row r="322" spans="1:15" ht="24.6" thickBot="1" x14ac:dyDescent="0.35">
      <c r="A322" s="322"/>
      <c r="B322" s="964" t="s">
        <v>182</v>
      </c>
      <c r="C322" s="965"/>
      <c r="D322" s="966"/>
      <c r="E322" s="377">
        <f>+E267+E294+E321</f>
        <v>8758881</v>
      </c>
      <c r="F322" s="377">
        <f>+F267+F294+F321</f>
        <v>748300</v>
      </c>
      <c r="G322" s="377">
        <f>+G267+G294+G321</f>
        <v>412330</v>
      </c>
      <c r="H322" s="377">
        <f>+H267+H294+H321</f>
        <v>437274</v>
      </c>
      <c r="I322" s="377">
        <f>+I267+I294+I321</f>
        <v>5020</v>
      </c>
      <c r="J322" s="378" t="str">
        <f>IFERROR(G322/#REF!,"-")</f>
        <v>-</v>
      </c>
      <c r="K322" s="377">
        <f>+K267+K294+K321</f>
        <v>1245041</v>
      </c>
      <c r="L322" s="377">
        <f>+L267+L294+L321</f>
        <v>1233634</v>
      </c>
      <c r="M322" s="377">
        <f>+M267+M294+M321</f>
        <v>11407</v>
      </c>
      <c r="N322" s="378">
        <f>IFERROR(K322/E322,"-")</f>
        <v>0.14214612574368804</v>
      </c>
      <c r="O322" s="378">
        <f>IFERROR(M322/K322,"-")</f>
        <v>9.1619472772382603E-3</v>
      </c>
    </row>
    <row r="323" spans="1:15" ht="23.4" x14ac:dyDescent="0.3">
      <c r="A323" s="991" t="s">
        <v>1</v>
      </c>
      <c r="B323" s="994" t="s">
        <v>2</v>
      </c>
      <c r="C323" s="997" t="s">
        <v>3</v>
      </c>
      <c r="D323" s="997" t="s">
        <v>93</v>
      </c>
      <c r="E323" s="1000" t="s">
        <v>4</v>
      </c>
      <c r="F323" s="1001"/>
      <c r="G323" s="1001"/>
      <c r="H323" s="1001"/>
      <c r="I323" s="1001"/>
      <c r="J323" s="1001"/>
      <c r="K323" s="1001"/>
      <c r="L323" s="1001"/>
      <c r="M323" s="1001"/>
      <c r="N323" s="1001"/>
      <c r="O323" s="1002"/>
    </row>
    <row r="324" spans="1:15" ht="23.4" x14ac:dyDescent="0.3">
      <c r="A324" s="992"/>
      <c r="B324" s="995"/>
      <c r="C324" s="998"/>
      <c r="D324" s="998"/>
      <c r="E324" s="1003" t="s">
        <v>7</v>
      </c>
      <c r="F324" s="1005" t="s">
        <v>115</v>
      </c>
      <c r="G324" s="1007">
        <v>44536</v>
      </c>
      <c r="H324" s="1008"/>
      <c r="I324" s="1008"/>
      <c r="J324" s="1009"/>
      <c r="K324" s="1010" t="s">
        <v>8</v>
      </c>
      <c r="L324" s="1011"/>
      <c r="M324" s="1012"/>
      <c r="N324" s="1013" t="s">
        <v>173</v>
      </c>
      <c r="O324" s="1015" t="s">
        <v>172</v>
      </c>
    </row>
    <row r="325" spans="1:15" ht="41.4" thickBot="1" x14ac:dyDescent="0.35">
      <c r="A325" s="993"/>
      <c r="B325" s="996"/>
      <c r="C325" s="999"/>
      <c r="D325" s="999"/>
      <c r="E325" s="1004"/>
      <c r="F325" s="1006"/>
      <c r="G325" s="455" t="s">
        <v>13</v>
      </c>
      <c r="H325" s="456" t="s">
        <v>14</v>
      </c>
      <c r="I325" s="456" t="s">
        <v>15</v>
      </c>
      <c r="J325" s="457" t="s">
        <v>174</v>
      </c>
      <c r="K325" s="712" t="s">
        <v>13</v>
      </c>
      <c r="L325" s="710" t="s">
        <v>14</v>
      </c>
      <c r="M325" s="711" t="s">
        <v>15</v>
      </c>
      <c r="N325" s="1014"/>
      <c r="O325" s="1016"/>
    </row>
    <row r="326" spans="1:15" ht="24" thickBot="1" x14ac:dyDescent="0.35">
      <c r="A326" s="271" t="s">
        <v>110</v>
      </c>
      <c r="B326" s="956" t="s">
        <v>16</v>
      </c>
      <c r="C326" s="272" t="s">
        <v>424</v>
      </c>
      <c r="D326" s="272" t="s">
        <v>425</v>
      </c>
      <c r="E326" s="273">
        <v>20000</v>
      </c>
      <c r="F326" s="274"/>
      <c r="G326" s="335">
        <f>+H326+I326</f>
        <v>834</v>
      </c>
      <c r="H326" s="275">
        <v>686</v>
      </c>
      <c r="I326" s="275">
        <v>148</v>
      </c>
      <c r="J326" s="354" t="str">
        <f>IFERROR(G326/#REF!,"-")</f>
        <v>-</v>
      </c>
      <c r="K326" s="461">
        <f>+L326+M326</f>
        <v>20158</v>
      </c>
      <c r="L326" s="732">
        <f>+H326+L222</f>
        <v>19566</v>
      </c>
      <c r="M326" s="732">
        <f>+I326+M222</f>
        <v>592</v>
      </c>
      <c r="N326" s="339">
        <f>IFERROR(K326/E326,"-")</f>
        <v>1.0079</v>
      </c>
      <c r="O326" s="346">
        <f t="shared" ref="O326:O327" si="455">IFERROR(M326/K326,"-")</f>
        <v>2.9367992856434169E-2</v>
      </c>
    </row>
    <row r="327" spans="1:15" ht="23.4" x14ac:dyDescent="0.3">
      <c r="A327" s="277" t="s">
        <v>110</v>
      </c>
      <c r="B327" s="957"/>
      <c r="C327" s="278" t="s">
        <v>438</v>
      </c>
      <c r="D327" s="278" t="s">
        <v>437</v>
      </c>
      <c r="E327" s="279">
        <v>50000</v>
      </c>
      <c r="F327" s="280"/>
      <c r="G327" s="336">
        <f t="shared" ref="G327:G329" si="456">+H327+I327</f>
        <v>10240</v>
      </c>
      <c r="H327" s="281">
        <v>10240</v>
      </c>
      <c r="I327" s="281">
        <v>0</v>
      </c>
      <c r="J327" s="355" t="str">
        <f>IFERROR(G327/#REF!,"-")</f>
        <v>-</v>
      </c>
      <c r="K327" s="734">
        <f t="shared" ref="K327:K329" si="457">+L327+M327</f>
        <v>10240</v>
      </c>
      <c r="L327" s="532">
        <f t="shared" ref="L327:L329" si="458">+H327+L223</f>
        <v>10240</v>
      </c>
      <c r="M327" s="463">
        <f t="shared" ref="M327:M329" si="459">+I327+M223</f>
        <v>0</v>
      </c>
      <c r="N327" s="340">
        <f t="shared" ref="N327:N329" si="460">IFERROR(K327/E327,"-")</f>
        <v>0.20480000000000001</v>
      </c>
      <c r="O327" s="268">
        <f t="shared" si="455"/>
        <v>0</v>
      </c>
    </row>
    <row r="328" spans="1:15" ht="23.4" x14ac:dyDescent="0.3">
      <c r="A328" s="277" t="s">
        <v>110</v>
      </c>
      <c r="B328" s="957"/>
      <c r="C328" s="278" t="s">
        <v>186</v>
      </c>
      <c r="D328" s="278" t="s">
        <v>184</v>
      </c>
      <c r="E328" s="279">
        <v>0</v>
      </c>
      <c r="F328" s="280"/>
      <c r="G328" s="336">
        <f t="shared" si="456"/>
        <v>0</v>
      </c>
      <c r="H328" s="281">
        <v>0</v>
      </c>
      <c r="I328" s="281">
        <v>0</v>
      </c>
      <c r="J328" s="355" t="str">
        <f>IFERROR(G328/#REF!,"-")</f>
        <v>-</v>
      </c>
      <c r="K328" s="734">
        <f t="shared" si="457"/>
        <v>0</v>
      </c>
      <c r="L328" s="279">
        <f t="shared" si="458"/>
        <v>0</v>
      </c>
      <c r="M328" s="439">
        <f t="shared" si="459"/>
        <v>0</v>
      </c>
      <c r="N328" s="340" t="str">
        <f t="shared" si="460"/>
        <v>-</v>
      </c>
      <c r="O328" s="268" t="str">
        <f>IFERROR(M328/K328,"-")</f>
        <v>-</v>
      </c>
    </row>
    <row r="329" spans="1:15" ht="24" thickBot="1" x14ac:dyDescent="0.35">
      <c r="A329" s="277" t="s">
        <v>110</v>
      </c>
      <c r="B329" s="958"/>
      <c r="C329" s="282" t="s">
        <v>250</v>
      </c>
      <c r="D329" s="282" t="s">
        <v>436</v>
      </c>
      <c r="E329" s="283">
        <v>30000</v>
      </c>
      <c r="F329" s="284"/>
      <c r="G329" s="337">
        <f t="shared" si="456"/>
        <v>0</v>
      </c>
      <c r="H329" s="285">
        <v>0</v>
      </c>
      <c r="I329" s="285">
        <v>0</v>
      </c>
      <c r="J329" s="356" t="str">
        <f>IFERROR(G329/#REF!,"-")</f>
        <v>-</v>
      </c>
      <c r="K329" s="735">
        <f t="shared" si="457"/>
        <v>0</v>
      </c>
      <c r="L329" s="535">
        <f t="shared" si="458"/>
        <v>0</v>
      </c>
      <c r="M329" s="466">
        <f t="shared" si="459"/>
        <v>0</v>
      </c>
      <c r="N329" s="341">
        <f t="shared" si="460"/>
        <v>0</v>
      </c>
      <c r="O329" s="347" t="str">
        <f t="shared" ref="O329:O347" si="461">IFERROR(M329/K329,"-")</f>
        <v>-</v>
      </c>
    </row>
    <row r="330" spans="1:15" ht="24" thickBot="1" x14ac:dyDescent="0.35">
      <c r="A330" s="277" t="s">
        <v>110</v>
      </c>
      <c r="B330" s="967" t="s">
        <v>47</v>
      </c>
      <c r="C330" s="968"/>
      <c r="D330" s="969"/>
      <c r="E330" s="323">
        <f>SUM(E326:E329)</f>
        <v>100000</v>
      </c>
      <c r="F330" s="288">
        <v>15000</v>
      </c>
      <c r="G330" s="323">
        <f>SUM(G326:G329)</f>
        <v>11074</v>
      </c>
      <c r="H330" s="324">
        <f t="shared" ref="H330:I330" si="462">SUM(H326:H329)</f>
        <v>10926</v>
      </c>
      <c r="I330" s="324">
        <f t="shared" si="462"/>
        <v>148</v>
      </c>
      <c r="J330" s="348" t="str">
        <f>IFERROR(G330/#REF!,"-")</f>
        <v>-</v>
      </c>
      <c r="K330" s="323">
        <f t="shared" ref="K330:M330" si="463">SUM(K326:K329)</f>
        <v>30398</v>
      </c>
      <c r="L330" s="736">
        <f t="shared" si="463"/>
        <v>29806</v>
      </c>
      <c r="M330" s="737">
        <f t="shared" si="463"/>
        <v>592</v>
      </c>
      <c r="N330" s="342">
        <f>IFERROR(K330/E330,"-")</f>
        <v>0.30397999999999997</v>
      </c>
      <c r="O330" s="348">
        <f t="shared" si="461"/>
        <v>1.9474965458253831E-2</v>
      </c>
    </row>
    <row r="331" spans="1:15" ht="23.4" x14ac:dyDescent="0.3">
      <c r="A331" s="277" t="s">
        <v>110</v>
      </c>
      <c r="B331" s="956" t="s">
        <v>17</v>
      </c>
      <c r="C331" s="272" t="s">
        <v>320</v>
      </c>
      <c r="D331" s="272"/>
      <c r="E331" s="273">
        <v>0</v>
      </c>
      <c r="F331" s="274"/>
      <c r="G331" s="335">
        <f t="shared" ref="G331:G337" si="464">+H331+I331</f>
        <v>0</v>
      </c>
      <c r="H331" s="275">
        <v>0</v>
      </c>
      <c r="I331" s="275">
        <v>0</v>
      </c>
      <c r="J331" s="354" t="str">
        <f>IFERROR(G331/#REF!,"-")</f>
        <v>-</v>
      </c>
      <c r="K331" s="738">
        <f t="shared" ref="K331:K337" si="465">+L331+M331</f>
        <v>0</v>
      </c>
      <c r="L331" s="532">
        <f t="shared" ref="L331:L337" si="466">+H331+L227</f>
        <v>0</v>
      </c>
      <c r="M331" s="463">
        <f t="shared" ref="M331:M337" si="467">+I331+M227</f>
        <v>0</v>
      </c>
      <c r="N331" s="339" t="str">
        <f t="shared" ref="N331:N337" si="468">IFERROR(K331/E331,"-")</f>
        <v>-</v>
      </c>
      <c r="O331" s="349" t="str">
        <f t="shared" si="461"/>
        <v>-</v>
      </c>
    </row>
    <row r="332" spans="1:15" ht="23.4" x14ac:dyDescent="0.3">
      <c r="A332" s="277" t="s">
        <v>110</v>
      </c>
      <c r="B332" s="957"/>
      <c r="C332" s="278" t="s">
        <v>382</v>
      </c>
      <c r="D332" s="278" t="s">
        <v>252</v>
      </c>
      <c r="E332" s="279">
        <v>2000000</v>
      </c>
      <c r="F332" s="280"/>
      <c r="G332" s="336">
        <f t="shared" si="464"/>
        <v>98212</v>
      </c>
      <c r="H332" s="281">
        <f>12240+85680</f>
        <v>97920</v>
      </c>
      <c r="I332" s="281">
        <f>116+176</f>
        <v>292</v>
      </c>
      <c r="J332" s="355" t="str">
        <f>IFERROR(G332/#REF!,"-")</f>
        <v>-</v>
      </c>
      <c r="K332" s="734">
        <f t="shared" si="465"/>
        <v>104332</v>
      </c>
      <c r="L332" s="279">
        <f t="shared" si="466"/>
        <v>104040</v>
      </c>
      <c r="M332" s="439">
        <f t="shared" si="467"/>
        <v>292</v>
      </c>
      <c r="N332" s="340">
        <f t="shared" si="468"/>
        <v>5.2165999999999997E-2</v>
      </c>
      <c r="O332" s="264">
        <f t="shared" si="461"/>
        <v>2.7987578116014261E-3</v>
      </c>
    </row>
    <row r="333" spans="1:15" ht="23.4" x14ac:dyDescent="0.3">
      <c r="A333" s="277" t="s">
        <v>110</v>
      </c>
      <c r="B333" s="957"/>
      <c r="C333" s="278" t="s">
        <v>422</v>
      </c>
      <c r="D333" s="278" t="s">
        <v>201</v>
      </c>
      <c r="E333" s="279">
        <v>1000000</v>
      </c>
      <c r="F333" s="280"/>
      <c r="G333" s="336">
        <f t="shared" si="464"/>
        <v>60194</v>
      </c>
      <c r="H333" s="281">
        <v>59976</v>
      </c>
      <c r="I333" s="281">
        <v>218</v>
      </c>
      <c r="J333" s="355" t="str">
        <f>IFERROR(G333/#REF!,"-")</f>
        <v>-</v>
      </c>
      <c r="K333" s="734">
        <f t="shared" si="465"/>
        <v>453213</v>
      </c>
      <c r="L333" s="279">
        <f t="shared" si="466"/>
        <v>451656</v>
      </c>
      <c r="M333" s="439">
        <f t="shared" si="467"/>
        <v>1557</v>
      </c>
      <c r="N333" s="340">
        <f t="shared" si="468"/>
        <v>0.45321299999999998</v>
      </c>
      <c r="O333" s="264">
        <f t="shared" si="461"/>
        <v>3.435470738924082E-3</v>
      </c>
    </row>
    <row r="334" spans="1:15" ht="23.4" x14ac:dyDescent="0.3">
      <c r="A334" s="277" t="s">
        <v>110</v>
      </c>
      <c r="B334" s="957"/>
      <c r="C334" s="278" t="s">
        <v>319</v>
      </c>
      <c r="D334" s="278" t="s">
        <v>202</v>
      </c>
      <c r="E334" s="279">
        <v>0</v>
      </c>
      <c r="F334" s="280"/>
      <c r="G334" s="336">
        <f t="shared" si="464"/>
        <v>0</v>
      </c>
      <c r="H334" s="281">
        <v>0</v>
      </c>
      <c r="I334" s="281">
        <v>0</v>
      </c>
      <c r="J334" s="355" t="str">
        <f>IFERROR(G334/#REF!,"-")</f>
        <v>-</v>
      </c>
      <c r="K334" s="734">
        <f t="shared" si="465"/>
        <v>0</v>
      </c>
      <c r="L334" s="279">
        <f t="shared" si="466"/>
        <v>0</v>
      </c>
      <c r="M334" s="439">
        <f t="shared" si="467"/>
        <v>0</v>
      </c>
      <c r="N334" s="340" t="str">
        <f t="shared" si="468"/>
        <v>-</v>
      </c>
      <c r="O334" s="264" t="str">
        <f t="shared" si="461"/>
        <v>-</v>
      </c>
    </row>
    <row r="335" spans="1:15" ht="23.4" x14ac:dyDescent="0.3">
      <c r="A335" s="277" t="s">
        <v>110</v>
      </c>
      <c r="B335" s="957"/>
      <c r="C335" s="278" t="s">
        <v>358</v>
      </c>
      <c r="D335" s="278" t="s">
        <v>352</v>
      </c>
      <c r="E335" s="279">
        <v>500000</v>
      </c>
      <c r="F335" s="280"/>
      <c r="G335" s="336">
        <f t="shared" si="464"/>
        <v>0</v>
      </c>
      <c r="H335" s="281">
        <v>0</v>
      </c>
      <c r="I335" s="281">
        <v>0</v>
      </c>
      <c r="J335" s="355" t="str">
        <f>IFERROR(G335/#REF!,"-")</f>
        <v>-</v>
      </c>
      <c r="K335" s="734">
        <f t="shared" si="465"/>
        <v>0</v>
      </c>
      <c r="L335" s="279">
        <f t="shared" si="466"/>
        <v>0</v>
      </c>
      <c r="M335" s="439">
        <f t="shared" si="467"/>
        <v>0</v>
      </c>
      <c r="N335" s="340">
        <f t="shared" si="468"/>
        <v>0</v>
      </c>
      <c r="O335" s="264" t="str">
        <f t="shared" si="461"/>
        <v>-</v>
      </c>
    </row>
    <row r="336" spans="1:15" ht="23.4" x14ac:dyDescent="0.3">
      <c r="A336" s="277" t="s">
        <v>110</v>
      </c>
      <c r="B336" s="957"/>
      <c r="C336" s="278" t="s">
        <v>392</v>
      </c>
      <c r="D336" s="278" t="s">
        <v>203</v>
      </c>
      <c r="E336" s="279">
        <v>0</v>
      </c>
      <c r="F336" s="280"/>
      <c r="G336" s="336">
        <f t="shared" si="464"/>
        <v>0</v>
      </c>
      <c r="H336" s="281">
        <v>0</v>
      </c>
      <c r="I336" s="281">
        <v>0</v>
      </c>
      <c r="J336" s="355" t="str">
        <f>IFERROR(G336/#REF!,"-")</f>
        <v>-</v>
      </c>
      <c r="K336" s="734">
        <f t="shared" si="465"/>
        <v>0</v>
      </c>
      <c r="L336" s="279">
        <f t="shared" si="466"/>
        <v>0</v>
      </c>
      <c r="M336" s="439">
        <f t="shared" si="467"/>
        <v>0</v>
      </c>
      <c r="N336" s="340" t="str">
        <f t="shared" si="468"/>
        <v>-</v>
      </c>
      <c r="O336" s="264" t="str">
        <f t="shared" si="461"/>
        <v>-</v>
      </c>
    </row>
    <row r="337" spans="1:15" ht="24" thickBot="1" x14ac:dyDescent="0.35">
      <c r="A337" s="277" t="s">
        <v>110</v>
      </c>
      <c r="B337" s="958"/>
      <c r="C337" s="282" t="s">
        <v>379</v>
      </c>
      <c r="D337" s="282" t="s">
        <v>252</v>
      </c>
      <c r="E337" s="283">
        <v>0</v>
      </c>
      <c r="F337" s="284"/>
      <c r="G337" s="337">
        <f t="shared" si="464"/>
        <v>0</v>
      </c>
      <c r="H337" s="285">
        <v>0</v>
      </c>
      <c r="I337" s="285">
        <v>0</v>
      </c>
      <c r="J337" s="356" t="str">
        <f>IFERROR(G337/#REF!,"-")</f>
        <v>-</v>
      </c>
      <c r="K337" s="735">
        <f t="shared" si="465"/>
        <v>0</v>
      </c>
      <c r="L337" s="535">
        <f t="shared" si="466"/>
        <v>0</v>
      </c>
      <c r="M337" s="466">
        <f t="shared" si="467"/>
        <v>0</v>
      </c>
      <c r="N337" s="341" t="str">
        <f t="shared" si="468"/>
        <v>-</v>
      </c>
      <c r="O337" s="350" t="str">
        <f t="shared" si="461"/>
        <v>-</v>
      </c>
    </row>
    <row r="338" spans="1:15" ht="24" thickBot="1" x14ac:dyDescent="0.35">
      <c r="A338" s="277" t="s">
        <v>110</v>
      </c>
      <c r="B338" s="967" t="s">
        <v>48</v>
      </c>
      <c r="C338" s="968"/>
      <c r="D338" s="969"/>
      <c r="E338" s="323">
        <f>SUM(E331:E337)</f>
        <v>3500000</v>
      </c>
      <c r="F338" s="288">
        <v>100000</v>
      </c>
      <c r="G338" s="323">
        <f>SUM(G331:G337)</f>
        <v>158406</v>
      </c>
      <c r="H338" s="324">
        <f t="shared" ref="H338:I338" si="469">SUM(H331:H337)</f>
        <v>157896</v>
      </c>
      <c r="I338" s="324">
        <f t="shared" si="469"/>
        <v>510</v>
      </c>
      <c r="J338" s="348" t="str">
        <f>IFERROR(G338/#REF!,"-")</f>
        <v>-</v>
      </c>
      <c r="K338" s="323">
        <f>SUM(K331:K337)</f>
        <v>557545</v>
      </c>
      <c r="L338" s="524">
        <f>SUM(L331:L337)</f>
        <v>555696</v>
      </c>
      <c r="M338" s="733">
        <f t="shared" ref="M338" si="470">SUM(M331:M337)</f>
        <v>1849</v>
      </c>
      <c r="N338" s="342">
        <f>IFERROR(K338/E338,"-")</f>
        <v>0.15929857142857143</v>
      </c>
      <c r="O338" s="348">
        <f t="shared" si="461"/>
        <v>3.3163242428862244E-3</v>
      </c>
    </row>
    <row r="339" spans="1:15" ht="23.4" x14ac:dyDescent="0.3">
      <c r="A339" s="277" t="s">
        <v>110</v>
      </c>
      <c r="B339" s="956" t="s">
        <v>18</v>
      </c>
      <c r="C339" s="272" t="s">
        <v>344</v>
      </c>
      <c r="D339" s="272" t="s">
        <v>99</v>
      </c>
      <c r="E339" s="273">
        <v>0</v>
      </c>
      <c r="F339" s="274"/>
      <c r="G339" s="335">
        <f t="shared" ref="G339:G345" si="471">+H339+I339</f>
        <v>0</v>
      </c>
      <c r="H339" s="275">
        <v>0</v>
      </c>
      <c r="I339" s="275">
        <v>0</v>
      </c>
      <c r="J339" s="354" t="str">
        <f>IFERROR(G339/#REF!,"-")</f>
        <v>-</v>
      </c>
      <c r="K339" s="335">
        <f t="shared" ref="K339:K345" si="472">+L339+M339</f>
        <v>0</v>
      </c>
      <c r="L339" s="275">
        <f t="shared" ref="L339:L345" si="473">+H339+L235</f>
        <v>0</v>
      </c>
      <c r="M339" s="276">
        <f t="shared" ref="M339:M345" si="474">+I339+M235</f>
        <v>0</v>
      </c>
      <c r="N339" s="339" t="str">
        <f t="shared" ref="N339:N346" si="475">IFERROR(K339/E339,"-")</f>
        <v>-</v>
      </c>
      <c r="O339" s="349" t="str">
        <f t="shared" si="461"/>
        <v>-</v>
      </c>
    </row>
    <row r="340" spans="1:15" ht="23.4" x14ac:dyDescent="0.3">
      <c r="A340" s="277" t="s">
        <v>110</v>
      </c>
      <c r="B340" s="957"/>
      <c r="C340" s="278" t="s">
        <v>253</v>
      </c>
      <c r="D340" s="278" t="s">
        <v>254</v>
      </c>
      <c r="E340" s="279">
        <v>0</v>
      </c>
      <c r="F340" s="280"/>
      <c r="G340" s="336">
        <f t="shared" si="471"/>
        <v>0</v>
      </c>
      <c r="H340" s="281">
        <v>0</v>
      </c>
      <c r="I340" s="281">
        <v>0</v>
      </c>
      <c r="J340" s="355" t="str">
        <f>IFERROR(G340/#REF!,"-")</f>
        <v>-</v>
      </c>
      <c r="K340" s="336">
        <f t="shared" si="472"/>
        <v>0</v>
      </c>
      <c r="L340" s="275">
        <f t="shared" si="473"/>
        <v>0</v>
      </c>
      <c r="M340" s="276">
        <f t="shared" si="474"/>
        <v>0</v>
      </c>
      <c r="N340" s="340" t="str">
        <f t="shared" si="475"/>
        <v>-</v>
      </c>
      <c r="O340" s="264" t="str">
        <f t="shared" si="461"/>
        <v>-</v>
      </c>
    </row>
    <row r="341" spans="1:15" ht="23.4" x14ac:dyDescent="0.3">
      <c r="A341" s="277" t="s">
        <v>110</v>
      </c>
      <c r="B341" s="957"/>
      <c r="C341" s="278" t="s">
        <v>122</v>
      </c>
      <c r="D341" s="278"/>
      <c r="E341" s="279">
        <v>0</v>
      </c>
      <c r="F341" s="280"/>
      <c r="G341" s="336">
        <f t="shared" si="471"/>
        <v>0</v>
      </c>
      <c r="H341" s="281">
        <v>0</v>
      </c>
      <c r="I341" s="281">
        <v>0</v>
      </c>
      <c r="J341" s="355" t="str">
        <f>IFERROR(G341/#REF!,"-")</f>
        <v>-</v>
      </c>
      <c r="K341" s="336">
        <f t="shared" si="472"/>
        <v>0</v>
      </c>
      <c r="L341" s="275">
        <f t="shared" si="473"/>
        <v>0</v>
      </c>
      <c r="M341" s="276">
        <f t="shared" si="474"/>
        <v>0</v>
      </c>
      <c r="N341" s="340" t="str">
        <f t="shared" si="475"/>
        <v>-</v>
      </c>
      <c r="O341" s="264" t="str">
        <f t="shared" si="461"/>
        <v>-</v>
      </c>
    </row>
    <row r="342" spans="1:15" ht="23.4" x14ac:dyDescent="0.3">
      <c r="A342" s="277" t="s">
        <v>110</v>
      </c>
      <c r="B342" s="957"/>
      <c r="C342" s="278" t="s">
        <v>129</v>
      </c>
      <c r="D342" s="278"/>
      <c r="E342" s="279">
        <v>0</v>
      </c>
      <c r="F342" s="280"/>
      <c r="G342" s="336">
        <f t="shared" si="471"/>
        <v>0</v>
      </c>
      <c r="H342" s="281">
        <v>0</v>
      </c>
      <c r="I342" s="281">
        <v>0</v>
      </c>
      <c r="J342" s="355" t="str">
        <f>IFERROR(G342/#REF!,"-")</f>
        <v>-</v>
      </c>
      <c r="K342" s="336">
        <f t="shared" si="472"/>
        <v>0</v>
      </c>
      <c r="L342" s="275">
        <f t="shared" si="473"/>
        <v>0</v>
      </c>
      <c r="M342" s="276">
        <f t="shared" si="474"/>
        <v>0</v>
      </c>
      <c r="N342" s="340" t="str">
        <f t="shared" si="475"/>
        <v>-</v>
      </c>
      <c r="O342" s="264" t="str">
        <f t="shared" si="461"/>
        <v>-</v>
      </c>
    </row>
    <row r="343" spans="1:15" ht="23.4" x14ac:dyDescent="0.3">
      <c r="A343" s="277" t="s">
        <v>110</v>
      </c>
      <c r="B343" s="957"/>
      <c r="C343" s="278" t="s">
        <v>189</v>
      </c>
      <c r="D343" s="278" t="s">
        <v>190</v>
      </c>
      <c r="E343" s="279">
        <v>0</v>
      </c>
      <c r="F343" s="280"/>
      <c r="G343" s="336">
        <f t="shared" si="471"/>
        <v>0</v>
      </c>
      <c r="H343" s="281">
        <v>0</v>
      </c>
      <c r="I343" s="281">
        <v>0</v>
      </c>
      <c r="J343" s="355" t="str">
        <f>IFERROR(G343/#REF!,"-")</f>
        <v>-</v>
      </c>
      <c r="K343" s="336">
        <f t="shared" si="472"/>
        <v>0</v>
      </c>
      <c r="L343" s="275">
        <f t="shared" si="473"/>
        <v>0</v>
      </c>
      <c r="M343" s="276">
        <f t="shared" si="474"/>
        <v>0</v>
      </c>
      <c r="N343" s="340" t="str">
        <f t="shared" si="475"/>
        <v>-</v>
      </c>
      <c r="O343" s="264" t="str">
        <f t="shared" si="461"/>
        <v>-</v>
      </c>
    </row>
    <row r="344" spans="1:15" ht="23.4" x14ac:dyDescent="0.3">
      <c r="A344" s="277" t="s">
        <v>110</v>
      </c>
      <c r="B344" s="957"/>
      <c r="C344" s="278" t="s">
        <v>192</v>
      </c>
      <c r="D344" s="278" t="s">
        <v>191</v>
      </c>
      <c r="E344" s="279">
        <v>0</v>
      </c>
      <c r="F344" s="280"/>
      <c r="G344" s="336">
        <f t="shared" si="471"/>
        <v>0</v>
      </c>
      <c r="H344" s="281">
        <v>0</v>
      </c>
      <c r="I344" s="281">
        <v>0</v>
      </c>
      <c r="J344" s="355" t="str">
        <f>IFERROR(G344/#REF!,"-")</f>
        <v>-</v>
      </c>
      <c r="K344" s="336">
        <f t="shared" si="472"/>
        <v>0</v>
      </c>
      <c r="L344" s="275">
        <f t="shared" si="473"/>
        <v>0</v>
      </c>
      <c r="M344" s="276">
        <f t="shared" si="474"/>
        <v>0</v>
      </c>
      <c r="N344" s="340" t="str">
        <f t="shared" si="475"/>
        <v>-</v>
      </c>
      <c r="O344" s="264" t="str">
        <f t="shared" si="461"/>
        <v>-</v>
      </c>
    </row>
    <row r="345" spans="1:15" ht="24" thickBot="1" x14ac:dyDescent="0.35">
      <c r="A345" s="277" t="s">
        <v>110</v>
      </c>
      <c r="B345" s="958"/>
      <c r="C345" s="289" t="s">
        <v>193</v>
      </c>
      <c r="D345" s="289" t="s">
        <v>114</v>
      </c>
      <c r="E345" s="283">
        <v>0</v>
      </c>
      <c r="F345" s="284"/>
      <c r="G345" s="337">
        <f t="shared" si="471"/>
        <v>0</v>
      </c>
      <c r="H345" s="285">
        <v>0</v>
      </c>
      <c r="I345" s="285">
        <v>0</v>
      </c>
      <c r="J345" s="356" t="str">
        <f>IFERROR(G345/#REF!,"-")</f>
        <v>-</v>
      </c>
      <c r="K345" s="337">
        <f t="shared" si="472"/>
        <v>0</v>
      </c>
      <c r="L345" s="275">
        <f t="shared" si="473"/>
        <v>0</v>
      </c>
      <c r="M345" s="276">
        <f t="shared" si="474"/>
        <v>0</v>
      </c>
      <c r="N345" s="341" t="str">
        <f t="shared" si="475"/>
        <v>-</v>
      </c>
      <c r="O345" s="350" t="str">
        <f t="shared" si="461"/>
        <v>-</v>
      </c>
    </row>
    <row r="346" spans="1:15" ht="24" thickBot="1" x14ac:dyDescent="0.35">
      <c r="A346" s="277" t="s">
        <v>110</v>
      </c>
      <c r="B346" s="967" t="s">
        <v>29</v>
      </c>
      <c r="C346" s="968"/>
      <c r="D346" s="969"/>
      <c r="E346" s="323">
        <f t="shared" ref="E346" si="476">SUM(E339:E345)</f>
        <v>0</v>
      </c>
      <c r="F346" s="288">
        <v>80000</v>
      </c>
      <c r="G346" s="323">
        <f>SUM(G339:G345)</f>
        <v>0</v>
      </c>
      <c r="H346" s="324">
        <f t="shared" ref="H346:I346" si="477">SUM(H339:H345)</f>
        <v>0</v>
      </c>
      <c r="I346" s="324">
        <f t="shared" si="477"/>
        <v>0</v>
      </c>
      <c r="J346" s="348" t="str">
        <f>IFERROR(G346/#REF!,"-")</f>
        <v>-</v>
      </c>
      <c r="K346" s="323">
        <f t="shared" ref="K346:M346" si="478">SUM(K339:K345)</f>
        <v>0</v>
      </c>
      <c r="L346" s="324">
        <f t="shared" si="478"/>
        <v>0</v>
      </c>
      <c r="M346" s="325">
        <f t="shared" si="478"/>
        <v>0</v>
      </c>
      <c r="N346" s="342" t="str">
        <f t="shared" si="475"/>
        <v>-</v>
      </c>
      <c r="O346" s="348" t="str">
        <f t="shared" si="461"/>
        <v>-</v>
      </c>
    </row>
    <row r="347" spans="1:15" ht="24" thickBot="1" x14ac:dyDescent="0.35">
      <c r="A347" s="252" t="s">
        <v>110</v>
      </c>
      <c r="B347" s="985" t="s">
        <v>19</v>
      </c>
      <c r="C347" s="653" t="s">
        <v>255</v>
      </c>
      <c r="D347" s="690" t="s">
        <v>190</v>
      </c>
      <c r="E347" s="695">
        <v>0</v>
      </c>
      <c r="F347" s="692">
        <v>110000</v>
      </c>
      <c r="G347" s="656">
        <f t="shared" ref="G347:G349" si="479">+H347+I347</f>
        <v>0</v>
      </c>
      <c r="H347" s="462">
        <v>0</v>
      </c>
      <c r="I347" s="462">
        <v>0</v>
      </c>
      <c r="J347" s="536" t="str">
        <f>IFERROR(G347/#REF!,"-")</f>
        <v>-</v>
      </c>
      <c r="K347" s="461">
        <f>+L347+M347</f>
        <v>0</v>
      </c>
      <c r="L347" s="462">
        <f t="shared" ref="L347:L349" si="480">+H347+L243</f>
        <v>0</v>
      </c>
      <c r="M347" s="463">
        <f t="shared" ref="M347:M349" si="481">+I347+M243</f>
        <v>0</v>
      </c>
      <c r="N347" s="658" t="str">
        <f>IFERROR(K347/E347,"-")</f>
        <v>-</v>
      </c>
      <c r="O347" s="659" t="str">
        <f t="shared" si="461"/>
        <v>-</v>
      </c>
    </row>
    <row r="348" spans="1:15" ht="24" thickBot="1" x14ac:dyDescent="0.35">
      <c r="A348" s="252"/>
      <c r="B348" s="986"/>
      <c r="C348" s="299" t="s">
        <v>440</v>
      </c>
      <c r="D348" s="657" t="s">
        <v>439</v>
      </c>
      <c r="E348" s="696">
        <v>1000000</v>
      </c>
      <c r="F348" s="693">
        <v>110000</v>
      </c>
      <c r="G348" s="652">
        <f t="shared" si="479"/>
        <v>0</v>
      </c>
      <c r="H348" s="275">
        <v>0</v>
      </c>
      <c r="I348" s="275">
        <v>0</v>
      </c>
      <c r="J348" s="354" t="str">
        <f>IFERROR(G348/#REF!,"-")</f>
        <v>-</v>
      </c>
      <c r="K348" s="338">
        <f>+L348+M348</f>
        <v>8685</v>
      </c>
      <c r="L348" s="462">
        <f t="shared" si="480"/>
        <v>8448</v>
      </c>
      <c r="M348" s="463">
        <f t="shared" si="481"/>
        <v>237</v>
      </c>
      <c r="N348" s="343">
        <f t="shared" ref="N348:N349" si="482">IFERROR(K348/E348,"-")</f>
        <v>8.685E-3</v>
      </c>
      <c r="O348" s="651">
        <f>IFERROR(M348/K348,"-")</f>
        <v>2.7288428324697755E-2</v>
      </c>
    </row>
    <row r="349" spans="1:15" ht="24" thickBot="1" x14ac:dyDescent="0.35">
      <c r="A349" s="252"/>
      <c r="B349" s="987"/>
      <c r="C349" s="647" t="s">
        <v>380</v>
      </c>
      <c r="D349" s="691"/>
      <c r="E349" s="697">
        <v>150000</v>
      </c>
      <c r="F349" s="694">
        <v>110000</v>
      </c>
      <c r="G349" s="599">
        <f t="shared" si="479"/>
        <v>0</v>
      </c>
      <c r="H349" s="285">
        <v>0</v>
      </c>
      <c r="I349" s="285">
        <v>0</v>
      </c>
      <c r="J349" s="356"/>
      <c r="K349" s="464">
        <f>+L349+M349</f>
        <v>0</v>
      </c>
      <c r="L349" s="462">
        <f t="shared" si="480"/>
        <v>0</v>
      </c>
      <c r="M349" s="463">
        <f t="shared" si="481"/>
        <v>0</v>
      </c>
      <c r="N349" s="341">
        <f t="shared" si="482"/>
        <v>0</v>
      </c>
      <c r="O349" s="648" t="str">
        <f t="shared" ref="O349:O397" si="483">IFERROR(M349/K349,"-")</f>
        <v>-</v>
      </c>
    </row>
    <row r="350" spans="1:15" ht="24" thickBot="1" x14ac:dyDescent="0.35">
      <c r="A350" s="277" t="s">
        <v>110</v>
      </c>
      <c r="B350" s="988" t="s">
        <v>49</v>
      </c>
      <c r="C350" s="968"/>
      <c r="D350" s="969"/>
      <c r="E350" s="323">
        <f>SUM(E347:E349)</f>
        <v>1150000</v>
      </c>
      <c r="F350" s="326">
        <f t="shared" ref="F350" si="484">SUM(F347)</f>
        <v>110000</v>
      </c>
      <c r="G350" s="323">
        <f>SUM(G347)</f>
        <v>0</v>
      </c>
      <c r="H350" s="324">
        <f>SUM(H347:H349)</f>
        <v>0</v>
      </c>
      <c r="I350" s="324">
        <f>SUM(I347:I349)</f>
        <v>0</v>
      </c>
      <c r="J350" s="348" t="str">
        <f>IFERROR(G350/#REF!,"-")</f>
        <v>-</v>
      </c>
      <c r="K350" s="649">
        <f>SUM(K347:K348)</f>
        <v>8685</v>
      </c>
      <c r="L350" s="324">
        <f>SUM(L347:L348)</f>
        <v>8448</v>
      </c>
      <c r="M350" s="325">
        <f>SUM(M347:M348)</f>
        <v>237</v>
      </c>
      <c r="N350" s="342">
        <f>IFERROR(K350/E350,"-")</f>
        <v>7.5521739130434782E-3</v>
      </c>
      <c r="O350" s="348">
        <f t="shared" si="483"/>
        <v>2.7288428324697755E-2</v>
      </c>
    </row>
    <row r="351" spans="1:15" ht="23.4" x14ac:dyDescent="0.3">
      <c r="A351" s="277" t="s">
        <v>110</v>
      </c>
      <c r="B351" s="956" t="s">
        <v>20</v>
      </c>
      <c r="C351" s="294" t="s">
        <v>351</v>
      </c>
      <c r="D351" s="294" t="s">
        <v>313</v>
      </c>
      <c r="E351" s="273">
        <v>0</v>
      </c>
      <c r="F351" s="274"/>
      <c r="G351" s="335">
        <f t="shared" ref="G351:G353" si="485">+H351+I351</f>
        <v>0</v>
      </c>
      <c r="H351" s="275">
        <v>0</v>
      </c>
      <c r="I351" s="275">
        <v>0</v>
      </c>
      <c r="J351" s="354" t="str">
        <f>IFERROR(G351/#REF!,"-")</f>
        <v>-</v>
      </c>
      <c r="K351" s="335">
        <f t="shared" ref="K351:K353" si="486">+L351+M351</f>
        <v>0</v>
      </c>
      <c r="L351" s="275">
        <f t="shared" ref="L351:L353" si="487">+H351+L247</f>
        <v>0</v>
      </c>
      <c r="M351" s="276">
        <f t="shared" ref="M351:M353" si="488">+I351+M247</f>
        <v>0</v>
      </c>
      <c r="N351" s="339" t="str">
        <f t="shared" ref="N351:N354" si="489">IFERROR(K351/E351,"-")</f>
        <v>-</v>
      </c>
      <c r="O351" s="349" t="str">
        <f t="shared" si="483"/>
        <v>-</v>
      </c>
    </row>
    <row r="352" spans="1:15" ht="23.4" x14ac:dyDescent="0.3">
      <c r="A352" s="277" t="s">
        <v>110</v>
      </c>
      <c r="B352" s="957"/>
      <c r="C352" s="295" t="s">
        <v>121</v>
      </c>
      <c r="D352" s="295"/>
      <c r="E352" s="279">
        <v>0</v>
      </c>
      <c r="F352" s="280"/>
      <c r="G352" s="336">
        <f t="shared" si="485"/>
        <v>0</v>
      </c>
      <c r="H352" s="281">
        <v>0</v>
      </c>
      <c r="I352" s="281">
        <v>0</v>
      </c>
      <c r="J352" s="355" t="str">
        <f>IFERROR(G352/#REF!,"-")</f>
        <v>-</v>
      </c>
      <c r="K352" s="336">
        <f t="shared" si="486"/>
        <v>0</v>
      </c>
      <c r="L352" s="275">
        <f t="shared" si="487"/>
        <v>0</v>
      </c>
      <c r="M352" s="276">
        <f t="shared" si="488"/>
        <v>0</v>
      </c>
      <c r="N352" s="340" t="str">
        <f t="shared" si="489"/>
        <v>-</v>
      </c>
      <c r="O352" s="264" t="str">
        <f t="shared" si="483"/>
        <v>-</v>
      </c>
    </row>
    <row r="353" spans="1:15" ht="24" thickBot="1" x14ac:dyDescent="0.35">
      <c r="A353" s="277" t="s">
        <v>110</v>
      </c>
      <c r="B353" s="958"/>
      <c r="C353" s="296" t="s">
        <v>127</v>
      </c>
      <c r="D353" s="296"/>
      <c r="E353" s="283">
        <v>0</v>
      </c>
      <c r="F353" s="284"/>
      <c r="G353" s="337">
        <f t="shared" si="485"/>
        <v>0</v>
      </c>
      <c r="H353" s="285">
        <v>0</v>
      </c>
      <c r="I353" s="285">
        <v>0</v>
      </c>
      <c r="J353" s="356" t="str">
        <f>IFERROR(G353/#REF!,"-")</f>
        <v>-</v>
      </c>
      <c r="K353" s="337">
        <f t="shared" si="486"/>
        <v>0</v>
      </c>
      <c r="L353" s="275">
        <f t="shared" si="487"/>
        <v>0</v>
      </c>
      <c r="M353" s="276">
        <f t="shared" si="488"/>
        <v>0</v>
      </c>
      <c r="N353" s="341" t="str">
        <f t="shared" si="489"/>
        <v>-</v>
      </c>
      <c r="O353" s="350" t="str">
        <f t="shared" si="483"/>
        <v>-</v>
      </c>
    </row>
    <row r="354" spans="1:15" ht="24" thickBot="1" x14ac:dyDescent="0.35">
      <c r="A354" s="277" t="s">
        <v>110</v>
      </c>
      <c r="B354" s="968" t="s">
        <v>50</v>
      </c>
      <c r="C354" s="968"/>
      <c r="D354" s="989"/>
      <c r="E354" s="323">
        <f t="shared" ref="E354" si="490">SUM(E351:E353)</f>
        <v>0</v>
      </c>
      <c r="F354" s="288">
        <v>50000</v>
      </c>
      <c r="G354" s="323">
        <f>SUM(G351:G353)</f>
        <v>0</v>
      </c>
      <c r="H354" s="324">
        <f t="shared" ref="H354:I354" si="491">SUM(H351:H353)</f>
        <v>0</v>
      </c>
      <c r="I354" s="324">
        <f t="shared" si="491"/>
        <v>0</v>
      </c>
      <c r="J354" s="348" t="str">
        <f>IFERROR(G354/#REF!,"-")</f>
        <v>-</v>
      </c>
      <c r="K354" s="323">
        <f t="shared" ref="K354:M354" si="492">SUM(K351:K353)</f>
        <v>0</v>
      </c>
      <c r="L354" s="324">
        <f t="shared" si="492"/>
        <v>0</v>
      </c>
      <c r="M354" s="325">
        <f t="shared" si="492"/>
        <v>0</v>
      </c>
      <c r="N354" s="342" t="str">
        <f t="shared" si="489"/>
        <v>-</v>
      </c>
      <c r="O354" s="348" t="str">
        <f t="shared" si="483"/>
        <v>-</v>
      </c>
    </row>
    <row r="355" spans="1:15" ht="24" thickBot="1" x14ac:dyDescent="0.35">
      <c r="A355" s="277" t="s">
        <v>110</v>
      </c>
      <c r="B355" s="981" t="s">
        <v>21</v>
      </c>
      <c r="C355" s="982"/>
      <c r="D355" s="983"/>
      <c r="E355" s="329">
        <f>+E330+E338+E346+E350+E354</f>
        <v>4750000</v>
      </c>
      <c r="F355" s="330">
        <f>+F330+F338+F346+F350+F354</f>
        <v>355000</v>
      </c>
      <c r="G355" s="329">
        <f>+G330+G338+G346+G350+G354</f>
        <v>169480</v>
      </c>
      <c r="H355" s="327">
        <f>+H330+H338+H346+H350+H354</f>
        <v>168822</v>
      </c>
      <c r="I355" s="327">
        <f>+I330+I338+I346+I350+I354</f>
        <v>658</v>
      </c>
      <c r="J355" s="352" t="str">
        <f>IFERROR(G355/#REF!,"-")</f>
        <v>-</v>
      </c>
      <c r="K355" s="329">
        <f>+K330+K338+K346+K350+K354</f>
        <v>596628</v>
      </c>
      <c r="L355" s="327">
        <f>+L330+L338+L346+L350+L354</f>
        <v>593950</v>
      </c>
      <c r="M355" s="328">
        <f>+M330+M338+M346+M350+M354</f>
        <v>2678</v>
      </c>
      <c r="N355" s="344">
        <f>IFERROR(K355/E355,"-")</f>
        <v>0.12560589473684211</v>
      </c>
      <c r="O355" s="352">
        <f t="shared" si="483"/>
        <v>4.4885590351106553E-3</v>
      </c>
    </row>
    <row r="356" spans="1:15" ht="23.4" x14ac:dyDescent="0.3">
      <c r="A356" s="277" t="s">
        <v>110</v>
      </c>
      <c r="B356" s="956" t="s">
        <v>22</v>
      </c>
      <c r="C356" s="272" t="s">
        <v>132</v>
      </c>
      <c r="D356" s="272"/>
      <c r="E356" s="273">
        <v>0</v>
      </c>
      <c r="F356" s="274"/>
      <c r="G356" s="335">
        <f t="shared" ref="G356:G359" si="493">+H356+I356</f>
        <v>0</v>
      </c>
      <c r="H356" s="275">
        <v>0</v>
      </c>
      <c r="I356" s="275">
        <v>0</v>
      </c>
      <c r="J356" s="354" t="str">
        <f>IFERROR(G356/#REF!,"-")</f>
        <v>-</v>
      </c>
      <c r="K356" s="335">
        <f t="shared" ref="K356:K359" si="494">+L356+M356</f>
        <v>0</v>
      </c>
      <c r="L356" s="275">
        <f t="shared" ref="L356:L359" si="495">+H356+L252</f>
        <v>0</v>
      </c>
      <c r="M356" s="276">
        <f t="shared" ref="M356:M359" si="496">+I356+M252</f>
        <v>0</v>
      </c>
      <c r="N356" s="339" t="str">
        <f t="shared" ref="N356:N370" si="497">IFERROR(K356/E356,"-")</f>
        <v>-</v>
      </c>
      <c r="O356" s="349" t="str">
        <f t="shared" si="483"/>
        <v>-</v>
      </c>
    </row>
    <row r="357" spans="1:15" ht="23.4" x14ac:dyDescent="0.3">
      <c r="A357" s="277" t="s">
        <v>110</v>
      </c>
      <c r="B357" s="957"/>
      <c r="C357" s="298" t="s">
        <v>283</v>
      </c>
      <c r="D357" s="298" t="s">
        <v>194</v>
      </c>
      <c r="E357" s="279">
        <v>0</v>
      </c>
      <c r="F357" s="280"/>
      <c r="G357" s="336">
        <f t="shared" si="493"/>
        <v>0</v>
      </c>
      <c r="H357" s="281">
        <v>0</v>
      </c>
      <c r="I357" s="281">
        <v>0</v>
      </c>
      <c r="J357" s="355" t="str">
        <f>IFERROR(G357/#REF!,"-")</f>
        <v>-</v>
      </c>
      <c r="K357" s="336">
        <f t="shared" si="494"/>
        <v>0</v>
      </c>
      <c r="L357" s="275">
        <f t="shared" si="495"/>
        <v>0</v>
      </c>
      <c r="M357" s="276">
        <f t="shared" si="496"/>
        <v>0</v>
      </c>
      <c r="N357" s="340" t="str">
        <f t="shared" si="497"/>
        <v>-</v>
      </c>
      <c r="O357" s="264" t="str">
        <f t="shared" si="483"/>
        <v>-</v>
      </c>
    </row>
    <row r="358" spans="1:15" ht="23.4" x14ac:dyDescent="0.3">
      <c r="A358" s="277" t="s">
        <v>110</v>
      </c>
      <c r="B358" s="957"/>
      <c r="C358" s="298" t="s">
        <v>405</v>
      </c>
      <c r="D358" s="298" t="s">
        <v>194</v>
      </c>
      <c r="E358" s="279">
        <v>1000000</v>
      </c>
      <c r="F358" s="280"/>
      <c r="G358" s="336">
        <f t="shared" si="493"/>
        <v>29766</v>
      </c>
      <c r="H358" s="281">
        <v>29700</v>
      </c>
      <c r="I358" s="281">
        <v>66</v>
      </c>
      <c r="J358" s="355" t="str">
        <f>IFERROR(G358/#REF!,"-")</f>
        <v>-</v>
      </c>
      <c r="K358" s="336">
        <f t="shared" si="494"/>
        <v>313166</v>
      </c>
      <c r="L358" s="275">
        <f t="shared" si="495"/>
        <v>312840</v>
      </c>
      <c r="M358" s="276">
        <f t="shared" si="496"/>
        <v>326</v>
      </c>
      <c r="N358" s="340">
        <f t="shared" si="497"/>
        <v>0.313166</v>
      </c>
      <c r="O358" s="264">
        <f t="shared" si="483"/>
        <v>1.0409814603117835E-3</v>
      </c>
    </row>
    <row r="359" spans="1:15" ht="24" thickBot="1" x14ac:dyDescent="0.35">
      <c r="A359" s="277" t="s">
        <v>110</v>
      </c>
      <c r="B359" s="958"/>
      <c r="C359" s="282" t="s">
        <v>195</v>
      </c>
      <c r="D359" s="282" t="s">
        <v>100</v>
      </c>
      <c r="E359" s="283">
        <v>0</v>
      </c>
      <c r="F359" s="284"/>
      <c r="G359" s="337">
        <f t="shared" si="493"/>
        <v>0</v>
      </c>
      <c r="H359" s="285">
        <v>0</v>
      </c>
      <c r="I359" s="285">
        <v>0</v>
      </c>
      <c r="J359" s="356" t="str">
        <f>IFERROR(G359/#REF!,"-")</f>
        <v>-</v>
      </c>
      <c r="K359" s="337">
        <f t="shared" si="494"/>
        <v>0</v>
      </c>
      <c r="L359" s="275">
        <f t="shared" si="495"/>
        <v>0</v>
      </c>
      <c r="M359" s="276">
        <f t="shared" si="496"/>
        <v>0</v>
      </c>
      <c r="N359" s="341" t="str">
        <f t="shared" si="497"/>
        <v>-</v>
      </c>
      <c r="O359" s="350" t="str">
        <f t="shared" si="483"/>
        <v>-</v>
      </c>
    </row>
    <row r="360" spans="1:15" ht="24" thickBot="1" x14ac:dyDescent="0.35">
      <c r="A360" s="277" t="s">
        <v>110</v>
      </c>
      <c r="B360" s="967" t="s">
        <v>51</v>
      </c>
      <c r="C360" s="968"/>
      <c r="D360" s="969"/>
      <c r="E360" s="287">
        <f>SUM(E356:E359)</f>
        <v>1000000</v>
      </c>
      <c r="F360" s="288">
        <v>80000</v>
      </c>
      <c r="G360" s="323">
        <f>SUM(G356:G359)</f>
        <v>29766</v>
      </c>
      <c r="H360" s="324">
        <f t="shared" ref="H360:I360" si="498">SUM(H356:H359)</f>
        <v>29700</v>
      </c>
      <c r="I360" s="324">
        <f t="shared" si="498"/>
        <v>66</v>
      </c>
      <c r="J360" s="348" t="str">
        <f>IFERROR(G360/#REF!,"-")</f>
        <v>-</v>
      </c>
      <c r="K360" s="323">
        <f t="shared" ref="K360:M360" si="499">SUM(K356:K359)</f>
        <v>313166</v>
      </c>
      <c r="L360" s="324">
        <f t="shared" si="499"/>
        <v>312840</v>
      </c>
      <c r="M360" s="325">
        <f t="shared" si="499"/>
        <v>326</v>
      </c>
      <c r="N360" s="342">
        <f t="shared" si="497"/>
        <v>0.313166</v>
      </c>
      <c r="O360" s="348">
        <f t="shared" si="483"/>
        <v>1.0409814603117835E-3</v>
      </c>
    </row>
    <row r="361" spans="1:15" ht="23.4" x14ac:dyDescent="0.3">
      <c r="A361" s="277" t="s">
        <v>110</v>
      </c>
      <c r="B361" s="956" t="s">
        <v>23</v>
      </c>
      <c r="C361" s="299" t="s">
        <v>337</v>
      </c>
      <c r="D361" s="299" t="s">
        <v>258</v>
      </c>
      <c r="E361" s="273">
        <f>25000+10875+6000</f>
        <v>41875</v>
      </c>
      <c r="F361" s="274"/>
      <c r="G361" s="335">
        <f t="shared" ref="G361:G368" si="500">+H361+I361</f>
        <v>0</v>
      </c>
      <c r="H361" s="275">
        <v>0</v>
      </c>
      <c r="I361" s="275">
        <v>0</v>
      </c>
      <c r="J361" s="354" t="str">
        <f>IFERROR(G361/#REF!,"-")</f>
        <v>-</v>
      </c>
      <c r="K361" s="335">
        <f t="shared" ref="K361:K368" si="501">+L361+M361</f>
        <v>0</v>
      </c>
      <c r="L361" s="275">
        <f t="shared" ref="L361:L368" si="502">+H361+L257</f>
        <v>0</v>
      </c>
      <c r="M361" s="276">
        <f t="shared" ref="M361:M368" si="503">+I361+M257</f>
        <v>0</v>
      </c>
      <c r="N361" s="339">
        <f t="shared" si="497"/>
        <v>0</v>
      </c>
      <c r="O361" s="349" t="str">
        <f t="shared" si="483"/>
        <v>-</v>
      </c>
    </row>
    <row r="362" spans="1:15" ht="23.4" x14ac:dyDescent="0.3">
      <c r="A362" s="277" t="s">
        <v>110</v>
      </c>
      <c r="B362" s="957"/>
      <c r="C362" s="278" t="s">
        <v>24</v>
      </c>
      <c r="D362" s="278" t="s">
        <v>258</v>
      </c>
      <c r="E362" s="279">
        <v>97500</v>
      </c>
      <c r="F362" s="280"/>
      <c r="G362" s="336">
        <f t="shared" si="500"/>
        <v>0</v>
      </c>
      <c r="H362" s="281">
        <v>0</v>
      </c>
      <c r="I362" s="281">
        <v>0</v>
      </c>
      <c r="J362" s="355" t="str">
        <f>IFERROR(G362/#REF!,"-")</f>
        <v>-</v>
      </c>
      <c r="K362" s="336">
        <f t="shared" si="501"/>
        <v>0</v>
      </c>
      <c r="L362" s="275">
        <f t="shared" si="502"/>
        <v>0</v>
      </c>
      <c r="M362" s="276">
        <f t="shared" si="503"/>
        <v>0</v>
      </c>
      <c r="N362" s="340">
        <f t="shared" si="497"/>
        <v>0</v>
      </c>
      <c r="O362" s="264" t="str">
        <f t="shared" si="483"/>
        <v>-</v>
      </c>
    </row>
    <row r="363" spans="1:15" ht="23.4" x14ac:dyDescent="0.3">
      <c r="A363" s="277" t="s">
        <v>110</v>
      </c>
      <c r="B363" s="957"/>
      <c r="C363" s="278" t="s">
        <v>256</v>
      </c>
      <c r="D363" s="278" t="s">
        <v>258</v>
      </c>
      <c r="E363" s="279">
        <v>17750</v>
      </c>
      <c r="F363" s="280"/>
      <c r="G363" s="336">
        <f t="shared" si="500"/>
        <v>0</v>
      </c>
      <c r="H363" s="281">
        <v>0</v>
      </c>
      <c r="I363" s="281">
        <v>0</v>
      </c>
      <c r="J363" s="355" t="str">
        <f>IFERROR(G363/#REF!,"-")</f>
        <v>-</v>
      </c>
      <c r="K363" s="336">
        <f t="shared" si="501"/>
        <v>0</v>
      </c>
      <c r="L363" s="275">
        <f t="shared" si="502"/>
        <v>0</v>
      </c>
      <c r="M363" s="276">
        <f t="shared" si="503"/>
        <v>0</v>
      </c>
      <c r="N363" s="340">
        <f t="shared" si="497"/>
        <v>0</v>
      </c>
      <c r="O363" s="264" t="str">
        <f t="shared" si="483"/>
        <v>-</v>
      </c>
    </row>
    <row r="364" spans="1:15" ht="23.4" x14ac:dyDescent="0.3">
      <c r="A364" s="277" t="s">
        <v>110</v>
      </c>
      <c r="B364" s="957"/>
      <c r="C364" s="278" t="s">
        <v>257</v>
      </c>
      <c r="D364" s="278" t="s">
        <v>258</v>
      </c>
      <c r="E364" s="279">
        <v>20000</v>
      </c>
      <c r="F364" s="280"/>
      <c r="G364" s="336">
        <f t="shared" si="500"/>
        <v>0</v>
      </c>
      <c r="H364" s="281">
        <v>0</v>
      </c>
      <c r="I364" s="281">
        <v>0</v>
      </c>
      <c r="J364" s="355" t="str">
        <f>IFERROR(G364/#REF!,"-")</f>
        <v>-</v>
      </c>
      <c r="K364" s="336">
        <f t="shared" si="501"/>
        <v>0</v>
      </c>
      <c r="L364" s="275">
        <f t="shared" si="502"/>
        <v>0</v>
      </c>
      <c r="M364" s="276">
        <f t="shared" si="503"/>
        <v>0</v>
      </c>
      <c r="N364" s="340">
        <f t="shared" si="497"/>
        <v>0</v>
      </c>
      <c r="O364" s="264" t="str">
        <f t="shared" si="483"/>
        <v>-</v>
      </c>
    </row>
    <row r="365" spans="1:15" ht="23.4" x14ac:dyDescent="0.3">
      <c r="A365" s="277" t="s">
        <v>110</v>
      </c>
      <c r="B365" s="957"/>
      <c r="C365" s="298" t="s">
        <v>441</v>
      </c>
      <c r="D365" s="278" t="s">
        <v>258</v>
      </c>
      <c r="E365" s="279">
        <v>10000</v>
      </c>
      <c r="F365" s="280"/>
      <c r="G365" s="336">
        <f t="shared" si="500"/>
        <v>0</v>
      </c>
      <c r="H365" s="281">
        <v>0</v>
      </c>
      <c r="I365" s="281">
        <v>0</v>
      </c>
      <c r="J365" s="355" t="str">
        <f>IFERROR(G365/#REF!,"-")</f>
        <v>-</v>
      </c>
      <c r="K365" s="336">
        <f t="shared" si="501"/>
        <v>0</v>
      </c>
      <c r="L365" s="275">
        <f t="shared" si="502"/>
        <v>0</v>
      </c>
      <c r="M365" s="276">
        <f t="shared" si="503"/>
        <v>0</v>
      </c>
      <c r="N365" s="340">
        <f t="shared" si="497"/>
        <v>0</v>
      </c>
      <c r="O365" s="264" t="str">
        <f t="shared" si="483"/>
        <v>-</v>
      </c>
    </row>
    <row r="366" spans="1:15" ht="23.4" x14ac:dyDescent="0.3">
      <c r="A366" s="277" t="s">
        <v>110</v>
      </c>
      <c r="B366" s="957"/>
      <c r="C366" s="298" t="s">
        <v>260</v>
      </c>
      <c r="D366" s="278" t="s">
        <v>258</v>
      </c>
      <c r="E366" s="279">
        <v>9000</v>
      </c>
      <c r="F366" s="280"/>
      <c r="G366" s="336">
        <f t="shared" si="500"/>
        <v>0</v>
      </c>
      <c r="H366" s="281">
        <v>0</v>
      </c>
      <c r="I366" s="281">
        <v>0</v>
      </c>
      <c r="J366" s="355" t="str">
        <f>IFERROR(G366/#REF!,"-")</f>
        <v>-</v>
      </c>
      <c r="K366" s="336">
        <f t="shared" si="501"/>
        <v>0</v>
      </c>
      <c r="L366" s="275">
        <f t="shared" si="502"/>
        <v>0</v>
      </c>
      <c r="M366" s="276">
        <f t="shared" si="503"/>
        <v>0</v>
      </c>
      <c r="N366" s="340">
        <f t="shared" si="497"/>
        <v>0</v>
      </c>
      <c r="O366" s="264" t="str">
        <f t="shared" si="483"/>
        <v>-</v>
      </c>
    </row>
    <row r="367" spans="1:15" ht="23.4" x14ac:dyDescent="0.3">
      <c r="A367" s="277" t="s">
        <v>110</v>
      </c>
      <c r="B367" s="957"/>
      <c r="C367" s="298" t="s">
        <v>261</v>
      </c>
      <c r="D367" s="278" t="s">
        <v>263</v>
      </c>
      <c r="E367" s="279">
        <v>22500</v>
      </c>
      <c r="F367" s="280"/>
      <c r="G367" s="336">
        <f t="shared" si="500"/>
        <v>5270</v>
      </c>
      <c r="H367" s="281">
        <v>5250</v>
      </c>
      <c r="I367" s="281">
        <v>20</v>
      </c>
      <c r="J367" s="355" t="str">
        <f>IFERROR(G367/#REF!,"-")</f>
        <v>-</v>
      </c>
      <c r="K367" s="336">
        <f t="shared" si="501"/>
        <v>5270</v>
      </c>
      <c r="L367" s="275">
        <f t="shared" si="502"/>
        <v>5250</v>
      </c>
      <c r="M367" s="276">
        <f t="shared" si="503"/>
        <v>20</v>
      </c>
      <c r="N367" s="340">
        <f t="shared" si="497"/>
        <v>0.23422222222222222</v>
      </c>
      <c r="O367" s="264">
        <f t="shared" si="483"/>
        <v>3.7950664136622392E-3</v>
      </c>
    </row>
    <row r="368" spans="1:15" ht="24" thickBot="1" x14ac:dyDescent="0.35">
      <c r="A368" s="277" t="s">
        <v>110</v>
      </c>
      <c r="B368" s="958"/>
      <c r="C368" s="298" t="s">
        <v>262</v>
      </c>
      <c r="D368" s="278" t="s">
        <v>258</v>
      </c>
      <c r="E368" s="283">
        <v>33500</v>
      </c>
      <c r="F368" s="284"/>
      <c r="G368" s="337">
        <f t="shared" si="500"/>
        <v>0</v>
      </c>
      <c r="H368" s="285">
        <v>0</v>
      </c>
      <c r="I368" s="285">
        <v>0</v>
      </c>
      <c r="J368" s="356" t="str">
        <f>IFERROR(G368/#REF!,"-")</f>
        <v>-</v>
      </c>
      <c r="K368" s="337">
        <f t="shared" si="501"/>
        <v>0</v>
      </c>
      <c r="L368" s="275">
        <f t="shared" si="502"/>
        <v>0</v>
      </c>
      <c r="M368" s="276">
        <f t="shared" si="503"/>
        <v>0</v>
      </c>
      <c r="N368" s="341">
        <f t="shared" si="497"/>
        <v>0</v>
      </c>
      <c r="O368" s="350" t="str">
        <f t="shared" si="483"/>
        <v>-</v>
      </c>
    </row>
    <row r="369" spans="1:15" ht="24" thickBot="1" x14ac:dyDescent="0.35">
      <c r="A369" s="277" t="s">
        <v>110</v>
      </c>
      <c r="B369" s="967" t="s">
        <v>52</v>
      </c>
      <c r="C369" s="968"/>
      <c r="D369" s="969"/>
      <c r="E369" s="287">
        <f>SUM(E361:E368)</f>
        <v>252125</v>
      </c>
      <c r="F369" s="288">
        <v>14000</v>
      </c>
      <c r="G369" s="323">
        <f>SUM(G361:G368)</f>
        <v>5270</v>
      </c>
      <c r="H369" s="324">
        <f t="shared" ref="H369:I369" si="504">SUM(H361:H368)</f>
        <v>5250</v>
      </c>
      <c r="I369" s="324">
        <f t="shared" si="504"/>
        <v>20</v>
      </c>
      <c r="J369" s="348" t="str">
        <f>IFERROR(G369/#REF!,"-")</f>
        <v>-</v>
      </c>
      <c r="K369" s="323">
        <f>SUM(K361:K368)</f>
        <v>5270</v>
      </c>
      <c r="L369" s="324">
        <f t="shared" ref="L369:M369" si="505">SUM(L361:L368)</f>
        <v>5250</v>
      </c>
      <c r="M369" s="325">
        <f t="shared" si="505"/>
        <v>20</v>
      </c>
      <c r="N369" s="342">
        <f t="shared" si="497"/>
        <v>2.090233019335647E-2</v>
      </c>
      <c r="O369" s="348">
        <f t="shared" si="483"/>
        <v>3.7950664136622392E-3</v>
      </c>
    </row>
    <row r="370" spans="1:15" ht="24" thickBot="1" x14ac:dyDescent="0.35">
      <c r="A370" s="277" t="s">
        <v>110</v>
      </c>
      <c r="B370" s="981" t="s">
        <v>25</v>
      </c>
      <c r="C370" s="982"/>
      <c r="D370" s="983"/>
      <c r="E370" s="329">
        <f t="shared" ref="E370:F370" si="506">+E360+E369</f>
        <v>1252125</v>
      </c>
      <c r="F370" s="330">
        <f t="shared" si="506"/>
        <v>94000</v>
      </c>
      <c r="G370" s="329">
        <f>+G360+G369</f>
        <v>35036</v>
      </c>
      <c r="H370" s="327">
        <f t="shared" ref="H370:I370" si="507">+H360+H369</f>
        <v>34950</v>
      </c>
      <c r="I370" s="327">
        <f t="shared" si="507"/>
        <v>86</v>
      </c>
      <c r="J370" s="352" t="str">
        <f>IFERROR(G370/#REF!,"-")</f>
        <v>-</v>
      </c>
      <c r="K370" s="329">
        <f t="shared" ref="K370" si="508">+K360+K369</f>
        <v>318436</v>
      </c>
      <c r="L370" s="327">
        <f>+L360+L369</f>
        <v>318090</v>
      </c>
      <c r="M370" s="328">
        <f t="shared" ref="M370" si="509">+M360+M369</f>
        <v>346</v>
      </c>
      <c r="N370" s="344">
        <f t="shared" si="497"/>
        <v>0.2543164620145752</v>
      </c>
      <c r="O370" s="352">
        <f t="shared" si="483"/>
        <v>1.0865605647602658E-3</v>
      </c>
    </row>
    <row r="371" spans="1:15" ht="24" thickBot="1" x14ac:dyDescent="0.35">
      <c r="A371" s="277" t="s">
        <v>110</v>
      </c>
      <c r="B371" s="984" t="s">
        <v>180</v>
      </c>
      <c r="C371" s="962"/>
      <c r="D371" s="963"/>
      <c r="E371" s="333">
        <f>+E355+E370</f>
        <v>6002125</v>
      </c>
      <c r="F371" s="334">
        <f t="shared" ref="F371:I371" si="510">+F355+F370</f>
        <v>449000</v>
      </c>
      <c r="G371" s="333">
        <f t="shared" si="510"/>
        <v>204516</v>
      </c>
      <c r="H371" s="331">
        <f t="shared" si="510"/>
        <v>203772</v>
      </c>
      <c r="I371" s="331">
        <f t="shared" si="510"/>
        <v>744</v>
      </c>
      <c r="J371" s="353" t="str">
        <f>IFERROR(G371/#REF!,"-")</f>
        <v>-</v>
      </c>
      <c r="K371" s="333">
        <f>+K355+K370</f>
        <v>915064</v>
      </c>
      <c r="L371" s="331">
        <f t="shared" ref="L371:M371" si="511">+L355+L370</f>
        <v>912040</v>
      </c>
      <c r="M371" s="332">
        <f t="shared" si="511"/>
        <v>3024</v>
      </c>
      <c r="N371" s="345">
        <f>IFERROR(K371/E371,"-")</f>
        <v>0.1524566715954766</v>
      </c>
      <c r="O371" s="353">
        <f t="shared" si="483"/>
        <v>3.304686885288898E-3</v>
      </c>
    </row>
    <row r="372" spans="1:15" ht="23.4" x14ac:dyDescent="0.3">
      <c r="A372" s="271" t="s">
        <v>108</v>
      </c>
      <c r="B372" s="977" t="s">
        <v>26</v>
      </c>
      <c r="C372" s="300" t="s">
        <v>323</v>
      </c>
      <c r="D372" s="300" t="s">
        <v>190</v>
      </c>
      <c r="E372" s="273">
        <v>0</v>
      </c>
      <c r="F372" s="274"/>
      <c r="G372" s="335">
        <f t="shared" ref="G372:G380" si="512">+H372+I372</f>
        <v>0</v>
      </c>
      <c r="H372" s="275">
        <v>0</v>
      </c>
      <c r="I372" s="275">
        <v>0</v>
      </c>
      <c r="J372" s="354" t="str">
        <f>IFERROR(G372/#REF!,"-")</f>
        <v>-</v>
      </c>
      <c r="K372" s="335">
        <f t="shared" ref="K372:K380" si="513">+L372+M372</f>
        <v>0</v>
      </c>
      <c r="L372" s="275">
        <f t="shared" ref="L372:L380" si="514">+H372+L268</f>
        <v>0</v>
      </c>
      <c r="M372" s="276">
        <f t="shared" ref="M372:M380" si="515">+I372+M268</f>
        <v>0</v>
      </c>
      <c r="N372" s="339" t="str">
        <f t="shared" ref="N372:N373" si="516">IFERROR(K372/E372,"-")</f>
        <v>-</v>
      </c>
      <c r="O372" s="349" t="str">
        <f t="shared" si="483"/>
        <v>-</v>
      </c>
    </row>
    <row r="373" spans="1:15" ht="23.4" x14ac:dyDescent="0.3">
      <c r="A373" s="277" t="s">
        <v>108</v>
      </c>
      <c r="B373" s="977"/>
      <c r="C373" s="301" t="s">
        <v>196</v>
      </c>
      <c r="D373" s="301" t="s">
        <v>114</v>
      </c>
      <c r="E373" s="279">
        <v>0</v>
      </c>
      <c r="F373" s="280"/>
      <c r="G373" s="336">
        <f t="shared" si="512"/>
        <v>0</v>
      </c>
      <c r="H373" s="281">
        <v>0</v>
      </c>
      <c r="I373" s="281">
        <v>0</v>
      </c>
      <c r="J373" s="355" t="str">
        <f>IFERROR(G373/#REF!,"-")</f>
        <v>-</v>
      </c>
      <c r="K373" s="336">
        <f t="shared" si="513"/>
        <v>0</v>
      </c>
      <c r="L373" s="275">
        <f t="shared" si="514"/>
        <v>0</v>
      </c>
      <c r="M373" s="276">
        <f t="shared" si="515"/>
        <v>0</v>
      </c>
      <c r="N373" s="340" t="str">
        <f t="shared" si="516"/>
        <v>-</v>
      </c>
      <c r="O373" s="264" t="str">
        <f t="shared" si="483"/>
        <v>-</v>
      </c>
    </row>
    <row r="374" spans="1:15" ht="23.4" x14ac:dyDescent="0.3">
      <c r="A374" s="277" t="s">
        <v>108</v>
      </c>
      <c r="B374" s="977"/>
      <c r="C374" s="302" t="s">
        <v>27</v>
      </c>
      <c r="D374" s="302" t="s">
        <v>370</v>
      </c>
      <c r="E374" s="283">
        <v>0</v>
      </c>
      <c r="F374" s="284"/>
      <c r="G374" s="336">
        <f t="shared" si="512"/>
        <v>0</v>
      </c>
      <c r="H374" s="285">
        <v>0</v>
      </c>
      <c r="I374" s="285">
        <v>0</v>
      </c>
      <c r="J374" s="356" t="str">
        <f>IFERROR(G374/#REF!,"-")</f>
        <v>-</v>
      </c>
      <c r="K374" s="336">
        <f t="shared" si="513"/>
        <v>0</v>
      </c>
      <c r="L374" s="275">
        <f t="shared" si="514"/>
        <v>0</v>
      </c>
      <c r="M374" s="276">
        <f t="shared" si="515"/>
        <v>0</v>
      </c>
      <c r="N374" s="286"/>
      <c r="O374" s="264" t="str">
        <f t="shared" si="483"/>
        <v>-</v>
      </c>
    </row>
    <row r="375" spans="1:15" ht="23.4" x14ac:dyDescent="0.3">
      <c r="A375" s="277" t="s">
        <v>108</v>
      </c>
      <c r="B375" s="977"/>
      <c r="C375" s="302" t="s">
        <v>27</v>
      </c>
      <c r="D375" s="302" t="s">
        <v>254</v>
      </c>
      <c r="E375" s="283">
        <v>0</v>
      </c>
      <c r="F375" s="284"/>
      <c r="G375" s="336">
        <f t="shared" si="512"/>
        <v>0</v>
      </c>
      <c r="H375" s="285">
        <v>0</v>
      </c>
      <c r="I375" s="285">
        <v>0</v>
      </c>
      <c r="J375" s="356" t="str">
        <f>IFERROR(G375/#REF!,"-")</f>
        <v>-</v>
      </c>
      <c r="K375" s="336">
        <f t="shared" si="513"/>
        <v>0</v>
      </c>
      <c r="L375" s="275">
        <f t="shared" si="514"/>
        <v>0</v>
      </c>
      <c r="M375" s="276">
        <f t="shared" si="515"/>
        <v>0</v>
      </c>
      <c r="N375" s="286"/>
      <c r="O375" s="264" t="str">
        <f t="shared" si="483"/>
        <v>-</v>
      </c>
    </row>
    <row r="376" spans="1:15" ht="23.4" x14ac:dyDescent="0.3">
      <c r="A376" s="277" t="s">
        <v>108</v>
      </c>
      <c r="B376" s="977"/>
      <c r="C376" s="302" t="s">
        <v>27</v>
      </c>
      <c r="D376" s="302" t="s">
        <v>302</v>
      </c>
      <c r="E376" s="283">
        <v>0</v>
      </c>
      <c r="F376" s="284"/>
      <c r="G376" s="336">
        <f t="shared" si="512"/>
        <v>0</v>
      </c>
      <c r="H376" s="285">
        <v>0</v>
      </c>
      <c r="I376" s="285">
        <v>0</v>
      </c>
      <c r="J376" s="356" t="str">
        <f>IFERROR(G376/#REF!,"-")</f>
        <v>-</v>
      </c>
      <c r="K376" s="336">
        <f t="shared" si="513"/>
        <v>0</v>
      </c>
      <c r="L376" s="275">
        <f t="shared" si="514"/>
        <v>0</v>
      </c>
      <c r="M376" s="276">
        <f t="shared" si="515"/>
        <v>0</v>
      </c>
      <c r="N376" s="286"/>
      <c r="O376" s="264" t="str">
        <f t="shared" si="483"/>
        <v>-</v>
      </c>
    </row>
    <row r="377" spans="1:15" ht="23.4" x14ac:dyDescent="0.3">
      <c r="A377" s="277"/>
      <c r="B377" s="977"/>
      <c r="C377" s="302" t="s">
        <v>369</v>
      </c>
      <c r="D377" s="302" t="s">
        <v>190</v>
      </c>
      <c r="E377" s="283">
        <v>0</v>
      </c>
      <c r="F377" s="284"/>
      <c r="G377" s="337">
        <f t="shared" si="512"/>
        <v>0</v>
      </c>
      <c r="H377" s="285">
        <v>0</v>
      </c>
      <c r="I377" s="285">
        <v>0</v>
      </c>
      <c r="J377" s="356" t="str">
        <f>IFERROR(G377/#REF!,"-")</f>
        <v>-</v>
      </c>
      <c r="K377" s="337">
        <f t="shared" si="513"/>
        <v>0</v>
      </c>
      <c r="L377" s="275">
        <f t="shared" si="514"/>
        <v>0</v>
      </c>
      <c r="M377" s="276">
        <f t="shared" si="515"/>
        <v>0</v>
      </c>
      <c r="N377" s="286"/>
      <c r="O377" s="264" t="str">
        <f t="shared" si="483"/>
        <v>-</v>
      </c>
    </row>
    <row r="378" spans="1:15" ht="23.4" x14ac:dyDescent="0.3">
      <c r="A378" s="277"/>
      <c r="B378" s="977"/>
      <c r="C378" s="302" t="s">
        <v>314</v>
      </c>
      <c r="D378" s="302" t="s">
        <v>101</v>
      </c>
      <c r="E378" s="283">
        <v>0</v>
      </c>
      <c r="F378" s="284"/>
      <c r="G378" s="337">
        <f t="shared" si="512"/>
        <v>0</v>
      </c>
      <c r="H378" s="285">
        <v>0</v>
      </c>
      <c r="I378" s="285">
        <v>0</v>
      </c>
      <c r="J378" s="356" t="str">
        <f>IFERROR(G378/#REF!,"-")</f>
        <v>-</v>
      </c>
      <c r="K378" s="337">
        <f t="shared" si="513"/>
        <v>0</v>
      </c>
      <c r="L378" s="275">
        <f t="shared" si="514"/>
        <v>0</v>
      </c>
      <c r="M378" s="276">
        <f t="shared" si="515"/>
        <v>0</v>
      </c>
      <c r="N378" s="286"/>
      <c r="O378" s="264" t="str">
        <f t="shared" si="483"/>
        <v>-</v>
      </c>
    </row>
    <row r="379" spans="1:15" ht="23.4" x14ac:dyDescent="0.3">
      <c r="A379" s="277"/>
      <c r="B379" s="977"/>
      <c r="C379" s="302" t="s">
        <v>314</v>
      </c>
      <c r="D379" s="302" t="s">
        <v>370</v>
      </c>
      <c r="E379" s="283">
        <v>0</v>
      </c>
      <c r="F379" s="284"/>
      <c r="G379" s="337">
        <f t="shared" si="512"/>
        <v>0</v>
      </c>
      <c r="H379" s="285">
        <v>0</v>
      </c>
      <c r="I379" s="285">
        <v>0</v>
      </c>
      <c r="J379" s="356" t="str">
        <f>IFERROR(G379/#REF!,"-")</f>
        <v>-</v>
      </c>
      <c r="K379" s="337">
        <f t="shared" si="513"/>
        <v>0</v>
      </c>
      <c r="L379" s="275">
        <f t="shared" si="514"/>
        <v>0</v>
      </c>
      <c r="M379" s="276">
        <f t="shared" si="515"/>
        <v>0</v>
      </c>
      <c r="N379" s="286"/>
      <c r="O379" s="264" t="str">
        <f t="shared" si="483"/>
        <v>-</v>
      </c>
    </row>
    <row r="380" spans="1:15" ht="24" thickBot="1" x14ac:dyDescent="0.35">
      <c r="A380" s="277" t="s">
        <v>108</v>
      </c>
      <c r="B380" s="977"/>
      <c r="C380" s="303" t="s">
        <v>315</v>
      </c>
      <c r="D380" s="302" t="s">
        <v>313</v>
      </c>
      <c r="E380" s="283">
        <v>0</v>
      </c>
      <c r="F380" s="284"/>
      <c r="G380" s="337">
        <f t="shared" si="512"/>
        <v>0</v>
      </c>
      <c r="H380" s="285">
        <v>0</v>
      </c>
      <c r="I380" s="285">
        <v>0</v>
      </c>
      <c r="J380" s="356" t="str">
        <f>IFERROR(G380/#REF!,"-")</f>
        <v>-</v>
      </c>
      <c r="K380" s="337">
        <f t="shared" si="513"/>
        <v>0</v>
      </c>
      <c r="L380" s="275">
        <f t="shared" si="514"/>
        <v>0</v>
      </c>
      <c r="M380" s="276">
        <f t="shared" si="515"/>
        <v>0</v>
      </c>
      <c r="N380" s="341" t="str">
        <f t="shared" ref="N380:N385" si="517">IFERROR(K380/E380,"-")</f>
        <v>-</v>
      </c>
      <c r="O380" s="350" t="str">
        <f t="shared" si="483"/>
        <v>-</v>
      </c>
    </row>
    <row r="381" spans="1:15" ht="24" thickBot="1" x14ac:dyDescent="0.35">
      <c r="A381" s="277" t="s">
        <v>108</v>
      </c>
      <c r="B381" s="990"/>
      <c r="C381" s="304"/>
      <c r="D381" s="305" t="s">
        <v>55</v>
      </c>
      <c r="E381" s="287">
        <f>SUM(E372:E380)</f>
        <v>0</v>
      </c>
      <c r="F381" s="288"/>
      <c r="G381" s="323">
        <f>SUM(G372:G380)</f>
        <v>0</v>
      </c>
      <c r="H381" s="324">
        <f>SUM(H372:H380)</f>
        <v>0</v>
      </c>
      <c r="I381" s="324">
        <f>SUM(I372:I380)</f>
        <v>0</v>
      </c>
      <c r="J381" s="348" t="str">
        <f>IFERROR(G381/#REF!,"-")</f>
        <v>-</v>
      </c>
      <c r="K381" s="323">
        <f>SUM(K372:K380)</f>
        <v>0</v>
      </c>
      <c r="L381" s="324">
        <f>SUM(L372:L380)</f>
        <v>0</v>
      </c>
      <c r="M381" s="325">
        <f>SUM(M372:M380)</f>
        <v>0</v>
      </c>
      <c r="N381" s="342" t="str">
        <f t="shared" si="517"/>
        <v>-</v>
      </c>
      <c r="O381" s="348" t="str">
        <f t="shared" si="483"/>
        <v>-</v>
      </c>
    </row>
    <row r="382" spans="1:15" ht="23.4" x14ac:dyDescent="0.3">
      <c r="A382" s="277" t="s">
        <v>108</v>
      </c>
      <c r="B382" s="976" t="s">
        <v>28</v>
      </c>
      <c r="C382" s="302" t="s">
        <v>27</v>
      </c>
      <c r="D382" s="300" t="s">
        <v>302</v>
      </c>
      <c r="E382" s="273">
        <v>2612056</v>
      </c>
      <c r="F382" s="274"/>
      <c r="G382" s="335">
        <f t="shared" ref="G382:G384" si="518">+H382+I382</f>
        <v>0</v>
      </c>
      <c r="H382" s="275">
        <v>0</v>
      </c>
      <c r="I382" s="275">
        <v>0</v>
      </c>
      <c r="J382" s="354" t="str">
        <f>IFERROR(G382/#REF!,"-")</f>
        <v>-</v>
      </c>
      <c r="K382" s="335">
        <f t="shared" ref="K382:K384" si="519">+L382+M382</f>
        <v>4258</v>
      </c>
      <c r="L382" s="275">
        <f t="shared" ref="L382:L384" si="520">+H382+L278</f>
        <v>3978</v>
      </c>
      <c r="M382" s="276">
        <f t="shared" ref="M382:M384" si="521">+I382+M278</f>
        <v>280</v>
      </c>
      <c r="N382" s="339">
        <f t="shared" si="517"/>
        <v>1.6301335040290101E-3</v>
      </c>
      <c r="O382" s="349">
        <f t="shared" si="483"/>
        <v>6.5758572099577264E-2</v>
      </c>
    </row>
    <row r="383" spans="1:15" ht="23.4" x14ac:dyDescent="0.3">
      <c r="A383" s="277" t="s">
        <v>108</v>
      </c>
      <c r="B383" s="977"/>
      <c r="C383" s="302" t="s">
        <v>27</v>
      </c>
      <c r="D383" s="302" t="s">
        <v>370</v>
      </c>
      <c r="E383" s="279">
        <v>0</v>
      </c>
      <c r="F383" s="280"/>
      <c r="G383" s="336">
        <f t="shared" si="518"/>
        <v>0</v>
      </c>
      <c r="H383" s="281">
        <v>0</v>
      </c>
      <c r="I383" s="281">
        <v>0</v>
      </c>
      <c r="J383" s="355" t="str">
        <f>IFERROR(G383/#REF!,"-")</f>
        <v>-</v>
      </c>
      <c r="K383" s="336">
        <f t="shared" si="519"/>
        <v>24591</v>
      </c>
      <c r="L383" s="275">
        <f t="shared" si="520"/>
        <v>23868</v>
      </c>
      <c r="M383" s="276">
        <f t="shared" si="521"/>
        <v>723</v>
      </c>
      <c r="N383" s="340" t="str">
        <f t="shared" si="517"/>
        <v>-</v>
      </c>
      <c r="O383" s="264">
        <f t="shared" si="483"/>
        <v>2.9401000365987556E-2</v>
      </c>
    </row>
    <row r="384" spans="1:15" ht="24" thickBot="1" x14ac:dyDescent="0.35">
      <c r="A384" s="277" t="s">
        <v>108</v>
      </c>
      <c r="B384" s="977"/>
      <c r="C384" s="302" t="s">
        <v>27</v>
      </c>
      <c r="D384" s="303" t="s">
        <v>254</v>
      </c>
      <c r="E384" s="283">
        <v>0</v>
      </c>
      <c r="F384" s="284"/>
      <c r="G384" s="337">
        <f t="shared" si="518"/>
        <v>200276</v>
      </c>
      <c r="H384" s="285">
        <f>3978+99450+95472</f>
        <v>198900</v>
      </c>
      <c r="I384" s="285">
        <f>300+438+638</f>
        <v>1376</v>
      </c>
      <c r="J384" s="356" t="str">
        <f>IFERROR(G384/#REF!,"-")</f>
        <v>-</v>
      </c>
      <c r="K384" s="337">
        <f t="shared" si="519"/>
        <v>554126</v>
      </c>
      <c r="L384" s="275">
        <f t="shared" si="520"/>
        <v>548964</v>
      </c>
      <c r="M384" s="755">
        <f t="shared" si="521"/>
        <v>5162</v>
      </c>
      <c r="N384" s="341" t="str">
        <f t="shared" si="517"/>
        <v>-</v>
      </c>
      <c r="O384" s="350">
        <f t="shared" si="483"/>
        <v>9.3155708268516553E-3</v>
      </c>
    </row>
    <row r="385" spans="1:15" ht="24" thickBot="1" x14ac:dyDescent="0.35">
      <c r="A385" s="277" t="s">
        <v>108</v>
      </c>
      <c r="B385" s="977"/>
      <c r="C385" s="307"/>
      <c r="D385" s="308" t="s">
        <v>55</v>
      </c>
      <c r="E385" s="309">
        <f>SUM(E382:E384)</f>
        <v>2612056</v>
      </c>
      <c r="F385" s="310"/>
      <c r="G385" s="369">
        <f>SUM(G382:G384)</f>
        <v>200276</v>
      </c>
      <c r="H385" s="368">
        <f t="shared" ref="H385:I385" si="522">SUM(H382:H384)</f>
        <v>198900</v>
      </c>
      <c r="I385" s="368">
        <f t="shared" si="522"/>
        <v>1376</v>
      </c>
      <c r="J385" s="359" t="str">
        <f>IFERROR(G385/#REF!,"-")</f>
        <v>-</v>
      </c>
      <c r="K385" s="369">
        <f>SUM(K382:K384)</f>
        <v>582975</v>
      </c>
      <c r="L385" s="368">
        <f>SUM(L382:L384)</f>
        <v>576810</v>
      </c>
      <c r="M385" s="370">
        <f t="shared" ref="M385" si="523">SUM(M382:M384)</f>
        <v>6165</v>
      </c>
      <c r="N385" s="358">
        <f t="shared" si="517"/>
        <v>0.22318625634366185</v>
      </c>
      <c r="O385" s="359">
        <f t="shared" si="483"/>
        <v>1.0575067541489772E-2</v>
      </c>
    </row>
    <row r="386" spans="1:15" ht="24" thickBot="1" x14ac:dyDescent="0.35">
      <c r="A386" s="754" t="s">
        <v>108</v>
      </c>
      <c r="B386" s="978" t="s">
        <v>170</v>
      </c>
      <c r="C386" s="979"/>
      <c r="D386" s="980"/>
      <c r="E386" s="311">
        <f>+E385+E381</f>
        <v>2612056</v>
      </c>
      <c r="F386" s="312">
        <v>80000</v>
      </c>
      <c r="G386" s="372">
        <f>+G381+G385</f>
        <v>200276</v>
      </c>
      <c r="H386" s="371">
        <f t="shared" ref="H386:I386" si="524">+H381+H385</f>
        <v>198900</v>
      </c>
      <c r="I386" s="371">
        <f t="shared" si="524"/>
        <v>1376</v>
      </c>
      <c r="J386" s="361" t="str">
        <f>IFERROR(G386/#REF!,"-")</f>
        <v>-</v>
      </c>
      <c r="K386" s="372">
        <f>+K381+K385</f>
        <v>582975</v>
      </c>
      <c r="L386" s="371">
        <f>+L381+L385</f>
        <v>576810</v>
      </c>
      <c r="M386" s="373">
        <f t="shared" ref="M386" si="525">+M381+M385</f>
        <v>6165</v>
      </c>
      <c r="N386" s="360">
        <f>IFERROR(K386/E386,"-")</f>
        <v>0.22318625634366185</v>
      </c>
      <c r="O386" s="361">
        <f t="shared" si="483"/>
        <v>1.0575067541489772E-2</v>
      </c>
    </row>
    <row r="387" spans="1:15" ht="23.4" x14ac:dyDescent="0.3">
      <c r="A387" s="277" t="s">
        <v>108</v>
      </c>
      <c r="B387" s="977" t="s">
        <v>30</v>
      </c>
      <c r="C387" s="306" t="s">
        <v>372</v>
      </c>
      <c r="D387" s="300" t="s">
        <v>191</v>
      </c>
      <c r="E387" s="273">
        <v>0</v>
      </c>
      <c r="F387" s="274"/>
      <c r="G387" s="335">
        <f t="shared" ref="G387:G389" si="526">+H387+I387</f>
        <v>0</v>
      </c>
      <c r="H387" s="275">
        <v>0</v>
      </c>
      <c r="I387" s="275">
        <v>0</v>
      </c>
      <c r="J387" s="354" t="str">
        <f>IFERROR(G387/#REF!,"-")</f>
        <v>-</v>
      </c>
      <c r="K387" s="335">
        <f t="shared" ref="K387:K389" si="527">+L387+M387</f>
        <v>0</v>
      </c>
      <c r="L387" s="275">
        <f t="shared" ref="L387" si="528">+H387+L283</f>
        <v>0</v>
      </c>
      <c r="M387" s="276">
        <f t="shared" ref="M387" si="529">+I387+M283</f>
        <v>0</v>
      </c>
      <c r="N387" s="339" t="str">
        <f t="shared" ref="N387:N397" si="530">IFERROR(K387/E387,"-")</f>
        <v>-</v>
      </c>
      <c r="O387" s="349" t="str">
        <f t="shared" si="483"/>
        <v>-</v>
      </c>
    </row>
    <row r="388" spans="1:15" ht="23.4" x14ac:dyDescent="0.3">
      <c r="A388" s="277" t="s">
        <v>108</v>
      </c>
      <c r="B388" s="977"/>
      <c r="C388" s="306" t="s">
        <v>371</v>
      </c>
      <c r="D388" s="306" t="s">
        <v>313</v>
      </c>
      <c r="E388" s="279">
        <v>0</v>
      </c>
      <c r="F388" s="280"/>
      <c r="G388" s="336">
        <f t="shared" si="526"/>
        <v>0</v>
      </c>
      <c r="H388" s="281">
        <v>0</v>
      </c>
      <c r="I388" s="281">
        <v>0</v>
      </c>
      <c r="J388" s="355" t="str">
        <f>IFERROR(G388/#REF!,"-")</f>
        <v>-</v>
      </c>
      <c r="K388" s="336">
        <f t="shared" si="527"/>
        <v>0</v>
      </c>
      <c r="L388" s="275">
        <f>+H388+L284</f>
        <v>0</v>
      </c>
      <c r="M388" s="276">
        <f>+I388+M284</f>
        <v>0</v>
      </c>
      <c r="N388" s="340" t="str">
        <f t="shared" si="530"/>
        <v>-</v>
      </c>
      <c r="O388" s="264" t="str">
        <f t="shared" si="483"/>
        <v>-</v>
      </c>
    </row>
    <row r="389" spans="1:15" ht="24" thickBot="1" x14ac:dyDescent="0.35">
      <c r="A389" s="277" t="s">
        <v>108</v>
      </c>
      <c r="B389" s="977"/>
      <c r="C389" s="303" t="s">
        <v>316</v>
      </c>
      <c r="D389" s="303" t="s">
        <v>410</v>
      </c>
      <c r="E389" s="283">
        <v>0</v>
      </c>
      <c r="F389" s="284"/>
      <c r="G389" s="337">
        <f t="shared" si="526"/>
        <v>10118</v>
      </c>
      <c r="H389" s="285">
        <v>9360</v>
      </c>
      <c r="I389" s="285">
        <v>758</v>
      </c>
      <c r="J389" s="356" t="str">
        <f>IFERROR(G389/#REF!,"-")</f>
        <v>-</v>
      </c>
      <c r="K389" s="337">
        <f t="shared" si="527"/>
        <v>64724</v>
      </c>
      <c r="L389" s="275">
        <f>+H389+L285</f>
        <v>61776</v>
      </c>
      <c r="M389" s="276">
        <f>+I389+M285</f>
        <v>2948</v>
      </c>
      <c r="N389" s="341" t="str">
        <f t="shared" si="530"/>
        <v>-</v>
      </c>
      <c r="O389" s="350">
        <f t="shared" si="483"/>
        <v>4.5547246770904146E-2</v>
      </c>
    </row>
    <row r="390" spans="1:15" ht="24" thickBot="1" x14ac:dyDescent="0.35">
      <c r="A390" s="277" t="s">
        <v>108</v>
      </c>
      <c r="B390" s="977"/>
      <c r="C390" s="304"/>
      <c r="D390" s="305" t="s">
        <v>53</v>
      </c>
      <c r="E390" s="287">
        <v>0</v>
      </c>
      <c r="F390" s="288"/>
      <c r="G390" s="323">
        <f>SUM(G387:G389)</f>
        <v>10118</v>
      </c>
      <c r="H390" s="324">
        <f>SUM(H387:H389)</f>
        <v>9360</v>
      </c>
      <c r="I390" s="324">
        <f>SUM(I387:I389)</f>
        <v>758</v>
      </c>
      <c r="J390" s="348" t="str">
        <f>IFERROR(G390/#REF!,"-")</f>
        <v>-</v>
      </c>
      <c r="K390" s="323">
        <f>SUM(K387:K389)</f>
        <v>64724</v>
      </c>
      <c r="L390" s="324">
        <f>SUM(L387:L389)</f>
        <v>61776</v>
      </c>
      <c r="M390" s="325">
        <f>SUM(M387:M389)</f>
        <v>2948</v>
      </c>
      <c r="N390" s="342" t="str">
        <f t="shared" si="530"/>
        <v>-</v>
      </c>
      <c r="O390" s="348">
        <f t="shared" si="483"/>
        <v>4.5547246770904146E-2</v>
      </c>
    </row>
    <row r="391" spans="1:15" ht="23.4" x14ac:dyDescent="0.3">
      <c r="A391" s="277" t="s">
        <v>108</v>
      </c>
      <c r="B391" s="977"/>
      <c r="C391" s="300" t="s">
        <v>339</v>
      </c>
      <c r="D391" s="300"/>
      <c r="E391" s="273">
        <v>500000</v>
      </c>
      <c r="F391" s="274"/>
      <c r="G391" s="335">
        <f t="shared" ref="G391:G393" si="531">+H391+I391</f>
        <v>0</v>
      </c>
      <c r="H391" s="275">
        <v>0</v>
      </c>
      <c r="I391" s="275">
        <v>0</v>
      </c>
      <c r="J391" s="354" t="str">
        <f>IFERROR(G391/#REF!,"-")</f>
        <v>-</v>
      </c>
      <c r="K391" s="335">
        <f t="shared" ref="K391:K393" si="532">+L391+M391</f>
        <v>0</v>
      </c>
      <c r="L391" s="275">
        <f t="shared" ref="L391:L393" si="533">+H391+L287</f>
        <v>0</v>
      </c>
      <c r="M391" s="276">
        <f t="shared" ref="M391:M393" si="534">+I391+M287</f>
        <v>0</v>
      </c>
      <c r="N391" s="339">
        <f t="shared" si="530"/>
        <v>0</v>
      </c>
      <c r="O391" s="349" t="str">
        <f t="shared" si="483"/>
        <v>-</v>
      </c>
    </row>
    <row r="392" spans="1:15" ht="23.4" x14ac:dyDescent="0.3">
      <c r="A392" s="277" t="s">
        <v>108</v>
      </c>
      <c r="B392" s="977"/>
      <c r="C392" s="306" t="s">
        <v>373</v>
      </c>
      <c r="D392" s="306" t="s">
        <v>254</v>
      </c>
      <c r="E392" s="279">
        <v>0</v>
      </c>
      <c r="F392" s="280"/>
      <c r="G392" s="336">
        <f t="shared" si="531"/>
        <v>0</v>
      </c>
      <c r="H392" s="281">
        <v>0</v>
      </c>
      <c r="I392" s="281">
        <v>0</v>
      </c>
      <c r="J392" s="355" t="str">
        <f>IFERROR(G392/#REF!,"-")</f>
        <v>-</v>
      </c>
      <c r="K392" s="336">
        <f t="shared" si="532"/>
        <v>9638</v>
      </c>
      <c r="L392" s="275">
        <f t="shared" si="533"/>
        <v>9360</v>
      </c>
      <c r="M392" s="276">
        <f t="shared" si="534"/>
        <v>278</v>
      </c>
      <c r="N392" s="340" t="str">
        <f t="shared" si="530"/>
        <v>-</v>
      </c>
      <c r="O392" s="264">
        <f t="shared" si="483"/>
        <v>2.8844158539116E-2</v>
      </c>
    </row>
    <row r="393" spans="1:15" ht="24" thickBot="1" x14ac:dyDescent="0.35">
      <c r="A393" s="277" t="s">
        <v>108</v>
      </c>
      <c r="B393" s="977"/>
      <c r="C393" s="303" t="s">
        <v>145</v>
      </c>
      <c r="D393" s="303"/>
      <c r="E393" s="283">
        <v>0</v>
      </c>
      <c r="F393" s="284"/>
      <c r="G393" s="337">
        <f t="shared" si="531"/>
        <v>0</v>
      </c>
      <c r="H393" s="285">
        <v>0</v>
      </c>
      <c r="I393" s="285">
        <v>0</v>
      </c>
      <c r="J393" s="356" t="str">
        <f>IFERROR(G393/#REF!,"-")</f>
        <v>-</v>
      </c>
      <c r="K393" s="337">
        <f t="shared" si="532"/>
        <v>0</v>
      </c>
      <c r="L393" s="275">
        <f t="shared" si="533"/>
        <v>0</v>
      </c>
      <c r="M393" s="276">
        <f t="shared" si="534"/>
        <v>0</v>
      </c>
      <c r="N393" s="341" t="str">
        <f t="shared" si="530"/>
        <v>-</v>
      </c>
      <c r="O393" s="350" t="str">
        <f t="shared" si="483"/>
        <v>-</v>
      </c>
    </row>
    <row r="394" spans="1:15" ht="24" thickBot="1" x14ac:dyDescent="0.35">
      <c r="A394" s="277" t="s">
        <v>108</v>
      </c>
      <c r="B394" s="977"/>
      <c r="C394" s="307"/>
      <c r="D394" s="308" t="s">
        <v>54</v>
      </c>
      <c r="E394" s="309">
        <f>SUM(E391)</f>
        <v>500000</v>
      </c>
      <c r="F394" s="310"/>
      <c r="G394" s="369">
        <f>SUM(G391:G393)</f>
        <v>0</v>
      </c>
      <c r="H394" s="368">
        <f t="shared" ref="H394:I394" si="535">SUM(H391:H393)</f>
        <v>0</v>
      </c>
      <c r="I394" s="368">
        <f t="shared" si="535"/>
        <v>0</v>
      </c>
      <c r="J394" s="359" t="str">
        <f>IFERROR(G394/#REF!,"-")</f>
        <v>-</v>
      </c>
      <c r="K394" s="369">
        <f t="shared" ref="K394:M394" si="536">SUM(K391:K393)</f>
        <v>9638</v>
      </c>
      <c r="L394" s="368">
        <f t="shared" si="536"/>
        <v>9360</v>
      </c>
      <c r="M394" s="370">
        <f t="shared" si="536"/>
        <v>278</v>
      </c>
      <c r="N394" s="358">
        <f t="shared" si="530"/>
        <v>1.9276000000000001E-2</v>
      </c>
      <c r="O394" s="359">
        <f t="shared" si="483"/>
        <v>2.8844158539116E-2</v>
      </c>
    </row>
    <row r="395" spans="1:15" ht="24" thickBot="1" x14ac:dyDescent="0.35">
      <c r="A395" s="277" t="s">
        <v>108</v>
      </c>
      <c r="B395" s="978" t="s">
        <v>171</v>
      </c>
      <c r="C395" s="979"/>
      <c r="D395" s="980"/>
      <c r="E395" s="311">
        <f>+E394+E390</f>
        <v>500000</v>
      </c>
      <c r="F395" s="312">
        <v>50000</v>
      </c>
      <c r="G395" s="372">
        <f>+G390+G394</f>
        <v>10118</v>
      </c>
      <c r="H395" s="371">
        <f t="shared" ref="H395:I395" si="537">+H390+H394</f>
        <v>9360</v>
      </c>
      <c r="I395" s="371">
        <f t="shared" si="537"/>
        <v>758</v>
      </c>
      <c r="J395" s="361" t="str">
        <f>IFERROR(G395/#REF!,"-")</f>
        <v>-</v>
      </c>
      <c r="K395" s="372">
        <f t="shared" ref="K395:M395" si="538">+K390+K394</f>
        <v>74362</v>
      </c>
      <c r="L395" s="371">
        <f t="shared" si="538"/>
        <v>71136</v>
      </c>
      <c r="M395" s="373">
        <f t="shared" si="538"/>
        <v>3226</v>
      </c>
      <c r="N395" s="360">
        <f t="shared" si="530"/>
        <v>0.148724</v>
      </c>
      <c r="O395" s="361">
        <f t="shared" si="483"/>
        <v>4.3382372717248055E-2</v>
      </c>
    </row>
    <row r="396" spans="1:15" ht="24" thickBot="1" x14ac:dyDescent="0.35">
      <c r="A396" s="277" t="s">
        <v>108</v>
      </c>
      <c r="B396" s="608" t="s">
        <v>32</v>
      </c>
      <c r="C396" s="750"/>
      <c r="D396" s="313" t="s">
        <v>32</v>
      </c>
      <c r="E396" s="290">
        <v>0</v>
      </c>
      <c r="F396" s="291">
        <v>110000</v>
      </c>
      <c r="G396" s="338">
        <f t="shared" ref="G396" si="539">+H396+I396</f>
        <v>0</v>
      </c>
      <c r="H396" s="292">
        <v>0</v>
      </c>
      <c r="I396" s="292">
        <v>0</v>
      </c>
      <c r="J396" s="357" t="str">
        <f>IFERROR(G396/#REF!,"-")</f>
        <v>-</v>
      </c>
      <c r="K396" s="338">
        <f>+L396+M396</f>
        <v>0</v>
      </c>
      <c r="L396" s="292">
        <f>+H396+L292</f>
        <v>0</v>
      </c>
      <c r="M396" s="293">
        <f>+I396+M292</f>
        <v>0</v>
      </c>
      <c r="N396" s="343" t="str">
        <f t="shared" si="530"/>
        <v>-</v>
      </c>
      <c r="O396" s="351" t="str">
        <f t="shared" si="483"/>
        <v>-</v>
      </c>
    </row>
    <row r="397" spans="1:15" ht="24" thickBot="1" x14ac:dyDescent="0.35">
      <c r="A397" s="277" t="s">
        <v>108</v>
      </c>
      <c r="B397" s="981" t="s">
        <v>21</v>
      </c>
      <c r="C397" s="982"/>
      <c r="D397" s="983"/>
      <c r="E397" s="329">
        <f>+E386+E395+E396</f>
        <v>3112056</v>
      </c>
      <c r="F397" s="330">
        <f>+F386+F395+F396</f>
        <v>240000</v>
      </c>
      <c r="G397" s="329">
        <f>+G386+G395+G396</f>
        <v>210394</v>
      </c>
      <c r="H397" s="327">
        <f>+H386+H395+H396</f>
        <v>208260</v>
      </c>
      <c r="I397" s="327">
        <f>+I386+I395+I396</f>
        <v>2134</v>
      </c>
      <c r="J397" s="352" t="str">
        <f>IFERROR(G397/#REF!,"-")</f>
        <v>-</v>
      </c>
      <c r="K397" s="329">
        <f>+K386+K395+K396</f>
        <v>657337</v>
      </c>
      <c r="L397" s="327">
        <f>+L386+L395+L396</f>
        <v>647946</v>
      </c>
      <c r="M397" s="328">
        <f>+M386+M395+M396</f>
        <v>9391</v>
      </c>
      <c r="N397" s="344">
        <f t="shared" si="530"/>
        <v>0.21122274149308368</v>
      </c>
      <c r="O397" s="352">
        <f t="shared" si="483"/>
        <v>1.4286431465138886E-2</v>
      </c>
    </row>
    <row r="398" spans="1:15" ht="24" thickBot="1" x14ac:dyDescent="0.35">
      <c r="A398" s="277" t="s">
        <v>108</v>
      </c>
      <c r="B398" s="984" t="s">
        <v>179</v>
      </c>
      <c r="C398" s="962"/>
      <c r="D398" s="963"/>
      <c r="E398" s="333">
        <f>+E397</f>
        <v>3112056</v>
      </c>
      <c r="F398" s="334">
        <f t="shared" ref="F398:I398" si="540">+F397</f>
        <v>240000</v>
      </c>
      <c r="G398" s="333">
        <f t="shared" si="540"/>
        <v>210394</v>
      </c>
      <c r="H398" s="331">
        <f t="shared" si="540"/>
        <v>208260</v>
      </c>
      <c r="I398" s="331">
        <f t="shared" si="540"/>
        <v>2134</v>
      </c>
      <c r="J398" s="353" t="str">
        <f>+J397</f>
        <v>-</v>
      </c>
      <c r="K398" s="333">
        <f>+K397</f>
        <v>657337</v>
      </c>
      <c r="L398" s="331">
        <f t="shared" ref="L398" si="541">+L397</f>
        <v>647946</v>
      </c>
      <c r="M398" s="332">
        <f>+M397</f>
        <v>9391</v>
      </c>
      <c r="N398" s="345">
        <f t="shared" ref="N398:O398" si="542">+N397</f>
        <v>0.21122274149308368</v>
      </c>
      <c r="O398" s="353">
        <f t="shared" si="542"/>
        <v>1.4286431465138886E-2</v>
      </c>
    </row>
    <row r="399" spans="1:15" ht="23.4" x14ac:dyDescent="0.3">
      <c r="A399" s="271" t="s">
        <v>109</v>
      </c>
      <c r="B399" s="970" t="s">
        <v>33</v>
      </c>
      <c r="C399" s="314" t="s">
        <v>120</v>
      </c>
      <c r="D399" s="314"/>
      <c r="E399" s="273">
        <v>34000</v>
      </c>
      <c r="F399" s="274"/>
      <c r="G399" s="335">
        <f t="shared" ref="G399:G401" si="543">+H399+I399</f>
        <v>0</v>
      </c>
      <c r="H399" s="275">
        <v>0</v>
      </c>
      <c r="I399" s="275">
        <v>0</v>
      </c>
      <c r="J399" s="354" t="str">
        <f>IFERROR(G399/#REF!,"-")</f>
        <v>-</v>
      </c>
      <c r="K399" s="335">
        <f t="shared" ref="K399:K401" si="544">+L399+M399</f>
        <v>0</v>
      </c>
      <c r="L399" s="275">
        <f t="shared" ref="L399:L401" si="545">+H399+L295</f>
        <v>0</v>
      </c>
      <c r="M399" s="276">
        <f t="shared" ref="M399:M401" si="546">+I399+M295</f>
        <v>0</v>
      </c>
      <c r="N399" s="339">
        <f t="shared" ref="N399:N406" si="547">IFERROR(K399/E399,"-")</f>
        <v>0</v>
      </c>
      <c r="O399" s="349" t="str">
        <f t="shared" ref="O399:O424" si="548">IFERROR(M399/K399,"-")</f>
        <v>-</v>
      </c>
    </row>
    <row r="400" spans="1:15" ht="23.4" x14ac:dyDescent="0.3">
      <c r="A400" s="277" t="s">
        <v>109</v>
      </c>
      <c r="B400" s="972"/>
      <c r="C400" s="315" t="s">
        <v>267</v>
      </c>
      <c r="D400" s="315"/>
      <c r="E400" s="279">
        <v>0</v>
      </c>
      <c r="F400" s="280"/>
      <c r="G400" s="336">
        <f t="shared" si="543"/>
        <v>1970</v>
      </c>
      <c r="H400" s="281">
        <v>1920</v>
      </c>
      <c r="I400" s="281">
        <v>50</v>
      </c>
      <c r="J400" s="355" t="str">
        <f>IFERROR(G400/#REF!,"-")</f>
        <v>-</v>
      </c>
      <c r="K400" s="336">
        <f t="shared" si="544"/>
        <v>1970</v>
      </c>
      <c r="L400" s="275">
        <f t="shared" si="545"/>
        <v>1920</v>
      </c>
      <c r="M400" s="276">
        <f t="shared" si="546"/>
        <v>50</v>
      </c>
      <c r="N400" s="340" t="str">
        <f t="shared" si="547"/>
        <v>-</v>
      </c>
      <c r="O400" s="264">
        <f t="shared" si="548"/>
        <v>2.5380710659898477E-2</v>
      </c>
    </row>
    <row r="401" spans="1:15" ht="24" thickBot="1" x14ac:dyDescent="0.35">
      <c r="A401" s="277" t="s">
        <v>109</v>
      </c>
      <c r="B401" s="971"/>
      <c r="C401" s="316" t="s">
        <v>34</v>
      </c>
      <c r="D401" s="316"/>
      <c r="E401" s="283">
        <v>0</v>
      </c>
      <c r="F401" s="284"/>
      <c r="G401" s="337">
        <f t="shared" si="543"/>
        <v>0</v>
      </c>
      <c r="H401" s="285">
        <v>0</v>
      </c>
      <c r="I401" s="285">
        <v>0</v>
      </c>
      <c r="J401" s="356" t="str">
        <f>IFERROR(G401/#REF!,"-")</f>
        <v>-</v>
      </c>
      <c r="K401" s="337">
        <f t="shared" si="544"/>
        <v>0</v>
      </c>
      <c r="L401" s="275">
        <f t="shared" si="545"/>
        <v>0</v>
      </c>
      <c r="M401" s="276">
        <f t="shared" si="546"/>
        <v>0</v>
      </c>
      <c r="N401" s="341" t="str">
        <f t="shared" si="547"/>
        <v>-</v>
      </c>
      <c r="O401" s="350" t="str">
        <f t="shared" si="548"/>
        <v>-</v>
      </c>
    </row>
    <row r="402" spans="1:15" ht="24" thickBot="1" x14ac:dyDescent="0.35">
      <c r="A402" s="277" t="s">
        <v>109</v>
      </c>
      <c r="B402" s="967" t="s">
        <v>35</v>
      </c>
      <c r="C402" s="968"/>
      <c r="D402" s="969"/>
      <c r="E402" s="287">
        <f>SUM(E399:E401)</f>
        <v>34000</v>
      </c>
      <c r="F402" s="288"/>
      <c r="G402" s="323">
        <f>SUM(G399:G401)</f>
        <v>1970</v>
      </c>
      <c r="H402" s="324">
        <f t="shared" ref="H402:I402" si="549">SUM(H399:H401)</f>
        <v>1920</v>
      </c>
      <c r="I402" s="324">
        <f t="shared" si="549"/>
        <v>50</v>
      </c>
      <c r="J402" s="348" t="str">
        <f>IFERROR(G402/#REF!,"-")</f>
        <v>-</v>
      </c>
      <c r="K402" s="323">
        <f t="shared" ref="K402:M402" si="550">SUM(K399:K401)</f>
        <v>1970</v>
      </c>
      <c r="L402" s="324">
        <f t="shared" si="550"/>
        <v>1920</v>
      </c>
      <c r="M402" s="325">
        <f t="shared" si="550"/>
        <v>50</v>
      </c>
      <c r="N402" s="342">
        <f t="shared" si="547"/>
        <v>5.7941176470588232E-2</v>
      </c>
      <c r="O402" s="348">
        <f t="shared" si="548"/>
        <v>2.5380710659898477E-2</v>
      </c>
    </row>
    <row r="403" spans="1:15" ht="23.4" x14ac:dyDescent="0.3">
      <c r="A403" s="277" t="s">
        <v>109</v>
      </c>
      <c r="B403" s="970" t="s">
        <v>36</v>
      </c>
      <c r="C403" s="314" t="s">
        <v>120</v>
      </c>
      <c r="D403" s="314"/>
      <c r="E403" s="273">
        <v>64360</v>
      </c>
      <c r="F403" s="274"/>
      <c r="G403" s="335">
        <f t="shared" ref="G403:G406" si="551">+H403+I403</f>
        <v>0</v>
      </c>
      <c r="H403" s="275">
        <v>0</v>
      </c>
      <c r="I403" s="275">
        <v>0</v>
      </c>
      <c r="J403" s="354" t="str">
        <f>IFERROR(G403/#REF!,"-")</f>
        <v>-</v>
      </c>
      <c r="K403" s="335">
        <f t="shared" ref="K403:K406" si="552">+L403+M403</f>
        <v>0</v>
      </c>
      <c r="L403" s="275">
        <f t="shared" ref="L403:L406" si="553">+H403+L299</f>
        <v>0</v>
      </c>
      <c r="M403" s="276">
        <f t="shared" ref="M403:M406" si="554">+I403+M299</f>
        <v>0</v>
      </c>
      <c r="N403" s="339">
        <f t="shared" si="547"/>
        <v>0</v>
      </c>
      <c r="O403" s="349" t="str">
        <f t="shared" si="548"/>
        <v>-</v>
      </c>
    </row>
    <row r="404" spans="1:15" ht="23.4" x14ac:dyDescent="0.3">
      <c r="A404" s="277" t="s">
        <v>109</v>
      </c>
      <c r="B404" s="972"/>
      <c r="C404" s="315" t="s">
        <v>267</v>
      </c>
      <c r="D404" s="315"/>
      <c r="E404" s="279">
        <v>0</v>
      </c>
      <c r="F404" s="280"/>
      <c r="G404" s="336">
        <f t="shared" si="551"/>
        <v>0</v>
      </c>
      <c r="H404" s="281">
        <v>0</v>
      </c>
      <c r="I404" s="281">
        <v>0</v>
      </c>
      <c r="J404" s="355" t="str">
        <f>IFERROR(G404/#REF!,"-")</f>
        <v>-</v>
      </c>
      <c r="K404" s="336">
        <f t="shared" si="552"/>
        <v>0</v>
      </c>
      <c r="L404" s="275">
        <f t="shared" si="553"/>
        <v>0</v>
      </c>
      <c r="M404" s="276">
        <f t="shared" si="554"/>
        <v>0</v>
      </c>
      <c r="N404" s="340" t="str">
        <f t="shared" si="547"/>
        <v>-</v>
      </c>
      <c r="O404" s="264" t="str">
        <f t="shared" si="548"/>
        <v>-</v>
      </c>
    </row>
    <row r="405" spans="1:15" ht="23.4" x14ac:dyDescent="0.3">
      <c r="A405" s="277" t="s">
        <v>109</v>
      </c>
      <c r="B405" s="972"/>
      <c r="C405" s="315" t="s">
        <v>198</v>
      </c>
      <c r="D405" s="315"/>
      <c r="E405" s="279">
        <v>0</v>
      </c>
      <c r="F405" s="280"/>
      <c r="G405" s="336">
        <f t="shared" si="551"/>
        <v>0</v>
      </c>
      <c r="H405" s="281">
        <v>0</v>
      </c>
      <c r="I405" s="281">
        <v>0</v>
      </c>
      <c r="J405" s="355" t="str">
        <f>IFERROR(G405/#REF!,"-")</f>
        <v>-</v>
      </c>
      <c r="K405" s="336">
        <f t="shared" si="552"/>
        <v>0</v>
      </c>
      <c r="L405" s="275">
        <f t="shared" si="553"/>
        <v>0</v>
      </c>
      <c r="M405" s="276">
        <f t="shared" si="554"/>
        <v>0</v>
      </c>
      <c r="N405" s="340" t="str">
        <f t="shared" si="547"/>
        <v>-</v>
      </c>
      <c r="O405" s="264" t="str">
        <f t="shared" si="548"/>
        <v>-</v>
      </c>
    </row>
    <row r="406" spans="1:15" ht="24" thickBot="1" x14ac:dyDescent="0.35">
      <c r="A406" s="277" t="s">
        <v>109</v>
      </c>
      <c r="B406" s="971"/>
      <c r="C406" s="316" t="s">
        <v>37</v>
      </c>
      <c r="D406" s="316"/>
      <c r="E406" s="283">
        <v>0</v>
      </c>
      <c r="F406" s="284"/>
      <c r="G406" s="337">
        <f t="shared" si="551"/>
        <v>0</v>
      </c>
      <c r="H406" s="285">
        <v>0</v>
      </c>
      <c r="I406" s="285">
        <v>0</v>
      </c>
      <c r="J406" s="356" t="str">
        <f>IFERROR(G406/#REF!,"-")</f>
        <v>-</v>
      </c>
      <c r="K406" s="337">
        <f t="shared" si="552"/>
        <v>0</v>
      </c>
      <c r="L406" s="275">
        <f t="shared" si="553"/>
        <v>0</v>
      </c>
      <c r="M406" s="276">
        <f t="shared" si="554"/>
        <v>0</v>
      </c>
      <c r="N406" s="341" t="str">
        <f t="shared" si="547"/>
        <v>-</v>
      </c>
      <c r="O406" s="350" t="str">
        <f t="shared" si="548"/>
        <v>-</v>
      </c>
    </row>
    <row r="407" spans="1:15" ht="24" thickBot="1" x14ac:dyDescent="0.35">
      <c r="A407" s="277" t="s">
        <v>109</v>
      </c>
      <c r="B407" s="967" t="s">
        <v>38</v>
      </c>
      <c r="C407" s="968"/>
      <c r="D407" s="969"/>
      <c r="E407" s="287">
        <f>SUM(E403:E406)</f>
        <v>64360</v>
      </c>
      <c r="F407" s="288">
        <v>6500</v>
      </c>
      <c r="G407" s="323">
        <f>SUM(G403:G406)</f>
        <v>0</v>
      </c>
      <c r="H407" s="324">
        <f t="shared" ref="H407:I407" si="555">SUM(H403:H406)</f>
        <v>0</v>
      </c>
      <c r="I407" s="324">
        <f t="shared" si="555"/>
        <v>0</v>
      </c>
      <c r="J407" s="348" t="str">
        <f>IFERROR(G407/#REF!,"-")</f>
        <v>-</v>
      </c>
      <c r="K407" s="323">
        <f t="shared" ref="K407:M407" si="556">SUM(K403:K406)</f>
        <v>0</v>
      </c>
      <c r="L407" s="324">
        <f t="shared" si="556"/>
        <v>0</v>
      </c>
      <c r="M407" s="325">
        <f t="shared" si="556"/>
        <v>0</v>
      </c>
      <c r="N407" s="342">
        <f>IFERROR(K407/E407,"-")</f>
        <v>0</v>
      </c>
      <c r="O407" s="348" t="str">
        <f t="shared" si="548"/>
        <v>-</v>
      </c>
    </row>
    <row r="408" spans="1:15" ht="23.4" x14ac:dyDescent="0.3">
      <c r="A408" s="277" t="s">
        <v>109</v>
      </c>
      <c r="B408" s="970" t="s">
        <v>39</v>
      </c>
      <c r="C408" s="317" t="s">
        <v>123</v>
      </c>
      <c r="D408" s="317"/>
      <c r="E408" s="273">
        <v>39800</v>
      </c>
      <c r="F408" s="274"/>
      <c r="G408" s="335">
        <f t="shared" ref="G408:G409" si="557">+H408+I408</f>
        <v>144</v>
      </c>
      <c r="H408" s="275">
        <v>144</v>
      </c>
      <c r="I408" s="275">
        <v>0</v>
      </c>
      <c r="J408" s="354" t="str">
        <f>IFERROR(G408/#REF!,"-")</f>
        <v>-</v>
      </c>
      <c r="K408" s="335">
        <f t="shared" ref="K408:K409" si="558">+L408+M408</f>
        <v>144</v>
      </c>
      <c r="L408" s="275">
        <f>+H408+L304</f>
        <v>144</v>
      </c>
      <c r="M408" s="276">
        <f>+I408+M304</f>
        <v>0</v>
      </c>
      <c r="N408" s="339">
        <f t="shared" ref="N408:N424" si="559">IFERROR(K408/E408,"-")</f>
        <v>3.6180904522613066E-3</v>
      </c>
      <c r="O408" s="349">
        <f t="shared" si="548"/>
        <v>0</v>
      </c>
    </row>
    <row r="409" spans="1:15" ht="24" thickBot="1" x14ac:dyDescent="0.35">
      <c r="A409" s="277" t="s">
        <v>109</v>
      </c>
      <c r="B409" s="971"/>
      <c r="C409" s="289" t="s">
        <v>139</v>
      </c>
      <c r="D409" s="289"/>
      <c r="E409" s="283">
        <v>0</v>
      </c>
      <c r="F409" s="284"/>
      <c r="G409" s="337">
        <f t="shared" si="557"/>
        <v>0</v>
      </c>
      <c r="H409" s="285">
        <v>0</v>
      </c>
      <c r="I409" s="285">
        <v>0</v>
      </c>
      <c r="J409" s="356" t="str">
        <f>IFERROR(G409/#REF!,"-")</f>
        <v>-</v>
      </c>
      <c r="K409" s="337">
        <f t="shared" si="558"/>
        <v>240</v>
      </c>
      <c r="L409" s="275">
        <f>+H409+L305</f>
        <v>240</v>
      </c>
      <c r="M409" s="276">
        <f>+I409+M305</f>
        <v>0</v>
      </c>
      <c r="N409" s="341" t="str">
        <f t="shared" si="559"/>
        <v>-</v>
      </c>
      <c r="O409" s="350">
        <f t="shared" si="548"/>
        <v>0</v>
      </c>
    </row>
    <row r="410" spans="1:15" ht="24" thickBot="1" x14ac:dyDescent="0.35">
      <c r="A410" s="754" t="s">
        <v>109</v>
      </c>
      <c r="B410" s="967" t="s">
        <v>40</v>
      </c>
      <c r="C410" s="968"/>
      <c r="D410" s="969"/>
      <c r="E410" s="287">
        <f>SUM(E408:E409)</f>
        <v>39800</v>
      </c>
      <c r="F410" s="288">
        <v>2800</v>
      </c>
      <c r="G410" s="323">
        <f>SUM(G408:G409)</f>
        <v>144</v>
      </c>
      <c r="H410" s="324">
        <f t="shared" ref="H410:I410" si="560">SUM(H408:H409)</f>
        <v>144</v>
      </c>
      <c r="I410" s="324">
        <f t="shared" si="560"/>
        <v>0</v>
      </c>
      <c r="J410" s="348" t="str">
        <f>IFERROR(G410/#REF!,"-")</f>
        <v>-</v>
      </c>
      <c r="K410" s="323">
        <f t="shared" ref="K410:M410" si="561">SUM(K408:K409)</f>
        <v>384</v>
      </c>
      <c r="L410" s="324">
        <f t="shared" si="561"/>
        <v>384</v>
      </c>
      <c r="M410" s="325">
        <f t="shared" si="561"/>
        <v>0</v>
      </c>
      <c r="N410" s="342">
        <f t="shared" si="559"/>
        <v>9.6482412060301514E-3</v>
      </c>
      <c r="O410" s="348">
        <f t="shared" si="548"/>
        <v>0</v>
      </c>
    </row>
    <row r="411" spans="1:15" ht="23.4" x14ac:dyDescent="0.3">
      <c r="A411" s="277" t="s">
        <v>109</v>
      </c>
      <c r="B411" s="970" t="s">
        <v>41</v>
      </c>
      <c r="C411" s="272" t="s">
        <v>335</v>
      </c>
      <c r="D411" s="272"/>
      <c r="E411" s="273">
        <v>916640</v>
      </c>
      <c r="F411" s="318"/>
      <c r="G411" s="335">
        <f t="shared" ref="G411:G415" si="562">+H411+I411</f>
        <v>17075</v>
      </c>
      <c r="H411" s="275">
        <v>16800</v>
      </c>
      <c r="I411" s="275">
        <v>275</v>
      </c>
      <c r="J411" s="374" t="str">
        <f>IFERROR(G411/#REF!,"-")</f>
        <v>-</v>
      </c>
      <c r="K411" s="335">
        <f t="shared" ref="K411:K415" si="563">+L411+M411</f>
        <v>77493</v>
      </c>
      <c r="L411" s="275">
        <f t="shared" ref="L411:L415" si="564">+H411+L307</f>
        <v>76320</v>
      </c>
      <c r="M411" s="275">
        <f t="shared" ref="M411:M415" si="565">+I411+M307</f>
        <v>1173</v>
      </c>
      <c r="N411" s="362">
        <f t="shared" si="559"/>
        <v>8.4540277535346486E-2</v>
      </c>
      <c r="O411" s="363">
        <f t="shared" si="548"/>
        <v>1.5136851070419264E-2</v>
      </c>
    </row>
    <row r="412" spans="1:15" ht="23.4" x14ac:dyDescent="0.3">
      <c r="A412" s="277" t="s">
        <v>109</v>
      </c>
      <c r="B412" s="972"/>
      <c r="C412" s="272" t="s">
        <v>336</v>
      </c>
      <c r="D412" s="278"/>
      <c r="E412" s="279">
        <v>0</v>
      </c>
      <c r="F412" s="319"/>
      <c r="G412" s="336">
        <f t="shared" si="562"/>
        <v>0</v>
      </c>
      <c r="H412" s="281">
        <v>0</v>
      </c>
      <c r="I412" s="281">
        <v>0</v>
      </c>
      <c r="J412" s="375" t="str">
        <f>IFERROR(G412/#REF!,"-")</f>
        <v>-</v>
      </c>
      <c r="K412" s="336">
        <f t="shared" si="563"/>
        <v>0</v>
      </c>
      <c r="L412" s="275">
        <f t="shared" si="564"/>
        <v>0</v>
      </c>
      <c r="M412" s="276">
        <f t="shared" si="565"/>
        <v>0</v>
      </c>
      <c r="N412" s="364" t="str">
        <f t="shared" si="559"/>
        <v>-</v>
      </c>
      <c r="O412" s="365" t="str">
        <f t="shared" si="548"/>
        <v>-</v>
      </c>
    </row>
    <row r="413" spans="1:15" ht="23.4" x14ac:dyDescent="0.3">
      <c r="A413" s="277" t="s">
        <v>109</v>
      </c>
      <c r="B413" s="972"/>
      <c r="C413" s="278" t="s">
        <v>383</v>
      </c>
      <c r="D413" s="278"/>
      <c r="E413" s="279">
        <v>40000</v>
      </c>
      <c r="F413" s="319"/>
      <c r="G413" s="336">
        <f t="shared" si="562"/>
        <v>0</v>
      </c>
      <c r="H413" s="281">
        <v>0</v>
      </c>
      <c r="I413" s="281">
        <v>0</v>
      </c>
      <c r="J413" s="375" t="str">
        <f>IFERROR(G413/#REF!,"-")</f>
        <v>-</v>
      </c>
      <c r="K413" s="336">
        <f t="shared" si="563"/>
        <v>0</v>
      </c>
      <c r="L413" s="275">
        <f t="shared" si="564"/>
        <v>0</v>
      </c>
      <c r="M413" s="276">
        <f t="shared" si="565"/>
        <v>0</v>
      </c>
      <c r="N413" s="364">
        <f t="shared" si="559"/>
        <v>0</v>
      </c>
      <c r="O413" s="365" t="str">
        <f t="shared" si="548"/>
        <v>-</v>
      </c>
    </row>
    <row r="414" spans="1:15" ht="23.4" x14ac:dyDescent="0.3">
      <c r="A414" s="277" t="s">
        <v>109</v>
      </c>
      <c r="B414" s="972"/>
      <c r="C414" s="278" t="s">
        <v>165</v>
      </c>
      <c r="D414" s="278"/>
      <c r="E414" s="279">
        <v>0</v>
      </c>
      <c r="F414" s="319"/>
      <c r="G414" s="336">
        <f t="shared" si="562"/>
        <v>0</v>
      </c>
      <c r="H414" s="281">
        <v>0</v>
      </c>
      <c r="I414" s="281">
        <v>0</v>
      </c>
      <c r="J414" s="375" t="str">
        <f>IFERROR(G414/#REF!,"-")</f>
        <v>-</v>
      </c>
      <c r="K414" s="336">
        <f t="shared" si="563"/>
        <v>0</v>
      </c>
      <c r="L414" s="275">
        <f t="shared" si="564"/>
        <v>0</v>
      </c>
      <c r="M414" s="276">
        <f t="shared" si="565"/>
        <v>0</v>
      </c>
      <c r="N414" s="364" t="str">
        <f t="shared" si="559"/>
        <v>-</v>
      </c>
      <c r="O414" s="365" t="str">
        <f t="shared" si="548"/>
        <v>-</v>
      </c>
    </row>
    <row r="415" spans="1:15" ht="24" thickBot="1" x14ac:dyDescent="0.35">
      <c r="A415" s="277" t="s">
        <v>109</v>
      </c>
      <c r="B415" s="971"/>
      <c r="C415" s="282" t="s">
        <v>166</v>
      </c>
      <c r="D415" s="282"/>
      <c r="E415" s="283">
        <v>0</v>
      </c>
      <c r="F415" s="320"/>
      <c r="G415" s="337">
        <f t="shared" si="562"/>
        <v>0</v>
      </c>
      <c r="H415" s="285">
        <v>0</v>
      </c>
      <c r="I415" s="285">
        <v>0</v>
      </c>
      <c r="J415" s="376" t="str">
        <f>IFERROR(G415/#REF!,"-")</f>
        <v>-</v>
      </c>
      <c r="K415" s="337">
        <f t="shared" si="563"/>
        <v>0</v>
      </c>
      <c r="L415" s="275">
        <f t="shared" si="564"/>
        <v>0</v>
      </c>
      <c r="M415" s="276">
        <f t="shared" si="565"/>
        <v>0</v>
      </c>
      <c r="N415" s="366" t="str">
        <f t="shared" si="559"/>
        <v>-</v>
      </c>
      <c r="O415" s="367" t="str">
        <f t="shared" si="548"/>
        <v>-</v>
      </c>
    </row>
    <row r="416" spans="1:15" ht="24" thickBot="1" x14ac:dyDescent="0.35">
      <c r="A416" s="277" t="s">
        <v>109</v>
      </c>
      <c r="B416" s="967" t="s">
        <v>42</v>
      </c>
      <c r="C416" s="968"/>
      <c r="D416" s="969"/>
      <c r="E416" s="323">
        <f>SUM(E411:E415)</f>
        <v>956640</v>
      </c>
      <c r="F416" s="288">
        <v>25000</v>
      </c>
      <c r="G416" s="323">
        <f>SUM(G412:G415)</f>
        <v>0</v>
      </c>
      <c r="H416" s="324">
        <f>SUM(H411:H415)</f>
        <v>16800</v>
      </c>
      <c r="I416" s="324">
        <f t="shared" ref="I416" si="566">SUM(I412:I415)</f>
        <v>0</v>
      </c>
      <c r="J416" s="348" t="str">
        <f>IFERROR(G416/#REF!,"-")</f>
        <v>-</v>
      </c>
      <c r="K416" s="323">
        <f>SUM(K411:K415)</f>
        <v>77493</v>
      </c>
      <c r="L416" s="324">
        <f>SUM(L411:L415)</f>
        <v>76320</v>
      </c>
      <c r="M416" s="325">
        <f>SUM(M411:M415)</f>
        <v>1173</v>
      </c>
      <c r="N416" s="342">
        <f t="shared" si="559"/>
        <v>8.1005393878575013E-2</v>
      </c>
      <c r="O416" s="348">
        <f t="shared" si="548"/>
        <v>1.5136851070419264E-2</v>
      </c>
    </row>
    <row r="417" spans="1:15" ht="23.4" x14ac:dyDescent="0.3">
      <c r="A417" s="277" t="s">
        <v>109</v>
      </c>
      <c r="B417" s="970" t="s">
        <v>43</v>
      </c>
      <c r="C417" s="272" t="s">
        <v>200</v>
      </c>
      <c r="D417" s="272"/>
      <c r="E417" s="273">
        <v>0</v>
      </c>
      <c r="F417" s="274"/>
      <c r="G417" s="335">
        <f t="shared" ref="G417:G419" si="567">+H417+I417</f>
        <v>0</v>
      </c>
      <c r="H417" s="275">
        <v>0</v>
      </c>
      <c r="I417" s="275">
        <v>0</v>
      </c>
      <c r="J417" s="354" t="str">
        <f>IFERROR(G417/#REF!,"-")</f>
        <v>-</v>
      </c>
      <c r="K417" s="335">
        <f t="shared" ref="K417:K419" si="568">+L417+M417</f>
        <v>0</v>
      </c>
      <c r="L417" s="275">
        <f t="shared" ref="L417:L419" si="569">+H417+L313</f>
        <v>0</v>
      </c>
      <c r="M417" s="276">
        <f t="shared" ref="M417:M419" si="570">+I417+M313</f>
        <v>0</v>
      </c>
      <c r="N417" s="339" t="str">
        <f t="shared" si="559"/>
        <v>-</v>
      </c>
      <c r="O417" s="349" t="str">
        <f t="shared" si="548"/>
        <v>-</v>
      </c>
    </row>
    <row r="418" spans="1:15" ht="23.4" x14ac:dyDescent="0.3">
      <c r="A418" s="277" t="s">
        <v>109</v>
      </c>
      <c r="B418" s="972"/>
      <c r="C418" s="278" t="s">
        <v>167</v>
      </c>
      <c r="D418" s="278"/>
      <c r="E418" s="279">
        <v>50000</v>
      </c>
      <c r="F418" s="280"/>
      <c r="G418" s="336">
        <f t="shared" si="567"/>
        <v>14716</v>
      </c>
      <c r="H418" s="281">
        <v>14400</v>
      </c>
      <c r="I418" s="281">
        <v>316</v>
      </c>
      <c r="J418" s="375" t="str">
        <f>IFERROR(G418/#REF!,"-")</f>
        <v>-</v>
      </c>
      <c r="K418" s="336">
        <f t="shared" si="568"/>
        <v>41608</v>
      </c>
      <c r="L418" s="729">
        <f t="shared" si="569"/>
        <v>40320</v>
      </c>
      <c r="M418" s="276">
        <f t="shared" si="570"/>
        <v>1288</v>
      </c>
      <c r="N418" s="364">
        <f t="shared" si="559"/>
        <v>0.83216000000000001</v>
      </c>
      <c r="O418" s="365">
        <f t="shared" si="548"/>
        <v>3.095558546433378E-2</v>
      </c>
    </row>
    <row r="419" spans="1:15" ht="24" thickBot="1" x14ac:dyDescent="0.35">
      <c r="A419" s="277" t="s">
        <v>109</v>
      </c>
      <c r="B419" s="971"/>
      <c r="C419" s="282" t="s">
        <v>200</v>
      </c>
      <c r="D419" s="282"/>
      <c r="E419" s="283">
        <v>0</v>
      </c>
      <c r="F419" s="284"/>
      <c r="G419" s="337">
        <f t="shared" si="567"/>
        <v>0</v>
      </c>
      <c r="H419" s="285">
        <v>0</v>
      </c>
      <c r="I419" s="285">
        <v>0</v>
      </c>
      <c r="J419" s="376" t="str">
        <f>IFERROR(G419/#REF!,"-")</f>
        <v>-</v>
      </c>
      <c r="K419" s="337">
        <f t="shared" si="568"/>
        <v>0</v>
      </c>
      <c r="L419" s="275">
        <f t="shared" si="569"/>
        <v>0</v>
      </c>
      <c r="M419" s="276">
        <f t="shared" si="570"/>
        <v>0</v>
      </c>
      <c r="N419" s="366" t="str">
        <f t="shared" si="559"/>
        <v>-</v>
      </c>
      <c r="O419" s="367" t="str">
        <f t="shared" si="548"/>
        <v>-</v>
      </c>
    </row>
    <row r="420" spans="1:15" ht="24" thickBot="1" x14ac:dyDescent="0.35">
      <c r="A420" s="277" t="s">
        <v>109</v>
      </c>
      <c r="B420" s="973" t="s">
        <v>44</v>
      </c>
      <c r="C420" s="974"/>
      <c r="D420" s="975"/>
      <c r="E420" s="323">
        <f>SUM(E417:E419)</f>
        <v>50000</v>
      </c>
      <c r="F420" s="288"/>
      <c r="G420" s="323">
        <f>SUM(G417:G419)</f>
        <v>14716</v>
      </c>
      <c r="H420" s="324">
        <f t="shared" ref="H420:I420" si="571">SUM(H417:H419)</f>
        <v>14400</v>
      </c>
      <c r="I420" s="324">
        <f t="shared" si="571"/>
        <v>316</v>
      </c>
      <c r="J420" s="348" t="str">
        <f>IFERROR(G420/#REF!,"-")</f>
        <v>-</v>
      </c>
      <c r="K420" s="323">
        <f t="shared" ref="K420:M420" si="572">SUM(K417:K419)</f>
        <v>41608</v>
      </c>
      <c r="L420" s="368">
        <f t="shared" si="572"/>
        <v>40320</v>
      </c>
      <c r="M420" s="370">
        <f t="shared" si="572"/>
        <v>1288</v>
      </c>
      <c r="N420" s="342">
        <f t="shared" si="559"/>
        <v>0.83216000000000001</v>
      </c>
      <c r="O420" s="348">
        <f t="shared" si="548"/>
        <v>3.095558546433378E-2</v>
      </c>
    </row>
    <row r="421" spans="1:15" ht="23.4" x14ac:dyDescent="0.3">
      <c r="A421" s="277" t="s">
        <v>109</v>
      </c>
      <c r="B421" s="970" t="s">
        <v>45</v>
      </c>
      <c r="C421" s="272" t="s">
        <v>168</v>
      </c>
      <c r="D421" s="272"/>
      <c r="E421" s="273">
        <v>0</v>
      </c>
      <c r="F421" s="274"/>
      <c r="G421" s="335">
        <f t="shared" ref="G421:G422" si="573">+H421+I421</f>
        <v>0</v>
      </c>
      <c r="H421" s="275">
        <v>0</v>
      </c>
      <c r="I421" s="275">
        <v>0</v>
      </c>
      <c r="J421" s="374" t="str">
        <f>IFERROR(G421/#REF!,"-")</f>
        <v>-</v>
      </c>
      <c r="K421" s="739">
        <f t="shared" ref="K421:K422" si="574">+L421+M421</f>
        <v>0</v>
      </c>
      <c r="L421" s="532">
        <f>+H421+L317</f>
        <v>0</v>
      </c>
      <c r="M421" s="247">
        <f>+I421+M317</f>
        <v>0</v>
      </c>
      <c r="N421" s="362" t="str">
        <f t="shared" si="559"/>
        <v>-</v>
      </c>
      <c r="O421" s="363" t="str">
        <f t="shared" si="548"/>
        <v>-</v>
      </c>
    </row>
    <row r="422" spans="1:15" ht="24" thickBot="1" x14ac:dyDescent="0.35">
      <c r="A422" s="277" t="s">
        <v>109</v>
      </c>
      <c r="B422" s="971"/>
      <c r="C422" s="282" t="s">
        <v>169</v>
      </c>
      <c r="D422" s="282"/>
      <c r="E422" s="283">
        <v>0</v>
      </c>
      <c r="F422" s="284"/>
      <c r="G422" s="337">
        <f t="shared" si="573"/>
        <v>0</v>
      </c>
      <c r="H422" s="285">
        <v>0</v>
      </c>
      <c r="I422" s="285">
        <v>0</v>
      </c>
      <c r="J422" s="376" t="str">
        <f>IFERROR(G422/#REF!,"-")</f>
        <v>-</v>
      </c>
      <c r="K422" s="740">
        <f t="shared" si="574"/>
        <v>0</v>
      </c>
      <c r="L422" s="535">
        <f>+H422+L318</f>
        <v>0</v>
      </c>
      <c r="M422" s="258">
        <f>+I422+M318</f>
        <v>0</v>
      </c>
      <c r="N422" s="366" t="str">
        <f t="shared" si="559"/>
        <v>-</v>
      </c>
      <c r="O422" s="367" t="str">
        <f t="shared" si="548"/>
        <v>-</v>
      </c>
    </row>
    <row r="423" spans="1:15" ht="24" thickBot="1" x14ac:dyDescent="0.35">
      <c r="A423" s="277" t="s">
        <v>109</v>
      </c>
      <c r="B423" s="973" t="s">
        <v>46</v>
      </c>
      <c r="C423" s="974"/>
      <c r="D423" s="975"/>
      <c r="E423" s="287">
        <v>0</v>
      </c>
      <c r="F423" s="288">
        <v>25000</v>
      </c>
      <c r="G423" s="323">
        <f>SUM(G421:G422)</f>
        <v>0</v>
      </c>
      <c r="H423" s="324">
        <f t="shared" ref="H423:I423" si="575">SUM(H421:H422)</f>
        <v>0</v>
      </c>
      <c r="I423" s="324">
        <f t="shared" si="575"/>
        <v>0</v>
      </c>
      <c r="J423" s="348" t="str">
        <f>IFERROR(G423/#REF!,"-")</f>
        <v>-</v>
      </c>
      <c r="K423" s="323">
        <f t="shared" ref="K423:M423" si="576">SUM(K421:K422)</f>
        <v>0</v>
      </c>
      <c r="L423" s="524">
        <f t="shared" si="576"/>
        <v>0</v>
      </c>
      <c r="M423" s="733">
        <f t="shared" si="576"/>
        <v>0</v>
      </c>
      <c r="N423" s="342" t="str">
        <f t="shared" si="559"/>
        <v>-</v>
      </c>
      <c r="O423" s="348" t="str">
        <f t="shared" si="548"/>
        <v>-</v>
      </c>
    </row>
    <row r="424" spans="1:15" ht="24" thickBot="1" x14ac:dyDescent="0.35">
      <c r="A424" s="277" t="s">
        <v>109</v>
      </c>
      <c r="B424" s="959" t="s">
        <v>25</v>
      </c>
      <c r="C424" s="960"/>
      <c r="D424" s="961"/>
      <c r="E424" s="329">
        <f t="shared" ref="E424:F424" si="577">+E402+E407+E410+E416+E420+E423</f>
        <v>1144800</v>
      </c>
      <c r="F424" s="330">
        <f t="shared" si="577"/>
        <v>59300</v>
      </c>
      <c r="G424" s="329">
        <f>+G402+G407+G410+G416+G420+G423</f>
        <v>16830</v>
      </c>
      <c r="H424" s="327">
        <f>+H402+H407+H410+H416+H420+H423</f>
        <v>33264</v>
      </c>
      <c r="I424" s="327">
        <f t="shared" ref="I424" si="578">+I402+I407+I410+I416+I420+I423</f>
        <v>366</v>
      </c>
      <c r="J424" s="352" t="str">
        <f>IFERROR(G424/#REF!,"-")</f>
        <v>-</v>
      </c>
      <c r="K424" s="329">
        <f>+K402+K407+K410+K416+K420+K423</f>
        <v>121455</v>
      </c>
      <c r="L424" s="327">
        <f t="shared" ref="L424:M424" si="579">+L402+L407+L410+L416+L420+L423</f>
        <v>118944</v>
      </c>
      <c r="M424" s="328">
        <f t="shared" si="579"/>
        <v>2511</v>
      </c>
      <c r="N424" s="344">
        <f t="shared" si="559"/>
        <v>0.10609276729559748</v>
      </c>
      <c r="O424" s="352">
        <f t="shared" si="548"/>
        <v>2.0674323823638385E-2</v>
      </c>
    </row>
    <row r="425" spans="1:15" ht="24" thickBot="1" x14ac:dyDescent="0.35">
      <c r="A425" s="321" t="s">
        <v>109</v>
      </c>
      <c r="B425" s="962" t="s">
        <v>181</v>
      </c>
      <c r="C425" s="962"/>
      <c r="D425" s="963"/>
      <c r="E425" s="333">
        <f>+E424</f>
        <v>1144800</v>
      </c>
      <c r="F425" s="334">
        <f t="shared" ref="F425:O425" si="580">+F424</f>
        <v>59300</v>
      </c>
      <c r="G425" s="333">
        <f t="shared" si="580"/>
        <v>16830</v>
      </c>
      <c r="H425" s="331">
        <f t="shared" si="580"/>
        <v>33264</v>
      </c>
      <c r="I425" s="331">
        <f t="shared" si="580"/>
        <v>366</v>
      </c>
      <c r="J425" s="353" t="str">
        <f t="shared" si="580"/>
        <v>-</v>
      </c>
      <c r="K425" s="333">
        <f t="shared" si="580"/>
        <v>121455</v>
      </c>
      <c r="L425" s="331">
        <f t="shared" si="580"/>
        <v>118944</v>
      </c>
      <c r="M425" s="332">
        <f t="shared" si="580"/>
        <v>2511</v>
      </c>
      <c r="N425" s="345">
        <f t="shared" si="580"/>
        <v>0.10609276729559748</v>
      </c>
      <c r="O425" s="353">
        <f t="shared" si="580"/>
        <v>2.0674323823638385E-2</v>
      </c>
    </row>
    <row r="426" spans="1:15" ht="24.6" thickBot="1" x14ac:dyDescent="0.35">
      <c r="A426" s="322"/>
      <c r="B426" s="964" t="s">
        <v>182</v>
      </c>
      <c r="C426" s="965"/>
      <c r="D426" s="966"/>
      <c r="E426" s="377">
        <f>+E371+E398+E425</f>
        <v>10258981</v>
      </c>
      <c r="F426" s="377">
        <f>+F371+F398+F425</f>
        <v>748300</v>
      </c>
      <c r="G426" s="377">
        <f>+G371+G398+G425</f>
        <v>431740</v>
      </c>
      <c r="H426" s="377">
        <f>+H371+H398+H425</f>
        <v>445296</v>
      </c>
      <c r="I426" s="377">
        <f>+I371+I398+I425</f>
        <v>3244</v>
      </c>
      <c r="J426" s="378" t="str">
        <f>IFERROR(G426/#REF!,"-")</f>
        <v>-</v>
      </c>
      <c r="K426" s="377">
        <f>+K371+K398+K425</f>
        <v>1693856</v>
      </c>
      <c r="L426" s="377">
        <f>+L371+L398+L425</f>
        <v>1678930</v>
      </c>
      <c r="M426" s="377">
        <f>+M371+M398+M425</f>
        <v>14926</v>
      </c>
      <c r="N426" s="378">
        <f>IFERROR(K426/E426,"-")</f>
        <v>0.16510957569762533</v>
      </c>
      <c r="O426" s="378">
        <f>IFERROR(M426/K426,"-")</f>
        <v>8.8118470519335766E-3</v>
      </c>
    </row>
    <row r="427" spans="1:15" ht="23.4" x14ac:dyDescent="0.3">
      <c r="A427" s="991" t="s">
        <v>1</v>
      </c>
      <c r="B427" s="994" t="s">
        <v>2</v>
      </c>
      <c r="C427" s="997" t="s">
        <v>3</v>
      </c>
      <c r="D427" s="997" t="s">
        <v>93</v>
      </c>
      <c r="E427" s="1000" t="s">
        <v>4</v>
      </c>
      <c r="F427" s="1001"/>
      <c r="G427" s="1001"/>
      <c r="H427" s="1001"/>
      <c r="I427" s="1001"/>
      <c r="J427" s="1001"/>
      <c r="K427" s="1001"/>
      <c r="L427" s="1001"/>
      <c r="M427" s="1001"/>
      <c r="N427" s="1001"/>
      <c r="O427" s="1002"/>
    </row>
    <row r="428" spans="1:15" ht="23.4" x14ac:dyDescent="0.3">
      <c r="A428" s="992"/>
      <c r="B428" s="995"/>
      <c r="C428" s="998"/>
      <c r="D428" s="998"/>
      <c r="E428" s="1003" t="s">
        <v>7</v>
      </c>
      <c r="F428" s="1005" t="s">
        <v>115</v>
      </c>
      <c r="G428" s="1007">
        <v>44537</v>
      </c>
      <c r="H428" s="1008"/>
      <c r="I428" s="1008"/>
      <c r="J428" s="1009"/>
      <c r="K428" s="1010" t="s">
        <v>8</v>
      </c>
      <c r="L428" s="1011"/>
      <c r="M428" s="1012"/>
      <c r="N428" s="1013" t="s">
        <v>173</v>
      </c>
      <c r="O428" s="1015" t="s">
        <v>172</v>
      </c>
    </row>
    <row r="429" spans="1:15" ht="41.4" thickBot="1" x14ac:dyDescent="0.35">
      <c r="A429" s="993"/>
      <c r="B429" s="996"/>
      <c r="C429" s="999"/>
      <c r="D429" s="999"/>
      <c r="E429" s="1004"/>
      <c r="F429" s="1006"/>
      <c r="G429" s="455" t="s">
        <v>13</v>
      </c>
      <c r="H429" s="456" t="s">
        <v>14</v>
      </c>
      <c r="I429" s="456" t="s">
        <v>15</v>
      </c>
      <c r="J429" s="457" t="s">
        <v>174</v>
      </c>
      <c r="K429" s="712" t="s">
        <v>13</v>
      </c>
      <c r="L429" s="710" t="s">
        <v>14</v>
      </c>
      <c r="M429" s="711" t="s">
        <v>15</v>
      </c>
      <c r="N429" s="1014"/>
      <c r="O429" s="1016"/>
    </row>
    <row r="430" spans="1:15" ht="24" thickBot="1" x14ac:dyDescent="0.35">
      <c r="A430" s="271" t="s">
        <v>110</v>
      </c>
      <c r="B430" s="956" t="s">
        <v>16</v>
      </c>
      <c r="C430" s="272" t="s">
        <v>424</v>
      </c>
      <c r="D430" s="272" t="s">
        <v>425</v>
      </c>
      <c r="E430" s="273">
        <v>20000</v>
      </c>
      <c r="F430" s="274"/>
      <c r="G430" s="335">
        <f>+H430+I430</f>
        <v>0</v>
      </c>
      <c r="H430" s="275">
        <v>0</v>
      </c>
      <c r="I430" s="275">
        <v>0</v>
      </c>
      <c r="J430" s="354" t="str">
        <f>IFERROR(G430/#REF!,"-")</f>
        <v>-</v>
      </c>
      <c r="K430" s="461">
        <f>+L430+M430</f>
        <v>20158</v>
      </c>
      <c r="L430" s="732">
        <f>+H430+L326</f>
        <v>19566</v>
      </c>
      <c r="M430" s="732">
        <f>+I430+M326</f>
        <v>592</v>
      </c>
      <c r="N430" s="339">
        <f>IFERROR(K430/E430,"-")</f>
        <v>1.0079</v>
      </c>
      <c r="O430" s="346">
        <f t="shared" ref="O430:O431" si="581">IFERROR(M430/K430,"-")</f>
        <v>2.9367992856434169E-2</v>
      </c>
    </row>
    <row r="431" spans="1:15" ht="23.4" x14ac:dyDescent="0.3">
      <c r="A431" s="277" t="s">
        <v>110</v>
      </c>
      <c r="B431" s="957"/>
      <c r="C431" s="278" t="s">
        <v>438</v>
      </c>
      <c r="D431" s="278" t="s">
        <v>437</v>
      </c>
      <c r="E431" s="279">
        <v>50000</v>
      </c>
      <c r="F431" s="280"/>
      <c r="G431" s="336">
        <f t="shared" ref="G431:G433" si="582">+H431+I431</f>
        <v>13943</v>
      </c>
      <c r="H431" s="281">
        <v>13760</v>
      </c>
      <c r="I431" s="281">
        <v>183</v>
      </c>
      <c r="J431" s="355" t="str">
        <f>IFERROR(G431/#REF!,"-")</f>
        <v>-</v>
      </c>
      <c r="K431" s="734">
        <f t="shared" ref="K431:K433" si="583">+L431+M431</f>
        <v>24183</v>
      </c>
      <c r="L431" s="532">
        <f t="shared" ref="L431:L433" si="584">+H431+L327</f>
        <v>24000</v>
      </c>
      <c r="M431" s="463">
        <f t="shared" ref="M431:M433" si="585">+I431+M327</f>
        <v>183</v>
      </c>
      <c r="N431" s="340">
        <f t="shared" ref="N431:N433" si="586">IFERROR(K431/E431,"-")</f>
        <v>0.48365999999999998</v>
      </c>
      <c r="O431" s="268">
        <f t="shared" si="581"/>
        <v>7.5672993425133358E-3</v>
      </c>
    </row>
    <row r="432" spans="1:15" ht="23.4" x14ac:dyDescent="0.3">
      <c r="A432" s="277" t="s">
        <v>110</v>
      </c>
      <c r="B432" s="957"/>
      <c r="C432" s="278" t="s">
        <v>186</v>
      </c>
      <c r="D432" s="278" t="s">
        <v>184</v>
      </c>
      <c r="E432" s="279">
        <v>0</v>
      </c>
      <c r="F432" s="280"/>
      <c r="G432" s="336">
        <f t="shared" si="582"/>
        <v>0</v>
      </c>
      <c r="H432" s="281">
        <v>0</v>
      </c>
      <c r="I432" s="281">
        <v>0</v>
      </c>
      <c r="J432" s="355" t="str">
        <f>IFERROR(G432/#REF!,"-")</f>
        <v>-</v>
      </c>
      <c r="K432" s="734">
        <f t="shared" si="583"/>
        <v>0</v>
      </c>
      <c r="L432" s="279">
        <f t="shared" si="584"/>
        <v>0</v>
      </c>
      <c r="M432" s="439">
        <f t="shared" si="585"/>
        <v>0</v>
      </c>
      <c r="N432" s="340" t="str">
        <f t="shared" si="586"/>
        <v>-</v>
      </c>
      <c r="O432" s="268" t="str">
        <f>IFERROR(M432/K432,"-")</f>
        <v>-</v>
      </c>
    </row>
    <row r="433" spans="1:15" ht="24" thickBot="1" x14ac:dyDescent="0.35">
      <c r="A433" s="277" t="s">
        <v>110</v>
      </c>
      <c r="B433" s="958"/>
      <c r="C433" s="282" t="s">
        <v>250</v>
      </c>
      <c r="D433" s="282" t="s">
        <v>436</v>
      </c>
      <c r="E433" s="283">
        <v>30000</v>
      </c>
      <c r="F433" s="284"/>
      <c r="G433" s="337">
        <f t="shared" si="582"/>
        <v>0</v>
      </c>
      <c r="H433" s="285">
        <v>0</v>
      </c>
      <c r="I433" s="285">
        <v>0</v>
      </c>
      <c r="J433" s="356" t="str">
        <f>IFERROR(G433/#REF!,"-")</f>
        <v>-</v>
      </c>
      <c r="K433" s="735">
        <f t="shared" si="583"/>
        <v>0</v>
      </c>
      <c r="L433" s="535">
        <f t="shared" si="584"/>
        <v>0</v>
      </c>
      <c r="M433" s="466">
        <f t="shared" si="585"/>
        <v>0</v>
      </c>
      <c r="N433" s="341">
        <f t="shared" si="586"/>
        <v>0</v>
      </c>
      <c r="O433" s="347" t="str">
        <f t="shared" ref="O433:O451" si="587">IFERROR(M433/K433,"-")</f>
        <v>-</v>
      </c>
    </row>
    <row r="434" spans="1:15" ht="24" thickBot="1" x14ac:dyDescent="0.35">
      <c r="A434" s="277" t="s">
        <v>110</v>
      </c>
      <c r="B434" s="967" t="s">
        <v>47</v>
      </c>
      <c r="C434" s="968"/>
      <c r="D434" s="969"/>
      <c r="E434" s="323">
        <f>SUM(E430:E433)</f>
        <v>100000</v>
      </c>
      <c r="F434" s="288">
        <v>15000</v>
      </c>
      <c r="G434" s="323">
        <f>SUM(G430:G433)</f>
        <v>13943</v>
      </c>
      <c r="H434" s="324">
        <f t="shared" ref="H434:I434" si="588">SUM(H430:H433)</f>
        <v>13760</v>
      </c>
      <c r="I434" s="324">
        <f t="shared" si="588"/>
        <v>183</v>
      </c>
      <c r="J434" s="348" t="str">
        <f>IFERROR(G434/#REF!,"-")</f>
        <v>-</v>
      </c>
      <c r="K434" s="323">
        <f t="shared" ref="K434:M434" si="589">SUM(K430:K433)</f>
        <v>44341</v>
      </c>
      <c r="L434" s="736">
        <f t="shared" si="589"/>
        <v>43566</v>
      </c>
      <c r="M434" s="737">
        <f t="shared" si="589"/>
        <v>775</v>
      </c>
      <c r="N434" s="342">
        <f>IFERROR(K434/E434,"-")</f>
        <v>0.44341000000000003</v>
      </c>
      <c r="O434" s="348">
        <f t="shared" si="587"/>
        <v>1.7478180465032363E-2</v>
      </c>
    </row>
    <row r="435" spans="1:15" ht="23.4" x14ac:dyDescent="0.3">
      <c r="A435" s="277" t="s">
        <v>110</v>
      </c>
      <c r="B435" s="956" t="s">
        <v>17</v>
      </c>
      <c r="C435" s="272" t="s">
        <v>320</v>
      </c>
      <c r="D435" s="272"/>
      <c r="E435" s="273">
        <v>0</v>
      </c>
      <c r="F435" s="274"/>
      <c r="G435" s="335">
        <f t="shared" ref="G435:G441" si="590">+H435+I435</f>
        <v>0</v>
      </c>
      <c r="H435" s="275">
        <v>0</v>
      </c>
      <c r="I435" s="275">
        <v>0</v>
      </c>
      <c r="J435" s="354" t="str">
        <f>IFERROR(G435/#REF!,"-")</f>
        <v>-</v>
      </c>
      <c r="K435" s="738">
        <f t="shared" ref="K435:K441" si="591">+L435+M435</f>
        <v>0</v>
      </c>
      <c r="L435" s="532">
        <f t="shared" ref="L435:L441" si="592">+H435+L331</f>
        <v>0</v>
      </c>
      <c r="M435" s="463">
        <f t="shared" ref="M435:M441" si="593">+I435+M331</f>
        <v>0</v>
      </c>
      <c r="N435" s="339" t="str">
        <f t="shared" ref="N435:N441" si="594">IFERROR(K435/E435,"-")</f>
        <v>-</v>
      </c>
      <c r="O435" s="349" t="str">
        <f t="shared" si="587"/>
        <v>-</v>
      </c>
    </row>
    <row r="436" spans="1:15" ht="23.4" x14ac:dyDescent="0.3">
      <c r="A436" s="277" t="s">
        <v>110</v>
      </c>
      <c r="B436" s="957"/>
      <c r="C436" s="278" t="s">
        <v>382</v>
      </c>
      <c r="D436" s="278" t="s">
        <v>252</v>
      </c>
      <c r="E436" s="279">
        <v>2000000</v>
      </c>
      <c r="F436" s="280"/>
      <c r="G436" s="336">
        <f t="shared" si="590"/>
        <v>147170</v>
      </c>
      <c r="H436" s="281">
        <f>79560+67320</f>
        <v>146880</v>
      </c>
      <c r="I436" s="281">
        <f>172+118</f>
        <v>290</v>
      </c>
      <c r="J436" s="355" t="str">
        <f>IFERROR(G436/#REF!,"-")</f>
        <v>-</v>
      </c>
      <c r="K436" s="734">
        <f t="shared" si="591"/>
        <v>251502</v>
      </c>
      <c r="L436" s="279">
        <f t="shared" si="592"/>
        <v>250920</v>
      </c>
      <c r="M436" s="439">
        <f t="shared" si="593"/>
        <v>582</v>
      </c>
      <c r="N436" s="340">
        <f t="shared" si="594"/>
        <v>0.125751</v>
      </c>
      <c r="O436" s="264">
        <f t="shared" si="587"/>
        <v>2.3140969057900136E-3</v>
      </c>
    </row>
    <row r="437" spans="1:15" ht="23.4" x14ac:dyDescent="0.3">
      <c r="A437" s="277" t="s">
        <v>110</v>
      </c>
      <c r="B437" s="957"/>
      <c r="C437" s="278" t="s">
        <v>422</v>
      </c>
      <c r="D437" s="278" t="s">
        <v>201</v>
      </c>
      <c r="E437" s="279">
        <v>1000000</v>
      </c>
      <c r="F437" s="280"/>
      <c r="G437" s="336">
        <f t="shared" si="590"/>
        <v>0</v>
      </c>
      <c r="H437" s="281">
        <v>0</v>
      </c>
      <c r="I437" s="281">
        <v>0</v>
      </c>
      <c r="J437" s="355" t="str">
        <f>IFERROR(G437/#REF!,"-")</f>
        <v>-</v>
      </c>
      <c r="K437" s="734">
        <f t="shared" si="591"/>
        <v>453213</v>
      </c>
      <c r="L437" s="279">
        <f t="shared" si="592"/>
        <v>451656</v>
      </c>
      <c r="M437" s="439">
        <f t="shared" si="593"/>
        <v>1557</v>
      </c>
      <c r="N437" s="340">
        <f t="shared" si="594"/>
        <v>0.45321299999999998</v>
      </c>
      <c r="O437" s="264">
        <f t="shared" si="587"/>
        <v>3.435470738924082E-3</v>
      </c>
    </row>
    <row r="438" spans="1:15" ht="23.4" x14ac:dyDescent="0.3">
      <c r="A438" s="277" t="s">
        <v>110</v>
      </c>
      <c r="B438" s="957"/>
      <c r="C438" s="278" t="s">
        <v>319</v>
      </c>
      <c r="D438" s="278" t="s">
        <v>202</v>
      </c>
      <c r="E438" s="279">
        <v>0</v>
      </c>
      <c r="F438" s="280"/>
      <c r="G438" s="336">
        <f t="shared" si="590"/>
        <v>0</v>
      </c>
      <c r="H438" s="281">
        <v>0</v>
      </c>
      <c r="I438" s="281">
        <v>0</v>
      </c>
      <c r="J438" s="355" t="str">
        <f>IFERROR(G438/#REF!,"-")</f>
        <v>-</v>
      </c>
      <c r="K438" s="734">
        <f t="shared" si="591"/>
        <v>0</v>
      </c>
      <c r="L438" s="279">
        <f t="shared" si="592"/>
        <v>0</v>
      </c>
      <c r="M438" s="439">
        <f t="shared" si="593"/>
        <v>0</v>
      </c>
      <c r="N438" s="340" t="str">
        <f t="shared" si="594"/>
        <v>-</v>
      </c>
      <c r="O438" s="264" t="str">
        <f t="shared" si="587"/>
        <v>-</v>
      </c>
    </row>
    <row r="439" spans="1:15" ht="23.4" x14ac:dyDescent="0.3">
      <c r="A439" s="277" t="s">
        <v>110</v>
      </c>
      <c r="B439" s="957"/>
      <c r="C439" s="278" t="s">
        <v>358</v>
      </c>
      <c r="D439" s="278" t="s">
        <v>352</v>
      </c>
      <c r="E439" s="279">
        <v>500000</v>
      </c>
      <c r="F439" s="280"/>
      <c r="G439" s="336">
        <f t="shared" si="590"/>
        <v>0</v>
      </c>
      <c r="H439" s="281">
        <v>0</v>
      </c>
      <c r="I439" s="281">
        <v>0</v>
      </c>
      <c r="J439" s="355" t="str">
        <f>IFERROR(G439/#REF!,"-")</f>
        <v>-</v>
      </c>
      <c r="K439" s="734">
        <f t="shared" si="591"/>
        <v>0</v>
      </c>
      <c r="L439" s="279">
        <f t="shared" si="592"/>
        <v>0</v>
      </c>
      <c r="M439" s="439">
        <f t="shared" si="593"/>
        <v>0</v>
      </c>
      <c r="N439" s="340">
        <f t="shared" si="594"/>
        <v>0</v>
      </c>
      <c r="O439" s="264" t="str">
        <f t="shared" si="587"/>
        <v>-</v>
      </c>
    </row>
    <row r="440" spans="1:15" ht="23.4" x14ac:dyDescent="0.3">
      <c r="A440" s="277" t="s">
        <v>110</v>
      </c>
      <c r="B440" s="957"/>
      <c r="C440" s="278" t="s">
        <v>392</v>
      </c>
      <c r="D440" s="278" t="s">
        <v>203</v>
      </c>
      <c r="E440" s="279">
        <v>0</v>
      </c>
      <c r="F440" s="280"/>
      <c r="G440" s="336">
        <f t="shared" si="590"/>
        <v>0</v>
      </c>
      <c r="H440" s="281">
        <v>0</v>
      </c>
      <c r="I440" s="281">
        <v>0</v>
      </c>
      <c r="J440" s="355" t="str">
        <f>IFERROR(G440/#REF!,"-")</f>
        <v>-</v>
      </c>
      <c r="K440" s="734">
        <f t="shared" si="591"/>
        <v>0</v>
      </c>
      <c r="L440" s="279">
        <f t="shared" si="592"/>
        <v>0</v>
      </c>
      <c r="M440" s="439">
        <f t="shared" si="593"/>
        <v>0</v>
      </c>
      <c r="N440" s="340" t="str">
        <f t="shared" si="594"/>
        <v>-</v>
      </c>
      <c r="O440" s="264" t="str">
        <f t="shared" si="587"/>
        <v>-</v>
      </c>
    </row>
    <row r="441" spans="1:15" ht="24" thickBot="1" x14ac:dyDescent="0.35">
      <c r="A441" s="277" t="s">
        <v>110</v>
      </c>
      <c r="B441" s="958"/>
      <c r="C441" s="282" t="s">
        <v>379</v>
      </c>
      <c r="D441" s="282" t="s">
        <v>252</v>
      </c>
      <c r="E441" s="283">
        <v>0</v>
      </c>
      <c r="F441" s="284"/>
      <c r="G441" s="337">
        <f t="shared" si="590"/>
        <v>0</v>
      </c>
      <c r="H441" s="285">
        <v>0</v>
      </c>
      <c r="I441" s="285">
        <v>0</v>
      </c>
      <c r="J441" s="356" t="str">
        <f>IFERROR(G441/#REF!,"-")</f>
        <v>-</v>
      </c>
      <c r="K441" s="735">
        <f t="shared" si="591"/>
        <v>0</v>
      </c>
      <c r="L441" s="535">
        <f t="shared" si="592"/>
        <v>0</v>
      </c>
      <c r="M441" s="466">
        <f t="shared" si="593"/>
        <v>0</v>
      </c>
      <c r="N441" s="341" t="str">
        <f t="shared" si="594"/>
        <v>-</v>
      </c>
      <c r="O441" s="350" t="str">
        <f t="shared" si="587"/>
        <v>-</v>
      </c>
    </row>
    <row r="442" spans="1:15" ht="24" thickBot="1" x14ac:dyDescent="0.35">
      <c r="A442" s="277" t="s">
        <v>110</v>
      </c>
      <c r="B442" s="967" t="s">
        <v>48</v>
      </c>
      <c r="C442" s="968"/>
      <c r="D442" s="969"/>
      <c r="E442" s="323">
        <f>SUM(E435:E441)</f>
        <v>3500000</v>
      </c>
      <c r="F442" s="288">
        <v>100000</v>
      </c>
      <c r="G442" s="323">
        <f>SUM(G435:G441)</f>
        <v>147170</v>
      </c>
      <c r="H442" s="324">
        <f t="shared" ref="H442:I442" si="595">SUM(H435:H441)</f>
        <v>146880</v>
      </c>
      <c r="I442" s="324">
        <f t="shared" si="595"/>
        <v>290</v>
      </c>
      <c r="J442" s="348" t="str">
        <f>IFERROR(G442/#REF!,"-")</f>
        <v>-</v>
      </c>
      <c r="K442" s="323">
        <f>SUM(K435:K441)</f>
        <v>704715</v>
      </c>
      <c r="L442" s="524">
        <f>SUM(L435:L441)</f>
        <v>702576</v>
      </c>
      <c r="M442" s="733">
        <f t="shared" ref="M442" si="596">SUM(M435:M441)</f>
        <v>2139</v>
      </c>
      <c r="N442" s="342">
        <f>IFERROR(K442/E442,"-")</f>
        <v>0.20134714285714286</v>
      </c>
      <c r="O442" s="348">
        <f t="shared" si="587"/>
        <v>3.0352695770630681E-3</v>
      </c>
    </row>
    <row r="443" spans="1:15" ht="23.4" x14ac:dyDescent="0.3">
      <c r="A443" s="277" t="s">
        <v>110</v>
      </c>
      <c r="B443" s="956" t="s">
        <v>18</v>
      </c>
      <c r="C443" s="272" t="s">
        <v>344</v>
      </c>
      <c r="D443" s="272" t="s">
        <v>99</v>
      </c>
      <c r="E443" s="273">
        <v>0</v>
      </c>
      <c r="F443" s="274"/>
      <c r="G443" s="335">
        <f t="shared" ref="G443:G449" si="597">+H443+I443</f>
        <v>0</v>
      </c>
      <c r="H443" s="275">
        <v>0</v>
      </c>
      <c r="I443" s="275">
        <v>0</v>
      </c>
      <c r="J443" s="354" t="str">
        <f>IFERROR(G443/#REF!,"-")</f>
        <v>-</v>
      </c>
      <c r="K443" s="335">
        <f t="shared" ref="K443:K449" si="598">+L443+M443</f>
        <v>0</v>
      </c>
      <c r="L443" s="275">
        <f t="shared" ref="L443:L449" si="599">+H443+L339</f>
        <v>0</v>
      </c>
      <c r="M443" s="276">
        <f t="shared" ref="M443:M449" si="600">+I443+M339</f>
        <v>0</v>
      </c>
      <c r="N443" s="339" t="str">
        <f t="shared" ref="N443:N450" si="601">IFERROR(K443/E443,"-")</f>
        <v>-</v>
      </c>
      <c r="O443" s="349" t="str">
        <f t="shared" si="587"/>
        <v>-</v>
      </c>
    </row>
    <row r="444" spans="1:15" ht="23.4" x14ac:dyDescent="0.3">
      <c r="A444" s="277" t="s">
        <v>110</v>
      </c>
      <c r="B444" s="957"/>
      <c r="C444" s="278" t="s">
        <v>253</v>
      </c>
      <c r="D444" s="278" t="s">
        <v>254</v>
      </c>
      <c r="E444" s="279">
        <v>0</v>
      </c>
      <c r="F444" s="280"/>
      <c r="G444" s="336">
        <f t="shared" si="597"/>
        <v>0</v>
      </c>
      <c r="H444" s="281">
        <v>0</v>
      </c>
      <c r="I444" s="281">
        <v>0</v>
      </c>
      <c r="J444" s="355" t="str">
        <f>IFERROR(G444/#REF!,"-")</f>
        <v>-</v>
      </c>
      <c r="K444" s="336">
        <f t="shared" si="598"/>
        <v>0</v>
      </c>
      <c r="L444" s="275">
        <f t="shared" si="599"/>
        <v>0</v>
      </c>
      <c r="M444" s="276">
        <f t="shared" si="600"/>
        <v>0</v>
      </c>
      <c r="N444" s="340" t="str">
        <f t="shared" si="601"/>
        <v>-</v>
      </c>
      <c r="O444" s="264" t="str">
        <f t="shared" si="587"/>
        <v>-</v>
      </c>
    </row>
    <row r="445" spans="1:15" ht="23.4" x14ac:dyDescent="0.3">
      <c r="A445" s="277" t="s">
        <v>110</v>
      </c>
      <c r="B445" s="957"/>
      <c r="C445" s="278" t="s">
        <v>122</v>
      </c>
      <c r="D445" s="278"/>
      <c r="E445" s="279">
        <v>0</v>
      </c>
      <c r="F445" s="280"/>
      <c r="G445" s="336">
        <f t="shared" si="597"/>
        <v>0</v>
      </c>
      <c r="H445" s="281">
        <v>0</v>
      </c>
      <c r="I445" s="281">
        <v>0</v>
      </c>
      <c r="J445" s="355" t="str">
        <f>IFERROR(G445/#REF!,"-")</f>
        <v>-</v>
      </c>
      <c r="K445" s="336">
        <f t="shared" si="598"/>
        <v>0</v>
      </c>
      <c r="L445" s="275">
        <f t="shared" si="599"/>
        <v>0</v>
      </c>
      <c r="M445" s="276">
        <f t="shared" si="600"/>
        <v>0</v>
      </c>
      <c r="N445" s="340" t="str">
        <f t="shared" si="601"/>
        <v>-</v>
      </c>
      <c r="O445" s="264" t="str">
        <f t="shared" si="587"/>
        <v>-</v>
      </c>
    </row>
    <row r="446" spans="1:15" ht="23.4" x14ac:dyDescent="0.3">
      <c r="A446" s="277" t="s">
        <v>110</v>
      </c>
      <c r="B446" s="957"/>
      <c r="C446" s="278" t="s">
        <v>129</v>
      </c>
      <c r="D446" s="278"/>
      <c r="E446" s="279">
        <v>0</v>
      </c>
      <c r="F446" s="280"/>
      <c r="G446" s="336">
        <f t="shared" si="597"/>
        <v>0</v>
      </c>
      <c r="H446" s="281">
        <v>0</v>
      </c>
      <c r="I446" s="281">
        <v>0</v>
      </c>
      <c r="J446" s="355" t="str">
        <f>IFERROR(G446/#REF!,"-")</f>
        <v>-</v>
      </c>
      <c r="K446" s="336">
        <f t="shared" si="598"/>
        <v>0</v>
      </c>
      <c r="L446" s="275">
        <f t="shared" si="599"/>
        <v>0</v>
      </c>
      <c r="M446" s="276">
        <f t="shared" si="600"/>
        <v>0</v>
      </c>
      <c r="N446" s="340" t="str">
        <f t="shared" si="601"/>
        <v>-</v>
      </c>
      <c r="O446" s="264" t="str">
        <f t="shared" si="587"/>
        <v>-</v>
      </c>
    </row>
    <row r="447" spans="1:15" ht="23.4" x14ac:dyDescent="0.3">
      <c r="A447" s="277" t="s">
        <v>110</v>
      </c>
      <c r="B447" s="957"/>
      <c r="C447" s="278" t="s">
        <v>189</v>
      </c>
      <c r="D447" s="278" t="s">
        <v>190</v>
      </c>
      <c r="E447" s="279">
        <v>0</v>
      </c>
      <c r="F447" s="280"/>
      <c r="G447" s="336">
        <f t="shared" si="597"/>
        <v>0</v>
      </c>
      <c r="H447" s="281">
        <v>0</v>
      </c>
      <c r="I447" s="281">
        <v>0</v>
      </c>
      <c r="J447" s="355" t="str">
        <f>IFERROR(G447/#REF!,"-")</f>
        <v>-</v>
      </c>
      <c r="K447" s="336">
        <f t="shared" si="598"/>
        <v>0</v>
      </c>
      <c r="L447" s="275">
        <f t="shared" si="599"/>
        <v>0</v>
      </c>
      <c r="M447" s="276">
        <f t="shared" si="600"/>
        <v>0</v>
      </c>
      <c r="N447" s="340" t="str">
        <f t="shared" si="601"/>
        <v>-</v>
      </c>
      <c r="O447" s="264" t="str">
        <f t="shared" si="587"/>
        <v>-</v>
      </c>
    </row>
    <row r="448" spans="1:15" ht="23.4" x14ac:dyDescent="0.3">
      <c r="A448" s="277" t="s">
        <v>110</v>
      </c>
      <c r="B448" s="957"/>
      <c r="C448" s="278" t="s">
        <v>192</v>
      </c>
      <c r="D448" s="278" t="s">
        <v>191</v>
      </c>
      <c r="E448" s="279">
        <v>0</v>
      </c>
      <c r="F448" s="280"/>
      <c r="G448" s="336">
        <f t="shared" si="597"/>
        <v>0</v>
      </c>
      <c r="H448" s="281">
        <v>0</v>
      </c>
      <c r="I448" s="281">
        <v>0</v>
      </c>
      <c r="J448" s="355" t="str">
        <f>IFERROR(G448/#REF!,"-")</f>
        <v>-</v>
      </c>
      <c r="K448" s="336">
        <f t="shared" si="598"/>
        <v>0</v>
      </c>
      <c r="L448" s="275">
        <f t="shared" si="599"/>
        <v>0</v>
      </c>
      <c r="M448" s="276">
        <f t="shared" si="600"/>
        <v>0</v>
      </c>
      <c r="N448" s="340" t="str">
        <f t="shared" si="601"/>
        <v>-</v>
      </c>
      <c r="O448" s="264" t="str">
        <f t="shared" si="587"/>
        <v>-</v>
      </c>
    </row>
    <row r="449" spans="1:15" ht="24" thickBot="1" x14ac:dyDescent="0.35">
      <c r="A449" s="277" t="s">
        <v>110</v>
      </c>
      <c r="B449" s="958"/>
      <c r="C449" s="289" t="s">
        <v>193</v>
      </c>
      <c r="D449" s="289" t="s">
        <v>114</v>
      </c>
      <c r="E449" s="283">
        <v>0</v>
      </c>
      <c r="F449" s="284"/>
      <c r="G449" s="337">
        <f t="shared" si="597"/>
        <v>0</v>
      </c>
      <c r="H449" s="285">
        <v>0</v>
      </c>
      <c r="I449" s="285">
        <v>0</v>
      </c>
      <c r="J449" s="356" t="str">
        <f>IFERROR(G449/#REF!,"-")</f>
        <v>-</v>
      </c>
      <c r="K449" s="337">
        <f t="shared" si="598"/>
        <v>0</v>
      </c>
      <c r="L449" s="275">
        <f t="shared" si="599"/>
        <v>0</v>
      </c>
      <c r="M449" s="276">
        <f t="shared" si="600"/>
        <v>0</v>
      </c>
      <c r="N449" s="341" t="str">
        <f t="shared" si="601"/>
        <v>-</v>
      </c>
      <c r="O449" s="350" t="str">
        <f t="shared" si="587"/>
        <v>-</v>
      </c>
    </row>
    <row r="450" spans="1:15" ht="24" thickBot="1" x14ac:dyDescent="0.35">
      <c r="A450" s="277" t="s">
        <v>110</v>
      </c>
      <c r="B450" s="967" t="s">
        <v>29</v>
      </c>
      <c r="C450" s="968"/>
      <c r="D450" s="969"/>
      <c r="E450" s="323">
        <f t="shared" ref="E450" si="602">SUM(E443:E449)</f>
        <v>0</v>
      </c>
      <c r="F450" s="288">
        <v>80000</v>
      </c>
      <c r="G450" s="323">
        <f>SUM(G443:G449)</f>
        <v>0</v>
      </c>
      <c r="H450" s="324">
        <f t="shared" ref="H450:I450" si="603">SUM(H443:H449)</f>
        <v>0</v>
      </c>
      <c r="I450" s="324">
        <f t="shared" si="603"/>
        <v>0</v>
      </c>
      <c r="J450" s="348" t="str">
        <f>IFERROR(G450/#REF!,"-")</f>
        <v>-</v>
      </c>
      <c r="K450" s="323">
        <f t="shared" ref="K450:M450" si="604">SUM(K443:K449)</f>
        <v>0</v>
      </c>
      <c r="L450" s="324">
        <f t="shared" si="604"/>
        <v>0</v>
      </c>
      <c r="M450" s="325">
        <f t="shared" si="604"/>
        <v>0</v>
      </c>
      <c r="N450" s="342" t="str">
        <f t="shared" si="601"/>
        <v>-</v>
      </c>
      <c r="O450" s="348" t="str">
        <f t="shared" si="587"/>
        <v>-</v>
      </c>
    </row>
    <row r="451" spans="1:15" ht="24" thickBot="1" x14ac:dyDescent="0.35">
      <c r="A451" s="252" t="s">
        <v>110</v>
      </c>
      <c r="B451" s="985" t="s">
        <v>19</v>
      </c>
      <c r="C451" s="653" t="s">
        <v>255</v>
      </c>
      <c r="D451" s="690" t="s">
        <v>190</v>
      </c>
      <c r="E451" s="695">
        <v>0</v>
      </c>
      <c r="F451" s="692">
        <v>110000</v>
      </c>
      <c r="G451" s="656">
        <f t="shared" ref="G451:G453" si="605">+H451+I451</f>
        <v>0</v>
      </c>
      <c r="H451" s="462">
        <v>0</v>
      </c>
      <c r="I451" s="462">
        <v>0</v>
      </c>
      <c r="J451" s="536" t="str">
        <f>IFERROR(G451/#REF!,"-")</f>
        <v>-</v>
      </c>
      <c r="K451" s="461">
        <f>+L451+M451</f>
        <v>0</v>
      </c>
      <c r="L451" s="462">
        <f t="shared" ref="L451:L453" si="606">+H451+L347</f>
        <v>0</v>
      </c>
      <c r="M451" s="463">
        <f t="shared" ref="M451:M453" si="607">+I451+M347</f>
        <v>0</v>
      </c>
      <c r="N451" s="658" t="str">
        <f>IFERROR(K451/E451,"-")</f>
        <v>-</v>
      </c>
      <c r="O451" s="659" t="str">
        <f t="shared" si="587"/>
        <v>-</v>
      </c>
    </row>
    <row r="452" spans="1:15" ht="24" thickBot="1" x14ac:dyDescent="0.35">
      <c r="A452" s="252"/>
      <c r="B452" s="986"/>
      <c r="C452" s="299" t="s">
        <v>440</v>
      </c>
      <c r="D452" s="657" t="s">
        <v>439</v>
      </c>
      <c r="E452" s="696">
        <v>1000000</v>
      </c>
      <c r="F452" s="693">
        <v>110000</v>
      </c>
      <c r="G452" s="652">
        <f t="shared" si="605"/>
        <v>0</v>
      </c>
      <c r="H452" s="275">
        <v>0</v>
      </c>
      <c r="I452" s="275">
        <v>0</v>
      </c>
      <c r="J452" s="354" t="str">
        <f>IFERROR(G452/#REF!,"-")</f>
        <v>-</v>
      </c>
      <c r="K452" s="338">
        <f>+L452+M452</f>
        <v>8685</v>
      </c>
      <c r="L452" s="462">
        <f t="shared" si="606"/>
        <v>8448</v>
      </c>
      <c r="M452" s="463">
        <f t="shared" si="607"/>
        <v>237</v>
      </c>
      <c r="N452" s="343">
        <f t="shared" ref="N452:N453" si="608">IFERROR(K452/E452,"-")</f>
        <v>8.685E-3</v>
      </c>
      <c r="O452" s="651">
        <f>IFERROR(M452/K452,"-")</f>
        <v>2.7288428324697755E-2</v>
      </c>
    </row>
    <row r="453" spans="1:15" ht="24" thickBot="1" x14ac:dyDescent="0.35">
      <c r="A453" s="252"/>
      <c r="B453" s="987"/>
      <c r="C453" s="647" t="s">
        <v>380</v>
      </c>
      <c r="D453" s="691"/>
      <c r="E453" s="697">
        <v>150000</v>
      </c>
      <c r="F453" s="694">
        <v>110000</v>
      </c>
      <c r="G453" s="599">
        <f t="shared" si="605"/>
        <v>0</v>
      </c>
      <c r="H453" s="285">
        <v>0</v>
      </c>
      <c r="I453" s="285">
        <v>0</v>
      </c>
      <c r="J453" s="356"/>
      <c r="K453" s="464">
        <f>+L453+M453</f>
        <v>0</v>
      </c>
      <c r="L453" s="462">
        <f t="shared" si="606"/>
        <v>0</v>
      </c>
      <c r="M453" s="463">
        <f t="shared" si="607"/>
        <v>0</v>
      </c>
      <c r="N453" s="341">
        <f t="shared" si="608"/>
        <v>0</v>
      </c>
      <c r="O453" s="648" t="str">
        <f t="shared" ref="O453:O503" si="609">IFERROR(M453/K453,"-")</f>
        <v>-</v>
      </c>
    </row>
    <row r="454" spans="1:15" ht="24" thickBot="1" x14ac:dyDescent="0.35">
      <c r="A454" s="277" t="s">
        <v>110</v>
      </c>
      <c r="B454" s="988" t="s">
        <v>49</v>
      </c>
      <c r="C454" s="968"/>
      <c r="D454" s="969"/>
      <c r="E454" s="323">
        <f>SUM(E451:E453)</f>
        <v>1150000</v>
      </c>
      <c r="F454" s="326">
        <f t="shared" ref="F454" si="610">SUM(F451)</f>
        <v>110000</v>
      </c>
      <c r="G454" s="323">
        <f>SUM(G451)</f>
        <v>0</v>
      </c>
      <c r="H454" s="324">
        <f>SUM(H451:H453)</f>
        <v>0</v>
      </c>
      <c r="I454" s="324">
        <f>SUM(I451:I453)</f>
        <v>0</v>
      </c>
      <c r="J454" s="348" t="str">
        <f>IFERROR(G454/#REF!,"-")</f>
        <v>-</v>
      </c>
      <c r="K454" s="649">
        <f>SUM(K451:K452)</f>
        <v>8685</v>
      </c>
      <c r="L454" s="324">
        <f>SUM(L451:L452)</f>
        <v>8448</v>
      </c>
      <c r="M454" s="325">
        <f>SUM(M451:M452)</f>
        <v>237</v>
      </c>
      <c r="N454" s="342">
        <f>IFERROR(K454/E454,"-")</f>
        <v>7.5521739130434782E-3</v>
      </c>
      <c r="O454" s="348">
        <f t="shared" si="609"/>
        <v>2.7288428324697755E-2</v>
      </c>
    </row>
    <row r="455" spans="1:15" ht="23.4" x14ac:dyDescent="0.3">
      <c r="A455" s="277" t="s">
        <v>110</v>
      </c>
      <c r="B455" s="956" t="s">
        <v>20</v>
      </c>
      <c r="C455" s="294" t="s">
        <v>351</v>
      </c>
      <c r="D455" s="294" t="s">
        <v>313</v>
      </c>
      <c r="E455" s="273">
        <v>0</v>
      </c>
      <c r="F455" s="274"/>
      <c r="G455" s="335">
        <f t="shared" ref="G455:G457" si="611">+H455+I455</f>
        <v>0</v>
      </c>
      <c r="H455" s="275">
        <v>0</v>
      </c>
      <c r="I455" s="275">
        <v>0</v>
      </c>
      <c r="J455" s="354" t="str">
        <f>IFERROR(G455/#REF!,"-")</f>
        <v>-</v>
      </c>
      <c r="K455" s="335">
        <f t="shared" ref="K455:K457" si="612">+L455+M455</f>
        <v>0</v>
      </c>
      <c r="L455" s="275">
        <f t="shared" ref="L455:L457" si="613">+H455+L351</f>
        <v>0</v>
      </c>
      <c r="M455" s="276">
        <f t="shared" ref="M455:M457" si="614">+I455+M351</f>
        <v>0</v>
      </c>
      <c r="N455" s="339" t="str">
        <f t="shared" ref="N455:N458" si="615">IFERROR(K455/E455,"-")</f>
        <v>-</v>
      </c>
      <c r="O455" s="349" t="str">
        <f t="shared" si="609"/>
        <v>-</v>
      </c>
    </row>
    <row r="456" spans="1:15" ht="23.4" x14ac:dyDescent="0.3">
      <c r="A456" s="277" t="s">
        <v>110</v>
      </c>
      <c r="B456" s="957"/>
      <c r="C456" s="295" t="s">
        <v>121</v>
      </c>
      <c r="D456" s="295"/>
      <c r="E456" s="279">
        <v>0</v>
      </c>
      <c r="F456" s="280"/>
      <c r="G456" s="336">
        <f t="shared" si="611"/>
        <v>0</v>
      </c>
      <c r="H456" s="281">
        <v>0</v>
      </c>
      <c r="I456" s="281">
        <v>0</v>
      </c>
      <c r="J456" s="355" t="str">
        <f>IFERROR(G456/#REF!,"-")</f>
        <v>-</v>
      </c>
      <c r="K456" s="336">
        <f t="shared" si="612"/>
        <v>0</v>
      </c>
      <c r="L456" s="275">
        <f t="shared" si="613"/>
        <v>0</v>
      </c>
      <c r="M456" s="276">
        <f t="shared" si="614"/>
        <v>0</v>
      </c>
      <c r="N456" s="340" t="str">
        <f t="shared" si="615"/>
        <v>-</v>
      </c>
      <c r="O456" s="264" t="str">
        <f t="shared" si="609"/>
        <v>-</v>
      </c>
    </row>
    <row r="457" spans="1:15" ht="24" thickBot="1" x14ac:dyDescent="0.35">
      <c r="A457" s="277" t="s">
        <v>110</v>
      </c>
      <c r="B457" s="958"/>
      <c r="C457" s="296" t="s">
        <v>127</v>
      </c>
      <c r="D457" s="296"/>
      <c r="E457" s="283">
        <v>0</v>
      </c>
      <c r="F457" s="284"/>
      <c r="G457" s="337">
        <f t="shared" si="611"/>
        <v>0</v>
      </c>
      <c r="H457" s="285">
        <v>0</v>
      </c>
      <c r="I457" s="285">
        <v>0</v>
      </c>
      <c r="J457" s="356" t="str">
        <f>IFERROR(G457/#REF!,"-")</f>
        <v>-</v>
      </c>
      <c r="K457" s="337">
        <f t="shared" si="612"/>
        <v>0</v>
      </c>
      <c r="L457" s="275">
        <f t="shared" si="613"/>
        <v>0</v>
      </c>
      <c r="M457" s="276">
        <f t="shared" si="614"/>
        <v>0</v>
      </c>
      <c r="N457" s="341" t="str">
        <f t="shared" si="615"/>
        <v>-</v>
      </c>
      <c r="O457" s="350" t="str">
        <f t="shared" si="609"/>
        <v>-</v>
      </c>
    </row>
    <row r="458" spans="1:15" ht="24" thickBot="1" x14ac:dyDescent="0.35">
      <c r="A458" s="277" t="s">
        <v>110</v>
      </c>
      <c r="B458" s="968" t="s">
        <v>50</v>
      </c>
      <c r="C458" s="968"/>
      <c r="D458" s="989"/>
      <c r="E458" s="323">
        <f t="shared" ref="E458" si="616">SUM(E455:E457)</f>
        <v>0</v>
      </c>
      <c r="F458" s="288">
        <v>50000</v>
      </c>
      <c r="G458" s="323">
        <f>SUM(G455:G457)</f>
        <v>0</v>
      </c>
      <c r="H458" s="324">
        <f t="shared" ref="H458:I458" si="617">SUM(H455:H457)</f>
        <v>0</v>
      </c>
      <c r="I458" s="324">
        <f t="shared" si="617"/>
        <v>0</v>
      </c>
      <c r="J458" s="348" t="str">
        <f>IFERROR(G458/#REF!,"-")</f>
        <v>-</v>
      </c>
      <c r="K458" s="323">
        <f t="shared" ref="K458:M458" si="618">SUM(K455:K457)</f>
        <v>0</v>
      </c>
      <c r="L458" s="324">
        <f t="shared" si="618"/>
        <v>0</v>
      </c>
      <c r="M458" s="325">
        <f t="shared" si="618"/>
        <v>0</v>
      </c>
      <c r="N458" s="342" t="str">
        <f t="shared" si="615"/>
        <v>-</v>
      </c>
      <c r="O458" s="348" t="str">
        <f t="shared" si="609"/>
        <v>-</v>
      </c>
    </row>
    <row r="459" spans="1:15" ht="24" thickBot="1" x14ac:dyDescent="0.35">
      <c r="A459" s="277" t="s">
        <v>110</v>
      </c>
      <c r="B459" s="981" t="s">
        <v>21</v>
      </c>
      <c r="C459" s="982"/>
      <c r="D459" s="983"/>
      <c r="E459" s="329">
        <f>+E434+E442+E450+E454+E458</f>
        <v>4750000</v>
      </c>
      <c r="F459" s="330">
        <f>+F434+F442+F450+F454+F458</f>
        <v>355000</v>
      </c>
      <c r="G459" s="329">
        <f>+G434+G442+G450+G454+G458</f>
        <v>161113</v>
      </c>
      <c r="H459" s="327">
        <f>+H434+H442+H450+H454+H458</f>
        <v>160640</v>
      </c>
      <c r="I459" s="327">
        <f>+I434+I442+I450+I454+I458</f>
        <v>473</v>
      </c>
      <c r="J459" s="352" t="str">
        <f>IFERROR(G459/#REF!,"-")</f>
        <v>-</v>
      </c>
      <c r="K459" s="329">
        <f>+K434+K442+K450+K454+K458</f>
        <v>757741</v>
      </c>
      <c r="L459" s="327">
        <f>+L434+L442+L450+L454+L458</f>
        <v>754590</v>
      </c>
      <c r="M459" s="328">
        <f>+M434+M442+M450+M454+M458</f>
        <v>3151</v>
      </c>
      <c r="N459" s="344">
        <f>IFERROR(K459/E459,"-")</f>
        <v>0.15952442105263157</v>
      </c>
      <c r="O459" s="352">
        <f t="shared" si="609"/>
        <v>4.1584129669636457E-3</v>
      </c>
    </row>
    <row r="460" spans="1:15" ht="23.4" x14ac:dyDescent="0.3">
      <c r="A460" s="277" t="s">
        <v>110</v>
      </c>
      <c r="B460" s="956" t="s">
        <v>22</v>
      </c>
      <c r="C460" s="272" t="s">
        <v>132</v>
      </c>
      <c r="D460" s="272"/>
      <c r="E460" s="273">
        <v>0</v>
      </c>
      <c r="F460" s="274"/>
      <c r="G460" s="335">
        <f t="shared" ref="G460:G463" si="619">+H460+I460</f>
        <v>0</v>
      </c>
      <c r="H460" s="275">
        <v>0</v>
      </c>
      <c r="I460" s="275">
        <v>0</v>
      </c>
      <c r="J460" s="354" t="str">
        <f>IFERROR(G460/#REF!,"-")</f>
        <v>-</v>
      </c>
      <c r="K460" s="335">
        <f t="shared" ref="K460:K463" si="620">+L460+M460</f>
        <v>0</v>
      </c>
      <c r="L460" s="275">
        <f t="shared" ref="L460:L463" si="621">+H460+L356</f>
        <v>0</v>
      </c>
      <c r="M460" s="276">
        <f t="shared" ref="M460:M463" si="622">+I460+M356</f>
        <v>0</v>
      </c>
      <c r="N460" s="339" t="str">
        <f t="shared" ref="N460:N474" si="623">IFERROR(K460/E460,"-")</f>
        <v>-</v>
      </c>
      <c r="O460" s="349" t="str">
        <f t="shared" si="609"/>
        <v>-</v>
      </c>
    </row>
    <row r="461" spans="1:15" ht="23.4" x14ac:dyDescent="0.3">
      <c r="A461" s="277" t="s">
        <v>110</v>
      </c>
      <c r="B461" s="957"/>
      <c r="C461" s="298" t="s">
        <v>283</v>
      </c>
      <c r="D461" s="298" t="s">
        <v>194</v>
      </c>
      <c r="E461" s="279">
        <v>0</v>
      </c>
      <c r="F461" s="280"/>
      <c r="G461" s="336">
        <f t="shared" si="619"/>
        <v>0</v>
      </c>
      <c r="H461" s="281">
        <v>0</v>
      </c>
      <c r="I461" s="281">
        <v>0</v>
      </c>
      <c r="J461" s="355" t="str">
        <f>IFERROR(G461/#REF!,"-")</f>
        <v>-</v>
      </c>
      <c r="K461" s="336">
        <f t="shared" si="620"/>
        <v>0</v>
      </c>
      <c r="L461" s="275">
        <f t="shared" si="621"/>
        <v>0</v>
      </c>
      <c r="M461" s="276">
        <f t="shared" si="622"/>
        <v>0</v>
      </c>
      <c r="N461" s="340" t="str">
        <f t="shared" si="623"/>
        <v>-</v>
      </c>
      <c r="O461" s="264" t="str">
        <f t="shared" si="609"/>
        <v>-</v>
      </c>
    </row>
    <row r="462" spans="1:15" ht="23.4" x14ac:dyDescent="0.3">
      <c r="A462" s="277" t="s">
        <v>110</v>
      </c>
      <c r="B462" s="957"/>
      <c r="C462" s="298" t="s">
        <v>405</v>
      </c>
      <c r="D462" s="298" t="s">
        <v>194</v>
      </c>
      <c r="E462" s="279">
        <v>1000000</v>
      </c>
      <c r="F462" s="280"/>
      <c r="G462" s="336">
        <f t="shared" si="619"/>
        <v>15883</v>
      </c>
      <c r="H462" s="281">
        <v>15840</v>
      </c>
      <c r="I462" s="281">
        <v>43</v>
      </c>
      <c r="J462" s="355" t="str">
        <f>IFERROR(G462/#REF!,"-")</f>
        <v>-</v>
      </c>
      <c r="K462" s="336">
        <f t="shared" si="620"/>
        <v>329049</v>
      </c>
      <c r="L462" s="275">
        <f t="shared" si="621"/>
        <v>328680</v>
      </c>
      <c r="M462" s="276">
        <f t="shared" si="622"/>
        <v>369</v>
      </c>
      <c r="N462" s="340">
        <f t="shared" si="623"/>
        <v>0.32904899999999998</v>
      </c>
      <c r="O462" s="264">
        <f t="shared" si="609"/>
        <v>1.1214135280763655E-3</v>
      </c>
    </row>
    <row r="463" spans="1:15" ht="24" thickBot="1" x14ac:dyDescent="0.35">
      <c r="A463" s="277" t="s">
        <v>110</v>
      </c>
      <c r="B463" s="958"/>
      <c r="C463" s="282" t="s">
        <v>195</v>
      </c>
      <c r="D463" s="282" t="s">
        <v>100</v>
      </c>
      <c r="E463" s="283">
        <v>0</v>
      </c>
      <c r="F463" s="284"/>
      <c r="G463" s="337">
        <f t="shared" si="619"/>
        <v>0</v>
      </c>
      <c r="H463" s="285">
        <v>0</v>
      </c>
      <c r="I463" s="285">
        <v>0</v>
      </c>
      <c r="J463" s="356" t="str">
        <f>IFERROR(G463/#REF!,"-")</f>
        <v>-</v>
      </c>
      <c r="K463" s="337">
        <f t="shared" si="620"/>
        <v>0</v>
      </c>
      <c r="L463" s="275">
        <f t="shared" si="621"/>
        <v>0</v>
      </c>
      <c r="M463" s="276">
        <f t="shared" si="622"/>
        <v>0</v>
      </c>
      <c r="N463" s="341" t="str">
        <f t="shared" si="623"/>
        <v>-</v>
      </c>
      <c r="O463" s="350" t="str">
        <f t="shared" si="609"/>
        <v>-</v>
      </c>
    </row>
    <row r="464" spans="1:15" ht="24" thickBot="1" x14ac:dyDescent="0.35">
      <c r="A464" s="277" t="s">
        <v>110</v>
      </c>
      <c r="B464" s="967" t="s">
        <v>51</v>
      </c>
      <c r="C464" s="968"/>
      <c r="D464" s="969"/>
      <c r="E464" s="287">
        <f>SUM(E460:E463)</f>
        <v>1000000</v>
      </c>
      <c r="F464" s="288">
        <v>80000</v>
      </c>
      <c r="G464" s="323">
        <f>SUM(G460:G463)</f>
        <v>15883</v>
      </c>
      <c r="H464" s="324">
        <f t="shared" ref="H464:I464" si="624">SUM(H460:H463)</f>
        <v>15840</v>
      </c>
      <c r="I464" s="324">
        <f t="shared" si="624"/>
        <v>43</v>
      </c>
      <c r="J464" s="348" t="str">
        <f>IFERROR(G464/#REF!,"-")</f>
        <v>-</v>
      </c>
      <c r="K464" s="323">
        <f t="shared" ref="K464:M464" si="625">SUM(K460:K463)</f>
        <v>329049</v>
      </c>
      <c r="L464" s="324">
        <f t="shared" si="625"/>
        <v>328680</v>
      </c>
      <c r="M464" s="325">
        <f t="shared" si="625"/>
        <v>369</v>
      </c>
      <c r="N464" s="342">
        <f t="shared" si="623"/>
        <v>0.32904899999999998</v>
      </c>
      <c r="O464" s="348">
        <f t="shared" si="609"/>
        <v>1.1214135280763655E-3</v>
      </c>
    </row>
    <row r="465" spans="1:15" ht="23.4" x14ac:dyDescent="0.3">
      <c r="A465" s="277" t="s">
        <v>110</v>
      </c>
      <c r="B465" s="956" t="s">
        <v>23</v>
      </c>
      <c r="C465" s="299" t="s">
        <v>337</v>
      </c>
      <c r="D465" s="299" t="s">
        <v>258</v>
      </c>
      <c r="E465" s="273">
        <f>25000+10875+6000</f>
        <v>41875</v>
      </c>
      <c r="F465" s="274"/>
      <c r="G465" s="335">
        <f t="shared" ref="G465:G472" si="626">+H465+I465</f>
        <v>0</v>
      </c>
      <c r="H465" s="275">
        <v>0</v>
      </c>
      <c r="I465" s="275">
        <v>0</v>
      </c>
      <c r="J465" s="354" t="str">
        <f>IFERROR(G465/#REF!,"-")</f>
        <v>-</v>
      </c>
      <c r="K465" s="335">
        <f t="shared" ref="K465:K472" si="627">+L465+M465</f>
        <v>0</v>
      </c>
      <c r="L465" s="275">
        <f t="shared" ref="L465:L472" si="628">+H465+L361</f>
        <v>0</v>
      </c>
      <c r="M465" s="276">
        <f t="shared" ref="M465:M472" si="629">+I465+M361</f>
        <v>0</v>
      </c>
      <c r="N465" s="339">
        <f t="shared" si="623"/>
        <v>0</v>
      </c>
      <c r="O465" s="349" t="str">
        <f t="shared" si="609"/>
        <v>-</v>
      </c>
    </row>
    <row r="466" spans="1:15" ht="23.4" x14ac:dyDescent="0.3">
      <c r="A466" s="277" t="s">
        <v>110</v>
      </c>
      <c r="B466" s="957"/>
      <c r="C466" s="278" t="s">
        <v>24</v>
      </c>
      <c r="D466" s="278" t="s">
        <v>258</v>
      </c>
      <c r="E466" s="279">
        <v>97500</v>
      </c>
      <c r="F466" s="280"/>
      <c r="G466" s="336">
        <f t="shared" si="626"/>
        <v>0</v>
      </c>
      <c r="H466" s="281">
        <v>0</v>
      </c>
      <c r="I466" s="281">
        <v>0</v>
      </c>
      <c r="J466" s="355" t="str">
        <f>IFERROR(G466/#REF!,"-")</f>
        <v>-</v>
      </c>
      <c r="K466" s="336">
        <f t="shared" si="627"/>
        <v>0</v>
      </c>
      <c r="L466" s="275">
        <f t="shared" si="628"/>
        <v>0</v>
      </c>
      <c r="M466" s="276">
        <f t="shared" si="629"/>
        <v>0</v>
      </c>
      <c r="N466" s="340">
        <f t="shared" si="623"/>
        <v>0</v>
      </c>
      <c r="O466" s="264" t="str">
        <f t="shared" si="609"/>
        <v>-</v>
      </c>
    </row>
    <row r="467" spans="1:15" ht="23.4" x14ac:dyDescent="0.3">
      <c r="A467" s="277" t="s">
        <v>110</v>
      </c>
      <c r="B467" s="957"/>
      <c r="C467" s="278" t="s">
        <v>256</v>
      </c>
      <c r="D467" s="278" t="s">
        <v>258</v>
      </c>
      <c r="E467" s="279">
        <v>17750</v>
      </c>
      <c r="F467" s="280"/>
      <c r="G467" s="336">
        <f t="shared" si="626"/>
        <v>0</v>
      </c>
      <c r="H467" s="281">
        <v>0</v>
      </c>
      <c r="I467" s="281">
        <v>0</v>
      </c>
      <c r="J467" s="355" t="str">
        <f>IFERROR(G467/#REF!,"-")</f>
        <v>-</v>
      </c>
      <c r="K467" s="336">
        <f t="shared" si="627"/>
        <v>0</v>
      </c>
      <c r="L467" s="275">
        <f t="shared" si="628"/>
        <v>0</v>
      </c>
      <c r="M467" s="276">
        <f t="shared" si="629"/>
        <v>0</v>
      </c>
      <c r="N467" s="340">
        <f t="shared" si="623"/>
        <v>0</v>
      </c>
      <c r="O467" s="264" t="str">
        <f t="shared" si="609"/>
        <v>-</v>
      </c>
    </row>
    <row r="468" spans="1:15" ht="23.4" x14ac:dyDescent="0.3">
      <c r="A468" s="277" t="s">
        <v>110</v>
      </c>
      <c r="B468" s="957"/>
      <c r="C468" s="278" t="s">
        <v>257</v>
      </c>
      <c r="D468" s="278" t="s">
        <v>258</v>
      </c>
      <c r="E468" s="279">
        <v>20000</v>
      </c>
      <c r="F468" s="280"/>
      <c r="G468" s="336">
        <f t="shared" si="626"/>
        <v>0</v>
      </c>
      <c r="H468" s="281">
        <v>0</v>
      </c>
      <c r="I468" s="281">
        <v>0</v>
      </c>
      <c r="J468" s="355" t="str">
        <f>IFERROR(G468/#REF!,"-")</f>
        <v>-</v>
      </c>
      <c r="K468" s="336">
        <f t="shared" si="627"/>
        <v>0</v>
      </c>
      <c r="L468" s="275">
        <f t="shared" si="628"/>
        <v>0</v>
      </c>
      <c r="M468" s="276">
        <f t="shared" si="629"/>
        <v>0</v>
      </c>
      <c r="N468" s="340">
        <f t="shared" si="623"/>
        <v>0</v>
      </c>
      <c r="O468" s="264" t="str">
        <f t="shared" si="609"/>
        <v>-</v>
      </c>
    </row>
    <row r="469" spans="1:15" ht="23.4" x14ac:dyDescent="0.3">
      <c r="A469" s="277" t="s">
        <v>110</v>
      </c>
      <c r="B469" s="957"/>
      <c r="C469" s="298" t="s">
        <v>441</v>
      </c>
      <c r="D469" s="278" t="s">
        <v>258</v>
      </c>
      <c r="E469" s="279">
        <v>10000</v>
      </c>
      <c r="F469" s="280"/>
      <c r="G469" s="336">
        <f t="shared" si="626"/>
        <v>0</v>
      </c>
      <c r="H469" s="281">
        <v>0</v>
      </c>
      <c r="I469" s="281">
        <v>0</v>
      </c>
      <c r="J469" s="355" t="str">
        <f>IFERROR(G469/#REF!,"-")</f>
        <v>-</v>
      </c>
      <c r="K469" s="336">
        <f t="shared" si="627"/>
        <v>0</v>
      </c>
      <c r="L469" s="275">
        <f t="shared" si="628"/>
        <v>0</v>
      </c>
      <c r="M469" s="276">
        <f t="shared" si="629"/>
        <v>0</v>
      </c>
      <c r="N469" s="340">
        <f t="shared" si="623"/>
        <v>0</v>
      </c>
      <c r="O469" s="264" t="str">
        <f t="shared" si="609"/>
        <v>-</v>
      </c>
    </row>
    <row r="470" spans="1:15" ht="23.4" x14ac:dyDescent="0.3">
      <c r="A470" s="277" t="s">
        <v>110</v>
      </c>
      <c r="B470" s="957"/>
      <c r="C470" s="298" t="s">
        <v>260</v>
      </c>
      <c r="D470" s="278" t="s">
        <v>258</v>
      </c>
      <c r="E470" s="279">
        <v>9000</v>
      </c>
      <c r="F470" s="280"/>
      <c r="G470" s="336">
        <f t="shared" si="626"/>
        <v>0</v>
      </c>
      <c r="H470" s="281">
        <v>0</v>
      </c>
      <c r="I470" s="281">
        <v>0</v>
      </c>
      <c r="J470" s="355" t="str">
        <f>IFERROR(G470/#REF!,"-")</f>
        <v>-</v>
      </c>
      <c r="K470" s="336">
        <f t="shared" si="627"/>
        <v>0</v>
      </c>
      <c r="L470" s="275">
        <f t="shared" si="628"/>
        <v>0</v>
      </c>
      <c r="M470" s="276">
        <f t="shared" si="629"/>
        <v>0</v>
      </c>
      <c r="N470" s="340">
        <f t="shared" si="623"/>
        <v>0</v>
      </c>
      <c r="O470" s="264" t="str">
        <f t="shared" si="609"/>
        <v>-</v>
      </c>
    </row>
    <row r="471" spans="1:15" ht="23.4" x14ac:dyDescent="0.3">
      <c r="A471" s="277" t="s">
        <v>110</v>
      </c>
      <c r="B471" s="957"/>
      <c r="C471" s="298" t="s">
        <v>261</v>
      </c>
      <c r="D471" s="278" t="s">
        <v>263</v>
      </c>
      <c r="E471" s="279">
        <v>22500</v>
      </c>
      <c r="F471" s="280"/>
      <c r="G471" s="336">
        <f t="shared" si="626"/>
        <v>14026</v>
      </c>
      <c r="H471" s="281">
        <v>14000</v>
      </c>
      <c r="I471" s="281">
        <v>26</v>
      </c>
      <c r="J471" s="355" t="str">
        <f>IFERROR(G471/#REF!,"-")</f>
        <v>-</v>
      </c>
      <c r="K471" s="336">
        <f t="shared" si="627"/>
        <v>19296</v>
      </c>
      <c r="L471" s="275">
        <f t="shared" si="628"/>
        <v>19250</v>
      </c>
      <c r="M471" s="276">
        <f t="shared" si="629"/>
        <v>46</v>
      </c>
      <c r="N471" s="340">
        <f t="shared" si="623"/>
        <v>0.85760000000000003</v>
      </c>
      <c r="O471" s="264">
        <f t="shared" si="609"/>
        <v>2.3839137645107794E-3</v>
      </c>
    </row>
    <row r="472" spans="1:15" ht="24" thickBot="1" x14ac:dyDescent="0.35">
      <c r="A472" s="277" t="s">
        <v>110</v>
      </c>
      <c r="B472" s="958"/>
      <c r="C472" s="298" t="s">
        <v>262</v>
      </c>
      <c r="D472" s="278" t="s">
        <v>258</v>
      </c>
      <c r="E472" s="283">
        <v>33500</v>
      </c>
      <c r="F472" s="284"/>
      <c r="G472" s="337">
        <f t="shared" si="626"/>
        <v>0</v>
      </c>
      <c r="H472" s="285">
        <v>0</v>
      </c>
      <c r="I472" s="285">
        <v>0</v>
      </c>
      <c r="J472" s="356" t="str">
        <f>IFERROR(G472/#REF!,"-")</f>
        <v>-</v>
      </c>
      <c r="K472" s="337">
        <f t="shared" si="627"/>
        <v>0</v>
      </c>
      <c r="L472" s="275">
        <f t="shared" si="628"/>
        <v>0</v>
      </c>
      <c r="M472" s="276">
        <f t="shared" si="629"/>
        <v>0</v>
      </c>
      <c r="N472" s="341">
        <f t="shared" si="623"/>
        <v>0</v>
      </c>
      <c r="O472" s="350" t="str">
        <f t="shared" si="609"/>
        <v>-</v>
      </c>
    </row>
    <row r="473" spans="1:15" ht="24" thickBot="1" x14ac:dyDescent="0.35">
      <c r="A473" s="277" t="s">
        <v>110</v>
      </c>
      <c r="B473" s="967" t="s">
        <v>52</v>
      </c>
      <c r="C473" s="968"/>
      <c r="D473" s="969"/>
      <c r="E473" s="287">
        <f>SUM(E465:E472)</f>
        <v>252125</v>
      </c>
      <c r="F473" s="288">
        <v>14000</v>
      </c>
      <c r="G473" s="323">
        <f>SUM(G465:G472)</f>
        <v>14026</v>
      </c>
      <c r="H473" s="324">
        <f t="shared" ref="H473:I473" si="630">SUM(H465:H472)</f>
        <v>14000</v>
      </c>
      <c r="I473" s="324">
        <f t="shared" si="630"/>
        <v>26</v>
      </c>
      <c r="J473" s="348" t="str">
        <f>IFERROR(G473/#REF!,"-")</f>
        <v>-</v>
      </c>
      <c r="K473" s="323">
        <f>SUM(K465:K472)</f>
        <v>19296</v>
      </c>
      <c r="L473" s="324">
        <f t="shared" ref="L473:M473" si="631">SUM(L465:L472)</f>
        <v>19250</v>
      </c>
      <c r="M473" s="325">
        <f t="shared" si="631"/>
        <v>46</v>
      </c>
      <c r="N473" s="342">
        <f t="shared" si="623"/>
        <v>7.6533465542885468E-2</v>
      </c>
      <c r="O473" s="348">
        <f t="shared" si="609"/>
        <v>2.3839137645107794E-3</v>
      </c>
    </row>
    <row r="474" spans="1:15" ht="24" thickBot="1" x14ac:dyDescent="0.35">
      <c r="A474" s="277" t="s">
        <v>110</v>
      </c>
      <c r="B474" s="981" t="s">
        <v>25</v>
      </c>
      <c r="C474" s="982"/>
      <c r="D474" s="983"/>
      <c r="E474" s="329">
        <f t="shared" ref="E474:F474" si="632">+E464+E473</f>
        <v>1252125</v>
      </c>
      <c r="F474" s="330">
        <f t="shared" si="632"/>
        <v>94000</v>
      </c>
      <c r="G474" s="329">
        <f>+G464+G473</f>
        <v>29909</v>
      </c>
      <c r="H474" s="327">
        <f t="shared" ref="H474:I474" si="633">+H464+H473</f>
        <v>29840</v>
      </c>
      <c r="I474" s="327">
        <f t="shared" si="633"/>
        <v>69</v>
      </c>
      <c r="J474" s="352" t="str">
        <f>IFERROR(G474/#REF!,"-")</f>
        <v>-</v>
      </c>
      <c r="K474" s="329">
        <f t="shared" ref="K474" si="634">+K464+K473</f>
        <v>348345</v>
      </c>
      <c r="L474" s="327">
        <f>+L464+L473</f>
        <v>347930</v>
      </c>
      <c r="M474" s="328">
        <f t="shared" ref="M474" si="635">+M464+M473</f>
        <v>415</v>
      </c>
      <c r="N474" s="344">
        <f t="shared" si="623"/>
        <v>0.27820305480682839</v>
      </c>
      <c r="O474" s="352">
        <f t="shared" si="609"/>
        <v>1.1913476582124044E-3</v>
      </c>
    </row>
    <row r="475" spans="1:15" ht="24" thickBot="1" x14ac:dyDescent="0.35">
      <c r="A475" s="277" t="s">
        <v>110</v>
      </c>
      <c r="B475" s="984" t="s">
        <v>180</v>
      </c>
      <c r="C475" s="962"/>
      <c r="D475" s="963"/>
      <c r="E475" s="333">
        <f>+E459+E474</f>
        <v>6002125</v>
      </c>
      <c r="F475" s="334">
        <f t="shared" ref="F475:I475" si="636">+F459+F474</f>
        <v>449000</v>
      </c>
      <c r="G475" s="333">
        <f t="shared" si="636"/>
        <v>191022</v>
      </c>
      <c r="H475" s="331">
        <f t="shared" si="636"/>
        <v>190480</v>
      </c>
      <c r="I475" s="331">
        <f t="shared" si="636"/>
        <v>542</v>
      </c>
      <c r="J475" s="353" t="str">
        <f>IFERROR(G475/#REF!,"-")</f>
        <v>-</v>
      </c>
      <c r="K475" s="333">
        <f>+K459+K474</f>
        <v>1106086</v>
      </c>
      <c r="L475" s="331">
        <f t="shared" ref="L475:M475" si="637">+L459+L474</f>
        <v>1102520</v>
      </c>
      <c r="M475" s="332">
        <f t="shared" si="637"/>
        <v>3566</v>
      </c>
      <c r="N475" s="345">
        <f>IFERROR(K475/E475,"-")</f>
        <v>0.18428239998333923</v>
      </c>
      <c r="O475" s="353">
        <f t="shared" si="609"/>
        <v>3.223980775455073E-3</v>
      </c>
    </row>
    <row r="476" spans="1:15" ht="23.4" x14ac:dyDescent="0.3">
      <c r="A476" s="271" t="s">
        <v>108</v>
      </c>
      <c r="B476" s="977" t="s">
        <v>26</v>
      </c>
      <c r="C476" s="300" t="s">
        <v>323</v>
      </c>
      <c r="D476" s="300" t="s">
        <v>190</v>
      </c>
      <c r="E476" s="273">
        <v>0</v>
      </c>
      <c r="F476" s="274"/>
      <c r="G476" s="335">
        <f t="shared" ref="G476:G484" si="638">+H476+I476</f>
        <v>0</v>
      </c>
      <c r="H476" s="275">
        <v>0</v>
      </c>
      <c r="I476" s="275">
        <v>0</v>
      </c>
      <c r="J476" s="354" t="str">
        <f>IFERROR(G476/#REF!,"-")</f>
        <v>-</v>
      </c>
      <c r="K476" s="335">
        <f t="shared" ref="K476:K484" si="639">+L476+M476</f>
        <v>0</v>
      </c>
      <c r="L476" s="275">
        <f t="shared" ref="L476:L484" si="640">+H476+L372</f>
        <v>0</v>
      </c>
      <c r="M476" s="276">
        <f t="shared" ref="M476:M484" si="641">+I476+M372</f>
        <v>0</v>
      </c>
      <c r="N476" s="339" t="str">
        <f t="shared" ref="N476:N477" si="642">IFERROR(K476/E476,"-")</f>
        <v>-</v>
      </c>
      <c r="O476" s="349" t="str">
        <f t="shared" si="609"/>
        <v>-</v>
      </c>
    </row>
    <row r="477" spans="1:15" ht="23.4" x14ac:dyDescent="0.3">
      <c r="A477" s="277" t="s">
        <v>108</v>
      </c>
      <c r="B477" s="977"/>
      <c r="C477" s="301" t="s">
        <v>196</v>
      </c>
      <c r="D477" s="301" t="s">
        <v>114</v>
      </c>
      <c r="E477" s="279">
        <v>0</v>
      </c>
      <c r="F477" s="280"/>
      <c r="G477" s="336">
        <f t="shared" si="638"/>
        <v>0</v>
      </c>
      <c r="H477" s="281">
        <v>0</v>
      </c>
      <c r="I477" s="281">
        <v>0</v>
      </c>
      <c r="J477" s="355" t="str">
        <f>IFERROR(G477/#REF!,"-")</f>
        <v>-</v>
      </c>
      <c r="K477" s="336">
        <f t="shared" si="639"/>
        <v>0</v>
      </c>
      <c r="L477" s="275">
        <f t="shared" si="640"/>
        <v>0</v>
      </c>
      <c r="M477" s="276">
        <f t="shared" si="641"/>
        <v>0</v>
      </c>
      <c r="N477" s="340" t="str">
        <f t="shared" si="642"/>
        <v>-</v>
      </c>
      <c r="O477" s="264" t="str">
        <f t="shared" si="609"/>
        <v>-</v>
      </c>
    </row>
    <row r="478" spans="1:15" ht="23.4" x14ac:dyDescent="0.3">
      <c r="A478" s="277" t="s">
        <v>108</v>
      </c>
      <c r="B478" s="977"/>
      <c r="C478" s="302" t="s">
        <v>27</v>
      </c>
      <c r="D478" s="302" t="s">
        <v>370</v>
      </c>
      <c r="E478" s="283">
        <v>0</v>
      </c>
      <c r="F478" s="284"/>
      <c r="G478" s="336">
        <f t="shared" si="638"/>
        <v>8556</v>
      </c>
      <c r="H478" s="285">
        <v>7956</v>
      </c>
      <c r="I478" s="285">
        <v>600</v>
      </c>
      <c r="J478" s="356" t="str">
        <f>IFERROR(G478/#REF!,"-")</f>
        <v>-</v>
      </c>
      <c r="K478" s="336">
        <f t="shared" si="639"/>
        <v>8556</v>
      </c>
      <c r="L478" s="275">
        <f t="shared" si="640"/>
        <v>7956</v>
      </c>
      <c r="M478" s="276">
        <f t="shared" si="641"/>
        <v>600</v>
      </c>
      <c r="N478" s="286"/>
      <c r="O478" s="264">
        <f t="shared" si="609"/>
        <v>7.0126227208976155E-2</v>
      </c>
    </row>
    <row r="479" spans="1:15" ht="23.4" x14ac:dyDescent="0.3">
      <c r="A479" s="277" t="s">
        <v>108</v>
      </c>
      <c r="B479" s="977"/>
      <c r="C479" s="302" t="s">
        <v>27</v>
      </c>
      <c r="D479" s="302" t="s">
        <v>254</v>
      </c>
      <c r="E479" s="283">
        <v>0</v>
      </c>
      <c r="F479" s="284"/>
      <c r="G479" s="336">
        <f t="shared" si="638"/>
        <v>16672</v>
      </c>
      <c r="H479" s="285">
        <v>15912</v>
      </c>
      <c r="I479" s="285">
        <v>760</v>
      </c>
      <c r="J479" s="356" t="str">
        <f>IFERROR(G479/#REF!,"-")</f>
        <v>-</v>
      </c>
      <c r="K479" s="336">
        <f t="shared" si="639"/>
        <v>16672</v>
      </c>
      <c r="L479" s="275">
        <f t="shared" si="640"/>
        <v>15912</v>
      </c>
      <c r="M479" s="276">
        <f t="shared" si="641"/>
        <v>760</v>
      </c>
      <c r="N479" s="286"/>
      <c r="O479" s="264">
        <f t="shared" si="609"/>
        <v>4.558541266794626E-2</v>
      </c>
    </row>
    <row r="480" spans="1:15" ht="23.4" x14ac:dyDescent="0.3">
      <c r="A480" s="277" t="s">
        <v>108</v>
      </c>
      <c r="B480" s="977"/>
      <c r="C480" s="302" t="s">
        <v>27</v>
      </c>
      <c r="D480" s="302" t="s">
        <v>302</v>
      </c>
      <c r="E480" s="283">
        <v>0</v>
      </c>
      <c r="F480" s="284"/>
      <c r="G480" s="336">
        <f t="shared" si="638"/>
        <v>0</v>
      </c>
      <c r="H480" s="285">
        <v>0</v>
      </c>
      <c r="I480" s="285">
        <v>0</v>
      </c>
      <c r="J480" s="356" t="str">
        <f>IFERROR(G480/#REF!,"-")</f>
        <v>-</v>
      </c>
      <c r="K480" s="336">
        <f t="shared" si="639"/>
        <v>0</v>
      </c>
      <c r="L480" s="275">
        <f t="shared" si="640"/>
        <v>0</v>
      </c>
      <c r="M480" s="276">
        <f t="shared" si="641"/>
        <v>0</v>
      </c>
      <c r="N480" s="286"/>
      <c r="O480" s="264" t="str">
        <f t="shared" si="609"/>
        <v>-</v>
      </c>
    </row>
    <row r="481" spans="1:15" ht="23.4" x14ac:dyDescent="0.3">
      <c r="A481" s="277"/>
      <c r="B481" s="977"/>
      <c r="C481" s="302" t="s">
        <v>369</v>
      </c>
      <c r="D481" s="302" t="s">
        <v>190</v>
      </c>
      <c r="E481" s="283">
        <v>0</v>
      </c>
      <c r="F481" s="284"/>
      <c r="G481" s="337">
        <f t="shared" si="638"/>
        <v>0</v>
      </c>
      <c r="H481" s="285">
        <v>0</v>
      </c>
      <c r="I481" s="285">
        <v>0</v>
      </c>
      <c r="J481" s="356" t="str">
        <f>IFERROR(G481/#REF!,"-")</f>
        <v>-</v>
      </c>
      <c r="K481" s="337">
        <f t="shared" si="639"/>
        <v>0</v>
      </c>
      <c r="L481" s="275">
        <f t="shared" si="640"/>
        <v>0</v>
      </c>
      <c r="M481" s="276">
        <f t="shared" si="641"/>
        <v>0</v>
      </c>
      <c r="N481" s="286"/>
      <c r="O481" s="264" t="str">
        <f t="shared" si="609"/>
        <v>-</v>
      </c>
    </row>
    <row r="482" spans="1:15" ht="23.4" x14ac:dyDescent="0.3">
      <c r="A482" s="277"/>
      <c r="B482" s="977"/>
      <c r="C482" s="302" t="s">
        <v>314</v>
      </c>
      <c r="D482" s="302" t="s">
        <v>101</v>
      </c>
      <c r="E482" s="283">
        <v>0</v>
      </c>
      <c r="F482" s="284"/>
      <c r="G482" s="337">
        <f t="shared" si="638"/>
        <v>0</v>
      </c>
      <c r="H482" s="285">
        <v>0</v>
      </c>
      <c r="I482" s="285">
        <v>0</v>
      </c>
      <c r="J482" s="356" t="str">
        <f>IFERROR(G482/#REF!,"-")</f>
        <v>-</v>
      </c>
      <c r="K482" s="337">
        <f t="shared" si="639"/>
        <v>0</v>
      </c>
      <c r="L482" s="275">
        <f t="shared" si="640"/>
        <v>0</v>
      </c>
      <c r="M482" s="276">
        <f t="shared" si="641"/>
        <v>0</v>
      </c>
      <c r="N482" s="286"/>
      <c r="O482" s="264" t="str">
        <f t="shared" si="609"/>
        <v>-</v>
      </c>
    </row>
    <row r="483" spans="1:15" ht="23.4" x14ac:dyDescent="0.3">
      <c r="A483" s="277"/>
      <c r="B483" s="977"/>
      <c r="C483" s="302" t="s">
        <v>452</v>
      </c>
      <c r="D483" s="302" t="s">
        <v>410</v>
      </c>
      <c r="E483" s="283">
        <v>0</v>
      </c>
      <c r="F483" s="284"/>
      <c r="G483" s="337">
        <f t="shared" si="638"/>
        <v>8422</v>
      </c>
      <c r="H483" s="285">
        <v>7956</v>
      </c>
      <c r="I483" s="285">
        <v>466</v>
      </c>
      <c r="J483" s="356" t="str">
        <f>IFERROR(G483/#REF!,"-")</f>
        <v>-</v>
      </c>
      <c r="K483" s="337">
        <f t="shared" si="639"/>
        <v>8422</v>
      </c>
      <c r="L483" s="275">
        <f t="shared" si="640"/>
        <v>7956</v>
      </c>
      <c r="M483" s="276">
        <f t="shared" si="641"/>
        <v>466</v>
      </c>
      <c r="N483" s="286"/>
      <c r="O483" s="264">
        <f t="shared" si="609"/>
        <v>5.5331275231536449E-2</v>
      </c>
    </row>
    <row r="484" spans="1:15" ht="24" thickBot="1" x14ac:dyDescent="0.35">
      <c r="A484" s="277" t="s">
        <v>108</v>
      </c>
      <c r="B484" s="977"/>
      <c r="C484" s="303" t="s">
        <v>315</v>
      </c>
      <c r="D484" s="302" t="s">
        <v>313</v>
      </c>
      <c r="E484" s="283">
        <v>0</v>
      </c>
      <c r="F484" s="284"/>
      <c r="G484" s="337">
        <f t="shared" si="638"/>
        <v>0</v>
      </c>
      <c r="H484" s="285">
        <v>0</v>
      </c>
      <c r="I484" s="285">
        <v>0</v>
      </c>
      <c r="J484" s="356" t="str">
        <f>IFERROR(G484/#REF!,"-")</f>
        <v>-</v>
      </c>
      <c r="K484" s="337">
        <f t="shared" si="639"/>
        <v>0</v>
      </c>
      <c r="L484" s="275">
        <f t="shared" si="640"/>
        <v>0</v>
      </c>
      <c r="M484" s="276">
        <f t="shared" si="641"/>
        <v>0</v>
      </c>
      <c r="N484" s="341" t="str">
        <f t="shared" ref="N484:N491" si="643">IFERROR(K484/E484,"-")</f>
        <v>-</v>
      </c>
      <c r="O484" s="350" t="str">
        <f t="shared" si="609"/>
        <v>-</v>
      </c>
    </row>
    <row r="485" spans="1:15" ht="24" thickBot="1" x14ac:dyDescent="0.35">
      <c r="A485" s="277" t="s">
        <v>108</v>
      </c>
      <c r="B485" s="990"/>
      <c r="C485" s="304"/>
      <c r="D485" s="305" t="s">
        <v>55</v>
      </c>
      <c r="E485" s="287">
        <f>SUM(E476:E484)</f>
        <v>0</v>
      </c>
      <c r="F485" s="288"/>
      <c r="G485" s="323">
        <f>SUM(G476:G484)</f>
        <v>33650</v>
      </c>
      <c r="H485" s="324">
        <f>SUM(H476:H484)</f>
        <v>31824</v>
      </c>
      <c r="I485" s="324">
        <f>SUM(I476:I484)</f>
        <v>1826</v>
      </c>
      <c r="J485" s="348" t="str">
        <f>IFERROR(G485/#REF!,"-")</f>
        <v>-</v>
      </c>
      <c r="K485" s="323">
        <f>SUM(K476:K484)</f>
        <v>33650</v>
      </c>
      <c r="L485" s="324">
        <f>SUM(L476:L484)</f>
        <v>31824</v>
      </c>
      <c r="M485" s="325">
        <f>SUM(M476:M484)</f>
        <v>1826</v>
      </c>
      <c r="N485" s="342" t="str">
        <f t="shared" si="643"/>
        <v>-</v>
      </c>
      <c r="O485" s="348">
        <f t="shared" si="609"/>
        <v>5.426448736998514E-2</v>
      </c>
    </row>
    <row r="486" spans="1:15" ht="23.4" x14ac:dyDescent="0.3">
      <c r="A486" s="277" t="s">
        <v>108</v>
      </c>
      <c r="B486" s="976" t="s">
        <v>28</v>
      </c>
      <c r="C486" s="302" t="s">
        <v>27</v>
      </c>
      <c r="D486" s="300" t="s">
        <v>302</v>
      </c>
      <c r="E486" s="273">
        <v>2612056</v>
      </c>
      <c r="F486" s="274"/>
      <c r="G486" s="335">
        <f t="shared" ref="G486:G490" si="644">+H486+I486</f>
        <v>0</v>
      </c>
      <c r="H486" s="275">
        <v>0</v>
      </c>
      <c r="I486" s="275">
        <v>0</v>
      </c>
      <c r="J486" s="354" t="str">
        <f>IFERROR(G486/#REF!,"-")</f>
        <v>-</v>
      </c>
      <c r="K486" s="335">
        <f t="shared" ref="K486:K490" si="645">+L486+M486</f>
        <v>4258</v>
      </c>
      <c r="L486" s="275">
        <f t="shared" ref="L486" si="646">+H486+L382</f>
        <v>3978</v>
      </c>
      <c r="M486" s="276">
        <f t="shared" ref="M486" si="647">+I486+M382</f>
        <v>280</v>
      </c>
      <c r="N486" s="339">
        <f t="shared" si="643"/>
        <v>1.6301335040290101E-3</v>
      </c>
      <c r="O486" s="349">
        <f t="shared" si="609"/>
        <v>6.5758572099577264E-2</v>
      </c>
    </row>
    <row r="487" spans="1:15" ht="23.4" x14ac:dyDescent="0.3">
      <c r="A487" s="277" t="s">
        <v>108</v>
      </c>
      <c r="B487" s="977"/>
      <c r="C487" s="302" t="s">
        <v>455</v>
      </c>
      <c r="D487" s="302" t="s">
        <v>370</v>
      </c>
      <c r="E487" s="279">
        <v>0</v>
      </c>
      <c r="F487" s="280"/>
      <c r="G487" s="336">
        <f t="shared" ref="G487" si="648">+H487+I487</f>
        <v>88594</v>
      </c>
      <c r="H487" s="281">
        <v>87516</v>
      </c>
      <c r="I487" s="281">
        <v>1078</v>
      </c>
      <c r="J487" s="355" t="str">
        <f>IFERROR(G487/#REF!,"-")</f>
        <v>-</v>
      </c>
      <c r="K487" s="336">
        <f t="shared" ref="K487" si="649">+L487+M487</f>
        <v>88594</v>
      </c>
      <c r="L487" s="275">
        <f>+H487</f>
        <v>87516</v>
      </c>
      <c r="M487" s="276">
        <f>+I487</f>
        <v>1078</v>
      </c>
      <c r="N487" s="340" t="str">
        <f t="shared" ref="N487" si="650">IFERROR(K487/E487,"-")</f>
        <v>-</v>
      </c>
      <c r="O487" s="264">
        <f t="shared" ref="O487" si="651">IFERROR(M487/K487,"-")</f>
        <v>1.216786689843556E-2</v>
      </c>
    </row>
    <row r="488" spans="1:15" ht="23.4" x14ac:dyDescent="0.3">
      <c r="A488" s="277" t="s">
        <v>108</v>
      </c>
      <c r="B488" s="977"/>
      <c r="C488" s="302" t="s">
        <v>27</v>
      </c>
      <c r="D488" s="302" t="s">
        <v>370</v>
      </c>
      <c r="E488" s="279">
        <v>0</v>
      </c>
      <c r="F488" s="280"/>
      <c r="G488" s="336">
        <f t="shared" si="644"/>
        <v>0</v>
      </c>
      <c r="H488" s="281">
        <v>0</v>
      </c>
      <c r="I488" s="281">
        <v>0</v>
      </c>
      <c r="J488" s="355" t="str">
        <f>IFERROR(G488/#REF!,"-")</f>
        <v>-</v>
      </c>
      <c r="K488" s="336">
        <f t="shared" si="645"/>
        <v>24591</v>
      </c>
      <c r="L488" s="275">
        <f>+H488+L383</f>
        <v>23868</v>
      </c>
      <c r="M488" s="276">
        <f>+I488+M383</f>
        <v>723</v>
      </c>
      <c r="N488" s="340" t="str">
        <f t="shared" si="643"/>
        <v>-</v>
      </c>
      <c r="O488" s="264">
        <f t="shared" si="609"/>
        <v>2.9401000365987556E-2</v>
      </c>
    </row>
    <row r="489" spans="1:15" ht="23.4" x14ac:dyDescent="0.3">
      <c r="A489" s="277" t="s">
        <v>108</v>
      </c>
      <c r="B489" s="977"/>
      <c r="C489" s="302" t="s">
        <v>452</v>
      </c>
      <c r="D489" s="303" t="s">
        <v>410</v>
      </c>
      <c r="E489" s="283">
        <v>0</v>
      </c>
      <c r="F489" s="284"/>
      <c r="G489" s="337">
        <f t="shared" ref="G489" si="652">+H489+I489</f>
        <v>28254</v>
      </c>
      <c r="H489" s="285">
        <v>27846</v>
      </c>
      <c r="I489" s="285">
        <v>408</v>
      </c>
      <c r="J489" s="356" t="str">
        <f>IFERROR(G489/#REF!,"-")</f>
        <v>-</v>
      </c>
      <c r="K489" s="337">
        <f t="shared" ref="K489" si="653">+L489+M489</f>
        <v>28977</v>
      </c>
      <c r="L489" s="275">
        <f>+H489</f>
        <v>27846</v>
      </c>
      <c r="M489" s="755">
        <f>+I489+M383</f>
        <v>1131</v>
      </c>
      <c r="N489" s="341" t="str">
        <f t="shared" ref="N489" si="654">IFERROR(K489/E489,"-")</f>
        <v>-</v>
      </c>
      <c r="O489" s="350">
        <f t="shared" ref="O489" si="655">IFERROR(M489/K489,"-")</f>
        <v>3.9030955585464336E-2</v>
      </c>
    </row>
    <row r="490" spans="1:15" ht="24" thickBot="1" x14ac:dyDescent="0.35">
      <c r="A490" s="277" t="s">
        <v>108</v>
      </c>
      <c r="B490" s="977"/>
      <c r="C490" s="302" t="s">
        <v>27</v>
      </c>
      <c r="D490" s="303" t="s">
        <v>254</v>
      </c>
      <c r="E490" s="283">
        <v>0</v>
      </c>
      <c r="F490" s="284"/>
      <c r="G490" s="337">
        <f t="shared" si="644"/>
        <v>36635</v>
      </c>
      <c r="H490" s="285">
        <v>35802</v>
      </c>
      <c r="I490" s="285">
        <v>833</v>
      </c>
      <c r="J490" s="356" t="str">
        <f>IFERROR(G490/#REF!,"-")</f>
        <v>-</v>
      </c>
      <c r="K490" s="337">
        <f t="shared" si="645"/>
        <v>590761</v>
      </c>
      <c r="L490" s="275">
        <f>+H490+L384</f>
        <v>584766</v>
      </c>
      <c r="M490" s="755">
        <f>+I490+M384</f>
        <v>5995</v>
      </c>
      <c r="N490" s="341" t="str">
        <f t="shared" si="643"/>
        <v>-</v>
      </c>
      <c r="O490" s="350">
        <f t="shared" si="609"/>
        <v>1.0147927842223844E-2</v>
      </c>
    </row>
    <row r="491" spans="1:15" ht="24" thickBot="1" x14ac:dyDescent="0.35">
      <c r="A491" s="277" t="s">
        <v>108</v>
      </c>
      <c r="B491" s="977"/>
      <c r="C491" s="307"/>
      <c r="D491" s="308" t="s">
        <v>55</v>
      </c>
      <c r="E491" s="309">
        <f>SUM(E486:E490)</f>
        <v>2612056</v>
      </c>
      <c r="F491" s="310"/>
      <c r="G491" s="369">
        <f>SUM(G486:G490)</f>
        <v>153483</v>
      </c>
      <c r="H491" s="368">
        <f>SUM(H486:H490)</f>
        <v>151164</v>
      </c>
      <c r="I491" s="368">
        <f>SUM(I486:I490)</f>
        <v>2319</v>
      </c>
      <c r="J491" s="359" t="str">
        <f>IFERROR(G491/#REF!,"-")</f>
        <v>-</v>
      </c>
      <c r="K491" s="369">
        <f>SUM(K486:K490)</f>
        <v>737181</v>
      </c>
      <c r="L491" s="368">
        <f>SUM(L486:L490)</f>
        <v>727974</v>
      </c>
      <c r="M491" s="370">
        <f>SUM(M486:M490)</f>
        <v>9207</v>
      </c>
      <c r="N491" s="358">
        <f t="shared" si="643"/>
        <v>0.28222250977773833</v>
      </c>
      <c r="O491" s="359">
        <f t="shared" si="609"/>
        <v>1.2489470021609347E-2</v>
      </c>
    </row>
    <row r="492" spans="1:15" ht="24" thickBot="1" x14ac:dyDescent="0.35">
      <c r="A492" s="768" t="s">
        <v>108</v>
      </c>
      <c r="B492" s="978" t="s">
        <v>170</v>
      </c>
      <c r="C492" s="979"/>
      <c r="D492" s="980"/>
      <c r="E492" s="311">
        <f>+E491+E485</f>
        <v>2612056</v>
      </c>
      <c r="F492" s="312">
        <v>80000</v>
      </c>
      <c r="G492" s="372">
        <f>+G485+G491</f>
        <v>187133</v>
      </c>
      <c r="H492" s="371">
        <f>+H485+H491</f>
        <v>182988</v>
      </c>
      <c r="I492" s="371">
        <f>+I485+I491</f>
        <v>4145</v>
      </c>
      <c r="J492" s="361" t="str">
        <f>IFERROR(G492/#REF!,"-")</f>
        <v>-</v>
      </c>
      <c r="K492" s="372">
        <f>+K485+K491</f>
        <v>770831</v>
      </c>
      <c r="L492" s="371">
        <f>+L485+L491</f>
        <v>759798</v>
      </c>
      <c r="M492" s="373">
        <f>+M485+M491</f>
        <v>11033</v>
      </c>
      <c r="N492" s="360">
        <f>IFERROR(K492/E492,"-")</f>
        <v>0.29510508197374025</v>
      </c>
      <c r="O492" s="361">
        <f t="shared" si="609"/>
        <v>1.4313124407295503E-2</v>
      </c>
    </row>
    <row r="493" spans="1:15" ht="23.4" x14ac:dyDescent="0.3">
      <c r="A493" s="277" t="s">
        <v>108</v>
      </c>
      <c r="B493" s="977" t="s">
        <v>30</v>
      </c>
      <c r="C493" s="306" t="s">
        <v>372</v>
      </c>
      <c r="D493" s="300" t="s">
        <v>191</v>
      </c>
      <c r="E493" s="273">
        <v>0</v>
      </c>
      <c r="F493" s="274"/>
      <c r="G493" s="335">
        <f t="shared" ref="G493:G495" si="656">+H493+I493</f>
        <v>0</v>
      </c>
      <c r="H493" s="275">
        <v>0</v>
      </c>
      <c r="I493" s="275">
        <v>0</v>
      </c>
      <c r="J493" s="354" t="str">
        <f>IFERROR(G493/#REF!,"-")</f>
        <v>-</v>
      </c>
      <c r="K493" s="335">
        <f t="shared" ref="K493:K495" si="657">+L493+M493</f>
        <v>0</v>
      </c>
      <c r="L493" s="275">
        <f t="shared" ref="L493:M495" si="658">+H493+L387</f>
        <v>0</v>
      </c>
      <c r="M493" s="276">
        <f t="shared" si="658"/>
        <v>0</v>
      </c>
      <c r="N493" s="339" t="str">
        <f t="shared" ref="N493:N503" si="659">IFERROR(K493/E493,"-")</f>
        <v>-</v>
      </c>
      <c r="O493" s="349" t="str">
        <f t="shared" si="609"/>
        <v>-</v>
      </c>
    </row>
    <row r="494" spans="1:15" ht="23.4" x14ac:dyDescent="0.3">
      <c r="A494" s="277" t="s">
        <v>108</v>
      </c>
      <c r="B494" s="977"/>
      <c r="C494" s="306" t="s">
        <v>371</v>
      </c>
      <c r="D494" s="306" t="s">
        <v>313</v>
      </c>
      <c r="E494" s="279">
        <v>0</v>
      </c>
      <c r="F494" s="280"/>
      <c r="G494" s="336">
        <f t="shared" si="656"/>
        <v>0</v>
      </c>
      <c r="H494" s="281">
        <v>0</v>
      </c>
      <c r="I494" s="281">
        <v>0</v>
      </c>
      <c r="J494" s="355" t="str">
        <f>IFERROR(G494/#REF!,"-")</f>
        <v>-</v>
      </c>
      <c r="K494" s="336">
        <f t="shared" si="657"/>
        <v>0</v>
      </c>
      <c r="L494" s="275">
        <f t="shared" si="658"/>
        <v>0</v>
      </c>
      <c r="M494" s="276">
        <f t="shared" si="658"/>
        <v>0</v>
      </c>
      <c r="N494" s="340" t="str">
        <f t="shared" si="659"/>
        <v>-</v>
      </c>
      <c r="O494" s="264" t="str">
        <f t="shared" si="609"/>
        <v>-</v>
      </c>
    </row>
    <row r="495" spans="1:15" ht="24" thickBot="1" x14ac:dyDescent="0.35">
      <c r="A495" s="277" t="s">
        <v>108</v>
      </c>
      <c r="B495" s="977"/>
      <c r="C495" s="303" t="s">
        <v>316</v>
      </c>
      <c r="D495" s="303" t="s">
        <v>410</v>
      </c>
      <c r="E495" s="283">
        <v>0</v>
      </c>
      <c r="F495" s="284"/>
      <c r="G495" s="337">
        <f t="shared" si="656"/>
        <v>0</v>
      </c>
      <c r="H495" s="285">
        <v>0</v>
      </c>
      <c r="I495" s="285">
        <v>0</v>
      </c>
      <c r="J495" s="356" t="str">
        <f>IFERROR(G495/#REF!,"-")</f>
        <v>-</v>
      </c>
      <c r="K495" s="337">
        <f t="shared" si="657"/>
        <v>64724</v>
      </c>
      <c r="L495" s="275">
        <f t="shared" si="658"/>
        <v>61776</v>
      </c>
      <c r="M495" s="276">
        <f t="shared" si="658"/>
        <v>2948</v>
      </c>
      <c r="N495" s="341" t="str">
        <f t="shared" si="659"/>
        <v>-</v>
      </c>
      <c r="O495" s="350">
        <f t="shared" si="609"/>
        <v>4.5547246770904146E-2</v>
      </c>
    </row>
    <row r="496" spans="1:15" ht="24" thickBot="1" x14ac:dyDescent="0.35">
      <c r="A496" s="277" t="s">
        <v>108</v>
      </c>
      <c r="B496" s="977"/>
      <c r="C496" s="304"/>
      <c r="D496" s="305" t="s">
        <v>53</v>
      </c>
      <c r="E496" s="287">
        <v>0</v>
      </c>
      <c r="F496" s="288"/>
      <c r="G496" s="323">
        <f>SUM(G493:G495)</f>
        <v>0</v>
      </c>
      <c r="H496" s="324">
        <f>SUM(H493:H495)</f>
        <v>0</v>
      </c>
      <c r="I496" s="324">
        <f>SUM(I493:I495)</f>
        <v>0</v>
      </c>
      <c r="J496" s="348" t="str">
        <f>IFERROR(G496/#REF!,"-")</f>
        <v>-</v>
      </c>
      <c r="K496" s="323">
        <f>SUM(K493:K495)</f>
        <v>64724</v>
      </c>
      <c r="L496" s="324">
        <f>SUM(L493:L495)</f>
        <v>61776</v>
      </c>
      <c r="M496" s="325">
        <f>SUM(M493:M495)</f>
        <v>2948</v>
      </c>
      <c r="N496" s="342" t="str">
        <f t="shared" si="659"/>
        <v>-</v>
      </c>
      <c r="O496" s="348">
        <f t="shared" si="609"/>
        <v>4.5547246770904146E-2</v>
      </c>
    </row>
    <row r="497" spans="1:15" ht="23.4" x14ac:dyDescent="0.3">
      <c r="A497" s="277" t="s">
        <v>108</v>
      </c>
      <c r="B497" s="977"/>
      <c r="C497" s="300" t="s">
        <v>339</v>
      </c>
      <c r="D497" s="300"/>
      <c r="E497" s="273">
        <v>500000</v>
      </c>
      <c r="F497" s="274"/>
      <c r="G497" s="335">
        <f t="shared" ref="G497:G499" si="660">+H497+I497</f>
        <v>0</v>
      </c>
      <c r="H497" s="275">
        <v>0</v>
      </c>
      <c r="I497" s="275">
        <v>0</v>
      </c>
      <c r="J497" s="354" t="str">
        <f>IFERROR(G497/#REF!,"-")</f>
        <v>-</v>
      </c>
      <c r="K497" s="335">
        <f t="shared" ref="K497:K499" si="661">+L497+M497</f>
        <v>0</v>
      </c>
      <c r="L497" s="275">
        <f t="shared" ref="L497:M499" si="662">+H497+L391</f>
        <v>0</v>
      </c>
      <c r="M497" s="276">
        <f t="shared" si="662"/>
        <v>0</v>
      </c>
      <c r="N497" s="339">
        <f t="shared" si="659"/>
        <v>0</v>
      </c>
      <c r="O497" s="349" t="str">
        <f t="shared" si="609"/>
        <v>-</v>
      </c>
    </row>
    <row r="498" spans="1:15" ht="23.4" x14ac:dyDescent="0.3">
      <c r="A498" s="277" t="s">
        <v>108</v>
      </c>
      <c r="B498" s="977"/>
      <c r="C498" s="306" t="s">
        <v>373</v>
      </c>
      <c r="D498" s="306" t="s">
        <v>254</v>
      </c>
      <c r="E498" s="279">
        <v>0</v>
      </c>
      <c r="F498" s="280"/>
      <c r="G498" s="336">
        <f t="shared" si="660"/>
        <v>0</v>
      </c>
      <c r="H498" s="281">
        <v>0</v>
      </c>
      <c r="I498" s="281">
        <v>0</v>
      </c>
      <c r="J498" s="355" t="str">
        <f>IFERROR(G498/#REF!,"-")</f>
        <v>-</v>
      </c>
      <c r="K498" s="336">
        <f t="shared" si="661"/>
        <v>9638</v>
      </c>
      <c r="L498" s="275">
        <f t="shared" si="662"/>
        <v>9360</v>
      </c>
      <c r="M498" s="276">
        <f t="shared" si="662"/>
        <v>278</v>
      </c>
      <c r="N498" s="340" t="str">
        <f t="shared" si="659"/>
        <v>-</v>
      </c>
      <c r="O498" s="264">
        <f t="shared" si="609"/>
        <v>2.8844158539116E-2</v>
      </c>
    </row>
    <row r="499" spans="1:15" ht="24" thickBot="1" x14ac:dyDescent="0.35">
      <c r="A499" s="277" t="s">
        <v>108</v>
      </c>
      <c r="B499" s="977"/>
      <c r="C499" s="303" t="s">
        <v>145</v>
      </c>
      <c r="D499" s="303"/>
      <c r="E499" s="283">
        <v>0</v>
      </c>
      <c r="F499" s="284"/>
      <c r="G499" s="337">
        <f t="shared" si="660"/>
        <v>0</v>
      </c>
      <c r="H499" s="285">
        <v>0</v>
      </c>
      <c r="I499" s="285">
        <v>0</v>
      </c>
      <c r="J499" s="356" t="str">
        <f>IFERROR(G499/#REF!,"-")</f>
        <v>-</v>
      </c>
      <c r="K499" s="337">
        <f t="shared" si="661"/>
        <v>0</v>
      </c>
      <c r="L499" s="275">
        <f t="shared" si="662"/>
        <v>0</v>
      </c>
      <c r="M499" s="276">
        <f t="shared" si="662"/>
        <v>0</v>
      </c>
      <c r="N499" s="341" t="str">
        <f t="shared" si="659"/>
        <v>-</v>
      </c>
      <c r="O499" s="350" t="str">
        <f t="shared" si="609"/>
        <v>-</v>
      </c>
    </row>
    <row r="500" spans="1:15" ht="24" thickBot="1" x14ac:dyDescent="0.35">
      <c r="A500" s="277" t="s">
        <v>108</v>
      </c>
      <c r="B500" s="977"/>
      <c r="C500" s="307"/>
      <c r="D500" s="308" t="s">
        <v>54</v>
      </c>
      <c r="E500" s="309">
        <f>SUM(E497)</f>
        <v>500000</v>
      </c>
      <c r="F500" s="310"/>
      <c r="G500" s="369">
        <f>SUM(G497:G499)</f>
        <v>0</v>
      </c>
      <c r="H500" s="368">
        <f t="shared" ref="H500:I500" si="663">SUM(H497:H499)</f>
        <v>0</v>
      </c>
      <c r="I500" s="368">
        <f t="shared" si="663"/>
        <v>0</v>
      </c>
      <c r="J500" s="359" t="str">
        <f>IFERROR(G500/#REF!,"-")</f>
        <v>-</v>
      </c>
      <c r="K500" s="369">
        <f t="shared" ref="K500:M500" si="664">SUM(K497:K499)</f>
        <v>9638</v>
      </c>
      <c r="L500" s="368">
        <f t="shared" si="664"/>
        <v>9360</v>
      </c>
      <c r="M500" s="370">
        <f t="shared" si="664"/>
        <v>278</v>
      </c>
      <c r="N500" s="358">
        <f t="shared" si="659"/>
        <v>1.9276000000000001E-2</v>
      </c>
      <c r="O500" s="359">
        <f t="shared" si="609"/>
        <v>2.8844158539116E-2</v>
      </c>
    </row>
    <row r="501" spans="1:15" ht="24" thickBot="1" x14ac:dyDescent="0.35">
      <c r="A501" s="277" t="s">
        <v>108</v>
      </c>
      <c r="B501" s="978" t="s">
        <v>171</v>
      </c>
      <c r="C501" s="979"/>
      <c r="D501" s="980"/>
      <c r="E501" s="311">
        <f>+E500+E496</f>
        <v>500000</v>
      </c>
      <c r="F501" s="312">
        <v>50000</v>
      </c>
      <c r="G501" s="372">
        <f>+G496+G500</f>
        <v>0</v>
      </c>
      <c r="H501" s="371">
        <f t="shared" ref="H501:I501" si="665">+H496+H500</f>
        <v>0</v>
      </c>
      <c r="I501" s="371">
        <f t="shared" si="665"/>
        <v>0</v>
      </c>
      <c r="J501" s="361" t="str">
        <f>IFERROR(G501/#REF!,"-")</f>
        <v>-</v>
      </c>
      <c r="K501" s="372">
        <f t="shared" ref="K501:M501" si="666">+K496+K500</f>
        <v>74362</v>
      </c>
      <c r="L501" s="371">
        <f t="shared" si="666"/>
        <v>71136</v>
      </c>
      <c r="M501" s="373">
        <f t="shared" si="666"/>
        <v>3226</v>
      </c>
      <c r="N501" s="360">
        <f t="shared" si="659"/>
        <v>0.148724</v>
      </c>
      <c r="O501" s="361">
        <f t="shared" si="609"/>
        <v>4.3382372717248055E-2</v>
      </c>
    </row>
    <row r="502" spans="1:15" ht="24" thickBot="1" x14ac:dyDescent="0.35">
      <c r="A502" s="277" t="s">
        <v>108</v>
      </c>
      <c r="B502" s="608" t="s">
        <v>32</v>
      </c>
      <c r="C502" s="763"/>
      <c r="D502" s="313" t="s">
        <v>32</v>
      </c>
      <c r="E502" s="290">
        <v>0</v>
      </c>
      <c r="F502" s="291">
        <v>110000</v>
      </c>
      <c r="G502" s="338">
        <f t="shared" ref="G502" si="667">+H502+I502</f>
        <v>0</v>
      </c>
      <c r="H502" s="292">
        <v>0</v>
      </c>
      <c r="I502" s="292">
        <v>0</v>
      </c>
      <c r="J502" s="357" t="str">
        <f>IFERROR(G502/#REF!,"-")</f>
        <v>-</v>
      </c>
      <c r="K502" s="338">
        <f>+L502+M502</f>
        <v>0</v>
      </c>
      <c r="L502" s="292">
        <f>+H502+L396</f>
        <v>0</v>
      </c>
      <c r="M502" s="293">
        <f>+I502+M396</f>
        <v>0</v>
      </c>
      <c r="N502" s="343" t="str">
        <f t="shared" si="659"/>
        <v>-</v>
      </c>
      <c r="O502" s="351" t="str">
        <f t="shared" si="609"/>
        <v>-</v>
      </c>
    </row>
    <row r="503" spans="1:15" ht="24" thickBot="1" x14ac:dyDescent="0.35">
      <c r="A503" s="277" t="s">
        <v>108</v>
      </c>
      <c r="B503" s="981" t="s">
        <v>21</v>
      </c>
      <c r="C503" s="982"/>
      <c r="D503" s="983"/>
      <c r="E503" s="329">
        <f>+E492+E501+E502</f>
        <v>3112056</v>
      </c>
      <c r="F503" s="330">
        <f>+F492+F501+F502</f>
        <v>240000</v>
      </c>
      <c r="G503" s="329">
        <f>+G492+G501+G502</f>
        <v>187133</v>
      </c>
      <c r="H503" s="327">
        <f>+H492+H501+H502</f>
        <v>182988</v>
      </c>
      <c r="I503" s="327">
        <f>+I492+I501+I502</f>
        <v>4145</v>
      </c>
      <c r="J503" s="352" t="str">
        <f>IFERROR(G503/#REF!,"-")</f>
        <v>-</v>
      </c>
      <c r="K503" s="329">
        <f>+K492+K501+K502</f>
        <v>845193</v>
      </c>
      <c r="L503" s="327">
        <f>+L492+L501+L502</f>
        <v>830934</v>
      </c>
      <c r="M503" s="328">
        <f>+M492+M501+M502</f>
        <v>14259</v>
      </c>
      <c r="N503" s="344">
        <f t="shared" si="659"/>
        <v>0.27158669381270772</v>
      </c>
      <c r="O503" s="352">
        <f t="shared" si="609"/>
        <v>1.6870702904543695E-2</v>
      </c>
    </row>
    <row r="504" spans="1:15" ht="24" thickBot="1" x14ac:dyDescent="0.35">
      <c r="A504" s="277" t="s">
        <v>108</v>
      </c>
      <c r="B504" s="984" t="s">
        <v>179</v>
      </c>
      <c r="C504" s="962"/>
      <c r="D504" s="963"/>
      <c r="E504" s="333">
        <f>+E503</f>
        <v>3112056</v>
      </c>
      <c r="F504" s="334">
        <f t="shared" ref="F504:I504" si="668">+F503</f>
        <v>240000</v>
      </c>
      <c r="G504" s="333">
        <f t="shared" si="668"/>
        <v>187133</v>
      </c>
      <c r="H504" s="331">
        <f t="shared" si="668"/>
        <v>182988</v>
      </c>
      <c r="I504" s="331">
        <f t="shared" si="668"/>
        <v>4145</v>
      </c>
      <c r="J504" s="353" t="str">
        <f>+J503</f>
        <v>-</v>
      </c>
      <c r="K504" s="333">
        <f>+K503</f>
        <v>845193</v>
      </c>
      <c r="L504" s="331">
        <f t="shared" ref="L504" si="669">+L503</f>
        <v>830934</v>
      </c>
      <c r="M504" s="332">
        <f>+M503</f>
        <v>14259</v>
      </c>
      <c r="N504" s="345">
        <f t="shared" ref="N504:O504" si="670">+N503</f>
        <v>0.27158669381270772</v>
      </c>
      <c r="O504" s="353">
        <f t="shared" si="670"/>
        <v>1.6870702904543695E-2</v>
      </c>
    </row>
    <row r="505" spans="1:15" ht="23.4" x14ac:dyDescent="0.3">
      <c r="A505" s="271" t="s">
        <v>109</v>
      </c>
      <c r="B505" s="970" t="s">
        <v>33</v>
      </c>
      <c r="C505" s="314" t="s">
        <v>120</v>
      </c>
      <c r="D505" s="314"/>
      <c r="E505" s="273">
        <v>34000</v>
      </c>
      <c r="F505" s="274"/>
      <c r="G505" s="335">
        <f t="shared" ref="G505:G507" si="671">+H505+I505</f>
        <v>0</v>
      </c>
      <c r="H505" s="275">
        <v>0</v>
      </c>
      <c r="I505" s="275">
        <v>0</v>
      </c>
      <c r="J505" s="354" t="str">
        <f>IFERROR(G505/#REF!,"-")</f>
        <v>-</v>
      </c>
      <c r="K505" s="335">
        <f t="shared" ref="K505:K507" si="672">+L505+M505</f>
        <v>0</v>
      </c>
      <c r="L505" s="275">
        <f t="shared" ref="L505:M507" si="673">+H505+L399</f>
        <v>0</v>
      </c>
      <c r="M505" s="276">
        <f t="shared" si="673"/>
        <v>0</v>
      </c>
      <c r="N505" s="339">
        <f t="shared" ref="N505:N512" si="674">IFERROR(K505/E505,"-")</f>
        <v>0</v>
      </c>
      <c r="O505" s="349" t="str">
        <f t="shared" ref="O505:O530" si="675">IFERROR(M505/K505,"-")</f>
        <v>-</v>
      </c>
    </row>
    <row r="506" spans="1:15" ht="23.4" x14ac:dyDescent="0.3">
      <c r="A506" s="277" t="s">
        <v>109</v>
      </c>
      <c r="B506" s="972"/>
      <c r="C506" s="315" t="s">
        <v>267</v>
      </c>
      <c r="D506" s="315"/>
      <c r="E506" s="279">
        <v>0</v>
      </c>
      <c r="F506" s="280"/>
      <c r="G506" s="336">
        <f t="shared" si="671"/>
        <v>5144</v>
      </c>
      <c r="H506" s="281">
        <v>5120</v>
      </c>
      <c r="I506" s="281">
        <v>24</v>
      </c>
      <c r="J506" s="355" t="str">
        <f>IFERROR(G506/#REF!,"-")</f>
        <v>-</v>
      </c>
      <c r="K506" s="336">
        <f t="shared" si="672"/>
        <v>7114</v>
      </c>
      <c r="L506" s="275">
        <f t="shared" si="673"/>
        <v>7040</v>
      </c>
      <c r="M506" s="276">
        <f t="shared" si="673"/>
        <v>74</v>
      </c>
      <c r="N506" s="340" t="str">
        <f t="shared" si="674"/>
        <v>-</v>
      </c>
      <c r="O506" s="264">
        <f t="shared" si="675"/>
        <v>1.0402024177677818E-2</v>
      </c>
    </row>
    <row r="507" spans="1:15" ht="24" thickBot="1" x14ac:dyDescent="0.35">
      <c r="A507" s="277" t="s">
        <v>109</v>
      </c>
      <c r="B507" s="971"/>
      <c r="C507" s="316" t="s">
        <v>34</v>
      </c>
      <c r="D507" s="316"/>
      <c r="E507" s="283">
        <v>0</v>
      </c>
      <c r="F507" s="284"/>
      <c r="G507" s="337">
        <f t="shared" si="671"/>
        <v>0</v>
      </c>
      <c r="H507" s="285">
        <v>0</v>
      </c>
      <c r="I507" s="285">
        <v>0</v>
      </c>
      <c r="J507" s="356" t="str">
        <f>IFERROR(G507/#REF!,"-")</f>
        <v>-</v>
      </c>
      <c r="K507" s="337">
        <f t="shared" si="672"/>
        <v>0</v>
      </c>
      <c r="L507" s="275">
        <f t="shared" si="673"/>
        <v>0</v>
      </c>
      <c r="M507" s="276">
        <f t="shared" si="673"/>
        <v>0</v>
      </c>
      <c r="N507" s="341" t="str">
        <f t="shared" si="674"/>
        <v>-</v>
      </c>
      <c r="O507" s="350" t="str">
        <f t="shared" si="675"/>
        <v>-</v>
      </c>
    </row>
    <row r="508" spans="1:15" ht="24" thickBot="1" x14ac:dyDescent="0.35">
      <c r="A508" s="277" t="s">
        <v>109</v>
      </c>
      <c r="B508" s="967" t="s">
        <v>35</v>
      </c>
      <c r="C508" s="968"/>
      <c r="D508" s="969"/>
      <c r="E508" s="287">
        <f>SUM(E505:E507)</f>
        <v>34000</v>
      </c>
      <c r="F508" s="288"/>
      <c r="G508" s="323">
        <f>SUM(G505:G507)</f>
        <v>5144</v>
      </c>
      <c r="H508" s="324">
        <f t="shared" ref="H508:I508" si="676">SUM(H505:H507)</f>
        <v>5120</v>
      </c>
      <c r="I508" s="324">
        <f t="shared" si="676"/>
        <v>24</v>
      </c>
      <c r="J508" s="348" t="str">
        <f>IFERROR(G508/#REF!,"-")</f>
        <v>-</v>
      </c>
      <c r="K508" s="323">
        <f t="shared" ref="K508:M508" si="677">SUM(K505:K507)</f>
        <v>7114</v>
      </c>
      <c r="L508" s="324">
        <f t="shared" si="677"/>
        <v>7040</v>
      </c>
      <c r="M508" s="325">
        <f t="shared" si="677"/>
        <v>74</v>
      </c>
      <c r="N508" s="342">
        <f t="shared" si="674"/>
        <v>0.20923529411764705</v>
      </c>
      <c r="O508" s="348">
        <f t="shared" si="675"/>
        <v>1.0402024177677818E-2</v>
      </c>
    </row>
    <row r="509" spans="1:15" ht="23.4" x14ac:dyDescent="0.3">
      <c r="A509" s="277" t="s">
        <v>109</v>
      </c>
      <c r="B509" s="970" t="s">
        <v>36</v>
      </c>
      <c r="C509" s="314" t="s">
        <v>120</v>
      </c>
      <c r="D509" s="314"/>
      <c r="E509" s="273">
        <v>64360</v>
      </c>
      <c r="F509" s="274"/>
      <c r="G509" s="335">
        <f t="shared" ref="G509:G512" si="678">+H509+I509</f>
        <v>0</v>
      </c>
      <c r="H509" s="275">
        <v>0</v>
      </c>
      <c r="I509" s="275">
        <v>0</v>
      </c>
      <c r="J509" s="354" t="str">
        <f>IFERROR(G509/#REF!,"-")</f>
        <v>-</v>
      </c>
      <c r="K509" s="335">
        <f t="shared" ref="K509:K512" si="679">+L509+M509</f>
        <v>0</v>
      </c>
      <c r="L509" s="275">
        <f t="shared" ref="L509:M512" si="680">+H509+L403</f>
        <v>0</v>
      </c>
      <c r="M509" s="276">
        <f t="shared" si="680"/>
        <v>0</v>
      </c>
      <c r="N509" s="339">
        <f t="shared" si="674"/>
        <v>0</v>
      </c>
      <c r="O509" s="349" t="str">
        <f t="shared" si="675"/>
        <v>-</v>
      </c>
    </row>
    <row r="510" spans="1:15" ht="23.4" x14ac:dyDescent="0.3">
      <c r="A510" s="277" t="s">
        <v>109</v>
      </c>
      <c r="B510" s="972"/>
      <c r="C510" s="315" t="s">
        <v>267</v>
      </c>
      <c r="D510" s="315"/>
      <c r="E510" s="279">
        <v>0</v>
      </c>
      <c r="F510" s="280"/>
      <c r="G510" s="336">
        <f t="shared" si="678"/>
        <v>0</v>
      </c>
      <c r="H510" s="281">
        <v>0</v>
      </c>
      <c r="I510" s="281">
        <v>0</v>
      </c>
      <c r="J510" s="355" t="str">
        <f>IFERROR(G510/#REF!,"-")</f>
        <v>-</v>
      </c>
      <c r="K510" s="336">
        <f t="shared" si="679"/>
        <v>0</v>
      </c>
      <c r="L510" s="275">
        <f t="shared" si="680"/>
        <v>0</v>
      </c>
      <c r="M510" s="276">
        <f t="shared" si="680"/>
        <v>0</v>
      </c>
      <c r="N510" s="340" t="str">
        <f t="shared" si="674"/>
        <v>-</v>
      </c>
      <c r="O510" s="264" t="str">
        <f t="shared" si="675"/>
        <v>-</v>
      </c>
    </row>
    <row r="511" spans="1:15" ht="23.4" x14ac:dyDescent="0.3">
      <c r="A511" s="277" t="s">
        <v>109</v>
      </c>
      <c r="B511" s="972"/>
      <c r="C511" s="315" t="s">
        <v>198</v>
      </c>
      <c r="D511" s="315"/>
      <c r="E511" s="279">
        <v>0</v>
      </c>
      <c r="F511" s="280"/>
      <c r="G511" s="336">
        <f t="shared" si="678"/>
        <v>0</v>
      </c>
      <c r="H511" s="281">
        <v>0</v>
      </c>
      <c r="I511" s="281">
        <v>0</v>
      </c>
      <c r="J511" s="355" t="str">
        <f>IFERROR(G511/#REF!,"-")</f>
        <v>-</v>
      </c>
      <c r="K511" s="336">
        <f t="shared" si="679"/>
        <v>0</v>
      </c>
      <c r="L511" s="275">
        <f t="shared" si="680"/>
        <v>0</v>
      </c>
      <c r="M511" s="276">
        <f t="shared" si="680"/>
        <v>0</v>
      </c>
      <c r="N511" s="340" t="str">
        <f t="shared" si="674"/>
        <v>-</v>
      </c>
      <c r="O511" s="264" t="str">
        <f t="shared" si="675"/>
        <v>-</v>
      </c>
    </row>
    <row r="512" spans="1:15" ht="24" thickBot="1" x14ac:dyDescent="0.35">
      <c r="A512" s="277" t="s">
        <v>109</v>
      </c>
      <c r="B512" s="971"/>
      <c r="C512" s="316" t="s">
        <v>37</v>
      </c>
      <c r="D512" s="316"/>
      <c r="E512" s="283">
        <v>0</v>
      </c>
      <c r="F512" s="284"/>
      <c r="G512" s="337">
        <f t="shared" si="678"/>
        <v>0</v>
      </c>
      <c r="H512" s="285">
        <v>0</v>
      </c>
      <c r="I512" s="285">
        <v>0</v>
      </c>
      <c r="J512" s="356" t="str">
        <f>IFERROR(G512/#REF!,"-")</f>
        <v>-</v>
      </c>
      <c r="K512" s="337">
        <f t="shared" si="679"/>
        <v>0</v>
      </c>
      <c r="L512" s="275">
        <f t="shared" si="680"/>
        <v>0</v>
      </c>
      <c r="M512" s="276">
        <f t="shared" si="680"/>
        <v>0</v>
      </c>
      <c r="N512" s="341" t="str">
        <f t="shared" si="674"/>
        <v>-</v>
      </c>
      <c r="O512" s="350" t="str">
        <f t="shared" si="675"/>
        <v>-</v>
      </c>
    </row>
    <row r="513" spans="1:15" ht="24" thickBot="1" x14ac:dyDescent="0.35">
      <c r="A513" s="277" t="s">
        <v>109</v>
      </c>
      <c r="B513" s="967" t="s">
        <v>38</v>
      </c>
      <c r="C513" s="968"/>
      <c r="D513" s="969"/>
      <c r="E513" s="287">
        <f>SUM(E509:E512)</f>
        <v>64360</v>
      </c>
      <c r="F513" s="288">
        <v>6500</v>
      </c>
      <c r="G513" s="323">
        <f>SUM(G509:G512)</f>
        <v>0</v>
      </c>
      <c r="H513" s="324">
        <f t="shared" ref="H513:I513" si="681">SUM(H509:H512)</f>
        <v>0</v>
      </c>
      <c r="I513" s="324">
        <f t="shared" si="681"/>
        <v>0</v>
      </c>
      <c r="J513" s="348" t="str">
        <f>IFERROR(G513/#REF!,"-")</f>
        <v>-</v>
      </c>
      <c r="K513" s="323">
        <f t="shared" ref="K513:M513" si="682">SUM(K509:K512)</f>
        <v>0</v>
      </c>
      <c r="L513" s="324">
        <f t="shared" si="682"/>
        <v>0</v>
      </c>
      <c r="M513" s="325">
        <f t="shared" si="682"/>
        <v>0</v>
      </c>
      <c r="N513" s="342">
        <f>IFERROR(K513/E513,"-")</f>
        <v>0</v>
      </c>
      <c r="O513" s="348" t="str">
        <f t="shared" si="675"/>
        <v>-</v>
      </c>
    </row>
    <row r="514" spans="1:15" ht="23.4" x14ac:dyDescent="0.3">
      <c r="A514" s="277" t="s">
        <v>109</v>
      </c>
      <c r="B514" s="970" t="s">
        <v>39</v>
      </c>
      <c r="C514" s="317" t="s">
        <v>123</v>
      </c>
      <c r="D514" s="317"/>
      <c r="E514" s="273">
        <v>39800</v>
      </c>
      <c r="F514" s="274"/>
      <c r="G514" s="335">
        <f t="shared" ref="G514:G515" si="683">+H514+I514</f>
        <v>0</v>
      </c>
      <c r="H514" s="275">
        <v>0</v>
      </c>
      <c r="I514" s="275">
        <v>0</v>
      </c>
      <c r="J514" s="354" t="str">
        <f>IFERROR(G514/#REF!,"-")</f>
        <v>-</v>
      </c>
      <c r="K514" s="335">
        <f t="shared" ref="K514:K515" si="684">+L514+M514</f>
        <v>144</v>
      </c>
      <c r="L514" s="275">
        <f>+H514+L408</f>
        <v>144</v>
      </c>
      <c r="M514" s="276">
        <f>+I514+M408</f>
        <v>0</v>
      </c>
      <c r="N514" s="339">
        <f t="shared" ref="N514:N530" si="685">IFERROR(K514/E514,"-")</f>
        <v>3.6180904522613066E-3</v>
      </c>
      <c r="O514" s="349">
        <f t="shared" si="675"/>
        <v>0</v>
      </c>
    </row>
    <row r="515" spans="1:15" ht="24" thickBot="1" x14ac:dyDescent="0.35">
      <c r="A515" s="277" t="s">
        <v>109</v>
      </c>
      <c r="B515" s="971"/>
      <c r="C515" s="289" t="s">
        <v>139</v>
      </c>
      <c r="D515" s="289"/>
      <c r="E515" s="283">
        <v>0</v>
      </c>
      <c r="F515" s="284"/>
      <c r="G515" s="337">
        <f t="shared" si="683"/>
        <v>0</v>
      </c>
      <c r="H515" s="285">
        <v>0</v>
      </c>
      <c r="I515" s="285">
        <v>0</v>
      </c>
      <c r="J515" s="356" t="str">
        <f>IFERROR(G515/#REF!,"-")</f>
        <v>-</v>
      </c>
      <c r="K515" s="337">
        <f t="shared" si="684"/>
        <v>240</v>
      </c>
      <c r="L515" s="275">
        <f>+H515+L409</f>
        <v>240</v>
      </c>
      <c r="M515" s="276">
        <f>+I515+M409</f>
        <v>0</v>
      </c>
      <c r="N515" s="341" t="str">
        <f t="shared" si="685"/>
        <v>-</v>
      </c>
      <c r="O515" s="350">
        <f t="shared" si="675"/>
        <v>0</v>
      </c>
    </row>
    <row r="516" spans="1:15" ht="24" thickBot="1" x14ac:dyDescent="0.35">
      <c r="A516" s="768" t="s">
        <v>109</v>
      </c>
      <c r="B516" s="967" t="s">
        <v>40</v>
      </c>
      <c r="C516" s="968"/>
      <c r="D516" s="969"/>
      <c r="E516" s="287">
        <f>SUM(E514:E515)</f>
        <v>39800</v>
      </c>
      <c r="F516" s="288">
        <v>2800</v>
      </c>
      <c r="G516" s="323">
        <f>SUM(G514:G515)</f>
        <v>0</v>
      </c>
      <c r="H516" s="324">
        <f t="shared" ref="H516:I516" si="686">SUM(H514:H515)</f>
        <v>0</v>
      </c>
      <c r="I516" s="324">
        <f t="shared" si="686"/>
        <v>0</v>
      </c>
      <c r="J516" s="348" t="str">
        <f>IFERROR(G516/#REF!,"-")</f>
        <v>-</v>
      </c>
      <c r="K516" s="323">
        <f t="shared" ref="K516:M516" si="687">SUM(K514:K515)</f>
        <v>384</v>
      </c>
      <c r="L516" s="324">
        <f t="shared" si="687"/>
        <v>384</v>
      </c>
      <c r="M516" s="325">
        <f t="shared" si="687"/>
        <v>0</v>
      </c>
      <c r="N516" s="342">
        <f t="shared" si="685"/>
        <v>9.6482412060301514E-3</v>
      </c>
      <c r="O516" s="348">
        <f t="shared" si="675"/>
        <v>0</v>
      </c>
    </row>
    <row r="517" spans="1:15" ht="23.4" x14ac:dyDescent="0.3">
      <c r="A517" s="277" t="s">
        <v>109</v>
      </c>
      <c r="B517" s="970" t="s">
        <v>41</v>
      </c>
      <c r="C517" s="272" t="s">
        <v>335</v>
      </c>
      <c r="D517" s="272"/>
      <c r="E517" s="273">
        <v>916640</v>
      </c>
      <c r="F517" s="318"/>
      <c r="G517" s="335">
        <f t="shared" ref="G517:G521" si="688">+H517+I517</f>
        <v>17190</v>
      </c>
      <c r="H517" s="275">
        <v>16800</v>
      </c>
      <c r="I517" s="275">
        <v>390</v>
      </c>
      <c r="J517" s="374" t="str">
        <f>IFERROR(G517/#REF!,"-")</f>
        <v>-</v>
      </c>
      <c r="K517" s="335">
        <f t="shared" ref="K517:K521" si="689">+L517+M517</f>
        <v>94683</v>
      </c>
      <c r="L517" s="275">
        <f t="shared" ref="L517:M521" si="690">+H517+L411</f>
        <v>93120</v>
      </c>
      <c r="M517" s="275">
        <f t="shared" si="690"/>
        <v>1563</v>
      </c>
      <c r="N517" s="362">
        <f t="shared" si="685"/>
        <v>0.1032935503578286</v>
      </c>
      <c r="O517" s="363">
        <f t="shared" si="675"/>
        <v>1.6507715218148981E-2</v>
      </c>
    </row>
    <row r="518" spans="1:15" ht="23.4" x14ac:dyDescent="0.3">
      <c r="A518" s="277" t="s">
        <v>109</v>
      </c>
      <c r="B518" s="972"/>
      <c r="C518" s="272" t="s">
        <v>336</v>
      </c>
      <c r="D518" s="278"/>
      <c r="E518" s="279">
        <v>0</v>
      </c>
      <c r="F518" s="319"/>
      <c r="G518" s="336">
        <f t="shared" si="688"/>
        <v>0</v>
      </c>
      <c r="H518" s="281">
        <v>0</v>
      </c>
      <c r="I518" s="281">
        <v>0</v>
      </c>
      <c r="J518" s="375" t="str">
        <f>IFERROR(G518/#REF!,"-")</f>
        <v>-</v>
      </c>
      <c r="K518" s="336">
        <f t="shared" si="689"/>
        <v>0</v>
      </c>
      <c r="L518" s="275">
        <f t="shared" si="690"/>
        <v>0</v>
      </c>
      <c r="M518" s="276">
        <f t="shared" si="690"/>
        <v>0</v>
      </c>
      <c r="N518" s="364" t="str">
        <f t="shared" si="685"/>
        <v>-</v>
      </c>
      <c r="O518" s="365" t="str">
        <f t="shared" si="675"/>
        <v>-</v>
      </c>
    </row>
    <row r="519" spans="1:15" ht="23.4" x14ac:dyDescent="0.3">
      <c r="A519" s="277" t="s">
        <v>109</v>
      </c>
      <c r="B519" s="972"/>
      <c r="C519" s="278" t="s">
        <v>383</v>
      </c>
      <c r="D519" s="278"/>
      <c r="E519" s="279">
        <v>40000</v>
      </c>
      <c r="F519" s="319"/>
      <c r="G519" s="336">
        <f t="shared" si="688"/>
        <v>0</v>
      </c>
      <c r="H519" s="281">
        <v>0</v>
      </c>
      <c r="I519" s="281">
        <v>0</v>
      </c>
      <c r="J519" s="375" t="str">
        <f>IFERROR(G519/#REF!,"-")</f>
        <v>-</v>
      </c>
      <c r="K519" s="336">
        <f t="shared" si="689"/>
        <v>0</v>
      </c>
      <c r="L519" s="275">
        <f t="shared" si="690"/>
        <v>0</v>
      </c>
      <c r="M519" s="276">
        <f t="shared" si="690"/>
        <v>0</v>
      </c>
      <c r="N519" s="364">
        <f t="shared" si="685"/>
        <v>0</v>
      </c>
      <c r="O519" s="365" t="str">
        <f t="shared" si="675"/>
        <v>-</v>
      </c>
    </row>
    <row r="520" spans="1:15" ht="23.4" x14ac:dyDescent="0.3">
      <c r="A520" s="277" t="s">
        <v>109</v>
      </c>
      <c r="B520" s="972"/>
      <c r="C520" s="278" t="s">
        <v>165</v>
      </c>
      <c r="D520" s="278"/>
      <c r="E520" s="279">
        <v>0</v>
      </c>
      <c r="F520" s="319"/>
      <c r="G520" s="336">
        <f t="shared" si="688"/>
        <v>0</v>
      </c>
      <c r="H520" s="281">
        <v>0</v>
      </c>
      <c r="I520" s="281">
        <v>0</v>
      </c>
      <c r="J520" s="375" t="str">
        <f>IFERROR(G520/#REF!,"-")</f>
        <v>-</v>
      </c>
      <c r="K520" s="336">
        <f t="shared" si="689"/>
        <v>0</v>
      </c>
      <c r="L520" s="275">
        <f t="shared" si="690"/>
        <v>0</v>
      </c>
      <c r="M520" s="276">
        <f t="shared" si="690"/>
        <v>0</v>
      </c>
      <c r="N520" s="364" t="str">
        <f t="shared" si="685"/>
        <v>-</v>
      </c>
      <c r="O520" s="365" t="str">
        <f t="shared" si="675"/>
        <v>-</v>
      </c>
    </row>
    <row r="521" spans="1:15" ht="24" thickBot="1" x14ac:dyDescent="0.35">
      <c r="A521" s="277" t="s">
        <v>109</v>
      </c>
      <c r="B521" s="971"/>
      <c r="C521" s="282" t="s">
        <v>166</v>
      </c>
      <c r="D521" s="282"/>
      <c r="E521" s="283">
        <v>0</v>
      </c>
      <c r="F521" s="320"/>
      <c r="G521" s="337">
        <f t="shared" si="688"/>
        <v>0</v>
      </c>
      <c r="H521" s="285">
        <v>0</v>
      </c>
      <c r="I521" s="285">
        <v>0</v>
      </c>
      <c r="J521" s="376" t="str">
        <f>IFERROR(G521/#REF!,"-")</f>
        <v>-</v>
      </c>
      <c r="K521" s="337">
        <f t="shared" si="689"/>
        <v>0</v>
      </c>
      <c r="L521" s="275">
        <f t="shared" si="690"/>
        <v>0</v>
      </c>
      <c r="M521" s="276">
        <f t="shared" si="690"/>
        <v>0</v>
      </c>
      <c r="N521" s="366" t="str">
        <f t="shared" si="685"/>
        <v>-</v>
      </c>
      <c r="O521" s="367" t="str">
        <f t="shared" si="675"/>
        <v>-</v>
      </c>
    </row>
    <row r="522" spans="1:15" ht="24" thickBot="1" x14ac:dyDescent="0.35">
      <c r="A522" s="277" t="s">
        <v>109</v>
      </c>
      <c r="B522" s="967" t="s">
        <v>42</v>
      </c>
      <c r="C522" s="968"/>
      <c r="D522" s="969"/>
      <c r="E522" s="323">
        <f>SUM(E517:E521)</f>
        <v>956640</v>
      </c>
      <c r="F522" s="288">
        <v>25000</v>
      </c>
      <c r="G522" s="323">
        <f>SUM(G518:G521)</f>
        <v>0</v>
      </c>
      <c r="H522" s="324">
        <f>SUM(H517:H521)</f>
        <v>16800</v>
      </c>
      <c r="I522" s="324">
        <f t="shared" ref="I522" si="691">SUM(I518:I521)</f>
        <v>0</v>
      </c>
      <c r="J522" s="348" t="str">
        <f>IFERROR(G522/#REF!,"-")</f>
        <v>-</v>
      </c>
      <c r="K522" s="323">
        <f>SUM(K517:K521)</f>
        <v>94683</v>
      </c>
      <c r="L522" s="324">
        <f>SUM(L517:L521)</f>
        <v>93120</v>
      </c>
      <c r="M522" s="325">
        <f>SUM(M517:M521)</f>
        <v>1563</v>
      </c>
      <c r="N522" s="342">
        <f t="shared" si="685"/>
        <v>9.8974535875564471E-2</v>
      </c>
      <c r="O522" s="348">
        <f t="shared" si="675"/>
        <v>1.6507715218148981E-2</v>
      </c>
    </row>
    <row r="523" spans="1:15" ht="23.4" x14ac:dyDescent="0.3">
      <c r="A523" s="277" t="s">
        <v>109</v>
      </c>
      <c r="B523" s="970" t="s">
        <v>43</v>
      </c>
      <c r="C523" s="272" t="s">
        <v>200</v>
      </c>
      <c r="D523" s="272"/>
      <c r="E523" s="273">
        <v>0</v>
      </c>
      <c r="F523" s="274"/>
      <c r="G523" s="335">
        <f t="shared" ref="G523:G525" si="692">+H523+I523</f>
        <v>0</v>
      </c>
      <c r="H523" s="275">
        <v>0</v>
      </c>
      <c r="I523" s="275">
        <v>0</v>
      </c>
      <c r="J523" s="354" t="str">
        <f>IFERROR(G523/#REF!,"-")</f>
        <v>-</v>
      </c>
      <c r="K523" s="335">
        <f t="shared" ref="K523:K525" si="693">+L523+M523</f>
        <v>0</v>
      </c>
      <c r="L523" s="275">
        <f t="shared" ref="L523:M525" si="694">+H523+L417</f>
        <v>0</v>
      </c>
      <c r="M523" s="276">
        <f t="shared" si="694"/>
        <v>0</v>
      </c>
      <c r="N523" s="339" t="str">
        <f t="shared" si="685"/>
        <v>-</v>
      </c>
      <c r="O523" s="349" t="str">
        <f t="shared" si="675"/>
        <v>-</v>
      </c>
    </row>
    <row r="524" spans="1:15" ht="23.4" x14ac:dyDescent="0.3">
      <c r="A524" s="277" t="s">
        <v>109</v>
      </c>
      <c r="B524" s="972"/>
      <c r="C524" s="278" t="s">
        <v>167</v>
      </c>
      <c r="D524" s="278"/>
      <c r="E524" s="279">
        <v>50000</v>
      </c>
      <c r="F524" s="280"/>
      <c r="G524" s="336">
        <f t="shared" si="692"/>
        <v>3042</v>
      </c>
      <c r="H524" s="281">
        <v>2880</v>
      </c>
      <c r="I524" s="281">
        <v>162</v>
      </c>
      <c r="J524" s="375" t="str">
        <f>IFERROR(G524/#REF!,"-")</f>
        <v>-</v>
      </c>
      <c r="K524" s="336">
        <f t="shared" si="693"/>
        <v>44650</v>
      </c>
      <c r="L524" s="729">
        <f t="shared" si="694"/>
        <v>43200</v>
      </c>
      <c r="M524" s="276">
        <f t="shared" si="694"/>
        <v>1450</v>
      </c>
      <c r="N524" s="364">
        <f t="shared" si="685"/>
        <v>0.89300000000000002</v>
      </c>
      <c r="O524" s="365">
        <f t="shared" si="675"/>
        <v>3.2474804031354984E-2</v>
      </c>
    </row>
    <row r="525" spans="1:15" ht="24" thickBot="1" x14ac:dyDescent="0.35">
      <c r="A525" s="277" t="s">
        <v>109</v>
      </c>
      <c r="B525" s="971"/>
      <c r="C525" s="282" t="s">
        <v>200</v>
      </c>
      <c r="D525" s="282"/>
      <c r="E525" s="283">
        <v>0</v>
      </c>
      <c r="F525" s="284"/>
      <c r="G525" s="337">
        <f t="shared" si="692"/>
        <v>0</v>
      </c>
      <c r="H525" s="285">
        <v>0</v>
      </c>
      <c r="I525" s="285">
        <v>0</v>
      </c>
      <c r="J525" s="376" t="str">
        <f>IFERROR(G525/#REF!,"-")</f>
        <v>-</v>
      </c>
      <c r="K525" s="337">
        <f t="shared" si="693"/>
        <v>0</v>
      </c>
      <c r="L525" s="275">
        <f t="shared" si="694"/>
        <v>0</v>
      </c>
      <c r="M525" s="276">
        <f t="shared" si="694"/>
        <v>0</v>
      </c>
      <c r="N525" s="366" t="str">
        <f t="shared" si="685"/>
        <v>-</v>
      </c>
      <c r="O525" s="367" t="str">
        <f t="shared" si="675"/>
        <v>-</v>
      </c>
    </row>
    <row r="526" spans="1:15" ht="24" thickBot="1" x14ac:dyDescent="0.35">
      <c r="A526" s="277" t="s">
        <v>109</v>
      </c>
      <c r="B526" s="973" t="s">
        <v>44</v>
      </c>
      <c r="C526" s="974"/>
      <c r="D526" s="975"/>
      <c r="E526" s="323">
        <f>SUM(E523:E525)</f>
        <v>50000</v>
      </c>
      <c r="F526" s="288"/>
      <c r="G526" s="323">
        <f>SUM(G523:G525)</f>
        <v>3042</v>
      </c>
      <c r="H526" s="324">
        <f t="shared" ref="H526:I526" si="695">SUM(H523:H525)</f>
        <v>2880</v>
      </c>
      <c r="I526" s="324">
        <f t="shared" si="695"/>
        <v>162</v>
      </c>
      <c r="J526" s="348" t="str">
        <f>IFERROR(G526/#REF!,"-")</f>
        <v>-</v>
      </c>
      <c r="K526" s="323">
        <f t="shared" ref="K526:M526" si="696">SUM(K523:K525)</f>
        <v>44650</v>
      </c>
      <c r="L526" s="368">
        <f t="shared" si="696"/>
        <v>43200</v>
      </c>
      <c r="M526" s="370">
        <f t="shared" si="696"/>
        <v>1450</v>
      </c>
      <c r="N526" s="342">
        <f t="shared" si="685"/>
        <v>0.89300000000000002</v>
      </c>
      <c r="O526" s="348">
        <f t="shared" si="675"/>
        <v>3.2474804031354984E-2</v>
      </c>
    </row>
    <row r="527" spans="1:15" ht="23.4" x14ac:dyDescent="0.3">
      <c r="A527" s="277" t="s">
        <v>109</v>
      </c>
      <c r="B527" s="970" t="s">
        <v>45</v>
      </c>
      <c r="C527" s="272" t="s">
        <v>168</v>
      </c>
      <c r="D527" s="272"/>
      <c r="E527" s="273">
        <v>0</v>
      </c>
      <c r="F527" s="274"/>
      <c r="G527" s="335">
        <f t="shared" ref="G527:G528" si="697">+H527+I527</f>
        <v>0</v>
      </c>
      <c r="H527" s="275">
        <v>0</v>
      </c>
      <c r="I527" s="275">
        <v>0</v>
      </c>
      <c r="J527" s="374" t="str">
        <f>IFERROR(G527/#REF!,"-")</f>
        <v>-</v>
      </c>
      <c r="K527" s="739">
        <f t="shared" ref="K527:K528" si="698">+L527+M527</f>
        <v>0</v>
      </c>
      <c r="L527" s="532">
        <f>+H527+L421</f>
        <v>0</v>
      </c>
      <c r="M527" s="247">
        <f>+I527+M421</f>
        <v>0</v>
      </c>
      <c r="N527" s="362" t="str">
        <f t="shared" si="685"/>
        <v>-</v>
      </c>
      <c r="O527" s="363" t="str">
        <f t="shared" si="675"/>
        <v>-</v>
      </c>
    </row>
    <row r="528" spans="1:15" ht="24" thickBot="1" x14ac:dyDescent="0.35">
      <c r="A528" s="277" t="s">
        <v>109</v>
      </c>
      <c r="B528" s="971"/>
      <c r="C528" s="282" t="s">
        <v>169</v>
      </c>
      <c r="D528" s="282"/>
      <c r="E528" s="283">
        <v>0</v>
      </c>
      <c r="F528" s="284"/>
      <c r="G528" s="337">
        <f t="shared" si="697"/>
        <v>0</v>
      </c>
      <c r="H528" s="285">
        <v>0</v>
      </c>
      <c r="I528" s="285">
        <v>0</v>
      </c>
      <c r="J528" s="376" t="str">
        <f>IFERROR(G528/#REF!,"-")</f>
        <v>-</v>
      </c>
      <c r="K528" s="740">
        <f t="shared" si="698"/>
        <v>0</v>
      </c>
      <c r="L528" s="535">
        <f>+H528+L422</f>
        <v>0</v>
      </c>
      <c r="M528" s="258">
        <f>+I528+M422</f>
        <v>0</v>
      </c>
      <c r="N528" s="366" t="str">
        <f t="shared" si="685"/>
        <v>-</v>
      </c>
      <c r="O528" s="367" t="str">
        <f t="shared" si="675"/>
        <v>-</v>
      </c>
    </row>
    <row r="529" spans="1:15" ht="24" thickBot="1" x14ac:dyDescent="0.35">
      <c r="A529" s="277" t="s">
        <v>109</v>
      </c>
      <c r="B529" s="973" t="s">
        <v>46</v>
      </c>
      <c r="C529" s="974"/>
      <c r="D529" s="975"/>
      <c r="E529" s="287">
        <v>0</v>
      </c>
      <c r="F529" s="288">
        <v>25000</v>
      </c>
      <c r="G529" s="323">
        <f>SUM(G527:G528)</f>
        <v>0</v>
      </c>
      <c r="H529" s="324">
        <f t="shared" ref="H529:I529" si="699">SUM(H527:H528)</f>
        <v>0</v>
      </c>
      <c r="I529" s="324">
        <f t="shared" si="699"/>
        <v>0</v>
      </c>
      <c r="J529" s="348" t="str">
        <f>IFERROR(G529/#REF!,"-")</f>
        <v>-</v>
      </c>
      <c r="K529" s="323">
        <f t="shared" ref="K529:M529" si="700">SUM(K527:K528)</f>
        <v>0</v>
      </c>
      <c r="L529" s="524">
        <f t="shared" si="700"/>
        <v>0</v>
      </c>
      <c r="M529" s="733">
        <f t="shared" si="700"/>
        <v>0</v>
      </c>
      <c r="N529" s="342" t="str">
        <f t="shared" si="685"/>
        <v>-</v>
      </c>
      <c r="O529" s="348" t="str">
        <f t="shared" si="675"/>
        <v>-</v>
      </c>
    </row>
    <row r="530" spans="1:15" ht="24" thickBot="1" x14ac:dyDescent="0.35">
      <c r="A530" s="277" t="s">
        <v>109</v>
      </c>
      <c r="B530" s="959" t="s">
        <v>25</v>
      </c>
      <c r="C530" s="960"/>
      <c r="D530" s="961"/>
      <c r="E530" s="329">
        <f t="shared" ref="E530:F530" si="701">+E508+E513+E516+E522+E526+E529</f>
        <v>1144800</v>
      </c>
      <c r="F530" s="330">
        <f t="shared" si="701"/>
        <v>59300</v>
      </c>
      <c r="G530" s="329">
        <f>+G508+G513+G516+G522+G526+G529</f>
        <v>8186</v>
      </c>
      <c r="H530" s="327">
        <f>+H508+H513+H516+H522+H526+H529</f>
        <v>24800</v>
      </c>
      <c r="I530" s="327">
        <f t="shared" ref="I530" si="702">+I508+I513+I516+I522+I526+I529</f>
        <v>186</v>
      </c>
      <c r="J530" s="352" t="str">
        <f>IFERROR(G530/#REF!,"-")</f>
        <v>-</v>
      </c>
      <c r="K530" s="329">
        <f>+K508+K513+K516+K522+K526+K529</f>
        <v>146831</v>
      </c>
      <c r="L530" s="327">
        <f t="shared" ref="L530:M530" si="703">+L508+L513+L516+L522+L526+L529</f>
        <v>143744</v>
      </c>
      <c r="M530" s="328">
        <f t="shared" si="703"/>
        <v>3087</v>
      </c>
      <c r="N530" s="344">
        <f t="shared" si="685"/>
        <v>0.12825908455625437</v>
      </c>
      <c r="O530" s="352">
        <f t="shared" si="675"/>
        <v>2.1024170645163487E-2</v>
      </c>
    </row>
    <row r="531" spans="1:15" ht="24" thickBot="1" x14ac:dyDescent="0.35">
      <c r="A531" s="321" t="s">
        <v>109</v>
      </c>
      <c r="B531" s="962" t="s">
        <v>181</v>
      </c>
      <c r="C531" s="962"/>
      <c r="D531" s="963"/>
      <c r="E531" s="333">
        <f>+E530</f>
        <v>1144800</v>
      </c>
      <c r="F531" s="334">
        <f t="shared" ref="F531:O531" si="704">+F530</f>
        <v>59300</v>
      </c>
      <c r="G531" s="333">
        <f t="shared" si="704"/>
        <v>8186</v>
      </c>
      <c r="H531" s="331">
        <f t="shared" si="704"/>
        <v>24800</v>
      </c>
      <c r="I531" s="331">
        <f t="shared" si="704"/>
        <v>186</v>
      </c>
      <c r="J531" s="353" t="str">
        <f t="shared" si="704"/>
        <v>-</v>
      </c>
      <c r="K531" s="333">
        <f t="shared" si="704"/>
        <v>146831</v>
      </c>
      <c r="L531" s="331">
        <f t="shared" si="704"/>
        <v>143744</v>
      </c>
      <c r="M531" s="332">
        <f t="shared" si="704"/>
        <v>3087</v>
      </c>
      <c r="N531" s="345">
        <f t="shared" si="704"/>
        <v>0.12825908455625437</v>
      </c>
      <c r="O531" s="353">
        <f t="shared" si="704"/>
        <v>2.1024170645163487E-2</v>
      </c>
    </row>
    <row r="532" spans="1:15" ht="24.6" thickBot="1" x14ac:dyDescent="0.35">
      <c r="A532" s="322"/>
      <c r="B532" s="964" t="s">
        <v>182</v>
      </c>
      <c r="C532" s="965"/>
      <c r="D532" s="966"/>
      <c r="E532" s="377">
        <f>+E475+E504+E531</f>
        <v>10258981</v>
      </c>
      <c r="F532" s="377">
        <f>+F475+F504+F531</f>
        <v>748300</v>
      </c>
      <c r="G532" s="377">
        <f>+G475+G504+G531</f>
        <v>386341</v>
      </c>
      <c r="H532" s="377">
        <f>+H475+H504+H531</f>
        <v>398268</v>
      </c>
      <c r="I532" s="377">
        <f>+I475+I504+I531</f>
        <v>4873</v>
      </c>
      <c r="J532" s="378" t="str">
        <f>IFERROR(G532/#REF!,"-")</f>
        <v>-</v>
      </c>
      <c r="K532" s="377">
        <f>+K475+K504+K531</f>
        <v>2098110</v>
      </c>
      <c r="L532" s="377">
        <f>+L475+L504+L531</f>
        <v>2077198</v>
      </c>
      <c r="M532" s="377">
        <f>+M475+M504+M531</f>
        <v>20912</v>
      </c>
      <c r="N532" s="378">
        <f>IFERROR(K532/E532,"-")</f>
        <v>0.20451446396089437</v>
      </c>
      <c r="O532" s="378">
        <f>IFERROR(M532/K532,"-")</f>
        <v>9.9670655971326582E-3</v>
      </c>
    </row>
    <row r="533" spans="1:15" ht="23.4" x14ac:dyDescent="0.3">
      <c r="A533" s="991" t="s">
        <v>1</v>
      </c>
      <c r="B533" s="994" t="s">
        <v>2</v>
      </c>
      <c r="C533" s="997" t="s">
        <v>3</v>
      </c>
      <c r="D533" s="997" t="s">
        <v>93</v>
      </c>
      <c r="E533" s="1000" t="s">
        <v>4</v>
      </c>
      <c r="F533" s="1001"/>
      <c r="G533" s="1001"/>
      <c r="H533" s="1001"/>
      <c r="I533" s="1001"/>
      <c r="J533" s="1001"/>
      <c r="K533" s="1001"/>
      <c r="L533" s="1001"/>
      <c r="M533" s="1001"/>
      <c r="N533" s="1001"/>
      <c r="O533" s="1002"/>
    </row>
    <row r="534" spans="1:15" ht="23.4" x14ac:dyDescent="0.3">
      <c r="A534" s="992"/>
      <c r="B534" s="995"/>
      <c r="C534" s="998"/>
      <c r="D534" s="998"/>
      <c r="E534" s="1003" t="s">
        <v>7</v>
      </c>
      <c r="F534" s="1005" t="s">
        <v>115</v>
      </c>
      <c r="G534" s="1007">
        <v>44538</v>
      </c>
      <c r="H534" s="1008"/>
      <c r="I534" s="1008"/>
      <c r="J534" s="1009"/>
      <c r="K534" s="1010" t="s">
        <v>8</v>
      </c>
      <c r="L534" s="1011"/>
      <c r="M534" s="1012"/>
      <c r="N534" s="1013" t="s">
        <v>173</v>
      </c>
      <c r="O534" s="1015" t="s">
        <v>172</v>
      </c>
    </row>
    <row r="535" spans="1:15" ht="41.4" thickBot="1" x14ac:dyDescent="0.35">
      <c r="A535" s="993"/>
      <c r="B535" s="996"/>
      <c r="C535" s="999"/>
      <c r="D535" s="999"/>
      <c r="E535" s="1004"/>
      <c r="F535" s="1006"/>
      <c r="G535" s="455" t="s">
        <v>13</v>
      </c>
      <c r="H535" s="456" t="s">
        <v>14</v>
      </c>
      <c r="I535" s="456" t="s">
        <v>15</v>
      </c>
      <c r="J535" s="457" t="s">
        <v>174</v>
      </c>
      <c r="K535" s="712" t="s">
        <v>13</v>
      </c>
      <c r="L535" s="710" t="s">
        <v>14</v>
      </c>
      <c r="M535" s="711" t="s">
        <v>15</v>
      </c>
      <c r="N535" s="1014"/>
      <c r="O535" s="1016"/>
    </row>
    <row r="536" spans="1:15" ht="24" thickBot="1" x14ac:dyDescent="0.35">
      <c r="A536" s="271" t="s">
        <v>110</v>
      </c>
      <c r="B536" s="956" t="s">
        <v>16</v>
      </c>
      <c r="C536" s="272" t="s">
        <v>424</v>
      </c>
      <c r="D536" s="272" t="s">
        <v>425</v>
      </c>
      <c r="E536" s="273">
        <v>20000</v>
      </c>
      <c r="F536" s="274"/>
      <c r="G536" s="335">
        <f>+H536+I536</f>
        <v>274</v>
      </c>
      <c r="H536" s="275">
        <v>274</v>
      </c>
      <c r="I536" s="275">
        <v>0</v>
      </c>
      <c r="J536" s="354"/>
      <c r="K536" s="461">
        <f>+L536+M536</f>
        <v>20432</v>
      </c>
      <c r="L536" s="732">
        <f>+H536+L430</f>
        <v>19840</v>
      </c>
      <c r="M536" s="732">
        <f>+I536+M430</f>
        <v>592</v>
      </c>
      <c r="N536" s="339">
        <f>IFERROR(K536/E536,"-")</f>
        <v>1.0216000000000001</v>
      </c>
      <c r="O536" s="346">
        <f t="shared" ref="O536:O537" si="705">IFERROR(M536/K536,"-")</f>
        <v>2.8974158183241974E-2</v>
      </c>
    </row>
    <row r="537" spans="1:15" ht="23.4" x14ac:dyDescent="0.3">
      <c r="A537" s="277" t="s">
        <v>110</v>
      </c>
      <c r="B537" s="957"/>
      <c r="C537" s="278" t="s">
        <v>438</v>
      </c>
      <c r="D537" s="278" t="s">
        <v>437</v>
      </c>
      <c r="E537" s="279">
        <v>50000</v>
      </c>
      <c r="F537" s="280"/>
      <c r="G537" s="336">
        <f t="shared" ref="G537:G539" si="706">+H537+I537</f>
        <v>15470</v>
      </c>
      <c r="H537" s="281">
        <v>15360</v>
      </c>
      <c r="I537" s="281">
        <v>110</v>
      </c>
      <c r="J537" s="355" t="str">
        <f>IFERROR(G537/#REF!,"-")</f>
        <v>-</v>
      </c>
      <c r="K537" s="734">
        <f t="shared" ref="K537:K539" si="707">+L537+M537</f>
        <v>39653</v>
      </c>
      <c r="L537" s="532">
        <f t="shared" ref="L537:M537" si="708">+H537+L431</f>
        <v>39360</v>
      </c>
      <c r="M537" s="463">
        <f t="shared" si="708"/>
        <v>293</v>
      </c>
      <c r="N537" s="340">
        <f t="shared" ref="N537:N539" si="709">IFERROR(K537/E537,"-")</f>
        <v>0.79305999999999999</v>
      </c>
      <c r="O537" s="268">
        <f t="shared" si="705"/>
        <v>7.3891004463722794E-3</v>
      </c>
    </row>
    <row r="538" spans="1:15" ht="23.4" x14ac:dyDescent="0.3">
      <c r="A538" s="277" t="s">
        <v>110</v>
      </c>
      <c r="B538" s="957"/>
      <c r="C538" s="278" t="s">
        <v>186</v>
      </c>
      <c r="D538" s="278" t="s">
        <v>184</v>
      </c>
      <c r="E538" s="279">
        <v>0</v>
      </c>
      <c r="F538" s="280"/>
      <c r="G538" s="336">
        <f t="shared" si="706"/>
        <v>0</v>
      </c>
      <c r="H538" s="281">
        <v>0</v>
      </c>
      <c r="I538" s="281">
        <v>0</v>
      </c>
      <c r="J538" s="355" t="str">
        <f>IFERROR(G538/#REF!,"-")</f>
        <v>-</v>
      </c>
      <c r="K538" s="734">
        <f t="shared" si="707"/>
        <v>0</v>
      </c>
      <c r="L538" s="279">
        <f t="shared" ref="L538:M538" si="710">+H538+L432</f>
        <v>0</v>
      </c>
      <c r="M538" s="439">
        <f t="shared" si="710"/>
        <v>0</v>
      </c>
      <c r="N538" s="340" t="str">
        <f t="shared" si="709"/>
        <v>-</v>
      </c>
      <c r="O538" s="268" t="str">
        <f>IFERROR(M538/K538,"-")</f>
        <v>-</v>
      </c>
    </row>
    <row r="539" spans="1:15" ht="24" thickBot="1" x14ac:dyDescent="0.35">
      <c r="A539" s="277" t="s">
        <v>110</v>
      </c>
      <c r="B539" s="958"/>
      <c r="C539" s="282" t="s">
        <v>250</v>
      </c>
      <c r="D539" s="282" t="s">
        <v>436</v>
      </c>
      <c r="E539" s="283">
        <v>30000</v>
      </c>
      <c r="F539" s="284"/>
      <c r="G539" s="337">
        <f t="shared" si="706"/>
        <v>0</v>
      </c>
      <c r="H539" s="285">
        <v>0</v>
      </c>
      <c r="I539" s="285">
        <v>0</v>
      </c>
      <c r="J539" s="356" t="str">
        <f>IFERROR(G539/#REF!,"-")</f>
        <v>-</v>
      </c>
      <c r="K539" s="735">
        <f t="shared" si="707"/>
        <v>0</v>
      </c>
      <c r="L539" s="535">
        <f t="shared" ref="L539:M539" si="711">+H539+L433</f>
        <v>0</v>
      </c>
      <c r="M539" s="466">
        <f t="shared" si="711"/>
        <v>0</v>
      </c>
      <c r="N539" s="341">
        <f t="shared" si="709"/>
        <v>0</v>
      </c>
      <c r="O539" s="347" t="str">
        <f t="shared" ref="O539:O557" si="712">IFERROR(M539/K539,"-")</f>
        <v>-</v>
      </c>
    </row>
    <row r="540" spans="1:15" ht="24" thickBot="1" x14ac:dyDescent="0.35">
      <c r="A540" s="277" t="s">
        <v>110</v>
      </c>
      <c r="B540" s="967" t="s">
        <v>47</v>
      </c>
      <c r="C540" s="968"/>
      <c r="D540" s="969"/>
      <c r="E540" s="323">
        <f>SUM(E536:E539)</f>
        <v>100000</v>
      </c>
      <c r="F540" s="288">
        <v>15000</v>
      </c>
      <c r="G540" s="323">
        <f>SUM(G536:G539)</f>
        <v>15744</v>
      </c>
      <c r="H540" s="324">
        <f t="shared" ref="H540:I540" si="713">SUM(H536:H539)</f>
        <v>15634</v>
      </c>
      <c r="I540" s="324">
        <f t="shared" si="713"/>
        <v>110</v>
      </c>
      <c r="J540" s="348">
        <f>+G540/F540</f>
        <v>1.0496000000000001</v>
      </c>
      <c r="K540" s="323">
        <f t="shared" ref="K540:M540" si="714">SUM(K536:K539)</f>
        <v>60085</v>
      </c>
      <c r="L540" s="736">
        <f t="shared" si="714"/>
        <v>59200</v>
      </c>
      <c r="M540" s="737">
        <f t="shared" si="714"/>
        <v>885</v>
      </c>
      <c r="N540" s="342">
        <f>IFERROR(K540/E540,"-")</f>
        <v>0.60085</v>
      </c>
      <c r="O540" s="348">
        <f t="shared" si="712"/>
        <v>1.4729133727219772E-2</v>
      </c>
    </row>
    <row r="541" spans="1:15" ht="23.4" x14ac:dyDescent="0.3">
      <c r="A541" s="277" t="s">
        <v>110</v>
      </c>
      <c r="B541" s="956" t="s">
        <v>17</v>
      </c>
      <c r="C541" s="272" t="s">
        <v>320</v>
      </c>
      <c r="D541" s="272"/>
      <c r="E541" s="273">
        <v>0</v>
      </c>
      <c r="F541" s="274"/>
      <c r="G541" s="335">
        <f t="shared" ref="G541:G547" si="715">+H541+I541</f>
        <v>0</v>
      </c>
      <c r="H541" s="275">
        <v>0</v>
      </c>
      <c r="I541" s="275">
        <v>0</v>
      </c>
      <c r="J541" s="354" t="str">
        <f>IFERROR(G541/#REF!,"-")</f>
        <v>-</v>
      </c>
      <c r="K541" s="738">
        <f t="shared" ref="K541:K547" si="716">+L541+M541</f>
        <v>0</v>
      </c>
      <c r="L541" s="532">
        <f t="shared" ref="L541:M541" si="717">+H541+L435</f>
        <v>0</v>
      </c>
      <c r="M541" s="463">
        <f t="shared" si="717"/>
        <v>0</v>
      </c>
      <c r="N541" s="339" t="str">
        <f t="shared" ref="N541:N547" si="718">IFERROR(K541/E541,"-")</f>
        <v>-</v>
      </c>
      <c r="O541" s="349" t="str">
        <f t="shared" si="712"/>
        <v>-</v>
      </c>
    </row>
    <row r="542" spans="1:15" ht="23.4" x14ac:dyDescent="0.3">
      <c r="A542" s="277" t="s">
        <v>110</v>
      </c>
      <c r="B542" s="957"/>
      <c r="C542" s="278" t="s">
        <v>382</v>
      </c>
      <c r="D542" s="278" t="s">
        <v>252</v>
      </c>
      <c r="E542" s="279">
        <v>2000000</v>
      </c>
      <c r="F542" s="280"/>
      <c r="G542" s="336">
        <f t="shared" si="715"/>
        <v>93337</v>
      </c>
      <c r="H542" s="281">
        <v>91800</v>
      </c>
      <c r="I542" s="281">
        <v>1537</v>
      </c>
      <c r="J542" s="355" t="str">
        <f>IFERROR(G542/#REF!,"-")</f>
        <v>-</v>
      </c>
      <c r="K542" s="734">
        <f t="shared" si="716"/>
        <v>344839</v>
      </c>
      <c r="L542" s="279">
        <f t="shared" ref="L542:M542" si="719">+H542+L436</f>
        <v>342720</v>
      </c>
      <c r="M542" s="439">
        <f t="shared" si="719"/>
        <v>2119</v>
      </c>
      <c r="N542" s="340">
        <f t="shared" si="718"/>
        <v>0.1724195</v>
      </c>
      <c r="O542" s="264">
        <f t="shared" si="712"/>
        <v>6.1448966039224099E-3</v>
      </c>
    </row>
    <row r="543" spans="1:15" ht="23.4" x14ac:dyDescent="0.3">
      <c r="A543" s="277" t="s">
        <v>110</v>
      </c>
      <c r="B543" s="957"/>
      <c r="C543" s="278" t="s">
        <v>422</v>
      </c>
      <c r="D543" s="278" t="s">
        <v>201</v>
      </c>
      <c r="E543" s="279">
        <v>1000000</v>
      </c>
      <c r="F543" s="280"/>
      <c r="G543" s="336">
        <f t="shared" si="715"/>
        <v>0</v>
      </c>
      <c r="H543" s="281">
        <v>0</v>
      </c>
      <c r="I543" s="281">
        <v>0</v>
      </c>
      <c r="J543" s="355" t="str">
        <f>IFERROR(G543/#REF!,"-")</f>
        <v>-</v>
      </c>
      <c r="K543" s="734">
        <f t="shared" si="716"/>
        <v>453213</v>
      </c>
      <c r="L543" s="279">
        <f t="shared" ref="L543:M543" si="720">+H543+L437</f>
        <v>451656</v>
      </c>
      <c r="M543" s="439">
        <f t="shared" si="720"/>
        <v>1557</v>
      </c>
      <c r="N543" s="340">
        <f t="shared" si="718"/>
        <v>0.45321299999999998</v>
      </c>
      <c r="O543" s="264">
        <f t="shared" si="712"/>
        <v>3.435470738924082E-3</v>
      </c>
    </row>
    <row r="544" spans="1:15" ht="23.4" x14ac:dyDescent="0.3">
      <c r="A544" s="277" t="s">
        <v>110</v>
      </c>
      <c r="B544" s="957"/>
      <c r="C544" s="278" t="s">
        <v>319</v>
      </c>
      <c r="D544" s="278" t="s">
        <v>202</v>
      </c>
      <c r="E544" s="279">
        <v>0</v>
      </c>
      <c r="F544" s="280"/>
      <c r="G544" s="336">
        <f t="shared" si="715"/>
        <v>0</v>
      </c>
      <c r="H544" s="281">
        <v>0</v>
      </c>
      <c r="I544" s="281">
        <v>0</v>
      </c>
      <c r="J544" s="355" t="str">
        <f>IFERROR(G544/#REF!,"-")</f>
        <v>-</v>
      </c>
      <c r="K544" s="734">
        <f t="shared" si="716"/>
        <v>0</v>
      </c>
      <c r="L544" s="279">
        <f t="shared" ref="L544:M544" si="721">+H544+L438</f>
        <v>0</v>
      </c>
      <c r="M544" s="439">
        <f t="shared" si="721"/>
        <v>0</v>
      </c>
      <c r="N544" s="340" t="str">
        <f t="shared" si="718"/>
        <v>-</v>
      </c>
      <c r="O544" s="264" t="str">
        <f t="shared" si="712"/>
        <v>-</v>
      </c>
    </row>
    <row r="545" spans="1:15" ht="23.4" x14ac:dyDescent="0.3">
      <c r="A545" s="277" t="s">
        <v>110</v>
      </c>
      <c r="B545" s="957"/>
      <c r="C545" s="278" t="s">
        <v>358</v>
      </c>
      <c r="D545" s="278" t="s">
        <v>352</v>
      </c>
      <c r="E545" s="279">
        <v>500000</v>
      </c>
      <c r="F545" s="280"/>
      <c r="G545" s="336">
        <f t="shared" si="715"/>
        <v>0</v>
      </c>
      <c r="H545" s="281">
        <v>0</v>
      </c>
      <c r="I545" s="281">
        <v>0</v>
      </c>
      <c r="J545" s="355" t="str">
        <f>IFERROR(G545/#REF!,"-")</f>
        <v>-</v>
      </c>
      <c r="K545" s="734">
        <f t="shared" si="716"/>
        <v>0</v>
      </c>
      <c r="L545" s="279">
        <f t="shared" ref="L545:M545" si="722">+H545+L439</f>
        <v>0</v>
      </c>
      <c r="M545" s="439">
        <f t="shared" si="722"/>
        <v>0</v>
      </c>
      <c r="N545" s="340">
        <f t="shared" si="718"/>
        <v>0</v>
      </c>
      <c r="O545" s="264" t="str">
        <f t="shared" si="712"/>
        <v>-</v>
      </c>
    </row>
    <row r="546" spans="1:15" ht="23.4" x14ac:dyDescent="0.3">
      <c r="A546" s="277" t="s">
        <v>110</v>
      </c>
      <c r="B546" s="957"/>
      <c r="C546" s="278" t="s">
        <v>392</v>
      </c>
      <c r="D546" s="278" t="s">
        <v>203</v>
      </c>
      <c r="E546" s="279">
        <v>0</v>
      </c>
      <c r="F546" s="280"/>
      <c r="G546" s="336">
        <f t="shared" si="715"/>
        <v>0</v>
      </c>
      <c r="H546" s="281">
        <v>0</v>
      </c>
      <c r="I546" s="281">
        <v>0</v>
      </c>
      <c r="J546" s="355" t="str">
        <f>IFERROR(G546/#REF!,"-")</f>
        <v>-</v>
      </c>
      <c r="K546" s="734">
        <f t="shared" si="716"/>
        <v>0</v>
      </c>
      <c r="L546" s="279">
        <f t="shared" ref="L546:M546" si="723">+H546+L440</f>
        <v>0</v>
      </c>
      <c r="M546" s="439">
        <f t="shared" si="723"/>
        <v>0</v>
      </c>
      <c r="N546" s="340" t="str">
        <f t="shared" si="718"/>
        <v>-</v>
      </c>
      <c r="O546" s="264" t="str">
        <f t="shared" si="712"/>
        <v>-</v>
      </c>
    </row>
    <row r="547" spans="1:15" ht="24" thickBot="1" x14ac:dyDescent="0.35">
      <c r="A547" s="277" t="s">
        <v>110</v>
      </c>
      <c r="B547" s="958"/>
      <c r="C547" s="282" t="s">
        <v>379</v>
      </c>
      <c r="D547" s="282" t="s">
        <v>252</v>
      </c>
      <c r="E547" s="283">
        <v>0</v>
      </c>
      <c r="F547" s="284"/>
      <c r="G547" s="337">
        <f t="shared" si="715"/>
        <v>0</v>
      </c>
      <c r="H547" s="285">
        <v>0</v>
      </c>
      <c r="I547" s="285">
        <v>0</v>
      </c>
      <c r="J547" s="356" t="str">
        <f>IFERROR(G547/#REF!,"-")</f>
        <v>-</v>
      </c>
      <c r="K547" s="735">
        <f t="shared" si="716"/>
        <v>0</v>
      </c>
      <c r="L547" s="535">
        <f t="shared" ref="L547:M547" si="724">+H547+L441</f>
        <v>0</v>
      </c>
      <c r="M547" s="466">
        <f t="shared" si="724"/>
        <v>0</v>
      </c>
      <c r="N547" s="341" t="str">
        <f t="shared" si="718"/>
        <v>-</v>
      </c>
      <c r="O547" s="350" t="str">
        <f t="shared" si="712"/>
        <v>-</v>
      </c>
    </row>
    <row r="548" spans="1:15" ht="24" thickBot="1" x14ac:dyDescent="0.35">
      <c r="A548" s="277" t="s">
        <v>110</v>
      </c>
      <c r="B548" s="967" t="s">
        <v>48</v>
      </c>
      <c r="C548" s="968"/>
      <c r="D548" s="969"/>
      <c r="E548" s="323">
        <f>SUM(E541:E547)</f>
        <v>3500000</v>
      </c>
      <c r="F548" s="288">
        <v>200000</v>
      </c>
      <c r="G548" s="323">
        <f>SUM(G541:G547)</f>
        <v>93337</v>
      </c>
      <c r="H548" s="324">
        <f t="shared" ref="H548:I548" si="725">SUM(H541:H547)</f>
        <v>91800</v>
      </c>
      <c r="I548" s="324">
        <f t="shared" si="725"/>
        <v>1537</v>
      </c>
      <c r="J548" s="348">
        <f>+G548/F548</f>
        <v>0.46668500000000002</v>
      </c>
      <c r="K548" s="323">
        <f>SUM(K541:K547)</f>
        <v>798052</v>
      </c>
      <c r="L548" s="524">
        <f>SUM(L541:L547)</f>
        <v>794376</v>
      </c>
      <c r="M548" s="733">
        <f t="shared" ref="M548" si="726">SUM(M541:M547)</f>
        <v>3676</v>
      </c>
      <c r="N548" s="342">
        <f>IFERROR(K548/E548,"-")</f>
        <v>0.22801485714285713</v>
      </c>
      <c r="O548" s="348">
        <f t="shared" si="712"/>
        <v>4.6062161362918708E-3</v>
      </c>
    </row>
    <row r="549" spans="1:15" ht="23.4" x14ac:dyDescent="0.3">
      <c r="A549" s="277" t="s">
        <v>110</v>
      </c>
      <c r="B549" s="956" t="s">
        <v>18</v>
      </c>
      <c r="C549" s="272" t="s">
        <v>344</v>
      </c>
      <c r="D549" s="272" t="s">
        <v>99</v>
      </c>
      <c r="E549" s="273">
        <v>0</v>
      </c>
      <c r="F549" s="274"/>
      <c r="G549" s="335">
        <f t="shared" ref="G549:G555" si="727">+H549+I549</f>
        <v>0</v>
      </c>
      <c r="H549" s="275">
        <v>0</v>
      </c>
      <c r="I549" s="275">
        <v>0</v>
      </c>
      <c r="J549" s="354" t="str">
        <f>IFERROR(G549/#REF!,"-")</f>
        <v>-</v>
      </c>
      <c r="K549" s="335">
        <f t="shared" ref="K549:K555" si="728">+L549+M549</f>
        <v>0</v>
      </c>
      <c r="L549" s="275">
        <f t="shared" ref="L549:M549" si="729">+H549+L443</f>
        <v>0</v>
      </c>
      <c r="M549" s="276">
        <f t="shared" si="729"/>
        <v>0</v>
      </c>
      <c r="N549" s="339" t="str">
        <f t="shared" ref="N549:N556" si="730">IFERROR(K549/E549,"-")</f>
        <v>-</v>
      </c>
      <c r="O549" s="349" t="str">
        <f t="shared" si="712"/>
        <v>-</v>
      </c>
    </row>
    <row r="550" spans="1:15" ht="23.4" x14ac:dyDescent="0.3">
      <c r="A550" s="277" t="s">
        <v>110</v>
      </c>
      <c r="B550" s="957"/>
      <c r="C550" s="278" t="s">
        <v>253</v>
      </c>
      <c r="D550" s="278" t="s">
        <v>254</v>
      </c>
      <c r="E550" s="279">
        <v>0</v>
      </c>
      <c r="F550" s="280"/>
      <c r="G550" s="336">
        <f t="shared" si="727"/>
        <v>0</v>
      </c>
      <c r="H550" s="281">
        <v>0</v>
      </c>
      <c r="I550" s="281">
        <v>0</v>
      </c>
      <c r="J550" s="355" t="str">
        <f>IFERROR(G550/#REF!,"-")</f>
        <v>-</v>
      </c>
      <c r="K550" s="336">
        <f t="shared" si="728"/>
        <v>0</v>
      </c>
      <c r="L550" s="275">
        <f t="shared" ref="L550:M550" si="731">+H550+L444</f>
        <v>0</v>
      </c>
      <c r="M550" s="276">
        <f t="shared" si="731"/>
        <v>0</v>
      </c>
      <c r="N550" s="340" t="str">
        <f t="shared" si="730"/>
        <v>-</v>
      </c>
      <c r="O550" s="264" t="str">
        <f t="shared" si="712"/>
        <v>-</v>
      </c>
    </row>
    <row r="551" spans="1:15" ht="23.4" x14ac:dyDescent="0.3">
      <c r="A551" s="277" t="s">
        <v>110</v>
      </c>
      <c r="B551" s="957"/>
      <c r="C551" s="278" t="s">
        <v>122</v>
      </c>
      <c r="D551" s="278"/>
      <c r="E551" s="279">
        <v>0</v>
      </c>
      <c r="F551" s="280"/>
      <c r="G551" s="336">
        <f t="shared" si="727"/>
        <v>0</v>
      </c>
      <c r="H551" s="281">
        <v>0</v>
      </c>
      <c r="I551" s="281">
        <v>0</v>
      </c>
      <c r="J551" s="355" t="str">
        <f>IFERROR(G551/#REF!,"-")</f>
        <v>-</v>
      </c>
      <c r="K551" s="336">
        <f t="shared" si="728"/>
        <v>0</v>
      </c>
      <c r="L551" s="275">
        <f t="shared" ref="L551:M551" si="732">+H551+L445</f>
        <v>0</v>
      </c>
      <c r="M551" s="276">
        <f t="shared" si="732"/>
        <v>0</v>
      </c>
      <c r="N551" s="340" t="str">
        <f t="shared" si="730"/>
        <v>-</v>
      </c>
      <c r="O551" s="264" t="str">
        <f t="shared" si="712"/>
        <v>-</v>
      </c>
    </row>
    <row r="552" spans="1:15" ht="23.4" x14ac:dyDescent="0.3">
      <c r="A552" s="277" t="s">
        <v>110</v>
      </c>
      <c r="B552" s="957"/>
      <c r="C552" s="278" t="s">
        <v>129</v>
      </c>
      <c r="D552" s="278"/>
      <c r="E552" s="279">
        <v>0</v>
      </c>
      <c r="F552" s="280"/>
      <c r="G552" s="336">
        <f t="shared" si="727"/>
        <v>0</v>
      </c>
      <c r="H552" s="281">
        <v>0</v>
      </c>
      <c r="I552" s="281">
        <v>0</v>
      </c>
      <c r="J552" s="355" t="str">
        <f>IFERROR(G552/#REF!,"-")</f>
        <v>-</v>
      </c>
      <c r="K552" s="336">
        <f t="shared" si="728"/>
        <v>0</v>
      </c>
      <c r="L552" s="275">
        <f t="shared" ref="L552:M552" si="733">+H552+L446</f>
        <v>0</v>
      </c>
      <c r="M552" s="276">
        <f t="shared" si="733"/>
        <v>0</v>
      </c>
      <c r="N552" s="340" t="str">
        <f t="shared" si="730"/>
        <v>-</v>
      </c>
      <c r="O552" s="264" t="str">
        <f t="shared" si="712"/>
        <v>-</v>
      </c>
    </row>
    <row r="553" spans="1:15" ht="23.4" x14ac:dyDescent="0.3">
      <c r="A553" s="277" t="s">
        <v>110</v>
      </c>
      <c r="B553" s="957"/>
      <c r="C553" s="278" t="s">
        <v>189</v>
      </c>
      <c r="D553" s="278" t="s">
        <v>190</v>
      </c>
      <c r="E553" s="279">
        <v>0</v>
      </c>
      <c r="F553" s="280"/>
      <c r="G553" s="336">
        <f t="shared" si="727"/>
        <v>0</v>
      </c>
      <c r="H553" s="281">
        <v>0</v>
      </c>
      <c r="I553" s="281">
        <v>0</v>
      </c>
      <c r="J553" s="355" t="str">
        <f>IFERROR(G553/#REF!,"-")</f>
        <v>-</v>
      </c>
      <c r="K553" s="336">
        <f t="shared" si="728"/>
        <v>0</v>
      </c>
      <c r="L553" s="275">
        <f t="shared" ref="L553:M553" si="734">+H553+L447</f>
        <v>0</v>
      </c>
      <c r="M553" s="276">
        <f t="shared" si="734"/>
        <v>0</v>
      </c>
      <c r="N553" s="340" t="str">
        <f t="shared" si="730"/>
        <v>-</v>
      </c>
      <c r="O553" s="264" t="str">
        <f t="shared" si="712"/>
        <v>-</v>
      </c>
    </row>
    <row r="554" spans="1:15" ht="23.4" x14ac:dyDescent="0.3">
      <c r="A554" s="277" t="s">
        <v>110</v>
      </c>
      <c r="B554" s="957"/>
      <c r="C554" s="278" t="s">
        <v>192</v>
      </c>
      <c r="D554" s="278" t="s">
        <v>191</v>
      </c>
      <c r="E554" s="279">
        <v>0</v>
      </c>
      <c r="F554" s="280"/>
      <c r="G554" s="336">
        <f t="shared" si="727"/>
        <v>0</v>
      </c>
      <c r="H554" s="281">
        <v>0</v>
      </c>
      <c r="I554" s="281">
        <v>0</v>
      </c>
      <c r="J554" s="355" t="str">
        <f>IFERROR(G554/#REF!,"-")</f>
        <v>-</v>
      </c>
      <c r="K554" s="336">
        <f t="shared" si="728"/>
        <v>0</v>
      </c>
      <c r="L554" s="275">
        <f t="shared" ref="L554:M554" si="735">+H554+L448</f>
        <v>0</v>
      </c>
      <c r="M554" s="276">
        <f t="shared" si="735"/>
        <v>0</v>
      </c>
      <c r="N554" s="340" t="str">
        <f t="shared" si="730"/>
        <v>-</v>
      </c>
      <c r="O554" s="264" t="str">
        <f t="shared" si="712"/>
        <v>-</v>
      </c>
    </row>
    <row r="555" spans="1:15" ht="24" thickBot="1" x14ac:dyDescent="0.35">
      <c r="A555" s="277" t="s">
        <v>110</v>
      </c>
      <c r="B555" s="958"/>
      <c r="C555" s="289" t="s">
        <v>193</v>
      </c>
      <c r="D555" s="289" t="s">
        <v>114</v>
      </c>
      <c r="E555" s="283">
        <v>0</v>
      </c>
      <c r="F555" s="284"/>
      <c r="G555" s="337">
        <f t="shared" si="727"/>
        <v>0</v>
      </c>
      <c r="H555" s="285">
        <v>0</v>
      </c>
      <c r="I555" s="285">
        <v>0</v>
      </c>
      <c r="J555" s="356" t="str">
        <f>IFERROR(G555/#REF!,"-")</f>
        <v>-</v>
      </c>
      <c r="K555" s="337">
        <f t="shared" si="728"/>
        <v>0</v>
      </c>
      <c r="L555" s="275">
        <f t="shared" ref="L555:M555" si="736">+H555+L449</f>
        <v>0</v>
      </c>
      <c r="M555" s="276">
        <f t="shared" si="736"/>
        <v>0</v>
      </c>
      <c r="N555" s="341" t="str">
        <f t="shared" si="730"/>
        <v>-</v>
      </c>
      <c r="O555" s="350" t="str">
        <f t="shared" si="712"/>
        <v>-</v>
      </c>
    </row>
    <row r="556" spans="1:15" ht="24" thickBot="1" x14ac:dyDescent="0.35">
      <c r="A556" s="277" t="s">
        <v>110</v>
      </c>
      <c r="B556" s="967" t="s">
        <v>29</v>
      </c>
      <c r="C556" s="968"/>
      <c r="D556" s="969"/>
      <c r="E556" s="323">
        <f t="shared" ref="E556" si="737">SUM(E549:E555)</f>
        <v>0</v>
      </c>
      <c r="F556" s="288">
        <v>80000</v>
      </c>
      <c r="G556" s="323">
        <f>SUM(G549:G555)</f>
        <v>0</v>
      </c>
      <c r="H556" s="324">
        <f t="shared" ref="H556:I556" si="738">SUM(H549:H555)</f>
        <v>0</v>
      </c>
      <c r="I556" s="324">
        <f t="shared" si="738"/>
        <v>0</v>
      </c>
      <c r="J556" s="348">
        <f>+G556/F556</f>
        <v>0</v>
      </c>
      <c r="K556" s="323">
        <f t="shared" ref="K556:M556" si="739">SUM(K549:K555)</f>
        <v>0</v>
      </c>
      <c r="L556" s="324">
        <f t="shared" si="739"/>
        <v>0</v>
      </c>
      <c r="M556" s="325">
        <f t="shared" si="739"/>
        <v>0</v>
      </c>
      <c r="N556" s="342" t="str">
        <f t="shared" si="730"/>
        <v>-</v>
      </c>
      <c r="O556" s="348" t="str">
        <f t="shared" si="712"/>
        <v>-</v>
      </c>
    </row>
    <row r="557" spans="1:15" ht="24" thickBot="1" x14ac:dyDescent="0.35">
      <c r="A557" s="252" t="s">
        <v>110</v>
      </c>
      <c r="B557" s="985" t="s">
        <v>19</v>
      </c>
      <c r="C557" s="653" t="s">
        <v>255</v>
      </c>
      <c r="D557" s="690" t="s">
        <v>190</v>
      </c>
      <c r="E557" s="695">
        <v>0</v>
      </c>
      <c r="F557" s="692">
        <v>110000</v>
      </c>
      <c r="G557" s="656">
        <f t="shared" ref="G557:G559" si="740">+H557+I557</f>
        <v>0</v>
      </c>
      <c r="H557" s="462">
        <v>0</v>
      </c>
      <c r="I557" s="462">
        <v>0</v>
      </c>
      <c r="J557" s="536" t="str">
        <f>IFERROR(G557/#REF!,"-")</f>
        <v>-</v>
      </c>
      <c r="K557" s="461">
        <f>+L557+M557</f>
        <v>0</v>
      </c>
      <c r="L557" s="462">
        <f t="shared" ref="L557:M557" si="741">+H557+L451</f>
        <v>0</v>
      </c>
      <c r="M557" s="463">
        <f t="shared" si="741"/>
        <v>0</v>
      </c>
      <c r="N557" s="658" t="str">
        <f>IFERROR(K557/E557,"-")</f>
        <v>-</v>
      </c>
      <c r="O557" s="659" t="str">
        <f t="shared" si="712"/>
        <v>-</v>
      </c>
    </row>
    <row r="558" spans="1:15" ht="24" thickBot="1" x14ac:dyDescent="0.35">
      <c r="A558" s="252"/>
      <c r="B558" s="986"/>
      <c r="C558" s="299" t="s">
        <v>440</v>
      </c>
      <c r="D558" s="657" t="s">
        <v>439</v>
      </c>
      <c r="E558" s="696">
        <v>1000000</v>
      </c>
      <c r="F558" s="693">
        <v>110000</v>
      </c>
      <c r="G558" s="652">
        <f t="shared" si="740"/>
        <v>0</v>
      </c>
      <c r="H558" s="275">
        <v>0</v>
      </c>
      <c r="I558" s="275">
        <v>0</v>
      </c>
      <c r="J558" s="354" t="str">
        <f>IFERROR(G558/#REF!,"-")</f>
        <v>-</v>
      </c>
      <c r="K558" s="338">
        <f>+L558+M558</f>
        <v>8685</v>
      </c>
      <c r="L558" s="462">
        <f t="shared" ref="L558:M558" si="742">+H558+L452</f>
        <v>8448</v>
      </c>
      <c r="M558" s="463">
        <f t="shared" si="742"/>
        <v>237</v>
      </c>
      <c r="N558" s="343">
        <f t="shared" ref="N558:N559" si="743">IFERROR(K558/E558,"-")</f>
        <v>8.685E-3</v>
      </c>
      <c r="O558" s="651">
        <f>IFERROR(M558/K558,"-")</f>
        <v>2.7288428324697755E-2</v>
      </c>
    </row>
    <row r="559" spans="1:15" ht="24" thickBot="1" x14ac:dyDescent="0.35">
      <c r="A559" s="252"/>
      <c r="B559" s="987"/>
      <c r="C559" s="647" t="s">
        <v>380</v>
      </c>
      <c r="D559" s="691"/>
      <c r="E559" s="697">
        <v>150000</v>
      </c>
      <c r="F559" s="694">
        <v>110000</v>
      </c>
      <c r="G559" s="599">
        <f t="shared" si="740"/>
        <v>0</v>
      </c>
      <c r="H559" s="285">
        <v>0</v>
      </c>
      <c r="I559" s="285">
        <v>0</v>
      </c>
      <c r="J559" s="356"/>
      <c r="K559" s="464">
        <f>+L559+M559</f>
        <v>0</v>
      </c>
      <c r="L559" s="462">
        <f t="shared" ref="L559:M559" si="744">+H559+L453</f>
        <v>0</v>
      </c>
      <c r="M559" s="463">
        <f t="shared" si="744"/>
        <v>0</v>
      </c>
      <c r="N559" s="341">
        <f t="shared" si="743"/>
        <v>0</v>
      </c>
      <c r="O559" s="648" t="str">
        <f t="shared" ref="O559:O609" si="745">IFERROR(M559/K559,"-")</f>
        <v>-</v>
      </c>
    </row>
    <row r="560" spans="1:15" ht="24" thickBot="1" x14ac:dyDescent="0.35">
      <c r="A560" s="277" t="s">
        <v>110</v>
      </c>
      <c r="B560" s="988" t="s">
        <v>49</v>
      </c>
      <c r="C560" s="968"/>
      <c r="D560" s="969"/>
      <c r="E560" s="323">
        <f>SUM(E557:E559)</f>
        <v>1150000</v>
      </c>
      <c r="F560" s="326">
        <f t="shared" ref="F560" si="746">SUM(F557)</f>
        <v>110000</v>
      </c>
      <c r="G560" s="323">
        <f>SUM(G557)</f>
        <v>0</v>
      </c>
      <c r="H560" s="324">
        <f>SUM(H557:H559)</f>
        <v>0</v>
      </c>
      <c r="I560" s="324">
        <f>SUM(I557:I559)</f>
        <v>0</v>
      </c>
      <c r="J560" s="348">
        <f>+G560/F560</f>
        <v>0</v>
      </c>
      <c r="K560" s="649">
        <f>SUM(K557:K558)</f>
        <v>8685</v>
      </c>
      <c r="L560" s="324">
        <f>SUM(L557:L558)</f>
        <v>8448</v>
      </c>
      <c r="M560" s="325">
        <f>SUM(M557:M558)</f>
        <v>237</v>
      </c>
      <c r="N560" s="342">
        <f>IFERROR(K560/E560,"-")</f>
        <v>7.5521739130434782E-3</v>
      </c>
      <c r="O560" s="348">
        <f t="shared" si="745"/>
        <v>2.7288428324697755E-2</v>
      </c>
    </row>
    <row r="561" spans="1:15" ht="23.4" x14ac:dyDescent="0.3">
      <c r="A561" s="277" t="s">
        <v>110</v>
      </c>
      <c r="B561" s="956" t="s">
        <v>20</v>
      </c>
      <c r="C561" s="294" t="s">
        <v>351</v>
      </c>
      <c r="D561" s="294" t="s">
        <v>313</v>
      </c>
      <c r="E561" s="273">
        <v>0</v>
      </c>
      <c r="F561" s="274"/>
      <c r="G561" s="335">
        <f t="shared" ref="G561:G563" si="747">+H561+I561</f>
        <v>0</v>
      </c>
      <c r="H561" s="275">
        <v>0</v>
      </c>
      <c r="I561" s="275">
        <v>0</v>
      </c>
      <c r="J561" s="354" t="str">
        <f>IFERROR(G561/#REF!,"-")</f>
        <v>-</v>
      </c>
      <c r="K561" s="335">
        <f t="shared" ref="K561:K563" si="748">+L561+M561</f>
        <v>0</v>
      </c>
      <c r="L561" s="275">
        <f t="shared" ref="L561:M561" si="749">+H561+L455</f>
        <v>0</v>
      </c>
      <c r="M561" s="276">
        <f t="shared" si="749"/>
        <v>0</v>
      </c>
      <c r="N561" s="339" t="str">
        <f t="shared" ref="N561:N564" si="750">IFERROR(K561/E561,"-")</f>
        <v>-</v>
      </c>
      <c r="O561" s="349" t="str">
        <f t="shared" si="745"/>
        <v>-</v>
      </c>
    </row>
    <row r="562" spans="1:15" ht="23.4" x14ac:dyDescent="0.3">
      <c r="A562" s="277" t="s">
        <v>110</v>
      </c>
      <c r="B562" s="957"/>
      <c r="C562" s="295" t="s">
        <v>121</v>
      </c>
      <c r="D562" s="295"/>
      <c r="E562" s="279">
        <v>0</v>
      </c>
      <c r="F562" s="280"/>
      <c r="G562" s="336">
        <f t="shared" si="747"/>
        <v>0</v>
      </c>
      <c r="H562" s="281">
        <v>0</v>
      </c>
      <c r="I562" s="281">
        <v>0</v>
      </c>
      <c r="J562" s="355" t="str">
        <f>IFERROR(G562/#REF!,"-")</f>
        <v>-</v>
      </c>
      <c r="K562" s="336">
        <f t="shared" si="748"/>
        <v>0</v>
      </c>
      <c r="L562" s="275">
        <f t="shared" ref="L562:M562" si="751">+H562+L456</f>
        <v>0</v>
      </c>
      <c r="M562" s="276">
        <f t="shared" si="751"/>
        <v>0</v>
      </c>
      <c r="N562" s="340" t="str">
        <f t="shared" si="750"/>
        <v>-</v>
      </c>
      <c r="O562" s="264" t="str">
        <f t="shared" si="745"/>
        <v>-</v>
      </c>
    </row>
    <row r="563" spans="1:15" ht="24" thickBot="1" x14ac:dyDescent="0.35">
      <c r="A563" s="277" t="s">
        <v>110</v>
      </c>
      <c r="B563" s="958"/>
      <c r="C563" s="296" t="s">
        <v>127</v>
      </c>
      <c r="D563" s="296"/>
      <c r="E563" s="283">
        <v>0</v>
      </c>
      <c r="F563" s="284"/>
      <c r="G563" s="337">
        <f t="shared" si="747"/>
        <v>0</v>
      </c>
      <c r="H563" s="285">
        <v>0</v>
      </c>
      <c r="I563" s="285">
        <v>0</v>
      </c>
      <c r="J563" s="356" t="str">
        <f>IFERROR(G563/#REF!,"-")</f>
        <v>-</v>
      </c>
      <c r="K563" s="337">
        <f t="shared" si="748"/>
        <v>0</v>
      </c>
      <c r="L563" s="275">
        <f t="shared" ref="L563:M563" si="752">+H563+L457</f>
        <v>0</v>
      </c>
      <c r="M563" s="276">
        <f t="shared" si="752"/>
        <v>0</v>
      </c>
      <c r="N563" s="341" t="str">
        <f t="shared" si="750"/>
        <v>-</v>
      </c>
      <c r="O563" s="350" t="str">
        <f t="shared" si="745"/>
        <v>-</v>
      </c>
    </row>
    <row r="564" spans="1:15" ht="24" thickBot="1" x14ac:dyDescent="0.35">
      <c r="A564" s="277" t="s">
        <v>110</v>
      </c>
      <c r="B564" s="968" t="s">
        <v>50</v>
      </c>
      <c r="C564" s="968"/>
      <c r="D564" s="989"/>
      <c r="E564" s="323">
        <f t="shared" ref="E564" si="753">SUM(E561:E563)</f>
        <v>0</v>
      </c>
      <c r="F564" s="288">
        <v>50000</v>
      </c>
      <c r="G564" s="323">
        <f>SUM(G561:G563)</f>
        <v>0</v>
      </c>
      <c r="H564" s="324">
        <f t="shared" ref="H564:I564" si="754">SUM(H561:H563)</f>
        <v>0</v>
      </c>
      <c r="I564" s="324">
        <f t="shared" si="754"/>
        <v>0</v>
      </c>
      <c r="J564" s="348">
        <f>+G564/F564</f>
        <v>0</v>
      </c>
      <c r="K564" s="323">
        <f t="shared" ref="K564:M564" si="755">SUM(K561:K563)</f>
        <v>0</v>
      </c>
      <c r="L564" s="324">
        <f t="shared" si="755"/>
        <v>0</v>
      </c>
      <c r="M564" s="325">
        <f t="shared" si="755"/>
        <v>0</v>
      </c>
      <c r="N564" s="342" t="str">
        <f t="shared" si="750"/>
        <v>-</v>
      </c>
      <c r="O564" s="348" t="str">
        <f t="shared" si="745"/>
        <v>-</v>
      </c>
    </row>
    <row r="565" spans="1:15" ht="24" thickBot="1" x14ac:dyDescent="0.35">
      <c r="A565" s="277" t="s">
        <v>110</v>
      </c>
      <c r="B565" s="981" t="s">
        <v>21</v>
      </c>
      <c r="C565" s="982"/>
      <c r="D565" s="983"/>
      <c r="E565" s="329">
        <f>+E540+E548+E556+E560+E564</f>
        <v>4750000</v>
      </c>
      <c r="F565" s="330">
        <f>+F540+F548+F556+F560+F564</f>
        <v>455000</v>
      </c>
      <c r="G565" s="329">
        <f>+G540+G548+G556+G560+G564</f>
        <v>109081</v>
      </c>
      <c r="H565" s="327">
        <f>+H540+H548+H556+H560+H564</f>
        <v>107434</v>
      </c>
      <c r="I565" s="327">
        <f>+I540+I548+I556+I560+I564</f>
        <v>1647</v>
      </c>
      <c r="J565" s="352">
        <f>+G565/F565</f>
        <v>0.23973846153846154</v>
      </c>
      <c r="K565" s="329">
        <f>+K540+K548+K556+K560+K564</f>
        <v>866822</v>
      </c>
      <c r="L565" s="327">
        <f>+L540+L548+L556+L560+L564</f>
        <v>862024</v>
      </c>
      <c r="M565" s="328">
        <f>+M540+M548+M556+M560+M564</f>
        <v>4798</v>
      </c>
      <c r="N565" s="344">
        <f>IFERROR(K565/E565,"-")</f>
        <v>0.18248884210526317</v>
      </c>
      <c r="O565" s="352">
        <f t="shared" si="745"/>
        <v>5.5351617748511227E-3</v>
      </c>
    </row>
    <row r="566" spans="1:15" ht="23.4" x14ac:dyDescent="0.3">
      <c r="A566" s="277" t="s">
        <v>110</v>
      </c>
      <c r="B566" s="956" t="s">
        <v>22</v>
      </c>
      <c r="C566" s="272" t="s">
        <v>132</v>
      </c>
      <c r="D566" s="272"/>
      <c r="E566" s="273">
        <v>0</v>
      </c>
      <c r="F566" s="274"/>
      <c r="G566" s="335">
        <f t="shared" ref="G566:G569" si="756">+H566+I566</f>
        <v>0</v>
      </c>
      <c r="H566" s="275">
        <v>0</v>
      </c>
      <c r="I566" s="275">
        <v>0</v>
      </c>
      <c r="J566" s="354" t="str">
        <f>IFERROR(G566/#REF!,"-")</f>
        <v>-</v>
      </c>
      <c r="K566" s="335">
        <f t="shared" ref="K566:K569" si="757">+L566+M566</f>
        <v>0</v>
      </c>
      <c r="L566" s="275">
        <f t="shared" ref="L566:M566" si="758">+H566+L460</f>
        <v>0</v>
      </c>
      <c r="M566" s="276">
        <f t="shared" si="758"/>
        <v>0</v>
      </c>
      <c r="N566" s="339" t="str">
        <f t="shared" ref="N566:N580" si="759">IFERROR(K566/E566,"-")</f>
        <v>-</v>
      </c>
      <c r="O566" s="349" t="str">
        <f t="shared" si="745"/>
        <v>-</v>
      </c>
    </row>
    <row r="567" spans="1:15" ht="23.4" x14ac:dyDescent="0.3">
      <c r="A567" s="277" t="s">
        <v>110</v>
      </c>
      <c r="B567" s="957"/>
      <c r="C567" s="298" t="s">
        <v>283</v>
      </c>
      <c r="D567" s="298" t="s">
        <v>194</v>
      </c>
      <c r="E567" s="279">
        <v>0</v>
      </c>
      <c r="F567" s="280"/>
      <c r="G567" s="336">
        <f t="shared" si="756"/>
        <v>0</v>
      </c>
      <c r="H567" s="281">
        <v>0</v>
      </c>
      <c r="I567" s="281">
        <v>0</v>
      </c>
      <c r="J567" s="355" t="str">
        <f>IFERROR(G567/#REF!,"-")</f>
        <v>-</v>
      </c>
      <c r="K567" s="336">
        <f t="shared" si="757"/>
        <v>0</v>
      </c>
      <c r="L567" s="275">
        <f t="shared" ref="L567:M567" si="760">+H567+L461</f>
        <v>0</v>
      </c>
      <c r="M567" s="276">
        <f t="shared" si="760"/>
        <v>0</v>
      </c>
      <c r="N567" s="340" t="str">
        <f t="shared" si="759"/>
        <v>-</v>
      </c>
      <c r="O567" s="264" t="str">
        <f t="shared" si="745"/>
        <v>-</v>
      </c>
    </row>
    <row r="568" spans="1:15" ht="23.4" x14ac:dyDescent="0.3">
      <c r="A568" s="277" t="s">
        <v>110</v>
      </c>
      <c r="B568" s="957"/>
      <c r="C568" s="298" t="s">
        <v>405</v>
      </c>
      <c r="D568" s="298" t="s">
        <v>194</v>
      </c>
      <c r="E568" s="279">
        <v>1000000</v>
      </c>
      <c r="F568" s="280"/>
      <c r="G568" s="336">
        <f t="shared" si="756"/>
        <v>0</v>
      </c>
      <c r="H568" s="281">
        <v>0</v>
      </c>
      <c r="I568" s="281">
        <v>0</v>
      </c>
      <c r="J568" s="355" t="str">
        <f>IFERROR(G568/#REF!,"-")</f>
        <v>-</v>
      </c>
      <c r="K568" s="336">
        <f t="shared" si="757"/>
        <v>329049</v>
      </c>
      <c r="L568" s="275">
        <f t="shared" ref="L568:M568" si="761">+H568+L462</f>
        <v>328680</v>
      </c>
      <c r="M568" s="276">
        <f t="shared" si="761"/>
        <v>369</v>
      </c>
      <c r="N568" s="340">
        <f t="shared" si="759"/>
        <v>0.32904899999999998</v>
      </c>
      <c r="O568" s="264">
        <f t="shared" si="745"/>
        <v>1.1214135280763655E-3</v>
      </c>
    </row>
    <row r="569" spans="1:15" ht="24" thickBot="1" x14ac:dyDescent="0.35">
      <c r="A569" s="277" t="s">
        <v>110</v>
      </c>
      <c r="B569" s="958"/>
      <c r="C569" s="282" t="s">
        <v>195</v>
      </c>
      <c r="D569" s="282" t="s">
        <v>100</v>
      </c>
      <c r="E569" s="283">
        <v>0</v>
      </c>
      <c r="F569" s="284"/>
      <c r="G569" s="337">
        <f t="shared" si="756"/>
        <v>0</v>
      </c>
      <c r="H569" s="285">
        <v>0</v>
      </c>
      <c r="I569" s="285">
        <v>0</v>
      </c>
      <c r="J569" s="356" t="str">
        <f>IFERROR(G569/#REF!,"-")</f>
        <v>-</v>
      </c>
      <c r="K569" s="337">
        <f t="shared" si="757"/>
        <v>0</v>
      </c>
      <c r="L569" s="275">
        <f t="shared" ref="L569:M569" si="762">+H569+L463</f>
        <v>0</v>
      </c>
      <c r="M569" s="276">
        <f t="shared" si="762"/>
        <v>0</v>
      </c>
      <c r="N569" s="341" t="str">
        <f t="shared" si="759"/>
        <v>-</v>
      </c>
      <c r="O569" s="350" t="str">
        <f t="shared" si="745"/>
        <v>-</v>
      </c>
    </row>
    <row r="570" spans="1:15" ht="24" thickBot="1" x14ac:dyDescent="0.35">
      <c r="A570" s="277" t="s">
        <v>110</v>
      </c>
      <c r="B570" s="967" t="s">
        <v>51</v>
      </c>
      <c r="C570" s="968"/>
      <c r="D570" s="969"/>
      <c r="E570" s="287">
        <f>SUM(E566:E569)</f>
        <v>1000000</v>
      </c>
      <c r="F570" s="288">
        <v>80000</v>
      </c>
      <c r="G570" s="323">
        <f>SUM(G566:G569)</f>
        <v>0</v>
      </c>
      <c r="H570" s="324">
        <f t="shared" ref="H570:I570" si="763">SUM(H566:H569)</f>
        <v>0</v>
      </c>
      <c r="I570" s="324">
        <f t="shared" si="763"/>
        <v>0</v>
      </c>
      <c r="J570" s="348">
        <f>+G570/F570</f>
        <v>0</v>
      </c>
      <c r="K570" s="323">
        <f t="shared" ref="K570:M570" si="764">SUM(K566:K569)</f>
        <v>329049</v>
      </c>
      <c r="L570" s="324">
        <f t="shared" si="764"/>
        <v>328680</v>
      </c>
      <c r="M570" s="325">
        <f t="shared" si="764"/>
        <v>369</v>
      </c>
      <c r="N570" s="342">
        <f t="shared" si="759"/>
        <v>0.32904899999999998</v>
      </c>
      <c r="O570" s="348">
        <f t="shared" si="745"/>
        <v>1.1214135280763655E-3</v>
      </c>
    </row>
    <row r="571" spans="1:15" ht="23.4" x14ac:dyDescent="0.3">
      <c r="A571" s="277" t="s">
        <v>110</v>
      </c>
      <c r="B571" s="956" t="s">
        <v>23</v>
      </c>
      <c r="C571" s="299" t="s">
        <v>337</v>
      </c>
      <c r="D571" s="299" t="s">
        <v>258</v>
      </c>
      <c r="E571" s="273">
        <f>25000+10875+6000</f>
        <v>41875</v>
      </c>
      <c r="F571" s="274"/>
      <c r="G571" s="335">
        <f t="shared" ref="G571:G578" si="765">+H571+I571</f>
        <v>0</v>
      </c>
      <c r="H571" s="275">
        <v>0</v>
      </c>
      <c r="I571" s="275">
        <v>0</v>
      </c>
      <c r="J571" s="354" t="str">
        <f>IFERROR(G571/#REF!,"-")</f>
        <v>-</v>
      </c>
      <c r="K571" s="335">
        <f t="shared" ref="K571:K578" si="766">+L571+M571</f>
        <v>0</v>
      </c>
      <c r="L571" s="275">
        <f t="shared" ref="L571:M571" si="767">+H571+L465</f>
        <v>0</v>
      </c>
      <c r="M571" s="276">
        <f t="shared" si="767"/>
        <v>0</v>
      </c>
      <c r="N571" s="339">
        <f t="shared" si="759"/>
        <v>0</v>
      </c>
      <c r="O571" s="349" t="str">
        <f t="shared" si="745"/>
        <v>-</v>
      </c>
    </row>
    <row r="572" spans="1:15" ht="23.4" x14ac:dyDescent="0.3">
      <c r="A572" s="277" t="s">
        <v>110</v>
      </c>
      <c r="B572" s="957"/>
      <c r="C572" s="278" t="s">
        <v>24</v>
      </c>
      <c r="D572" s="278" t="s">
        <v>258</v>
      </c>
      <c r="E572" s="279">
        <v>97500</v>
      </c>
      <c r="F572" s="280"/>
      <c r="G572" s="336">
        <f t="shared" si="765"/>
        <v>0</v>
      </c>
      <c r="H572" s="281">
        <v>0</v>
      </c>
      <c r="I572" s="281">
        <v>0</v>
      </c>
      <c r="J572" s="355" t="str">
        <f>IFERROR(G572/#REF!,"-")</f>
        <v>-</v>
      </c>
      <c r="K572" s="336">
        <f t="shared" si="766"/>
        <v>0</v>
      </c>
      <c r="L572" s="275">
        <f t="shared" ref="L572:M572" si="768">+H572+L466</f>
        <v>0</v>
      </c>
      <c r="M572" s="276">
        <f t="shared" si="768"/>
        <v>0</v>
      </c>
      <c r="N572" s="340">
        <f t="shared" si="759"/>
        <v>0</v>
      </c>
      <c r="O572" s="264" t="str">
        <f t="shared" si="745"/>
        <v>-</v>
      </c>
    </row>
    <row r="573" spans="1:15" ht="23.4" x14ac:dyDescent="0.3">
      <c r="A573" s="277" t="s">
        <v>110</v>
      </c>
      <c r="B573" s="957"/>
      <c r="C573" s="278" t="s">
        <v>256</v>
      </c>
      <c r="D573" s="278" t="s">
        <v>258</v>
      </c>
      <c r="E573" s="279">
        <v>17750</v>
      </c>
      <c r="F573" s="280"/>
      <c r="G573" s="336">
        <f t="shared" si="765"/>
        <v>0</v>
      </c>
      <c r="H573" s="281">
        <v>0</v>
      </c>
      <c r="I573" s="281">
        <v>0</v>
      </c>
      <c r="J573" s="355" t="str">
        <f>IFERROR(G573/#REF!,"-")</f>
        <v>-</v>
      </c>
      <c r="K573" s="336">
        <f t="shared" si="766"/>
        <v>0</v>
      </c>
      <c r="L573" s="275">
        <f t="shared" ref="L573:M573" si="769">+H573+L467</f>
        <v>0</v>
      </c>
      <c r="M573" s="276">
        <f t="shared" si="769"/>
        <v>0</v>
      </c>
      <c r="N573" s="340">
        <f t="shared" si="759"/>
        <v>0</v>
      </c>
      <c r="O573" s="264" t="str">
        <f t="shared" si="745"/>
        <v>-</v>
      </c>
    </row>
    <row r="574" spans="1:15" ht="23.4" x14ac:dyDescent="0.3">
      <c r="A574" s="277" t="s">
        <v>110</v>
      </c>
      <c r="B574" s="957"/>
      <c r="C574" s="278" t="s">
        <v>257</v>
      </c>
      <c r="D574" s="278" t="s">
        <v>258</v>
      </c>
      <c r="E574" s="279">
        <v>20000</v>
      </c>
      <c r="F574" s="280"/>
      <c r="G574" s="336">
        <f t="shared" si="765"/>
        <v>0</v>
      </c>
      <c r="H574" s="281">
        <v>0</v>
      </c>
      <c r="I574" s="281">
        <v>0</v>
      </c>
      <c r="J574" s="355" t="str">
        <f>IFERROR(G574/#REF!,"-")</f>
        <v>-</v>
      </c>
      <c r="K574" s="336">
        <f t="shared" si="766"/>
        <v>0</v>
      </c>
      <c r="L574" s="275">
        <f t="shared" ref="L574:M574" si="770">+H574+L468</f>
        <v>0</v>
      </c>
      <c r="M574" s="276">
        <f t="shared" si="770"/>
        <v>0</v>
      </c>
      <c r="N574" s="340">
        <f t="shared" si="759"/>
        <v>0</v>
      </c>
      <c r="O574" s="264" t="str">
        <f t="shared" si="745"/>
        <v>-</v>
      </c>
    </row>
    <row r="575" spans="1:15" ht="23.4" x14ac:dyDescent="0.3">
      <c r="A575" s="277" t="s">
        <v>110</v>
      </c>
      <c r="B575" s="957"/>
      <c r="C575" s="298" t="s">
        <v>441</v>
      </c>
      <c r="D575" s="278" t="s">
        <v>258</v>
      </c>
      <c r="E575" s="279">
        <v>10000</v>
      </c>
      <c r="F575" s="280"/>
      <c r="G575" s="336">
        <f t="shared" si="765"/>
        <v>0</v>
      </c>
      <c r="H575" s="281">
        <v>0</v>
      </c>
      <c r="I575" s="281">
        <v>0</v>
      </c>
      <c r="J575" s="355" t="str">
        <f>IFERROR(G575/#REF!,"-")</f>
        <v>-</v>
      </c>
      <c r="K575" s="336">
        <f t="shared" si="766"/>
        <v>0</v>
      </c>
      <c r="L575" s="275">
        <f t="shared" ref="L575:M575" si="771">+H575+L469</f>
        <v>0</v>
      </c>
      <c r="M575" s="276">
        <f t="shared" si="771"/>
        <v>0</v>
      </c>
      <c r="N575" s="340">
        <f t="shared" si="759"/>
        <v>0</v>
      </c>
      <c r="O575" s="264" t="str">
        <f t="shared" si="745"/>
        <v>-</v>
      </c>
    </row>
    <row r="576" spans="1:15" ht="23.4" x14ac:dyDescent="0.3">
      <c r="A576" s="277" t="s">
        <v>110</v>
      </c>
      <c r="B576" s="957"/>
      <c r="C576" s="298" t="s">
        <v>260</v>
      </c>
      <c r="D576" s="278" t="s">
        <v>258</v>
      </c>
      <c r="E576" s="279">
        <v>9000</v>
      </c>
      <c r="F576" s="280"/>
      <c r="G576" s="336">
        <f t="shared" si="765"/>
        <v>0</v>
      </c>
      <c r="H576" s="281">
        <v>0</v>
      </c>
      <c r="I576" s="281">
        <v>0</v>
      </c>
      <c r="J576" s="355" t="str">
        <f>IFERROR(G576/#REF!,"-")</f>
        <v>-</v>
      </c>
      <c r="K576" s="336">
        <f t="shared" si="766"/>
        <v>0</v>
      </c>
      <c r="L576" s="275">
        <f t="shared" ref="L576:M576" si="772">+H576+L470</f>
        <v>0</v>
      </c>
      <c r="M576" s="276">
        <f t="shared" si="772"/>
        <v>0</v>
      </c>
      <c r="N576" s="340">
        <f t="shared" si="759"/>
        <v>0</v>
      </c>
      <c r="O576" s="264" t="str">
        <f t="shared" si="745"/>
        <v>-</v>
      </c>
    </row>
    <row r="577" spans="1:15" ht="23.4" x14ac:dyDescent="0.3">
      <c r="A577" s="277" t="s">
        <v>110</v>
      </c>
      <c r="B577" s="957"/>
      <c r="C577" s="298" t="s">
        <v>261</v>
      </c>
      <c r="D577" s="278" t="s">
        <v>263</v>
      </c>
      <c r="E577" s="279">
        <v>22500</v>
      </c>
      <c r="F577" s="280"/>
      <c r="G577" s="336">
        <f t="shared" si="765"/>
        <v>4240</v>
      </c>
      <c r="H577" s="281">
        <v>4240</v>
      </c>
      <c r="I577" s="281">
        <v>0</v>
      </c>
      <c r="J577" s="355" t="str">
        <f>IFERROR(G577/#REF!,"-")</f>
        <v>-</v>
      </c>
      <c r="K577" s="336">
        <f t="shared" si="766"/>
        <v>23536</v>
      </c>
      <c r="L577" s="275">
        <f t="shared" ref="L577:M577" si="773">+H577+L471</f>
        <v>23490</v>
      </c>
      <c r="M577" s="276">
        <f t="shared" si="773"/>
        <v>46</v>
      </c>
      <c r="N577" s="340">
        <f t="shared" si="759"/>
        <v>1.0460444444444446</v>
      </c>
      <c r="O577" s="264">
        <f t="shared" si="745"/>
        <v>1.954452753229096E-3</v>
      </c>
    </row>
    <row r="578" spans="1:15" ht="24" thickBot="1" x14ac:dyDescent="0.35">
      <c r="A578" s="277" t="s">
        <v>110</v>
      </c>
      <c r="B578" s="958"/>
      <c r="C578" s="298" t="s">
        <v>262</v>
      </c>
      <c r="D578" s="278" t="s">
        <v>258</v>
      </c>
      <c r="E578" s="283">
        <v>33500</v>
      </c>
      <c r="F578" s="284"/>
      <c r="G578" s="337">
        <f t="shared" si="765"/>
        <v>11823</v>
      </c>
      <c r="H578" s="285">
        <v>11750</v>
      </c>
      <c r="I578" s="285">
        <v>73</v>
      </c>
      <c r="J578" s="356" t="str">
        <f>IFERROR(G578/#REF!,"-")</f>
        <v>-</v>
      </c>
      <c r="K578" s="337">
        <f t="shared" si="766"/>
        <v>11823</v>
      </c>
      <c r="L578" s="275">
        <f t="shared" ref="L578:M578" si="774">+H578+L472</f>
        <v>11750</v>
      </c>
      <c r="M578" s="276">
        <f t="shared" si="774"/>
        <v>73</v>
      </c>
      <c r="N578" s="341">
        <f t="shared" si="759"/>
        <v>0.35292537313432837</v>
      </c>
      <c r="O578" s="350">
        <f t="shared" si="745"/>
        <v>6.1744058191660319E-3</v>
      </c>
    </row>
    <row r="579" spans="1:15" ht="24" thickBot="1" x14ac:dyDescent="0.35">
      <c r="A579" s="277" t="s">
        <v>110</v>
      </c>
      <c r="B579" s="967" t="s">
        <v>52</v>
      </c>
      <c r="C579" s="968"/>
      <c r="D579" s="969"/>
      <c r="E579" s="287">
        <f>SUM(E571:E578)</f>
        <v>252125</v>
      </c>
      <c r="F579" s="288">
        <v>14000</v>
      </c>
      <c r="G579" s="323">
        <f>SUM(G571:G578)</f>
        <v>16063</v>
      </c>
      <c r="H579" s="324">
        <f t="shared" ref="H579:I579" si="775">SUM(H571:H578)</f>
        <v>15990</v>
      </c>
      <c r="I579" s="324">
        <f t="shared" si="775"/>
        <v>73</v>
      </c>
      <c r="J579" s="348">
        <f>+G580/F580</f>
        <v>0.17088297872340424</v>
      </c>
      <c r="K579" s="323">
        <f>SUM(K571:K578)</f>
        <v>35359</v>
      </c>
      <c r="L579" s="324">
        <f t="shared" ref="L579:M579" si="776">SUM(L571:L578)</f>
        <v>35240</v>
      </c>
      <c r="M579" s="325">
        <f t="shared" si="776"/>
        <v>119</v>
      </c>
      <c r="N579" s="342">
        <f t="shared" si="759"/>
        <v>0.14024392662369856</v>
      </c>
      <c r="O579" s="348">
        <f t="shared" si="745"/>
        <v>3.3654797929805707E-3</v>
      </c>
    </row>
    <row r="580" spans="1:15" ht="24" thickBot="1" x14ac:dyDescent="0.35">
      <c r="A580" s="277" t="s">
        <v>110</v>
      </c>
      <c r="B580" s="981" t="s">
        <v>25</v>
      </c>
      <c r="C580" s="982"/>
      <c r="D580" s="983"/>
      <c r="E580" s="329">
        <f t="shared" ref="E580:F580" si="777">+E570+E579</f>
        <v>1252125</v>
      </c>
      <c r="F580" s="330">
        <f t="shared" si="777"/>
        <v>94000</v>
      </c>
      <c r="G580" s="329">
        <f>+G570+G579</f>
        <v>16063</v>
      </c>
      <c r="H580" s="327">
        <f t="shared" ref="H580:I580" si="778">+H570+H579</f>
        <v>15990</v>
      </c>
      <c r="I580" s="327">
        <f t="shared" si="778"/>
        <v>73</v>
      </c>
      <c r="J580" s="352" t="str">
        <f>IFERROR(G580/#REF!,"-")</f>
        <v>-</v>
      </c>
      <c r="K580" s="329">
        <f t="shared" ref="K580" si="779">+K570+K579</f>
        <v>364408</v>
      </c>
      <c r="L580" s="327">
        <f>+L570+L579</f>
        <v>363920</v>
      </c>
      <c r="M580" s="328">
        <f t="shared" ref="M580" si="780">+M570+M579</f>
        <v>488</v>
      </c>
      <c r="N580" s="344">
        <f t="shared" si="759"/>
        <v>0.29103164620145749</v>
      </c>
      <c r="O580" s="352">
        <f t="shared" si="745"/>
        <v>1.3391583060745099E-3</v>
      </c>
    </row>
    <row r="581" spans="1:15" ht="24" thickBot="1" x14ac:dyDescent="0.35">
      <c r="A581" s="277" t="s">
        <v>110</v>
      </c>
      <c r="B581" s="984" t="s">
        <v>180</v>
      </c>
      <c r="C581" s="962"/>
      <c r="D581" s="963"/>
      <c r="E581" s="333">
        <f>+E565+E580</f>
        <v>6002125</v>
      </c>
      <c r="F581" s="334">
        <f t="shared" ref="F581:I581" si="781">+F565+F580</f>
        <v>549000</v>
      </c>
      <c r="G581" s="333">
        <f t="shared" si="781"/>
        <v>125144</v>
      </c>
      <c r="H581" s="331">
        <f t="shared" si="781"/>
        <v>123424</v>
      </c>
      <c r="I581" s="331">
        <f t="shared" si="781"/>
        <v>1720</v>
      </c>
      <c r="J581" s="353">
        <f>+G581/F581</f>
        <v>0.22794899817850636</v>
      </c>
      <c r="K581" s="333">
        <f>+K565+K580</f>
        <v>1231230</v>
      </c>
      <c r="L581" s="331">
        <f t="shared" ref="L581:M581" si="782">+L565+L580</f>
        <v>1225944</v>
      </c>
      <c r="M581" s="332">
        <f t="shared" si="782"/>
        <v>5286</v>
      </c>
      <c r="N581" s="345">
        <f>IFERROR(K581/E581,"-")</f>
        <v>0.20513234895974342</v>
      </c>
      <c r="O581" s="353">
        <f t="shared" si="745"/>
        <v>4.2932677079018542E-3</v>
      </c>
    </row>
    <row r="582" spans="1:15" ht="23.4" x14ac:dyDescent="0.3">
      <c r="A582" s="271" t="s">
        <v>108</v>
      </c>
      <c r="B582" s="977" t="s">
        <v>26</v>
      </c>
      <c r="C582" s="300" t="s">
        <v>323</v>
      </c>
      <c r="D582" s="300" t="s">
        <v>190</v>
      </c>
      <c r="E582" s="273">
        <v>0</v>
      </c>
      <c r="F582" s="274"/>
      <c r="G582" s="335">
        <f t="shared" ref="G582:G590" si="783">+H582+I582</f>
        <v>0</v>
      </c>
      <c r="H582" s="275">
        <v>0</v>
      </c>
      <c r="I582" s="275">
        <v>0</v>
      </c>
      <c r="J582" s="354" t="str">
        <f>IFERROR(G582/#REF!,"-")</f>
        <v>-</v>
      </c>
      <c r="K582" s="335">
        <f t="shared" ref="K582:K590" si="784">+L582+M582</f>
        <v>0</v>
      </c>
      <c r="L582" s="275">
        <f t="shared" ref="L582:M582" si="785">+H582+L476</f>
        <v>0</v>
      </c>
      <c r="M582" s="276">
        <f t="shared" si="785"/>
        <v>0</v>
      </c>
      <c r="N582" s="339" t="str">
        <f t="shared" ref="N582:N583" si="786">IFERROR(K582/E582,"-")</f>
        <v>-</v>
      </c>
      <c r="O582" s="349" t="str">
        <f t="shared" si="745"/>
        <v>-</v>
      </c>
    </row>
    <row r="583" spans="1:15" ht="23.4" x14ac:dyDescent="0.3">
      <c r="A583" s="277" t="s">
        <v>108</v>
      </c>
      <c r="B583" s="977"/>
      <c r="C583" s="301" t="s">
        <v>196</v>
      </c>
      <c r="D583" s="301" t="s">
        <v>114</v>
      </c>
      <c r="E583" s="279">
        <v>0</v>
      </c>
      <c r="F583" s="280"/>
      <c r="G583" s="336">
        <f t="shared" si="783"/>
        <v>0</v>
      </c>
      <c r="H583" s="281">
        <v>0</v>
      </c>
      <c r="I583" s="281">
        <v>0</v>
      </c>
      <c r="J583" s="355" t="str">
        <f>IFERROR(G583/#REF!,"-")</f>
        <v>-</v>
      </c>
      <c r="K583" s="336">
        <f t="shared" si="784"/>
        <v>0</v>
      </c>
      <c r="L583" s="275">
        <f t="shared" ref="L583:M583" si="787">+H583+L477</f>
        <v>0</v>
      </c>
      <c r="M583" s="276">
        <f t="shared" si="787"/>
        <v>0</v>
      </c>
      <c r="N583" s="340" t="str">
        <f t="shared" si="786"/>
        <v>-</v>
      </c>
      <c r="O583" s="264" t="str">
        <f t="shared" si="745"/>
        <v>-</v>
      </c>
    </row>
    <row r="584" spans="1:15" ht="23.4" x14ac:dyDescent="0.3">
      <c r="A584" s="277" t="s">
        <v>108</v>
      </c>
      <c r="B584" s="977"/>
      <c r="C584" s="302" t="s">
        <v>27</v>
      </c>
      <c r="D584" s="302" t="s">
        <v>370</v>
      </c>
      <c r="E584" s="283">
        <v>0</v>
      </c>
      <c r="F584" s="284"/>
      <c r="G584" s="336">
        <f t="shared" si="783"/>
        <v>0</v>
      </c>
      <c r="H584" s="285">
        <v>0</v>
      </c>
      <c r="I584" s="285">
        <v>0</v>
      </c>
      <c r="J584" s="356" t="str">
        <f>IFERROR(G584/#REF!,"-")</f>
        <v>-</v>
      </c>
      <c r="K584" s="336">
        <f t="shared" si="784"/>
        <v>8556</v>
      </c>
      <c r="L584" s="275">
        <f t="shared" ref="L584:M584" si="788">+H584+L478</f>
        <v>7956</v>
      </c>
      <c r="M584" s="276">
        <f t="shared" si="788"/>
        <v>600</v>
      </c>
      <c r="N584" s="286"/>
      <c r="O584" s="264">
        <f t="shared" si="745"/>
        <v>7.0126227208976155E-2</v>
      </c>
    </row>
    <row r="585" spans="1:15" ht="23.4" x14ac:dyDescent="0.3">
      <c r="A585" s="277" t="s">
        <v>108</v>
      </c>
      <c r="B585" s="977"/>
      <c r="C585" s="302" t="s">
        <v>27</v>
      </c>
      <c r="D585" s="302" t="s">
        <v>254</v>
      </c>
      <c r="E585" s="283">
        <v>0</v>
      </c>
      <c r="F585" s="284"/>
      <c r="G585" s="336">
        <f t="shared" si="783"/>
        <v>0</v>
      </c>
      <c r="H585" s="285">
        <v>0</v>
      </c>
      <c r="I585" s="285">
        <v>0</v>
      </c>
      <c r="J585" s="356" t="str">
        <f>IFERROR(G585/#REF!,"-")</f>
        <v>-</v>
      </c>
      <c r="K585" s="336">
        <f t="shared" si="784"/>
        <v>16672</v>
      </c>
      <c r="L585" s="275">
        <f t="shared" ref="L585:M585" si="789">+H585+L479</f>
        <v>15912</v>
      </c>
      <c r="M585" s="276">
        <f t="shared" si="789"/>
        <v>760</v>
      </c>
      <c r="N585" s="286"/>
      <c r="O585" s="264">
        <f t="shared" si="745"/>
        <v>4.558541266794626E-2</v>
      </c>
    </row>
    <row r="586" spans="1:15" ht="23.4" x14ac:dyDescent="0.3">
      <c r="A586" s="277" t="s">
        <v>108</v>
      </c>
      <c r="B586" s="977"/>
      <c r="C586" s="302" t="s">
        <v>27</v>
      </c>
      <c r="D586" s="302" t="s">
        <v>302</v>
      </c>
      <c r="E586" s="283">
        <v>0</v>
      </c>
      <c r="F586" s="284"/>
      <c r="G586" s="336">
        <f t="shared" si="783"/>
        <v>0</v>
      </c>
      <c r="H586" s="285">
        <v>0</v>
      </c>
      <c r="I586" s="285">
        <v>0</v>
      </c>
      <c r="J586" s="356" t="str">
        <f>IFERROR(G586/#REF!,"-")</f>
        <v>-</v>
      </c>
      <c r="K586" s="336">
        <f t="shared" si="784"/>
        <v>0</v>
      </c>
      <c r="L586" s="275">
        <f t="shared" ref="L586:M586" si="790">+H586+L480</f>
        <v>0</v>
      </c>
      <c r="M586" s="276">
        <f t="shared" si="790"/>
        <v>0</v>
      </c>
      <c r="N586" s="286"/>
      <c r="O586" s="264" t="str">
        <f t="shared" si="745"/>
        <v>-</v>
      </c>
    </row>
    <row r="587" spans="1:15" ht="23.4" x14ac:dyDescent="0.3">
      <c r="A587" s="277"/>
      <c r="B587" s="977"/>
      <c r="C587" s="302" t="s">
        <v>369</v>
      </c>
      <c r="D587" s="302" t="s">
        <v>190</v>
      </c>
      <c r="E587" s="283">
        <v>0</v>
      </c>
      <c r="F587" s="284"/>
      <c r="G587" s="337">
        <f t="shared" si="783"/>
        <v>0</v>
      </c>
      <c r="H587" s="285">
        <v>0</v>
      </c>
      <c r="I587" s="285">
        <v>0</v>
      </c>
      <c r="J587" s="356" t="str">
        <f>IFERROR(G587/#REF!,"-")</f>
        <v>-</v>
      </c>
      <c r="K587" s="337">
        <f t="shared" si="784"/>
        <v>0</v>
      </c>
      <c r="L587" s="275">
        <f t="shared" ref="L587:M587" si="791">+H587+L481</f>
        <v>0</v>
      </c>
      <c r="M587" s="276">
        <f t="shared" si="791"/>
        <v>0</v>
      </c>
      <c r="N587" s="286"/>
      <c r="O587" s="264" t="str">
        <f t="shared" si="745"/>
        <v>-</v>
      </c>
    </row>
    <row r="588" spans="1:15" ht="23.4" x14ac:dyDescent="0.3">
      <c r="A588" s="277"/>
      <c r="B588" s="977"/>
      <c r="C588" s="302" t="s">
        <v>314</v>
      </c>
      <c r="D588" s="302" t="s">
        <v>101</v>
      </c>
      <c r="E588" s="283">
        <v>0</v>
      </c>
      <c r="F588" s="284"/>
      <c r="G588" s="337">
        <f t="shared" si="783"/>
        <v>0</v>
      </c>
      <c r="H588" s="285">
        <v>0</v>
      </c>
      <c r="I588" s="285">
        <v>0</v>
      </c>
      <c r="J588" s="356" t="str">
        <f>IFERROR(G588/#REF!,"-")</f>
        <v>-</v>
      </c>
      <c r="K588" s="337">
        <f t="shared" si="784"/>
        <v>0</v>
      </c>
      <c r="L588" s="275">
        <f t="shared" ref="L588:M588" si="792">+H588+L482</f>
        <v>0</v>
      </c>
      <c r="M588" s="276">
        <f t="shared" si="792"/>
        <v>0</v>
      </c>
      <c r="N588" s="286"/>
      <c r="O588" s="264" t="str">
        <f t="shared" si="745"/>
        <v>-</v>
      </c>
    </row>
    <row r="589" spans="1:15" ht="23.4" x14ac:dyDescent="0.3">
      <c r="A589" s="277"/>
      <c r="B589" s="977"/>
      <c r="C589" s="302" t="s">
        <v>452</v>
      </c>
      <c r="D589" s="302" t="s">
        <v>410</v>
      </c>
      <c r="E589" s="283">
        <v>0</v>
      </c>
      <c r="F589" s="284"/>
      <c r="G589" s="337">
        <f t="shared" si="783"/>
        <v>28433</v>
      </c>
      <c r="H589" s="285">
        <v>27846</v>
      </c>
      <c r="I589" s="285">
        <v>587</v>
      </c>
      <c r="J589" s="356" t="str">
        <f>IFERROR(G589/#REF!,"-")</f>
        <v>-</v>
      </c>
      <c r="K589" s="337">
        <f t="shared" si="784"/>
        <v>36855</v>
      </c>
      <c r="L589" s="275">
        <f t="shared" ref="L589:M589" si="793">+H589+L483</f>
        <v>35802</v>
      </c>
      <c r="M589" s="276">
        <f t="shared" si="793"/>
        <v>1053</v>
      </c>
      <c r="N589" s="286"/>
      <c r="O589" s="264">
        <f t="shared" si="745"/>
        <v>2.8571428571428571E-2</v>
      </c>
    </row>
    <row r="590" spans="1:15" ht="24" thickBot="1" x14ac:dyDescent="0.35">
      <c r="A590" s="277" t="s">
        <v>108</v>
      </c>
      <c r="B590" s="977"/>
      <c r="C590" s="303" t="s">
        <v>315</v>
      </c>
      <c r="D590" s="302" t="s">
        <v>313</v>
      </c>
      <c r="E590" s="283">
        <v>0</v>
      </c>
      <c r="F590" s="284"/>
      <c r="G590" s="337">
        <f t="shared" si="783"/>
        <v>0</v>
      </c>
      <c r="H590" s="285">
        <v>0</v>
      </c>
      <c r="I590" s="285">
        <v>0</v>
      </c>
      <c r="J590" s="356" t="str">
        <f>IFERROR(G590/#REF!,"-")</f>
        <v>-</v>
      </c>
      <c r="K590" s="337">
        <f t="shared" si="784"/>
        <v>0</v>
      </c>
      <c r="L590" s="275">
        <f t="shared" ref="L590:M590" si="794">+H590+L484</f>
        <v>0</v>
      </c>
      <c r="M590" s="276">
        <f t="shared" si="794"/>
        <v>0</v>
      </c>
      <c r="N590" s="341" t="str">
        <f t="shared" ref="N590:N597" si="795">IFERROR(K590/E590,"-")</f>
        <v>-</v>
      </c>
      <c r="O590" s="350" t="str">
        <f t="shared" si="745"/>
        <v>-</v>
      </c>
    </row>
    <row r="591" spans="1:15" ht="24" thickBot="1" x14ac:dyDescent="0.35">
      <c r="A591" s="277" t="s">
        <v>108</v>
      </c>
      <c r="B591" s="990"/>
      <c r="C591" s="304"/>
      <c r="D591" s="305" t="s">
        <v>55</v>
      </c>
      <c r="E591" s="287">
        <f>SUM(E582:E590)</f>
        <v>0</v>
      </c>
      <c r="F591" s="288">
        <v>80000</v>
      </c>
      <c r="G591" s="323">
        <f>SUM(G582:G590)</f>
        <v>28433</v>
      </c>
      <c r="H591" s="324">
        <f>SUM(H582:H590)</f>
        <v>27846</v>
      </c>
      <c r="I591" s="324">
        <f>SUM(I582:I590)</f>
        <v>587</v>
      </c>
      <c r="J591" s="348">
        <f>+G591/F591</f>
        <v>0.35541250000000002</v>
      </c>
      <c r="K591" s="323">
        <f>SUM(K582:K590)</f>
        <v>62083</v>
      </c>
      <c r="L591" s="324">
        <f>SUM(L582:L590)</f>
        <v>59670</v>
      </c>
      <c r="M591" s="325">
        <f>SUM(M582:M590)</f>
        <v>2413</v>
      </c>
      <c r="N591" s="342" t="str">
        <f t="shared" si="795"/>
        <v>-</v>
      </c>
      <c r="O591" s="348">
        <f t="shared" si="745"/>
        <v>3.8867322777571961E-2</v>
      </c>
    </row>
    <row r="592" spans="1:15" ht="23.4" x14ac:dyDescent="0.3">
      <c r="A592" s="277" t="s">
        <v>108</v>
      </c>
      <c r="B592" s="976" t="s">
        <v>28</v>
      </c>
      <c r="C592" s="302" t="s">
        <v>27</v>
      </c>
      <c r="D592" s="300" t="s">
        <v>302</v>
      </c>
      <c r="E592" s="273">
        <v>2612056</v>
      </c>
      <c r="F592" s="274"/>
      <c r="G592" s="335">
        <f t="shared" ref="G592:G596" si="796">+H592+I592</f>
        <v>0</v>
      </c>
      <c r="H592" s="275">
        <v>0</v>
      </c>
      <c r="I592" s="275">
        <v>0</v>
      </c>
      <c r="J592" s="354" t="str">
        <f>IFERROR(G592/#REF!,"-")</f>
        <v>-</v>
      </c>
      <c r="K592" s="335">
        <f t="shared" ref="K592:K596" si="797">+L592+M592</f>
        <v>4258</v>
      </c>
      <c r="L592" s="275">
        <f t="shared" ref="L592:M592" si="798">+H592+L486</f>
        <v>3978</v>
      </c>
      <c r="M592" s="276">
        <f t="shared" si="798"/>
        <v>280</v>
      </c>
      <c r="N592" s="339">
        <f t="shared" si="795"/>
        <v>1.6301335040290101E-3</v>
      </c>
      <c r="O592" s="349">
        <f t="shared" si="745"/>
        <v>6.5758572099577264E-2</v>
      </c>
    </row>
    <row r="593" spans="1:15" ht="23.4" x14ac:dyDescent="0.3">
      <c r="A593" s="277" t="s">
        <v>108</v>
      </c>
      <c r="B593" s="977"/>
      <c r="C593" s="302" t="s">
        <v>455</v>
      </c>
      <c r="D593" s="302" t="s">
        <v>370</v>
      </c>
      <c r="E593" s="279">
        <v>0</v>
      </c>
      <c r="F593" s="280"/>
      <c r="G593" s="336">
        <f t="shared" si="796"/>
        <v>0</v>
      </c>
      <c r="H593" s="281">
        <v>0</v>
      </c>
      <c r="I593" s="281">
        <v>0</v>
      </c>
      <c r="J593" s="355" t="str">
        <f>IFERROR(G593/#REF!,"-")</f>
        <v>-</v>
      </c>
      <c r="K593" s="336">
        <f t="shared" si="797"/>
        <v>88594</v>
      </c>
      <c r="L593" s="275">
        <f t="shared" ref="L593:M593" si="799">+H593+L487</f>
        <v>87516</v>
      </c>
      <c r="M593" s="276">
        <f t="shared" si="799"/>
        <v>1078</v>
      </c>
      <c r="N593" s="340" t="str">
        <f t="shared" si="795"/>
        <v>-</v>
      </c>
      <c r="O593" s="264">
        <f t="shared" si="745"/>
        <v>1.216786689843556E-2</v>
      </c>
    </row>
    <row r="594" spans="1:15" ht="23.4" x14ac:dyDescent="0.3">
      <c r="A594" s="277" t="s">
        <v>108</v>
      </c>
      <c r="B594" s="977"/>
      <c r="C594" s="302" t="s">
        <v>27</v>
      </c>
      <c r="D594" s="302" t="s">
        <v>370</v>
      </c>
      <c r="E594" s="279">
        <v>0</v>
      </c>
      <c r="F594" s="280"/>
      <c r="G594" s="336">
        <f t="shared" si="796"/>
        <v>0</v>
      </c>
      <c r="H594" s="281">
        <v>0</v>
      </c>
      <c r="I594" s="281">
        <v>0</v>
      </c>
      <c r="J594" s="355" t="str">
        <f>IFERROR(G594/#REF!,"-")</f>
        <v>-</v>
      </c>
      <c r="K594" s="336">
        <f t="shared" si="797"/>
        <v>24591</v>
      </c>
      <c r="L594" s="275">
        <f t="shared" ref="L594:M594" si="800">+H594+L488</f>
        <v>23868</v>
      </c>
      <c r="M594" s="276">
        <f t="shared" si="800"/>
        <v>723</v>
      </c>
      <c r="N594" s="340" t="str">
        <f t="shared" si="795"/>
        <v>-</v>
      </c>
      <c r="O594" s="264">
        <f t="shared" si="745"/>
        <v>2.9401000365987556E-2</v>
      </c>
    </row>
    <row r="595" spans="1:15" ht="23.4" x14ac:dyDescent="0.3">
      <c r="A595" s="277" t="s">
        <v>108</v>
      </c>
      <c r="B595" s="977"/>
      <c r="C595" s="302" t="s">
        <v>452</v>
      </c>
      <c r="D595" s="303" t="s">
        <v>410</v>
      </c>
      <c r="E595" s="283">
        <v>0</v>
      </c>
      <c r="F595" s="284"/>
      <c r="G595" s="337">
        <f t="shared" si="796"/>
        <v>163974</v>
      </c>
      <c r="H595" s="285">
        <f>83538+79560</f>
        <v>163098</v>
      </c>
      <c r="I595" s="285">
        <f>476+400</f>
        <v>876</v>
      </c>
      <c r="J595" s="356" t="str">
        <f>IFERROR(G595/#REF!,"-")</f>
        <v>-</v>
      </c>
      <c r="K595" s="337">
        <f t="shared" si="797"/>
        <v>192951</v>
      </c>
      <c r="L595" s="275">
        <f t="shared" ref="L595:M595" si="801">+H595+L489</f>
        <v>190944</v>
      </c>
      <c r="M595" s="755">
        <f t="shared" si="801"/>
        <v>2007</v>
      </c>
      <c r="N595" s="341" t="str">
        <f t="shared" si="795"/>
        <v>-</v>
      </c>
      <c r="O595" s="350">
        <f t="shared" si="745"/>
        <v>1.040160455245114E-2</v>
      </c>
    </row>
    <row r="596" spans="1:15" ht="24" thickBot="1" x14ac:dyDescent="0.35">
      <c r="A596" s="277" t="s">
        <v>108</v>
      </c>
      <c r="B596" s="977"/>
      <c r="C596" s="302" t="s">
        <v>27</v>
      </c>
      <c r="D596" s="303" t="s">
        <v>254</v>
      </c>
      <c r="E596" s="283">
        <v>0</v>
      </c>
      <c r="F596" s="284"/>
      <c r="G596" s="337">
        <f t="shared" si="796"/>
        <v>0</v>
      </c>
      <c r="H596" s="285">
        <v>0</v>
      </c>
      <c r="I596" s="285">
        <v>0</v>
      </c>
      <c r="J596" s="356" t="str">
        <f>IFERROR(G596/#REF!,"-")</f>
        <v>-</v>
      </c>
      <c r="K596" s="337">
        <f t="shared" si="797"/>
        <v>590761</v>
      </c>
      <c r="L596" s="275">
        <f t="shared" ref="L596:M596" si="802">+H596+L490</f>
        <v>584766</v>
      </c>
      <c r="M596" s="755">
        <f t="shared" si="802"/>
        <v>5995</v>
      </c>
      <c r="N596" s="341" t="str">
        <f t="shared" si="795"/>
        <v>-</v>
      </c>
      <c r="O596" s="350">
        <f t="shared" si="745"/>
        <v>1.0147927842223844E-2</v>
      </c>
    </row>
    <row r="597" spans="1:15" ht="24" thickBot="1" x14ac:dyDescent="0.35">
      <c r="A597" s="277" t="s">
        <v>108</v>
      </c>
      <c r="B597" s="977"/>
      <c r="C597" s="307"/>
      <c r="D597" s="308" t="s">
        <v>55</v>
      </c>
      <c r="E597" s="309">
        <f>SUM(E592:E596)</f>
        <v>2612056</v>
      </c>
      <c r="F597" s="310">
        <v>160000</v>
      </c>
      <c r="G597" s="369">
        <f>SUM(G592:G596)</f>
        <v>163974</v>
      </c>
      <c r="H597" s="368">
        <f>SUM(H592:H596)</f>
        <v>163098</v>
      </c>
      <c r="I597" s="368">
        <f>SUM(I592:I596)</f>
        <v>876</v>
      </c>
      <c r="J597" s="359">
        <f>+G597/F597</f>
        <v>1.0248375000000001</v>
      </c>
      <c r="K597" s="369">
        <f>SUM(K592:K596)</f>
        <v>901155</v>
      </c>
      <c r="L597" s="368">
        <f>SUM(L592:L596)</f>
        <v>891072</v>
      </c>
      <c r="M597" s="370">
        <f>SUM(M592:M596)</f>
        <v>10083</v>
      </c>
      <c r="N597" s="358">
        <f t="shared" si="795"/>
        <v>0.34499834613040453</v>
      </c>
      <c r="O597" s="359">
        <f t="shared" si="745"/>
        <v>1.1188974149841038E-2</v>
      </c>
    </row>
    <row r="598" spans="1:15" ht="24" thickBot="1" x14ac:dyDescent="0.35">
      <c r="A598" s="783" t="s">
        <v>108</v>
      </c>
      <c r="B598" s="978" t="s">
        <v>170</v>
      </c>
      <c r="C598" s="979"/>
      <c r="D598" s="980"/>
      <c r="E598" s="311">
        <f>+E597+E591</f>
        <v>2612056</v>
      </c>
      <c r="F598" s="312">
        <v>240000</v>
      </c>
      <c r="G598" s="372">
        <f>+G591+G597</f>
        <v>192407</v>
      </c>
      <c r="H598" s="371">
        <f>+H591+H597</f>
        <v>190944</v>
      </c>
      <c r="I598" s="371">
        <f>+I591+I597</f>
        <v>1463</v>
      </c>
      <c r="J598" s="361">
        <f>+G598/F598</f>
        <v>0.80169583333333339</v>
      </c>
      <c r="K598" s="372">
        <f>+K591+K597</f>
        <v>963238</v>
      </c>
      <c r="L598" s="371">
        <f>+L591+L597</f>
        <v>950742</v>
      </c>
      <c r="M598" s="373">
        <f>+M591+M597</f>
        <v>12496</v>
      </c>
      <c r="N598" s="360">
        <f>IFERROR(K598/E598,"-")</f>
        <v>0.36876621328179793</v>
      </c>
      <c r="O598" s="361">
        <f t="shared" si="745"/>
        <v>1.2972910121901337E-2</v>
      </c>
    </row>
    <row r="599" spans="1:15" ht="23.4" x14ac:dyDescent="0.3">
      <c r="A599" s="277" t="s">
        <v>108</v>
      </c>
      <c r="B599" s="977" t="s">
        <v>30</v>
      </c>
      <c r="C599" s="306" t="s">
        <v>372</v>
      </c>
      <c r="D599" s="300" t="s">
        <v>191</v>
      </c>
      <c r="E599" s="273">
        <v>0</v>
      </c>
      <c r="F599" s="274"/>
      <c r="G599" s="335">
        <f t="shared" ref="G599:G601" si="803">+H599+I599</f>
        <v>0</v>
      </c>
      <c r="H599" s="275">
        <v>0</v>
      </c>
      <c r="I599" s="275">
        <v>0</v>
      </c>
      <c r="J599" s="354" t="str">
        <f>IFERROR(G599/#REF!,"-")</f>
        <v>-</v>
      </c>
      <c r="K599" s="335">
        <f t="shared" ref="K599:K601" si="804">+L599+M599</f>
        <v>0</v>
      </c>
      <c r="L599" s="275">
        <f t="shared" ref="L599:M599" si="805">+H599+L493</f>
        <v>0</v>
      </c>
      <c r="M599" s="276">
        <f t="shared" si="805"/>
        <v>0</v>
      </c>
      <c r="N599" s="339" t="str">
        <f t="shared" ref="N599:N609" si="806">IFERROR(K599/E599,"-")</f>
        <v>-</v>
      </c>
      <c r="O599" s="349" t="str">
        <f t="shared" si="745"/>
        <v>-</v>
      </c>
    </row>
    <row r="600" spans="1:15" ht="23.4" x14ac:dyDescent="0.3">
      <c r="A600" s="277" t="s">
        <v>108</v>
      </c>
      <c r="B600" s="977"/>
      <c r="C600" s="306" t="s">
        <v>371</v>
      </c>
      <c r="D600" s="306" t="s">
        <v>313</v>
      </c>
      <c r="E600" s="279">
        <v>0</v>
      </c>
      <c r="F600" s="280"/>
      <c r="G600" s="336">
        <f t="shared" si="803"/>
        <v>0</v>
      </c>
      <c r="H600" s="281">
        <v>0</v>
      </c>
      <c r="I600" s="281">
        <v>0</v>
      </c>
      <c r="J600" s="355" t="str">
        <f>IFERROR(G600/#REF!,"-")</f>
        <v>-</v>
      </c>
      <c r="K600" s="336">
        <f t="shared" si="804"/>
        <v>0</v>
      </c>
      <c r="L600" s="275">
        <f t="shared" ref="L600:M600" si="807">+H600+L494</f>
        <v>0</v>
      </c>
      <c r="M600" s="276">
        <f t="shared" si="807"/>
        <v>0</v>
      </c>
      <c r="N600" s="340" t="str">
        <f t="shared" si="806"/>
        <v>-</v>
      </c>
      <c r="O600" s="264" t="str">
        <f t="shared" si="745"/>
        <v>-</v>
      </c>
    </row>
    <row r="601" spans="1:15" ht="24" thickBot="1" x14ac:dyDescent="0.35">
      <c r="A601" s="277" t="s">
        <v>108</v>
      </c>
      <c r="B601" s="977"/>
      <c r="C601" s="303" t="s">
        <v>316</v>
      </c>
      <c r="D601" s="303" t="s">
        <v>410</v>
      </c>
      <c r="E601" s="283">
        <v>0</v>
      </c>
      <c r="F601" s="284"/>
      <c r="G601" s="337">
        <f t="shared" si="803"/>
        <v>0</v>
      </c>
      <c r="H601" s="285">
        <v>0</v>
      </c>
      <c r="I601" s="285">
        <v>0</v>
      </c>
      <c r="J601" s="356" t="str">
        <f>IFERROR(G601/#REF!,"-")</f>
        <v>-</v>
      </c>
      <c r="K601" s="337">
        <f t="shared" si="804"/>
        <v>64724</v>
      </c>
      <c r="L601" s="275">
        <f t="shared" ref="L601:M601" si="808">+H601+L495</f>
        <v>61776</v>
      </c>
      <c r="M601" s="276">
        <f t="shared" si="808"/>
        <v>2948</v>
      </c>
      <c r="N601" s="341" t="str">
        <f t="shared" si="806"/>
        <v>-</v>
      </c>
      <c r="O601" s="350">
        <f t="shared" si="745"/>
        <v>4.5547246770904146E-2</v>
      </c>
    </row>
    <row r="602" spans="1:15" ht="24" thickBot="1" x14ac:dyDescent="0.35">
      <c r="A602" s="277" t="s">
        <v>108</v>
      </c>
      <c r="B602" s="977"/>
      <c r="C602" s="304"/>
      <c r="D602" s="305" t="s">
        <v>53</v>
      </c>
      <c r="E602" s="287">
        <v>0</v>
      </c>
      <c r="F602" s="288">
        <v>50000</v>
      </c>
      <c r="G602" s="323">
        <f>SUM(G599:G601)</f>
        <v>0</v>
      </c>
      <c r="H602" s="324">
        <f>SUM(H599:H601)</f>
        <v>0</v>
      </c>
      <c r="I602" s="324">
        <f>SUM(I599:I601)</f>
        <v>0</v>
      </c>
      <c r="J602" s="348" t="e">
        <f>+H602/G602</f>
        <v>#DIV/0!</v>
      </c>
      <c r="K602" s="323">
        <f>SUM(K599:K601)</f>
        <v>64724</v>
      </c>
      <c r="L602" s="324">
        <f>SUM(L599:L601)</f>
        <v>61776</v>
      </c>
      <c r="M602" s="325">
        <f>SUM(M599:M601)</f>
        <v>2948</v>
      </c>
      <c r="N602" s="342" t="str">
        <f t="shared" si="806"/>
        <v>-</v>
      </c>
      <c r="O602" s="348">
        <f t="shared" si="745"/>
        <v>4.5547246770904146E-2</v>
      </c>
    </row>
    <row r="603" spans="1:15" ht="23.4" x14ac:dyDescent="0.3">
      <c r="A603" s="277" t="s">
        <v>108</v>
      </c>
      <c r="B603" s="977"/>
      <c r="C603" s="300" t="s">
        <v>339</v>
      </c>
      <c r="D603" s="300"/>
      <c r="E603" s="273">
        <v>500000</v>
      </c>
      <c r="F603" s="274"/>
      <c r="G603" s="335">
        <f t="shared" ref="G603:G605" si="809">+H603+I603</f>
        <v>0</v>
      </c>
      <c r="H603" s="275">
        <v>0</v>
      </c>
      <c r="I603" s="275">
        <v>0</v>
      </c>
      <c r="J603" s="354" t="str">
        <f>IFERROR(G603/#REF!,"-")</f>
        <v>-</v>
      </c>
      <c r="K603" s="335">
        <f t="shared" ref="K603:K605" si="810">+L603+M603</f>
        <v>0</v>
      </c>
      <c r="L603" s="275">
        <f t="shared" ref="L603:M603" si="811">+H603+L497</f>
        <v>0</v>
      </c>
      <c r="M603" s="276">
        <f t="shared" si="811"/>
        <v>0</v>
      </c>
      <c r="N603" s="339">
        <f t="shared" si="806"/>
        <v>0</v>
      </c>
      <c r="O603" s="349" t="str">
        <f t="shared" si="745"/>
        <v>-</v>
      </c>
    </row>
    <row r="604" spans="1:15" ht="23.4" x14ac:dyDescent="0.3">
      <c r="A604" s="277" t="s">
        <v>108</v>
      </c>
      <c r="B604" s="977"/>
      <c r="C604" s="306" t="s">
        <v>373</v>
      </c>
      <c r="D604" s="306" t="s">
        <v>254</v>
      </c>
      <c r="E604" s="279">
        <v>0</v>
      </c>
      <c r="F604" s="280"/>
      <c r="G604" s="336">
        <f t="shared" si="809"/>
        <v>0</v>
      </c>
      <c r="H604" s="281">
        <v>0</v>
      </c>
      <c r="I604" s="281">
        <v>0</v>
      </c>
      <c r="J604" s="355" t="str">
        <f>IFERROR(G604/#REF!,"-")</f>
        <v>-</v>
      </c>
      <c r="K604" s="336">
        <f t="shared" si="810"/>
        <v>9638</v>
      </c>
      <c r="L604" s="275">
        <f t="shared" ref="L604:M604" si="812">+H604+L498</f>
        <v>9360</v>
      </c>
      <c r="M604" s="276">
        <f t="shared" si="812"/>
        <v>278</v>
      </c>
      <c r="N604" s="340" t="str">
        <f t="shared" si="806"/>
        <v>-</v>
      </c>
      <c r="O604" s="264">
        <f t="shared" si="745"/>
        <v>2.8844158539116E-2</v>
      </c>
    </row>
    <row r="605" spans="1:15" ht="24" thickBot="1" x14ac:dyDescent="0.35">
      <c r="A605" s="277" t="s">
        <v>108</v>
      </c>
      <c r="B605" s="977"/>
      <c r="C605" s="303" t="s">
        <v>145</v>
      </c>
      <c r="D605" s="303"/>
      <c r="E605" s="283">
        <v>0</v>
      </c>
      <c r="F605" s="284"/>
      <c r="G605" s="337">
        <f t="shared" si="809"/>
        <v>0</v>
      </c>
      <c r="H605" s="285">
        <v>0</v>
      </c>
      <c r="I605" s="285">
        <v>0</v>
      </c>
      <c r="J605" s="356" t="str">
        <f>IFERROR(G605/#REF!,"-")</f>
        <v>-</v>
      </c>
      <c r="K605" s="337">
        <f t="shared" si="810"/>
        <v>0</v>
      </c>
      <c r="L605" s="275">
        <f t="shared" ref="L605:M605" si="813">+H605+L499</f>
        <v>0</v>
      </c>
      <c r="M605" s="276">
        <f t="shared" si="813"/>
        <v>0</v>
      </c>
      <c r="N605" s="341" t="str">
        <f t="shared" si="806"/>
        <v>-</v>
      </c>
      <c r="O605" s="350" t="str">
        <f t="shared" si="745"/>
        <v>-</v>
      </c>
    </row>
    <row r="606" spans="1:15" ht="24" thickBot="1" x14ac:dyDescent="0.35">
      <c r="A606" s="277" t="s">
        <v>108</v>
      </c>
      <c r="B606" s="977"/>
      <c r="C606" s="307"/>
      <c r="D606" s="308" t="s">
        <v>54</v>
      </c>
      <c r="E606" s="309">
        <f>SUM(E603)</f>
        <v>500000</v>
      </c>
      <c r="F606" s="310">
        <v>50000</v>
      </c>
      <c r="G606" s="369">
        <f>SUM(G603:G605)</f>
        <v>0</v>
      </c>
      <c r="H606" s="368">
        <f t="shared" ref="H606:I606" si="814">SUM(H603:H605)</f>
        <v>0</v>
      </c>
      <c r="I606" s="368">
        <f t="shared" si="814"/>
        <v>0</v>
      </c>
      <c r="J606" s="359">
        <f>+G606/F606</f>
        <v>0</v>
      </c>
      <c r="K606" s="369">
        <f t="shared" ref="K606:M606" si="815">SUM(K603:K605)</f>
        <v>9638</v>
      </c>
      <c r="L606" s="368">
        <f t="shared" si="815"/>
        <v>9360</v>
      </c>
      <c r="M606" s="370">
        <f t="shared" si="815"/>
        <v>278</v>
      </c>
      <c r="N606" s="358">
        <f t="shared" si="806"/>
        <v>1.9276000000000001E-2</v>
      </c>
      <c r="O606" s="359">
        <f t="shared" si="745"/>
        <v>2.8844158539116E-2</v>
      </c>
    </row>
    <row r="607" spans="1:15" ht="24" thickBot="1" x14ac:dyDescent="0.35">
      <c r="A607" s="277" t="s">
        <v>108</v>
      </c>
      <c r="B607" s="978" t="s">
        <v>171</v>
      </c>
      <c r="C607" s="979"/>
      <c r="D607" s="980"/>
      <c r="E607" s="311">
        <f>+E606+E602</f>
        <v>500000</v>
      </c>
      <c r="F607" s="312">
        <v>50000</v>
      </c>
      <c r="G607" s="372">
        <f>+G602+G606</f>
        <v>0</v>
      </c>
      <c r="H607" s="371">
        <f t="shared" ref="H607:I607" si="816">+H602+H606</f>
        <v>0</v>
      </c>
      <c r="I607" s="371">
        <f t="shared" si="816"/>
        <v>0</v>
      </c>
      <c r="J607" s="361">
        <f>+G607/F607</f>
        <v>0</v>
      </c>
      <c r="K607" s="372">
        <f t="shared" ref="K607:M607" si="817">+K602+K606</f>
        <v>74362</v>
      </c>
      <c r="L607" s="371">
        <f t="shared" si="817"/>
        <v>71136</v>
      </c>
      <c r="M607" s="373">
        <f t="shared" si="817"/>
        <v>3226</v>
      </c>
      <c r="N607" s="360">
        <f t="shared" si="806"/>
        <v>0.148724</v>
      </c>
      <c r="O607" s="361">
        <f t="shared" si="745"/>
        <v>4.3382372717248055E-2</v>
      </c>
    </row>
    <row r="608" spans="1:15" ht="24" thickBot="1" x14ac:dyDescent="0.35">
      <c r="A608" s="277" t="s">
        <v>108</v>
      </c>
      <c r="B608" s="608" t="s">
        <v>32</v>
      </c>
      <c r="C608" s="778"/>
      <c r="D608" s="313" t="s">
        <v>32</v>
      </c>
      <c r="E608" s="290">
        <v>0</v>
      </c>
      <c r="F608" s="291">
        <v>110000</v>
      </c>
      <c r="G608" s="338">
        <f t="shared" ref="G608" si="818">+H608+I608</f>
        <v>0</v>
      </c>
      <c r="H608" s="292">
        <v>0</v>
      </c>
      <c r="I608" s="292">
        <v>0</v>
      </c>
      <c r="J608" s="357" t="str">
        <f>IFERROR(G608/#REF!,"-")</f>
        <v>-</v>
      </c>
      <c r="K608" s="338">
        <f>+L608+M608</f>
        <v>0</v>
      </c>
      <c r="L608" s="292">
        <f>+H608+L502</f>
        <v>0</v>
      </c>
      <c r="M608" s="293">
        <f>+I608+M502</f>
        <v>0</v>
      </c>
      <c r="N608" s="343" t="str">
        <f t="shared" si="806"/>
        <v>-</v>
      </c>
      <c r="O608" s="351" t="str">
        <f t="shared" si="745"/>
        <v>-</v>
      </c>
    </row>
    <row r="609" spans="1:15" ht="24" thickBot="1" x14ac:dyDescent="0.35">
      <c r="A609" s="277" t="s">
        <v>108</v>
      </c>
      <c r="B609" s="981" t="s">
        <v>21</v>
      </c>
      <c r="C609" s="982"/>
      <c r="D609" s="983"/>
      <c r="E609" s="329">
        <f>+E598+E607+E608</f>
        <v>3112056</v>
      </c>
      <c r="F609" s="330">
        <f>+F598+F607+F608</f>
        <v>400000</v>
      </c>
      <c r="G609" s="329">
        <f>+G598+G607+G608</f>
        <v>192407</v>
      </c>
      <c r="H609" s="327">
        <f>+H598+H607+H608</f>
        <v>190944</v>
      </c>
      <c r="I609" s="327">
        <f>+I598+I607+I608</f>
        <v>1463</v>
      </c>
      <c r="J609" s="352">
        <f>+G609/F609</f>
        <v>0.48101749999999999</v>
      </c>
      <c r="K609" s="329">
        <f>+K598+K607+K608</f>
        <v>1037600</v>
      </c>
      <c r="L609" s="327">
        <f>+L598+L607+L608</f>
        <v>1021878</v>
      </c>
      <c r="M609" s="328">
        <f>+M598+M607+M608</f>
        <v>15722</v>
      </c>
      <c r="N609" s="344">
        <f t="shared" si="806"/>
        <v>0.33341302341603107</v>
      </c>
      <c r="O609" s="352">
        <f t="shared" si="745"/>
        <v>1.5152274479568234E-2</v>
      </c>
    </row>
    <row r="610" spans="1:15" ht="24" thickBot="1" x14ac:dyDescent="0.35">
      <c r="A610" s="277" t="s">
        <v>108</v>
      </c>
      <c r="B610" s="984" t="s">
        <v>179</v>
      </c>
      <c r="C610" s="962"/>
      <c r="D610" s="963"/>
      <c r="E610" s="333">
        <f>+E609</f>
        <v>3112056</v>
      </c>
      <c r="F610" s="334">
        <f t="shared" ref="F610:I610" si="819">+F609</f>
        <v>400000</v>
      </c>
      <c r="G610" s="333">
        <f t="shared" si="819"/>
        <v>192407</v>
      </c>
      <c r="H610" s="331">
        <f t="shared" si="819"/>
        <v>190944</v>
      </c>
      <c r="I610" s="331">
        <f t="shared" si="819"/>
        <v>1463</v>
      </c>
      <c r="J610" s="353">
        <f>+J609</f>
        <v>0.48101749999999999</v>
      </c>
      <c r="K610" s="333">
        <f>+K609</f>
        <v>1037600</v>
      </c>
      <c r="L610" s="331">
        <f t="shared" ref="L610" si="820">+L609</f>
        <v>1021878</v>
      </c>
      <c r="M610" s="332">
        <f>+M609</f>
        <v>15722</v>
      </c>
      <c r="N610" s="345">
        <f t="shared" ref="N610:O610" si="821">+N609</f>
        <v>0.33341302341603107</v>
      </c>
      <c r="O610" s="353">
        <f t="shared" si="821"/>
        <v>1.5152274479568234E-2</v>
      </c>
    </row>
    <row r="611" spans="1:15" ht="23.4" x14ac:dyDescent="0.3">
      <c r="A611" s="271" t="s">
        <v>109</v>
      </c>
      <c r="B611" s="970" t="s">
        <v>33</v>
      </c>
      <c r="C611" s="314" t="s">
        <v>120</v>
      </c>
      <c r="D611" s="314"/>
      <c r="E611" s="273">
        <v>34000</v>
      </c>
      <c r="F611" s="274"/>
      <c r="G611" s="335">
        <f t="shared" ref="G611:G613" si="822">+H611+I611</f>
        <v>0</v>
      </c>
      <c r="H611" s="275">
        <v>0</v>
      </c>
      <c r="I611" s="275">
        <v>0</v>
      </c>
      <c r="J611" s="354" t="str">
        <f>IFERROR(G611/#REF!,"-")</f>
        <v>-</v>
      </c>
      <c r="K611" s="335">
        <f t="shared" ref="K611:K613" si="823">+L611+M611</f>
        <v>0</v>
      </c>
      <c r="L611" s="275">
        <f t="shared" ref="L611:M611" si="824">+H611+L505</f>
        <v>0</v>
      </c>
      <c r="M611" s="276">
        <f t="shared" si="824"/>
        <v>0</v>
      </c>
      <c r="N611" s="339">
        <f t="shared" ref="N611:N618" si="825">IFERROR(K611/E611,"-")</f>
        <v>0</v>
      </c>
      <c r="O611" s="349" t="str">
        <f t="shared" ref="O611:O636" si="826">IFERROR(M611/K611,"-")</f>
        <v>-</v>
      </c>
    </row>
    <row r="612" spans="1:15" ht="23.4" x14ac:dyDescent="0.3">
      <c r="A612" s="277" t="s">
        <v>109</v>
      </c>
      <c r="B612" s="972"/>
      <c r="C612" s="315" t="s">
        <v>267</v>
      </c>
      <c r="D612" s="315"/>
      <c r="E612" s="279">
        <v>0</v>
      </c>
      <c r="F612" s="280"/>
      <c r="G612" s="336">
        <f t="shared" si="822"/>
        <v>3906</v>
      </c>
      <c r="H612" s="281">
        <v>3840</v>
      </c>
      <c r="I612" s="281">
        <v>66</v>
      </c>
      <c r="J612" s="355" t="str">
        <f>IFERROR(G612/#REF!,"-")</f>
        <v>-</v>
      </c>
      <c r="K612" s="336">
        <f t="shared" si="823"/>
        <v>11020</v>
      </c>
      <c r="L612" s="275">
        <f t="shared" ref="L612:M612" si="827">+H612+L506</f>
        <v>10880</v>
      </c>
      <c r="M612" s="276">
        <f t="shared" si="827"/>
        <v>140</v>
      </c>
      <c r="N612" s="340" t="str">
        <f t="shared" si="825"/>
        <v>-</v>
      </c>
      <c r="O612" s="264">
        <f t="shared" si="826"/>
        <v>1.2704174228675136E-2</v>
      </c>
    </row>
    <row r="613" spans="1:15" ht="24" thickBot="1" x14ac:dyDescent="0.35">
      <c r="A613" s="277" t="s">
        <v>109</v>
      </c>
      <c r="B613" s="971"/>
      <c r="C613" s="316" t="s">
        <v>34</v>
      </c>
      <c r="D613" s="316"/>
      <c r="E613" s="283">
        <v>0</v>
      </c>
      <c r="F613" s="284"/>
      <c r="G613" s="337">
        <f t="shared" si="822"/>
        <v>0</v>
      </c>
      <c r="H613" s="285">
        <v>0</v>
      </c>
      <c r="I613" s="285">
        <v>0</v>
      </c>
      <c r="J613" s="356" t="str">
        <f>IFERROR(G613/#REF!,"-")</f>
        <v>-</v>
      </c>
      <c r="K613" s="337">
        <f t="shared" si="823"/>
        <v>0</v>
      </c>
      <c r="L613" s="275">
        <f t="shared" ref="L613:M613" si="828">+H613+L507</f>
        <v>0</v>
      </c>
      <c r="M613" s="276">
        <f t="shared" si="828"/>
        <v>0</v>
      </c>
      <c r="N613" s="341" t="str">
        <f t="shared" si="825"/>
        <v>-</v>
      </c>
      <c r="O613" s="350" t="str">
        <f t="shared" si="826"/>
        <v>-</v>
      </c>
    </row>
    <row r="614" spans="1:15" ht="24" thickBot="1" x14ac:dyDescent="0.35">
      <c r="A614" s="277" t="s">
        <v>109</v>
      </c>
      <c r="B614" s="967" t="s">
        <v>35</v>
      </c>
      <c r="C614" s="968"/>
      <c r="D614" s="969"/>
      <c r="E614" s="287">
        <f>SUM(E611:E613)</f>
        <v>34000</v>
      </c>
      <c r="F614" s="288">
        <v>6500</v>
      </c>
      <c r="G614" s="323">
        <f>SUM(G611:G613)</f>
        <v>3906</v>
      </c>
      <c r="H614" s="324">
        <f t="shared" ref="H614:I614" si="829">SUM(H611:H613)</f>
        <v>3840</v>
      </c>
      <c r="I614" s="324">
        <f t="shared" si="829"/>
        <v>66</v>
      </c>
      <c r="J614" s="348" t="str">
        <f>IFERROR(G614/#REF!,"-")</f>
        <v>-</v>
      </c>
      <c r="K614" s="323">
        <f t="shared" ref="K614:M614" si="830">SUM(K611:K613)</f>
        <v>11020</v>
      </c>
      <c r="L614" s="324">
        <f t="shared" si="830"/>
        <v>10880</v>
      </c>
      <c r="M614" s="325">
        <f t="shared" si="830"/>
        <v>140</v>
      </c>
      <c r="N614" s="342">
        <f t="shared" si="825"/>
        <v>0.32411764705882351</v>
      </c>
      <c r="O614" s="348">
        <f t="shared" si="826"/>
        <v>1.2704174228675136E-2</v>
      </c>
    </row>
    <row r="615" spans="1:15" ht="23.4" x14ac:dyDescent="0.3">
      <c r="A615" s="277" t="s">
        <v>109</v>
      </c>
      <c r="B615" s="970" t="s">
        <v>36</v>
      </c>
      <c r="C615" s="314" t="s">
        <v>120</v>
      </c>
      <c r="D615" s="314"/>
      <c r="E615" s="273">
        <v>64360</v>
      </c>
      <c r="F615" s="274"/>
      <c r="G615" s="335">
        <f t="shared" ref="G615:G618" si="831">+H615+I615</f>
        <v>0</v>
      </c>
      <c r="H615" s="275">
        <v>0</v>
      </c>
      <c r="I615" s="275">
        <v>0</v>
      </c>
      <c r="J615" s="354" t="str">
        <f>IFERROR(G615/#REF!,"-")</f>
        <v>-</v>
      </c>
      <c r="K615" s="335">
        <f t="shared" ref="K615:K618" si="832">+L615+M615</f>
        <v>0</v>
      </c>
      <c r="L615" s="275">
        <f t="shared" ref="L615:M615" si="833">+H615+L509</f>
        <v>0</v>
      </c>
      <c r="M615" s="276">
        <f t="shared" si="833"/>
        <v>0</v>
      </c>
      <c r="N615" s="339">
        <f t="shared" si="825"/>
        <v>0</v>
      </c>
      <c r="O615" s="349" t="str">
        <f t="shared" si="826"/>
        <v>-</v>
      </c>
    </row>
    <row r="616" spans="1:15" ht="23.4" x14ac:dyDescent="0.3">
      <c r="A616" s="277" t="s">
        <v>109</v>
      </c>
      <c r="B616" s="972"/>
      <c r="C616" s="315" t="s">
        <v>267</v>
      </c>
      <c r="D616" s="315"/>
      <c r="E616" s="279">
        <v>0</v>
      </c>
      <c r="F616" s="280"/>
      <c r="G616" s="336">
        <f t="shared" si="831"/>
        <v>0</v>
      </c>
      <c r="H616" s="281">
        <v>0</v>
      </c>
      <c r="I616" s="281">
        <v>0</v>
      </c>
      <c r="J616" s="355" t="str">
        <f>IFERROR(G616/#REF!,"-")</f>
        <v>-</v>
      </c>
      <c r="K616" s="336">
        <f t="shared" si="832"/>
        <v>0</v>
      </c>
      <c r="L616" s="275">
        <f t="shared" ref="L616:M616" si="834">+H616+L510</f>
        <v>0</v>
      </c>
      <c r="M616" s="276">
        <f t="shared" si="834"/>
        <v>0</v>
      </c>
      <c r="N616" s="340" t="str">
        <f t="shared" si="825"/>
        <v>-</v>
      </c>
      <c r="O616" s="264" t="str">
        <f t="shared" si="826"/>
        <v>-</v>
      </c>
    </row>
    <row r="617" spans="1:15" ht="23.4" x14ac:dyDescent="0.3">
      <c r="A617" s="277" t="s">
        <v>109</v>
      </c>
      <c r="B617" s="972"/>
      <c r="C617" s="315" t="s">
        <v>198</v>
      </c>
      <c r="D617" s="315"/>
      <c r="E617" s="279">
        <v>0</v>
      </c>
      <c r="F617" s="280"/>
      <c r="G617" s="336">
        <f t="shared" si="831"/>
        <v>0</v>
      </c>
      <c r="H617" s="281">
        <v>0</v>
      </c>
      <c r="I617" s="281">
        <v>0</v>
      </c>
      <c r="J617" s="355" t="str">
        <f>IFERROR(G617/#REF!,"-")</f>
        <v>-</v>
      </c>
      <c r="K617" s="336">
        <f t="shared" si="832"/>
        <v>0</v>
      </c>
      <c r="L617" s="275">
        <f t="shared" ref="L617:M617" si="835">+H617+L511</f>
        <v>0</v>
      </c>
      <c r="M617" s="276">
        <f t="shared" si="835"/>
        <v>0</v>
      </c>
      <c r="N617" s="340" t="str">
        <f t="shared" si="825"/>
        <v>-</v>
      </c>
      <c r="O617" s="264" t="str">
        <f t="shared" si="826"/>
        <v>-</v>
      </c>
    </row>
    <row r="618" spans="1:15" ht="24" thickBot="1" x14ac:dyDescent="0.35">
      <c r="A618" s="277" t="s">
        <v>109</v>
      </c>
      <c r="B618" s="971"/>
      <c r="C618" s="316" t="s">
        <v>37</v>
      </c>
      <c r="D618" s="316"/>
      <c r="E618" s="283">
        <v>0</v>
      </c>
      <c r="F618" s="284"/>
      <c r="G618" s="337">
        <f t="shared" si="831"/>
        <v>0</v>
      </c>
      <c r="H618" s="285">
        <v>0</v>
      </c>
      <c r="I618" s="285">
        <v>0</v>
      </c>
      <c r="J618" s="356" t="str">
        <f>IFERROR(G618/#REF!,"-")</f>
        <v>-</v>
      </c>
      <c r="K618" s="337">
        <f t="shared" si="832"/>
        <v>0</v>
      </c>
      <c r="L618" s="275">
        <f t="shared" ref="L618:M618" si="836">+H618+L512</f>
        <v>0</v>
      </c>
      <c r="M618" s="276">
        <f t="shared" si="836"/>
        <v>0</v>
      </c>
      <c r="N618" s="341" t="str">
        <f t="shared" si="825"/>
        <v>-</v>
      </c>
      <c r="O618" s="350" t="str">
        <f t="shared" si="826"/>
        <v>-</v>
      </c>
    </row>
    <row r="619" spans="1:15" ht="24" thickBot="1" x14ac:dyDescent="0.35">
      <c r="A619" s="277" t="s">
        <v>109</v>
      </c>
      <c r="B619" s="967" t="s">
        <v>38</v>
      </c>
      <c r="C619" s="968"/>
      <c r="D619" s="969"/>
      <c r="E619" s="287">
        <f>SUM(E615:E618)</f>
        <v>64360</v>
      </c>
      <c r="F619" s="288">
        <v>6500</v>
      </c>
      <c r="G619" s="323">
        <f>SUM(G615:G618)</f>
        <v>0</v>
      </c>
      <c r="H619" s="324">
        <f t="shared" ref="H619:I619" si="837">SUM(H615:H618)</f>
        <v>0</v>
      </c>
      <c r="I619" s="324">
        <f t="shared" si="837"/>
        <v>0</v>
      </c>
      <c r="J619" s="348" t="str">
        <f>IFERROR(G619/#REF!,"-")</f>
        <v>-</v>
      </c>
      <c r="K619" s="323">
        <f t="shared" ref="K619:M619" si="838">SUM(K615:K618)</f>
        <v>0</v>
      </c>
      <c r="L619" s="324">
        <f t="shared" si="838"/>
        <v>0</v>
      </c>
      <c r="M619" s="325">
        <f t="shared" si="838"/>
        <v>0</v>
      </c>
      <c r="N619" s="342">
        <f>IFERROR(K619/E619,"-")</f>
        <v>0</v>
      </c>
      <c r="O619" s="348" t="str">
        <f t="shared" si="826"/>
        <v>-</v>
      </c>
    </row>
    <row r="620" spans="1:15" ht="23.4" x14ac:dyDescent="0.3">
      <c r="A620" s="277" t="s">
        <v>109</v>
      </c>
      <c r="B620" s="970" t="s">
        <v>39</v>
      </c>
      <c r="C620" s="317" t="s">
        <v>123</v>
      </c>
      <c r="D620" s="317"/>
      <c r="E620" s="273">
        <v>39800</v>
      </c>
      <c r="F620" s="274"/>
      <c r="G620" s="335">
        <f t="shared" ref="G620:G621" si="839">+H620+I620</f>
        <v>0</v>
      </c>
      <c r="H620" s="275">
        <v>0</v>
      </c>
      <c r="I620" s="275">
        <v>0</v>
      </c>
      <c r="J620" s="354" t="str">
        <f>IFERROR(G620/#REF!,"-")</f>
        <v>-</v>
      </c>
      <c r="K620" s="335">
        <f t="shared" ref="K620:K621" si="840">+L620+M620</f>
        <v>144</v>
      </c>
      <c r="L620" s="275">
        <f t="shared" ref="L620:M620" si="841">+H620+L514</f>
        <v>144</v>
      </c>
      <c r="M620" s="276">
        <f t="shared" si="841"/>
        <v>0</v>
      </c>
      <c r="N620" s="339">
        <f t="shared" ref="N620:N636" si="842">IFERROR(K620/E620,"-")</f>
        <v>3.6180904522613066E-3</v>
      </c>
      <c r="O620" s="349">
        <f t="shared" si="826"/>
        <v>0</v>
      </c>
    </row>
    <row r="621" spans="1:15" ht="24" thickBot="1" x14ac:dyDescent="0.35">
      <c r="A621" s="277" t="s">
        <v>109</v>
      </c>
      <c r="B621" s="971"/>
      <c r="C621" s="289" t="s">
        <v>139</v>
      </c>
      <c r="D621" s="289"/>
      <c r="E621" s="283">
        <v>0</v>
      </c>
      <c r="F621" s="284"/>
      <c r="G621" s="337">
        <f t="shared" si="839"/>
        <v>0</v>
      </c>
      <c r="H621" s="285">
        <v>0</v>
      </c>
      <c r="I621" s="285">
        <v>0</v>
      </c>
      <c r="J621" s="356" t="str">
        <f>IFERROR(G621/#REF!,"-")</f>
        <v>-</v>
      </c>
      <c r="K621" s="337">
        <f t="shared" si="840"/>
        <v>240</v>
      </c>
      <c r="L621" s="275">
        <f t="shared" ref="L621:M621" si="843">+H621+L515</f>
        <v>240</v>
      </c>
      <c r="M621" s="276">
        <f t="shared" si="843"/>
        <v>0</v>
      </c>
      <c r="N621" s="341" t="str">
        <f t="shared" si="842"/>
        <v>-</v>
      </c>
      <c r="O621" s="350">
        <f t="shared" si="826"/>
        <v>0</v>
      </c>
    </row>
    <row r="622" spans="1:15" ht="24" thickBot="1" x14ac:dyDescent="0.35">
      <c r="A622" s="783" t="s">
        <v>109</v>
      </c>
      <c r="B622" s="967" t="s">
        <v>40</v>
      </c>
      <c r="C622" s="968"/>
      <c r="D622" s="969"/>
      <c r="E622" s="287">
        <f>SUM(E620:E621)</f>
        <v>39800</v>
      </c>
      <c r="F622" s="288">
        <v>2800</v>
      </c>
      <c r="G622" s="323">
        <f>SUM(G620:G621)</f>
        <v>0</v>
      </c>
      <c r="H622" s="324">
        <f t="shared" ref="H622:I622" si="844">SUM(H620:H621)</f>
        <v>0</v>
      </c>
      <c r="I622" s="324">
        <f t="shared" si="844"/>
        <v>0</v>
      </c>
      <c r="J622" s="348" t="str">
        <f>IFERROR(G622/#REF!,"-")</f>
        <v>-</v>
      </c>
      <c r="K622" s="323">
        <f t="shared" ref="K622:M622" si="845">SUM(K620:K621)</f>
        <v>384</v>
      </c>
      <c r="L622" s="324">
        <f t="shared" si="845"/>
        <v>384</v>
      </c>
      <c r="M622" s="325">
        <f t="shared" si="845"/>
        <v>0</v>
      </c>
      <c r="N622" s="342">
        <f t="shared" si="842"/>
        <v>9.6482412060301514E-3</v>
      </c>
      <c r="O622" s="348">
        <f t="shared" si="826"/>
        <v>0</v>
      </c>
    </row>
    <row r="623" spans="1:15" ht="23.4" x14ac:dyDescent="0.3">
      <c r="A623" s="277" t="s">
        <v>109</v>
      </c>
      <c r="B623" s="970" t="s">
        <v>41</v>
      </c>
      <c r="C623" s="272" t="s">
        <v>335</v>
      </c>
      <c r="D623" s="272"/>
      <c r="E623" s="273">
        <v>916640</v>
      </c>
      <c r="F623" s="318"/>
      <c r="G623" s="335">
        <f t="shared" ref="G623:G627" si="846">+H623+I623</f>
        <v>19396</v>
      </c>
      <c r="H623" s="275">
        <v>19116</v>
      </c>
      <c r="I623" s="275">
        <v>280</v>
      </c>
      <c r="J623" s="374" t="str">
        <f>IFERROR(G623/#REF!,"-")</f>
        <v>-</v>
      </c>
      <c r="K623" s="335">
        <f t="shared" ref="K623:K627" si="847">+L623+M623</f>
        <v>114079</v>
      </c>
      <c r="L623" s="275">
        <f t="shared" ref="L623:M623" si="848">+H623+L517</f>
        <v>112236</v>
      </c>
      <c r="M623" s="275">
        <f t="shared" si="848"/>
        <v>1843</v>
      </c>
      <c r="N623" s="362">
        <f t="shared" si="842"/>
        <v>0.12445343864548787</v>
      </c>
      <c r="O623" s="363">
        <f t="shared" si="826"/>
        <v>1.6155471208548461E-2</v>
      </c>
    </row>
    <row r="624" spans="1:15" ht="23.4" x14ac:dyDescent="0.3">
      <c r="A624" s="277" t="s">
        <v>109</v>
      </c>
      <c r="B624" s="972"/>
      <c r="C624" s="272" t="s">
        <v>336</v>
      </c>
      <c r="D624" s="278"/>
      <c r="E624" s="279">
        <v>0</v>
      </c>
      <c r="F624" s="319"/>
      <c r="G624" s="336">
        <f t="shared" si="846"/>
        <v>0</v>
      </c>
      <c r="H624" s="281">
        <v>0</v>
      </c>
      <c r="I624" s="281">
        <v>0</v>
      </c>
      <c r="J624" s="375" t="str">
        <f>IFERROR(G624/#REF!,"-")</f>
        <v>-</v>
      </c>
      <c r="K624" s="336">
        <f t="shared" si="847"/>
        <v>0</v>
      </c>
      <c r="L624" s="275">
        <f t="shared" ref="L624:M624" si="849">+H624+L518</f>
        <v>0</v>
      </c>
      <c r="M624" s="276">
        <f t="shared" si="849"/>
        <v>0</v>
      </c>
      <c r="N624" s="364" t="str">
        <f t="shared" si="842"/>
        <v>-</v>
      </c>
      <c r="O624" s="365" t="str">
        <f t="shared" si="826"/>
        <v>-</v>
      </c>
    </row>
    <row r="625" spans="1:15" ht="23.4" x14ac:dyDescent="0.3">
      <c r="A625" s="277" t="s">
        <v>109</v>
      </c>
      <c r="B625" s="972"/>
      <c r="C625" s="278" t="s">
        <v>383</v>
      </c>
      <c r="D625" s="278"/>
      <c r="E625" s="279">
        <v>40000</v>
      </c>
      <c r="F625" s="319"/>
      <c r="G625" s="336">
        <f t="shared" si="846"/>
        <v>0</v>
      </c>
      <c r="H625" s="281">
        <v>0</v>
      </c>
      <c r="I625" s="281">
        <v>0</v>
      </c>
      <c r="J625" s="375" t="str">
        <f>IFERROR(G625/#REF!,"-")</f>
        <v>-</v>
      </c>
      <c r="K625" s="336">
        <f t="shared" si="847"/>
        <v>0</v>
      </c>
      <c r="L625" s="275">
        <f t="shared" ref="L625:M625" si="850">+H625+L519</f>
        <v>0</v>
      </c>
      <c r="M625" s="276">
        <f t="shared" si="850"/>
        <v>0</v>
      </c>
      <c r="N625" s="364">
        <f t="shared" si="842"/>
        <v>0</v>
      </c>
      <c r="O625" s="365" t="str">
        <f t="shared" si="826"/>
        <v>-</v>
      </c>
    </row>
    <row r="626" spans="1:15" ht="23.4" x14ac:dyDescent="0.3">
      <c r="A626" s="277" t="s">
        <v>109</v>
      </c>
      <c r="B626" s="972"/>
      <c r="C626" s="278" t="s">
        <v>165</v>
      </c>
      <c r="D626" s="278"/>
      <c r="E626" s="279">
        <v>0</v>
      </c>
      <c r="F626" s="319"/>
      <c r="G626" s="336">
        <f t="shared" si="846"/>
        <v>0</v>
      </c>
      <c r="H626" s="281">
        <v>0</v>
      </c>
      <c r="I626" s="281">
        <v>0</v>
      </c>
      <c r="J626" s="375" t="str">
        <f>IFERROR(G626/#REF!,"-")</f>
        <v>-</v>
      </c>
      <c r="K626" s="336">
        <f t="shared" si="847"/>
        <v>0</v>
      </c>
      <c r="L626" s="275">
        <f t="shared" ref="L626:M626" si="851">+H626+L520</f>
        <v>0</v>
      </c>
      <c r="M626" s="276">
        <f t="shared" si="851"/>
        <v>0</v>
      </c>
      <c r="N626" s="364" t="str">
        <f t="shared" si="842"/>
        <v>-</v>
      </c>
      <c r="O626" s="365" t="str">
        <f t="shared" si="826"/>
        <v>-</v>
      </c>
    </row>
    <row r="627" spans="1:15" ht="24" thickBot="1" x14ac:dyDescent="0.35">
      <c r="A627" s="277" t="s">
        <v>109</v>
      </c>
      <c r="B627" s="971"/>
      <c r="C627" s="282" t="s">
        <v>166</v>
      </c>
      <c r="D627" s="282"/>
      <c r="E627" s="283">
        <v>0</v>
      </c>
      <c r="F627" s="320"/>
      <c r="G627" s="337">
        <f t="shared" si="846"/>
        <v>0</v>
      </c>
      <c r="H627" s="285">
        <v>0</v>
      </c>
      <c r="I627" s="285">
        <v>0</v>
      </c>
      <c r="J627" s="376" t="str">
        <f>IFERROR(G627/#REF!,"-")</f>
        <v>-</v>
      </c>
      <c r="K627" s="337">
        <f t="shared" si="847"/>
        <v>0</v>
      </c>
      <c r="L627" s="275">
        <f t="shared" ref="L627:M627" si="852">+H627+L521</f>
        <v>0</v>
      </c>
      <c r="M627" s="276">
        <f t="shared" si="852"/>
        <v>0</v>
      </c>
      <c r="N627" s="366" t="str">
        <f t="shared" si="842"/>
        <v>-</v>
      </c>
      <c r="O627" s="367" t="str">
        <f t="shared" si="826"/>
        <v>-</v>
      </c>
    </row>
    <row r="628" spans="1:15" ht="24" thickBot="1" x14ac:dyDescent="0.35">
      <c r="A628" s="277" t="s">
        <v>109</v>
      </c>
      <c r="B628" s="967" t="s">
        <v>42</v>
      </c>
      <c r="C628" s="968"/>
      <c r="D628" s="969"/>
      <c r="E628" s="323">
        <f>SUM(E623:E627)</f>
        <v>956640</v>
      </c>
      <c r="F628" s="288">
        <v>25000</v>
      </c>
      <c r="G628" s="323">
        <f>SUM(G624:G627)</f>
        <v>0</v>
      </c>
      <c r="H628" s="324">
        <f>SUM(H623:H627)</f>
        <v>19116</v>
      </c>
      <c r="I628" s="324">
        <f t="shared" ref="I628" si="853">SUM(I624:I627)</f>
        <v>0</v>
      </c>
      <c r="J628" s="348" t="str">
        <f>IFERROR(G628/#REF!,"-")</f>
        <v>-</v>
      </c>
      <c r="K628" s="323">
        <f>SUM(K623:K627)</f>
        <v>114079</v>
      </c>
      <c r="L628" s="324">
        <f>SUM(L623:L627)</f>
        <v>112236</v>
      </c>
      <c r="M628" s="325">
        <f>SUM(M623:M627)</f>
        <v>1843</v>
      </c>
      <c r="N628" s="342">
        <f t="shared" si="842"/>
        <v>0.11924966549590232</v>
      </c>
      <c r="O628" s="348">
        <f t="shared" si="826"/>
        <v>1.6155471208548461E-2</v>
      </c>
    </row>
    <row r="629" spans="1:15" ht="23.4" x14ac:dyDescent="0.3">
      <c r="A629" s="277" t="s">
        <v>109</v>
      </c>
      <c r="B629" s="970" t="s">
        <v>43</v>
      </c>
      <c r="C629" s="272" t="s">
        <v>200</v>
      </c>
      <c r="D629" s="272"/>
      <c r="E629" s="273">
        <v>0</v>
      </c>
      <c r="F629" s="274"/>
      <c r="G629" s="335">
        <f t="shared" ref="G629:G631" si="854">+H629+I629</f>
        <v>0</v>
      </c>
      <c r="H629" s="275">
        <v>0</v>
      </c>
      <c r="I629" s="275">
        <v>0</v>
      </c>
      <c r="J629" s="354" t="str">
        <f>IFERROR(G629/#REF!,"-")</f>
        <v>-</v>
      </c>
      <c r="K629" s="335">
        <f t="shared" ref="K629:K631" si="855">+L629+M629</f>
        <v>0</v>
      </c>
      <c r="L629" s="275">
        <f t="shared" ref="L629:M629" si="856">+H629+L523</f>
        <v>0</v>
      </c>
      <c r="M629" s="276">
        <f t="shared" si="856"/>
        <v>0</v>
      </c>
      <c r="N629" s="339" t="str">
        <f t="shared" si="842"/>
        <v>-</v>
      </c>
      <c r="O629" s="349" t="str">
        <f t="shared" si="826"/>
        <v>-</v>
      </c>
    </row>
    <row r="630" spans="1:15" ht="23.4" x14ac:dyDescent="0.3">
      <c r="A630" s="277" t="s">
        <v>109</v>
      </c>
      <c r="B630" s="972"/>
      <c r="C630" s="278" t="s">
        <v>167</v>
      </c>
      <c r="D630" s="278"/>
      <c r="E630" s="279">
        <v>50000</v>
      </c>
      <c r="F630" s="280"/>
      <c r="G630" s="336">
        <f t="shared" si="854"/>
        <v>6013</v>
      </c>
      <c r="H630" s="281">
        <v>5760</v>
      </c>
      <c r="I630" s="281">
        <v>253</v>
      </c>
      <c r="J630" s="375" t="str">
        <f>IFERROR(G630/#REF!,"-")</f>
        <v>-</v>
      </c>
      <c r="K630" s="336">
        <f t="shared" si="855"/>
        <v>50663</v>
      </c>
      <c r="L630" s="794">
        <f t="shared" ref="L630:M630" si="857">+H630+L524</f>
        <v>48960</v>
      </c>
      <c r="M630" s="276">
        <f t="shared" si="857"/>
        <v>1703</v>
      </c>
      <c r="N630" s="364">
        <f t="shared" si="842"/>
        <v>1.01326</v>
      </c>
      <c r="O630" s="365">
        <f t="shared" si="826"/>
        <v>3.3614274717249273E-2</v>
      </c>
    </row>
    <row r="631" spans="1:15" ht="24" thickBot="1" x14ac:dyDescent="0.35">
      <c r="A631" s="277" t="s">
        <v>109</v>
      </c>
      <c r="B631" s="971"/>
      <c r="C631" s="282" t="s">
        <v>200</v>
      </c>
      <c r="D631" s="282"/>
      <c r="E631" s="283">
        <v>0</v>
      </c>
      <c r="F631" s="284"/>
      <c r="G631" s="337">
        <f t="shared" si="854"/>
        <v>0</v>
      </c>
      <c r="H631" s="285">
        <v>0</v>
      </c>
      <c r="I631" s="285">
        <v>0</v>
      </c>
      <c r="J631" s="376" t="str">
        <f>IFERROR(G631/#REF!,"-")</f>
        <v>-</v>
      </c>
      <c r="K631" s="337">
        <f t="shared" si="855"/>
        <v>0</v>
      </c>
      <c r="L631" s="275">
        <f t="shared" ref="L631:M631" si="858">+H631+L525</f>
        <v>0</v>
      </c>
      <c r="M631" s="276">
        <f t="shared" si="858"/>
        <v>0</v>
      </c>
      <c r="N631" s="366" t="str">
        <f t="shared" si="842"/>
        <v>-</v>
      </c>
      <c r="O631" s="367" t="str">
        <f t="shared" si="826"/>
        <v>-</v>
      </c>
    </row>
    <row r="632" spans="1:15" ht="24" thickBot="1" x14ac:dyDescent="0.35">
      <c r="A632" s="277" t="s">
        <v>109</v>
      </c>
      <c r="B632" s="973" t="s">
        <v>44</v>
      </c>
      <c r="C632" s="974"/>
      <c r="D632" s="975"/>
      <c r="E632" s="323">
        <f>SUM(E629:E631)</f>
        <v>50000</v>
      </c>
      <c r="F632" s="288"/>
      <c r="G632" s="323">
        <f>SUM(G629:G631)</f>
        <v>6013</v>
      </c>
      <c r="H632" s="324">
        <f t="shared" ref="H632:I632" si="859">SUM(H629:H631)</f>
        <v>5760</v>
      </c>
      <c r="I632" s="324">
        <f t="shared" si="859"/>
        <v>253</v>
      </c>
      <c r="J632" s="348" t="str">
        <f>IFERROR(G632/#REF!,"-")</f>
        <v>-</v>
      </c>
      <c r="K632" s="323">
        <f t="shared" ref="K632:M632" si="860">SUM(K629:K631)</f>
        <v>50663</v>
      </c>
      <c r="L632" s="368">
        <f t="shared" si="860"/>
        <v>48960</v>
      </c>
      <c r="M632" s="370">
        <f t="shared" si="860"/>
        <v>1703</v>
      </c>
      <c r="N632" s="342">
        <f t="shared" si="842"/>
        <v>1.01326</v>
      </c>
      <c r="O632" s="348">
        <f t="shared" si="826"/>
        <v>3.3614274717249273E-2</v>
      </c>
    </row>
    <row r="633" spans="1:15" ht="23.4" x14ac:dyDescent="0.3">
      <c r="A633" s="277" t="s">
        <v>109</v>
      </c>
      <c r="B633" s="970" t="s">
        <v>45</v>
      </c>
      <c r="C633" s="272" t="s">
        <v>168</v>
      </c>
      <c r="D633" s="272"/>
      <c r="E633" s="273">
        <v>0</v>
      </c>
      <c r="F633" s="274"/>
      <c r="G633" s="335">
        <f t="shared" ref="G633:G634" si="861">+H633+I633</f>
        <v>0</v>
      </c>
      <c r="H633" s="275">
        <v>0</v>
      </c>
      <c r="I633" s="275">
        <v>0</v>
      </c>
      <c r="J633" s="374" t="str">
        <f>IFERROR(G633/#REF!,"-")</f>
        <v>-</v>
      </c>
      <c r="K633" s="739">
        <f t="shared" ref="K633:K634" si="862">+L633+M633</f>
        <v>0</v>
      </c>
      <c r="L633" s="532">
        <f t="shared" ref="L633:M633" si="863">+H633+L527</f>
        <v>0</v>
      </c>
      <c r="M633" s="247">
        <f t="shared" si="863"/>
        <v>0</v>
      </c>
      <c r="N633" s="362" t="str">
        <f t="shared" si="842"/>
        <v>-</v>
      </c>
      <c r="O633" s="363" t="str">
        <f t="shared" si="826"/>
        <v>-</v>
      </c>
    </row>
    <row r="634" spans="1:15" ht="24" thickBot="1" x14ac:dyDescent="0.35">
      <c r="A634" s="277" t="s">
        <v>109</v>
      </c>
      <c r="B634" s="971"/>
      <c r="C634" s="282" t="s">
        <v>169</v>
      </c>
      <c r="D634" s="282"/>
      <c r="E634" s="283">
        <v>0</v>
      </c>
      <c r="F634" s="284"/>
      <c r="G634" s="337">
        <f t="shared" si="861"/>
        <v>0</v>
      </c>
      <c r="H634" s="285">
        <v>0</v>
      </c>
      <c r="I634" s="285">
        <v>0</v>
      </c>
      <c r="J634" s="376" t="str">
        <f>IFERROR(G634/#REF!,"-")</f>
        <v>-</v>
      </c>
      <c r="K634" s="740">
        <f t="shared" si="862"/>
        <v>0</v>
      </c>
      <c r="L634" s="535">
        <f t="shared" ref="L634:M634" si="864">+H634+L528</f>
        <v>0</v>
      </c>
      <c r="M634" s="258">
        <f t="shared" si="864"/>
        <v>0</v>
      </c>
      <c r="N634" s="366" t="str">
        <f t="shared" si="842"/>
        <v>-</v>
      </c>
      <c r="O634" s="367" t="str">
        <f t="shared" si="826"/>
        <v>-</v>
      </c>
    </row>
    <row r="635" spans="1:15" ht="24" thickBot="1" x14ac:dyDescent="0.35">
      <c r="A635" s="277" t="s">
        <v>109</v>
      </c>
      <c r="B635" s="973" t="s">
        <v>46</v>
      </c>
      <c r="C635" s="974"/>
      <c r="D635" s="975"/>
      <c r="E635" s="287">
        <v>0</v>
      </c>
      <c r="F635" s="288">
        <v>25000</v>
      </c>
      <c r="G635" s="323">
        <f>SUM(G633:G634)</f>
        <v>0</v>
      </c>
      <c r="H635" s="324">
        <f t="shared" ref="H635:I635" si="865">SUM(H633:H634)</f>
        <v>0</v>
      </c>
      <c r="I635" s="324">
        <f t="shared" si="865"/>
        <v>0</v>
      </c>
      <c r="J635" s="348" t="str">
        <f>IFERROR(G635/#REF!,"-")</f>
        <v>-</v>
      </c>
      <c r="K635" s="323">
        <f t="shared" ref="K635:M635" si="866">SUM(K633:K634)</f>
        <v>0</v>
      </c>
      <c r="L635" s="524">
        <f t="shared" si="866"/>
        <v>0</v>
      </c>
      <c r="M635" s="733">
        <f t="shared" si="866"/>
        <v>0</v>
      </c>
      <c r="N635" s="342" t="str">
        <f t="shared" si="842"/>
        <v>-</v>
      </c>
      <c r="O635" s="348" t="str">
        <f t="shared" si="826"/>
        <v>-</v>
      </c>
    </row>
    <row r="636" spans="1:15" ht="24" thickBot="1" x14ac:dyDescent="0.35">
      <c r="A636" s="277" t="s">
        <v>109</v>
      </c>
      <c r="B636" s="959" t="s">
        <v>25</v>
      </c>
      <c r="C636" s="960"/>
      <c r="D636" s="961"/>
      <c r="E636" s="329">
        <f t="shared" ref="E636:F636" si="867">+E614+E619+E622+E628+E632+E635</f>
        <v>1144800</v>
      </c>
      <c r="F636" s="330">
        <f t="shared" si="867"/>
        <v>65800</v>
      </c>
      <c r="G636" s="329">
        <f>+G614+G619+G622+G628+G632+G635</f>
        <v>9919</v>
      </c>
      <c r="H636" s="327">
        <f>+H614+H619+H622+H628+H632+H635</f>
        <v>28716</v>
      </c>
      <c r="I636" s="327">
        <f t="shared" ref="I636" si="868">+I614+I619+I622+I628+I632+I635</f>
        <v>319</v>
      </c>
      <c r="J636" s="352" t="str">
        <f>IFERROR(G636/#REF!,"-")</f>
        <v>-</v>
      </c>
      <c r="K636" s="329">
        <f>+K614+K619+K622+K628+K632+K635</f>
        <v>176146</v>
      </c>
      <c r="L636" s="327">
        <f t="shared" ref="L636:M636" si="869">+L614+L619+L622+L628+L632+L635</f>
        <v>172460</v>
      </c>
      <c r="M636" s="328">
        <f t="shared" si="869"/>
        <v>3686</v>
      </c>
      <c r="N636" s="344">
        <f t="shared" si="842"/>
        <v>0.15386617749825296</v>
      </c>
      <c r="O636" s="352">
        <f t="shared" si="826"/>
        <v>2.092582289691506E-2</v>
      </c>
    </row>
    <row r="637" spans="1:15" ht="24" thickBot="1" x14ac:dyDescent="0.35">
      <c r="A637" s="321" t="s">
        <v>109</v>
      </c>
      <c r="B637" s="962" t="s">
        <v>181</v>
      </c>
      <c r="C637" s="962"/>
      <c r="D637" s="963"/>
      <c r="E637" s="333">
        <f>+E636</f>
        <v>1144800</v>
      </c>
      <c r="F637" s="334">
        <f t="shared" ref="F637:O637" si="870">+F636</f>
        <v>65800</v>
      </c>
      <c r="G637" s="333">
        <f t="shared" si="870"/>
        <v>9919</v>
      </c>
      <c r="H637" s="331">
        <f t="shared" si="870"/>
        <v>28716</v>
      </c>
      <c r="I637" s="331">
        <f t="shared" si="870"/>
        <v>319</v>
      </c>
      <c r="J637" s="353" t="str">
        <f t="shared" si="870"/>
        <v>-</v>
      </c>
      <c r="K637" s="333">
        <f t="shared" si="870"/>
        <v>176146</v>
      </c>
      <c r="L637" s="331">
        <f t="shared" si="870"/>
        <v>172460</v>
      </c>
      <c r="M637" s="332">
        <f t="shared" si="870"/>
        <v>3686</v>
      </c>
      <c r="N637" s="345">
        <f t="shared" si="870"/>
        <v>0.15386617749825296</v>
      </c>
      <c r="O637" s="353">
        <f t="shared" si="870"/>
        <v>2.092582289691506E-2</v>
      </c>
    </row>
    <row r="638" spans="1:15" ht="24.6" thickBot="1" x14ac:dyDescent="0.35">
      <c r="A638" s="322"/>
      <c r="B638" s="964" t="s">
        <v>182</v>
      </c>
      <c r="C638" s="965"/>
      <c r="D638" s="966"/>
      <c r="E638" s="377">
        <f>+E581+E610+E637</f>
        <v>10258981</v>
      </c>
      <c r="F638" s="377">
        <f>+F581+F610+F637</f>
        <v>1014800</v>
      </c>
      <c r="G638" s="377">
        <f>+G581+G610+G637</f>
        <v>327470</v>
      </c>
      <c r="H638" s="377">
        <f>+H581+H610+H637</f>
        <v>343084</v>
      </c>
      <c r="I638" s="377">
        <f>+I581+I610+I637</f>
        <v>3502</v>
      </c>
      <c r="J638" s="378" t="str">
        <f>IFERROR(G638/#REF!,"-")</f>
        <v>-</v>
      </c>
      <c r="K638" s="377">
        <f>+K581+K610+K637</f>
        <v>2444976</v>
      </c>
      <c r="L638" s="377">
        <f>+L581+L610+L637</f>
        <v>2420282</v>
      </c>
      <c r="M638" s="377">
        <f>+M581+M610+M637</f>
        <v>24694</v>
      </c>
      <c r="N638" s="378">
        <f>IFERROR(K638/E638,"-")</f>
        <v>0.23832542432820569</v>
      </c>
      <c r="O638" s="378">
        <f>IFERROR(M638/K638,"-")</f>
        <v>1.0099894641092592E-2</v>
      </c>
    </row>
    <row r="639" spans="1:15" ht="23.4" x14ac:dyDescent="0.3">
      <c r="A639" s="991" t="s">
        <v>1</v>
      </c>
      <c r="B639" s="994" t="s">
        <v>2</v>
      </c>
      <c r="C639" s="997" t="s">
        <v>3</v>
      </c>
      <c r="D639" s="997" t="s">
        <v>93</v>
      </c>
      <c r="E639" s="1000" t="s">
        <v>4</v>
      </c>
      <c r="F639" s="1001"/>
      <c r="G639" s="1001"/>
      <c r="H639" s="1001"/>
      <c r="I639" s="1001"/>
      <c r="J639" s="1001"/>
      <c r="K639" s="1001"/>
      <c r="L639" s="1001"/>
      <c r="M639" s="1001"/>
      <c r="N639" s="1001"/>
      <c r="O639" s="1002"/>
    </row>
    <row r="640" spans="1:15" ht="23.4" x14ac:dyDescent="0.3">
      <c r="A640" s="992"/>
      <c r="B640" s="995"/>
      <c r="C640" s="998"/>
      <c r="D640" s="998"/>
      <c r="E640" s="1003" t="s">
        <v>7</v>
      </c>
      <c r="F640" s="1005" t="s">
        <v>115</v>
      </c>
      <c r="G640" s="1007" t="s">
        <v>465</v>
      </c>
      <c r="H640" s="1008"/>
      <c r="I640" s="1008"/>
      <c r="J640" s="1009"/>
      <c r="K640" s="1010" t="s">
        <v>8</v>
      </c>
      <c r="L640" s="1011"/>
      <c r="M640" s="1012"/>
      <c r="N640" s="1013" t="s">
        <v>173</v>
      </c>
      <c r="O640" s="1015" t="s">
        <v>172</v>
      </c>
    </row>
    <row r="641" spans="1:15" ht="41.4" thickBot="1" x14ac:dyDescent="0.35">
      <c r="A641" s="993"/>
      <c r="B641" s="996"/>
      <c r="C641" s="999"/>
      <c r="D641" s="999"/>
      <c r="E641" s="1004"/>
      <c r="F641" s="1006"/>
      <c r="G641" s="455" t="s">
        <v>13</v>
      </c>
      <c r="H641" s="456" t="s">
        <v>14</v>
      </c>
      <c r="I641" s="456" t="s">
        <v>15</v>
      </c>
      <c r="J641" s="457" t="s">
        <v>174</v>
      </c>
      <c r="K641" s="712" t="s">
        <v>13</v>
      </c>
      <c r="L641" s="710" t="s">
        <v>14</v>
      </c>
      <c r="M641" s="711" t="s">
        <v>15</v>
      </c>
      <c r="N641" s="1014"/>
      <c r="O641" s="1016"/>
    </row>
    <row r="642" spans="1:15" ht="24" thickBot="1" x14ac:dyDescent="0.35">
      <c r="A642" s="271" t="s">
        <v>110</v>
      </c>
      <c r="B642" s="956" t="s">
        <v>16</v>
      </c>
      <c r="C642" s="272" t="s">
        <v>424</v>
      </c>
      <c r="D642" s="272" t="s">
        <v>425</v>
      </c>
      <c r="E642" s="273">
        <v>20000</v>
      </c>
      <c r="F642" s="274"/>
      <c r="G642" s="335">
        <f>+H642+I642</f>
        <v>0</v>
      </c>
      <c r="H642" s="275"/>
      <c r="I642" s="275"/>
      <c r="J642" s="354"/>
      <c r="K642" s="461">
        <f>+L642+M642</f>
        <v>20432</v>
      </c>
      <c r="L642" s="732">
        <f>+H642+L536</f>
        <v>19840</v>
      </c>
      <c r="M642" s="732">
        <f>+I642+M536</f>
        <v>592</v>
      </c>
      <c r="N642" s="339">
        <f>IFERROR(K642/E642,"-")</f>
        <v>1.0216000000000001</v>
      </c>
      <c r="O642" s="346">
        <f t="shared" ref="O642:O643" si="871">IFERROR(M642/K642,"-")</f>
        <v>2.8974158183241974E-2</v>
      </c>
    </row>
    <row r="643" spans="1:15" ht="23.4" x14ac:dyDescent="0.3">
      <c r="A643" s="277" t="s">
        <v>110</v>
      </c>
      <c r="B643" s="957"/>
      <c r="C643" s="278" t="s">
        <v>438</v>
      </c>
      <c r="D643" s="278" t="s">
        <v>437</v>
      </c>
      <c r="E643" s="279">
        <v>50000</v>
      </c>
      <c r="F643" s="280"/>
      <c r="G643" s="336">
        <f t="shared" ref="G643:G645" si="872">+H643+I643</f>
        <v>9153</v>
      </c>
      <c r="H643" s="281">
        <v>9021</v>
      </c>
      <c r="I643" s="281">
        <v>132</v>
      </c>
      <c r="J643" s="355" t="str">
        <f>IFERROR(G643/#REF!,"-")</f>
        <v>-</v>
      </c>
      <c r="K643" s="734">
        <f t="shared" ref="K643:K645" si="873">+L643+M643</f>
        <v>48806</v>
      </c>
      <c r="L643" s="532">
        <f t="shared" ref="L643:L645" si="874">+H643+L537</f>
        <v>48381</v>
      </c>
      <c r="M643" s="463">
        <f t="shared" ref="M643:M645" si="875">+I643+M537</f>
        <v>425</v>
      </c>
      <c r="N643" s="340">
        <f t="shared" ref="N643:N645" si="876">IFERROR(K643/E643,"-")</f>
        <v>0.97611999999999999</v>
      </c>
      <c r="O643" s="268">
        <f t="shared" si="871"/>
        <v>8.7079457443756912E-3</v>
      </c>
    </row>
    <row r="644" spans="1:15" ht="23.4" x14ac:dyDescent="0.3">
      <c r="A644" s="277" t="s">
        <v>110</v>
      </c>
      <c r="B644" s="957"/>
      <c r="C644" s="278" t="s">
        <v>186</v>
      </c>
      <c r="D644" s="278" t="s">
        <v>184</v>
      </c>
      <c r="E644" s="279">
        <v>0</v>
      </c>
      <c r="F644" s="280"/>
      <c r="G644" s="336">
        <f t="shared" si="872"/>
        <v>0</v>
      </c>
      <c r="H644" s="281"/>
      <c r="I644" s="281"/>
      <c r="J644" s="355" t="str">
        <f>IFERROR(G644/#REF!,"-")</f>
        <v>-</v>
      </c>
      <c r="K644" s="734">
        <f t="shared" si="873"/>
        <v>0</v>
      </c>
      <c r="L644" s="279">
        <f t="shared" si="874"/>
        <v>0</v>
      </c>
      <c r="M644" s="439">
        <f t="shared" si="875"/>
        <v>0</v>
      </c>
      <c r="N644" s="340" t="str">
        <f t="shared" si="876"/>
        <v>-</v>
      </c>
      <c r="O644" s="268" t="str">
        <f>IFERROR(M644/K644,"-")</f>
        <v>-</v>
      </c>
    </row>
    <row r="645" spans="1:15" ht="24" thickBot="1" x14ac:dyDescent="0.35">
      <c r="A645" s="277" t="s">
        <v>110</v>
      </c>
      <c r="B645" s="958"/>
      <c r="C645" s="282" t="s">
        <v>250</v>
      </c>
      <c r="D645" s="282" t="s">
        <v>436</v>
      </c>
      <c r="E645" s="283">
        <v>30000</v>
      </c>
      <c r="F645" s="284"/>
      <c r="G645" s="337">
        <f t="shared" si="872"/>
        <v>0</v>
      </c>
      <c r="H645" s="285"/>
      <c r="I645" s="285"/>
      <c r="J645" s="356" t="str">
        <f>IFERROR(G645/#REF!,"-")</f>
        <v>-</v>
      </c>
      <c r="K645" s="735">
        <f t="shared" si="873"/>
        <v>0</v>
      </c>
      <c r="L645" s="535">
        <f t="shared" si="874"/>
        <v>0</v>
      </c>
      <c r="M645" s="466">
        <f t="shared" si="875"/>
        <v>0</v>
      </c>
      <c r="N645" s="341">
        <f t="shared" si="876"/>
        <v>0</v>
      </c>
      <c r="O645" s="347" t="str">
        <f t="shared" ref="O645:O663" si="877">IFERROR(M645/K645,"-")</f>
        <v>-</v>
      </c>
    </row>
    <row r="646" spans="1:15" ht="24" thickBot="1" x14ac:dyDescent="0.35">
      <c r="A646" s="277" t="s">
        <v>110</v>
      </c>
      <c r="B646" s="967" t="s">
        <v>47</v>
      </c>
      <c r="C646" s="968"/>
      <c r="D646" s="969"/>
      <c r="E646" s="323">
        <f>SUM(E642:E645)</f>
        <v>100000</v>
      </c>
      <c r="F646" s="288">
        <v>15000</v>
      </c>
      <c r="G646" s="323">
        <f>SUM(G642:G645)</f>
        <v>9153</v>
      </c>
      <c r="H646" s="324">
        <f t="shared" ref="H646:I646" si="878">SUM(H642:H645)</f>
        <v>9021</v>
      </c>
      <c r="I646" s="324">
        <f t="shared" si="878"/>
        <v>132</v>
      </c>
      <c r="J646" s="348">
        <f>+G646/F646</f>
        <v>0.61019999999999996</v>
      </c>
      <c r="K646" s="323">
        <f t="shared" ref="K646:M646" si="879">SUM(K642:K645)</f>
        <v>69238</v>
      </c>
      <c r="L646" s="736">
        <f t="shared" si="879"/>
        <v>68221</v>
      </c>
      <c r="M646" s="737">
        <f t="shared" si="879"/>
        <v>1017</v>
      </c>
      <c r="N646" s="342">
        <f>IFERROR(K646/E646,"-")</f>
        <v>0.69238</v>
      </c>
      <c r="O646" s="348">
        <f t="shared" si="877"/>
        <v>1.4688465871342326E-2</v>
      </c>
    </row>
    <row r="647" spans="1:15" ht="23.4" x14ac:dyDescent="0.3">
      <c r="A647" s="277" t="s">
        <v>110</v>
      </c>
      <c r="B647" s="956" t="s">
        <v>17</v>
      </c>
      <c r="C647" s="272" t="s">
        <v>320</v>
      </c>
      <c r="D647" s="272"/>
      <c r="E647" s="273">
        <v>0</v>
      </c>
      <c r="F647" s="274"/>
      <c r="G647" s="335">
        <f t="shared" ref="G647:G653" si="880">+H647+I647</f>
        <v>0</v>
      </c>
      <c r="H647" s="275"/>
      <c r="I647" s="275"/>
      <c r="J647" s="354" t="str">
        <f>IFERROR(G647/#REF!,"-")</f>
        <v>-</v>
      </c>
      <c r="K647" s="738">
        <f t="shared" ref="K647:K653" si="881">+L647+M647</f>
        <v>0</v>
      </c>
      <c r="L647" s="532">
        <f t="shared" ref="L647:L653" si="882">+H647+L541</f>
        <v>0</v>
      </c>
      <c r="M647" s="463">
        <f t="shared" ref="M647:M653" si="883">+I647+M541</f>
        <v>0</v>
      </c>
      <c r="N647" s="339" t="str">
        <f t="shared" ref="N647:N653" si="884">IFERROR(K647/E647,"-")</f>
        <v>-</v>
      </c>
      <c r="O647" s="349" t="str">
        <f t="shared" si="877"/>
        <v>-</v>
      </c>
    </row>
    <row r="648" spans="1:15" ht="23.4" x14ac:dyDescent="0.3">
      <c r="A648" s="277" t="s">
        <v>110</v>
      </c>
      <c r="B648" s="957"/>
      <c r="C648" s="278" t="s">
        <v>382</v>
      </c>
      <c r="D648" s="278" t="s">
        <v>252</v>
      </c>
      <c r="E648" s="279">
        <v>2000000</v>
      </c>
      <c r="F648" s="280"/>
      <c r="G648" s="336">
        <f t="shared" si="880"/>
        <v>122611</v>
      </c>
      <c r="H648" s="281">
        <f>6120+55080+61200</f>
        <v>122400</v>
      </c>
      <c r="I648" s="281">
        <v>211</v>
      </c>
      <c r="J648" s="355" t="str">
        <f>IFERROR(G648/#REF!,"-")</f>
        <v>-</v>
      </c>
      <c r="K648" s="734">
        <f t="shared" si="881"/>
        <v>467450</v>
      </c>
      <c r="L648" s="279">
        <f t="shared" si="882"/>
        <v>465120</v>
      </c>
      <c r="M648" s="439">
        <f t="shared" si="883"/>
        <v>2330</v>
      </c>
      <c r="N648" s="340">
        <f t="shared" si="884"/>
        <v>0.23372499999999999</v>
      </c>
      <c r="O648" s="264">
        <f t="shared" si="877"/>
        <v>4.9844903198203016E-3</v>
      </c>
    </row>
    <row r="649" spans="1:15" ht="23.4" x14ac:dyDescent="0.3">
      <c r="A649" s="277" t="s">
        <v>110</v>
      </c>
      <c r="B649" s="957"/>
      <c r="C649" s="278" t="s">
        <v>422</v>
      </c>
      <c r="D649" s="278" t="s">
        <v>201</v>
      </c>
      <c r="E649" s="279">
        <v>1000000</v>
      </c>
      <c r="F649" s="280"/>
      <c r="G649" s="336">
        <f t="shared" si="880"/>
        <v>0</v>
      </c>
      <c r="H649" s="281"/>
      <c r="I649" s="281"/>
      <c r="J649" s="355" t="str">
        <f>IFERROR(G649/#REF!,"-")</f>
        <v>-</v>
      </c>
      <c r="K649" s="734">
        <f t="shared" si="881"/>
        <v>453213</v>
      </c>
      <c r="L649" s="279">
        <f t="shared" si="882"/>
        <v>451656</v>
      </c>
      <c r="M649" s="439">
        <f t="shared" si="883"/>
        <v>1557</v>
      </c>
      <c r="N649" s="340">
        <f t="shared" si="884"/>
        <v>0.45321299999999998</v>
      </c>
      <c r="O649" s="264">
        <f t="shared" si="877"/>
        <v>3.435470738924082E-3</v>
      </c>
    </row>
    <row r="650" spans="1:15" ht="23.4" x14ac:dyDescent="0.3">
      <c r="A650" s="277" t="s">
        <v>110</v>
      </c>
      <c r="B650" s="957"/>
      <c r="C650" s="278" t="s">
        <v>319</v>
      </c>
      <c r="D650" s="278" t="s">
        <v>202</v>
      </c>
      <c r="E650" s="279">
        <v>0</v>
      </c>
      <c r="F650" s="280"/>
      <c r="G650" s="336">
        <f t="shared" si="880"/>
        <v>0</v>
      </c>
      <c r="H650" s="281"/>
      <c r="I650" s="281"/>
      <c r="J650" s="355" t="str">
        <f>IFERROR(G650/#REF!,"-")</f>
        <v>-</v>
      </c>
      <c r="K650" s="734">
        <f t="shared" si="881"/>
        <v>0</v>
      </c>
      <c r="L650" s="279">
        <f t="shared" si="882"/>
        <v>0</v>
      </c>
      <c r="M650" s="439">
        <f t="shared" si="883"/>
        <v>0</v>
      </c>
      <c r="N650" s="340" t="str">
        <f t="shared" si="884"/>
        <v>-</v>
      </c>
      <c r="O650" s="264" t="str">
        <f t="shared" si="877"/>
        <v>-</v>
      </c>
    </row>
    <row r="651" spans="1:15" ht="23.4" x14ac:dyDescent="0.3">
      <c r="A651" s="277" t="s">
        <v>110</v>
      </c>
      <c r="B651" s="957"/>
      <c r="C651" s="278" t="s">
        <v>358</v>
      </c>
      <c r="D651" s="278" t="s">
        <v>352</v>
      </c>
      <c r="E651" s="279">
        <v>500000</v>
      </c>
      <c r="F651" s="280"/>
      <c r="G651" s="336">
        <f t="shared" si="880"/>
        <v>0</v>
      </c>
      <c r="H651" s="281"/>
      <c r="I651" s="281"/>
      <c r="J651" s="355" t="str">
        <f>IFERROR(G651/#REF!,"-")</f>
        <v>-</v>
      </c>
      <c r="K651" s="734">
        <f t="shared" si="881"/>
        <v>0</v>
      </c>
      <c r="L651" s="279">
        <f t="shared" si="882"/>
        <v>0</v>
      </c>
      <c r="M651" s="439">
        <f t="shared" si="883"/>
        <v>0</v>
      </c>
      <c r="N651" s="340">
        <f t="shared" si="884"/>
        <v>0</v>
      </c>
      <c r="O651" s="264" t="str">
        <f t="shared" si="877"/>
        <v>-</v>
      </c>
    </row>
    <row r="652" spans="1:15" ht="23.4" x14ac:dyDescent="0.3">
      <c r="A652" s="277" t="s">
        <v>110</v>
      </c>
      <c r="B652" s="957"/>
      <c r="C652" s="278" t="s">
        <v>392</v>
      </c>
      <c r="D652" s="278" t="s">
        <v>203</v>
      </c>
      <c r="E652" s="279">
        <v>0</v>
      </c>
      <c r="F652" s="280"/>
      <c r="G652" s="336">
        <f t="shared" si="880"/>
        <v>0</v>
      </c>
      <c r="H652" s="281"/>
      <c r="I652" s="281"/>
      <c r="J652" s="355" t="str">
        <f>IFERROR(G652/#REF!,"-")</f>
        <v>-</v>
      </c>
      <c r="K652" s="734">
        <f t="shared" si="881"/>
        <v>0</v>
      </c>
      <c r="L652" s="279">
        <f t="shared" si="882"/>
        <v>0</v>
      </c>
      <c r="M652" s="439">
        <f t="shared" si="883"/>
        <v>0</v>
      </c>
      <c r="N652" s="340" t="str">
        <f t="shared" si="884"/>
        <v>-</v>
      </c>
      <c r="O652" s="264" t="str">
        <f t="shared" si="877"/>
        <v>-</v>
      </c>
    </row>
    <row r="653" spans="1:15" ht="24" thickBot="1" x14ac:dyDescent="0.35">
      <c r="A653" s="277" t="s">
        <v>110</v>
      </c>
      <c r="B653" s="958"/>
      <c r="C653" s="282" t="s">
        <v>379</v>
      </c>
      <c r="D653" s="282" t="s">
        <v>252</v>
      </c>
      <c r="E653" s="283">
        <v>0</v>
      </c>
      <c r="F653" s="284"/>
      <c r="G653" s="337">
        <f t="shared" si="880"/>
        <v>0</v>
      </c>
      <c r="H653" s="285"/>
      <c r="I653" s="285"/>
      <c r="J653" s="356" t="str">
        <f>IFERROR(G653/#REF!,"-")</f>
        <v>-</v>
      </c>
      <c r="K653" s="735">
        <f t="shared" si="881"/>
        <v>0</v>
      </c>
      <c r="L653" s="535">
        <f t="shared" si="882"/>
        <v>0</v>
      </c>
      <c r="M653" s="466">
        <f t="shared" si="883"/>
        <v>0</v>
      </c>
      <c r="N653" s="341" t="str">
        <f t="shared" si="884"/>
        <v>-</v>
      </c>
      <c r="O653" s="350" t="str">
        <f t="shared" si="877"/>
        <v>-</v>
      </c>
    </row>
    <row r="654" spans="1:15" ht="24" thickBot="1" x14ac:dyDescent="0.35">
      <c r="A654" s="277" t="s">
        <v>110</v>
      </c>
      <c r="B654" s="967" t="s">
        <v>48</v>
      </c>
      <c r="C654" s="968"/>
      <c r="D654" s="969"/>
      <c r="E654" s="323">
        <f>SUM(E647:E653)</f>
        <v>3500000</v>
      </c>
      <c r="F654" s="288">
        <v>200000</v>
      </c>
      <c r="G654" s="323">
        <f>SUM(G647:G653)</f>
        <v>122611</v>
      </c>
      <c r="H654" s="324">
        <f t="shared" ref="H654:I654" si="885">SUM(H647:H653)</f>
        <v>122400</v>
      </c>
      <c r="I654" s="324">
        <f t="shared" si="885"/>
        <v>211</v>
      </c>
      <c r="J654" s="348">
        <f>+G654/F654</f>
        <v>0.61305500000000002</v>
      </c>
      <c r="K654" s="323">
        <f>SUM(K647:K653)</f>
        <v>920663</v>
      </c>
      <c r="L654" s="524">
        <f>SUM(L647:L653)</f>
        <v>916776</v>
      </c>
      <c r="M654" s="733">
        <f t="shared" ref="M654" si="886">SUM(M647:M653)</f>
        <v>3887</v>
      </c>
      <c r="N654" s="342">
        <f>IFERROR(K654/E654,"-")</f>
        <v>0.26304657142857141</v>
      </c>
      <c r="O654" s="348">
        <f t="shared" si="877"/>
        <v>4.2219574371947172E-3</v>
      </c>
    </row>
    <row r="655" spans="1:15" ht="23.4" x14ac:dyDescent="0.3">
      <c r="A655" s="277" t="s">
        <v>110</v>
      </c>
      <c r="B655" s="956" t="s">
        <v>18</v>
      </c>
      <c r="C655" s="272" t="s">
        <v>344</v>
      </c>
      <c r="D655" s="272" t="s">
        <v>99</v>
      </c>
      <c r="E655" s="273">
        <v>0</v>
      </c>
      <c r="F655" s="274"/>
      <c r="G655" s="335">
        <f t="shared" ref="G655:G661" si="887">+H655+I655</f>
        <v>0</v>
      </c>
      <c r="H655" s="275"/>
      <c r="I655" s="275"/>
      <c r="J655" s="354" t="str">
        <f>IFERROR(G655/#REF!,"-")</f>
        <v>-</v>
      </c>
      <c r="K655" s="335">
        <f t="shared" ref="K655:K661" si="888">+L655+M655</f>
        <v>0</v>
      </c>
      <c r="L655" s="275">
        <f t="shared" ref="L655:L661" si="889">+H655+L549</f>
        <v>0</v>
      </c>
      <c r="M655" s="276">
        <f t="shared" ref="M655:M661" si="890">+I655+M549</f>
        <v>0</v>
      </c>
      <c r="N655" s="339" t="str">
        <f t="shared" ref="N655:N662" si="891">IFERROR(K655/E655,"-")</f>
        <v>-</v>
      </c>
      <c r="O655" s="349" t="str">
        <f t="shared" si="877"/>
        <v>-</v>
      </c>
    </row>
    <row r="656" spans="1:15" ht="23.4" x14ac:dyDescent="0.3">
      <c r="A656" s="277" t="s">
        <v>110</v>
      </c>
      <c r="B656" s="957"/>
      <c r="C656" s="278" t="s">
        <v>253</v>
      </c>
      <c r="D656" s="278" t="s">
        <v>254</v>
      </c>
      <c r="E656" s="279">
        <v>0</v>
      </c>
      <c r="F656" s="280"/>
      <c r="G656" s="336">
        <f t="shared" si="887"/>
        <v>0</v>
      </c>
      <c r="H656" s="281"/>
      <c r="I656" s="281"/>
      <c r="J656" s="355" t="str">
        <f>IFERROR(G656/#REF!,"-")</f>
        <v>-</v>
      </c>
      <c r="K656" s="336">
        <f t="shared" si="888"/>
        <v>0</v>
      </c>
      <c r="L656" s="275">
        <f t="shared" si="889"/>
        <v>0</v>
      </c>
      <c r="M656" s="276">
        <f t="shared" si="890"/>
        <v>0</v>
      </c>
      <c r="N656" s="340" t="str">
        <f t="shared" si="891"/>
        <v>-</v>
      </c>
      <c r="O656" s="264" t="str">
        <f t="shared" si="877"/>
        <v>-</v>
      </c>
    </row>
    <row r="657" spans="1:15" ht="23.4" x14ac:dyDescent="0.3">
      <c r="A657" s="277" t="s">
        <v>110</v>
      </c>
      <c r="B657" s="957"/>
      <c r="C657" s="278" t="s">
        <v>122</v>
      </c>
      <c r="D657" s="278"/>
      <c r="E657" s="279">
        <v>0</v>
      </c>
      <c r="F657" s="280"/>
      <c r="G657" s="336">
        <f t="shared" si="887"/>
        <v>0</v>
      </c>
      <c r="H657" s="281"/>
      <c r="I657" s="281"/>
      <c r="J657" s="355" t="str">
        <f>IFERROR(G657/#REF!,"-")</f>
        <v>-</v>
      </c>
      <c r="K657" s="336">
        <f t="shared" si="888"/>
        <v>0</v>
      </c>
      <c r="L657" s="275">
        <f t="shared" si="889"/>
        <v>0</v>
      </c>
      <c r="M657" s="276">
        <f t="shared" si="890"/>
        <v>0</v>
      </c>
      <c r="N657" s="340" t="str">
        <f t="shared" si="891"/>
        <v>-</v>
      </c>
      <c r="O657" s="264" t="str">
        <f t="shared" si="877"/>
        <v>-</v>
      </c>
    </row>
    <row r="658" spans="1:15" ht="23.4" x14ac:dyDescent="0.3">
      <c r="A658" s="277" t="s">
        <v>110</v>
      </c>
      <c r="B658" s="957"/>
      <c r="C658" s="278" t="s">
        <v>129</v>
      </c>
      <c r="D658" s="278"/>
      <c r="E658" s="279">
        <v>0</v>
      </c>
      <c r="F658" s="280"/>
      <c r="G658" s="336">
        <f t="shared" si="887"/>
        <v>0</v>
      </c>
      <c r="H658" s="281"/>
      <c r="I658" s="281"/>
      <c r="J658" s="355" t="str">
        <f>IFERROR(G658/#REF!,"-")</f>
        <v>-</v>
      </c>
      <c r="K658" s="336">
        <f t="shared" si="888"/>
        <v>0</v>
      </c>
      <c r="L658" s="275">
        <f t="shared" si="889"/>
        <v>0</v>
      </c>
      <c r="M658" s="276">
        <f t="shared" si="890"/>
        <v>0</v>
      </c>
      <c r="N658" s="340" t="str">
        <f t="shared" si="891"/>
        <v>-</v>
      </c>
      <c r="O658" s="264" t="str">
        <f t="shared" si="877"/>
        <v>-</v>
      </c>
    </row>
    <row r="659" spans="1:15" ht="23.4" x14ac:dyDescent="0.3">
      <c r="A659" s="277" t="s">
        <v>110</v>
      </c>
      <c r="B659" s="957"/>
      <c r="C659" s="278" t="s">
        <v>189</v>
      </c>
      <c r="D659" s="278" t="s">
        <v>190</v>
      </c>
      <c r="E659" s="279">
        <v>0</v>
      </c>
      <c r="F659" s="280"/>
      <c r="G659" s="336">
        <f t="shared" si="887"/>
        <v>0</v>
      </c>
      <c r="H659" s="281"/>
      <c r="I659" s="281"/>
      <c r="J659" s="355" t="str">
        <f>IFERROR(G659/#REF!,"-")</f>
        <v>-</v>
      </c>
      <c r="K659" s="336">
        <f t="shared" si="888"/>
        <v>0</v>
      </c>
      <c r="L659" s="275">
        <f t="shared" si="889"/>
        <v>0</v>
      </c>
      <c r="M659" s="276">
        <f t="shared" si="890"/>
        <v>0</v>
      </c>
      <c r="N659" s="340" t="str">
        <f t="shared" si="891"/>
        <v>-</v>
      </c>
      <c r="O659" s="264" t="str">
        <f t="shared" si="877"/>
        <v>-</v>
      </c>
    </row>
    <row r="660" spans="1:15" ht="23.4" x14ac:dyDescent="0.3">
      <c r="A660" s="277" t="s">
        <v>110</v>
      </c>
      <c r="B660" s="957"/>
      <c r="C660" s="278" t="s">
        <v>192</v>
      </c>
      <c r="D660" s="278" t="s">
        <v>191</v>
      </c>
      <c r="E660" s="279">
        <v>0</v>
      </c>
      <c r="F660" s="280"/>
      <c r="G660" s="336">
        <f t="shared" si="887"/>
        <v>0</v>
      </c>
      <c r="H660" s="281"/>
      <c r="I660" s="281"/>
      <c r="J660" s="355" t="str">
        <f>IFERROR(G660/#REF!,"-")</f>
        <v>-</v>
      </c>
      <c r="K660" s="336">
        <f t="shared" si="888"/>
        <v>0</v>
      </c>
      <c r="L660" s="275">
        <f t="shared" si="889"/>
        <v>0</v>
      </c>
      <c r="M660" s="276">
        <f t="shared" si="890"/>
        <v>0</v>
      </c>
      <c r="N660" s="340" t="str">
        <f t="shared" si="891"/>
        <v>-</v>
      </c>
      <c r="O660" s="264" t="str">
        <f t="shared" si="877"/>
        <v>-</v>
      </c>
    </row>
    <row r="661" spans="1:15" ht="24" thickBot="1" x14ac:dyDescent="0.35">
      <c r="A661" s="277" t="s">
        <v>110</v>
      </c>
      <c r="B661" s="958"/>
      <c r="C661" s="289" t="s">
        <v>193</v>
      </c>
      <c r="D661" s="289" t="s">
        <v>114</v>
      </c>
      <c r="E661" s="283">
        <v>0</v>
      </c>
      <c r="F661" s="284"/>
      <c r="G661" s="337">
        <f t="shared" si="887"/>
        <v>0</v>
      </c>
      <c r="H661" s="285"/>
      <c r="I661" s="285"/>
      <c r="J661" s="356" t="str">
        <f>IFERROR(G661/#REF!,"-")</f>
        <v>-</v>
      </c>
      <c r="K661" s="337">
        <f t="shared" si="888"/>
        <v>0</v>
      </c>
      <c r="L661" s="275">
        <f t="shared" si="889"/>
        <v>0</v>
      </c>
      <c r="M661" s="276">
        <f t="shared" si="890"/>
        <v>0</v>
      </c>
      <c r="N661" s="341" t="str">
        <f t="shared" si="891"/>
        <v>-</v>
      </c>
      <c r="O661" s="350" t="str">
        <f t="shared" si="877"/>
        <v>-</v>
      </c>
    </row>
    <row r="662" spans="1:15" ht="24" thickBot="1" x14ac:dyDescent="0.35">
      <c r="A662" s="277" t="s">
        <v>110</v>
      </c>
      <c r="B662" s="967" t="s">
        <v>29</v>
      </c>
      <c r="C662" s="968"/>
      <c r="D662" s="969"/>
      <c r="E662" s="323">
        <f t="shared" ref="E662" si="892">SUM(E655:E661)</f>
        <v>0</v>
      </c>
      <c r="F662" s="288">
        <v>80000</v>
      </c>
      <c r="G662" s="323">
        <f>SUM(G655:G661)</f>
        <v>0</v>
      </c>
      <c r="H662" s="324">
        <f t="shared" ref="H662:I662" si="893">SUM(H655:H661)</f>
        <v>0</v>
      </c>
      <c r="I662" s="324">
        <f t="shared" si="893"/>
        <v>0</v>
      </c>
      <c r="J662" s="348">
        <f>+G662/F662</f>
        <v>0</v>
      </c>
      <c r="K662" s="323">
        <f t="shared" ref="K662:M662" si="894">SUM(K655:K661)</f>
        <v>0</v>
      </c>
      <c r="L662" s="324">
        <f t="shared" si="894"/>
        <v>0</v>
      </c>
      <c r="M662" s="325">
        <f t="shared" si="894"/>
        <v>0</v>
      </c>
      <c r="N662" s="342" t="str">
        <f t="shared" si="891"/>
        <v>-</v>
      </c>
      <c r="O662" s="348" t="str">
        <f t="shared" si="877"/>
        <v>-</v>
      </c>
    </row>
    <row r="663" spans="1:15" ht="24" thickBot="1" x14ac:dyDescent="0.35">
      <c r="A663" s="252" t="s">
        <v>110</v>
      </c>
      <c r="B663" s="985" t="s">
        <v>19</v>
      </c>
      <c r="C663" s="653" t="s">
        <v>255</v>
      </c>
      <c r="D663" s="690" t="s">
        <v>190</v>
      </c>
      <c r="E663" s="695">
        <v>0</v>
      </c>
      <c r="F663" s="692">
        <v>110000</v>
      </c>
      <c r="G663" s="656">
        <f t="shared" ref="G663:G665" si="895">+H663+I663</f>
        <v>0</v>
      </c>
      <c r="H663" s="462"/>
      <c r="I663" s="462"/>
      <c r="J663" s="536" t="str">
        <f>IFERROR(G663/#REF!,"-")</f>
        <v>-</v>
      </c>
      <c r="K663" s="461">
        <f>+L663+M663</f>
        <v>0</v>
      </c>
      <c r="L663" s="462">
        <f t="shared" ref="L663:L665" si="896">+H663+L557</f>
        <v>0</v>
      </c>
      <c r="M663" s="463">
        <f t="shared" ref="M663:M665" si="897">+I663+M557</f>
        <v>0</v>
      </c>
      <c r="N663" s="658" t="str">
        <f>IFERROR(K663/E663,"-")</f>
        <v>-</v>
      </c>
      <c r="O663" s="659" t="str">
        <f t="shared" si="877"/>
        <v>-</v>
      </c>
    </row>
    <row r="664" spans="1:15" ht="24" thickBot="1" x14ac:dyDescent="0.35">
      <c r="A664" s="252"/>
      <c r="B664" s="986"/>
      <c r="C664" s="299" t="s">
        <v>440</v>
      </c>
      <c r="D664" s="657" t="s">
        <v>439</v>
      </c>
      <c r="E664" s="696">
        <v>1000000</v>
      </c>
      <c r="F664" s="693">
        <v>110000</v>
      </c>
      <c r="G664" s="652">
        <f t="shared" si="895"/>
        <v>0</v>
      </c>
      <c r="H664" s="275"/>
      <c r="I664" s="275"/>
      <c r="J664" s="354" t="str">
        <f>IFERROR(G664/#REF!,"-")</f>
        <v>-</v>
      </c>
      <c r="K664" s="338">
        <f>+L664+M664</f>
        <v>8685</v>
      </c>
      <c r="L664" s="462">
        <f t="shared" si="896"/>
        <v>8448</v>
      </c>
      <c r="M664" s="463">
        <f t="shared" si="897"/>
        <v>237</v>
      </c>
      <c r="N664" s="343">
        <f t="shared" ref="N664:N665" si="898">IFERROR(K664/E664,"-")</f>
        <v>8.685E-3</v>
      </c>
      <c r="O664" s="651">
        <f>IFERROR(M664/K664,"-")</f>
        <v>2.7288428324697755E-2</v>
      </c>
    </row>
    <row r="665" spans="1:15" ht="24" thickBot="1" x14ac:dyDescent="0.35">
      <c r="A665" s="252"/>
      <c r="B665" s="987"/>
      <c r="C665" s="647" t="s">
        <v>380</v>
      </c>
      <c r="D665" s="691"/>
      <c r="E665" s="697">
        <v>150000</v>
      </c>
      <c r="F665" s="694">
        <v>110000</v>
      </c>
      <c r="G665" s="599">
        <f t="shared" si="895"/>
        <v>0</v>
      </c>
      <c r="H665" s="285"/>
      <c r="I665" s="285"/>
      <c r="J665" s="356"/>
      <c r="K665" s="464">
        <f>+L665+M665</f>
        <v>0</v>
      </c>
      <c r="L665" s="462">
        <f t="shared" si="896"/>
        <v>0</v>
      </c>
      <c r="M665" s="463">
        <f t="shared" si="897"/>
        <v>0</v>
      </c>
      <c r="N665" s="341">
        <f t="shared" si="898"/>
        <v>0</v>
      </c>
      <c r="O665" s="648" t="str">
        <f t="shared" ref="O665:O715" si="899">IFERROR(M665/K665,"-")</f>
        <v>-</v>
      </c>
    </row>
    <row r="666" spans="1:15" ht="24" thickBot="1" x14ac:dyDescent="0.35">
      <c r="A666" s="277" t="s">
        <v>110</v>
      </c>
      <c r="B666" s="988" t="s">
        <v>49</v>
      </c>
      <c r="C666" s="968"/>
      <c r="D666" s="969"/>
      <c r="E666" s="323">
        <f>SUM(E663:E665)</f>
        <v>1150000</v>
      </c>
      <c r="F666" s="326">
        <f t="shared" ref="F666" si="900">SUM(F663)</f>
        <v>110000</v>
      </c>
      <c r="G666" s="323">
        <f>SUM(G663)</f>
        <v>0</v>
      </c>
      <c r="H666" s="324">
        <f>SUM(H663:H665)</f>
        <v>0</v>
      </c>
      <c r="I666" s="324">
        <f>SUM(I663:I665)</f>
        <v>0</v>
      </c>
      <c r="J666" s="348">
        <f>+G666/F666</f>
        <v>0</v>
      </c>
      <c r="K666" s="649">
        <f>SUM(K663:K664)</f>
        <v>8685</v>
      </c>
      <c r="L666" s="324">
        <f>SUM(L663:L664)</f>
        <v>8448</v>
      </c>
      <c r="M666" s="325">
        <f>SUM(M663:M664)</f>
        <v>237</v>
      </c>
      <c r="N666" s="342">
        <f>IFERROR(K666/E666,"-")</f>
        <v>7.5521739130434782E-3</v>
      </c>
      <c r="O666" s="348">
        <f t="shared" si="899"/>
        <v>2.7288428324697755E-2</v>
      </c>
    </row>
    <row r="667" spans="1:15" ht="23.4" x14ac:dyDescent="0.3">
      <c r="A667" s="277" t="s">
        <v>110</v>
      </c>
      <c r="B667" s="956" t="s">
        <v>20</v>
      </c>
      <c r="C667" s="294" t="s">
        <v>351</v>
      </c>
      <c r="D667" s="294" t="s">
        <v>313</v>
      </c>
      <c r="E667" s="273">
        <v>0</v>
      </c>
      <c r="F667" s="274"/>
      <c r="G667" s="335">
        <f t="shared" ref="G667:G669" si="901">+H667+I667</f>
        <v>0</v>
      </c>
      <c r="H667" s="275"/>
      <c r="I667" s="275"/>
      <c r="J667" s="354" t="str">
        <f>IFERROR(G667/#REF!,"-")</f>
        <v>-</v>
      </c>
      <c r="K667" s="335">
        <f t="shared" ref="K667:K669" si="902">+L667+M667</f>
        <v>0</v>
      </c>
      <c r="L667" s="275">
        <f t="shared" ref="L667:L669" si="903">+H667+L561</f>
        <v>0</v>
      </c>
      <c r="M667" s="276">
        <f t="shared" ref="M667:M669" si="904">+I667+M561</f>
        <v>0</v>
      </c>
      <c r="N667" s="339" t="str">
        <f t="shared" ref="N667:N670" si="905">IFERROR(K667/E667,"-")</f>
        <v>-</v>
      </c>
      <c r="O667" s="349" t="str">
        <f t="shared" si="899"/>
        <v>-</v>
      </c>
    </row>
    <row r="668" spans="1:15" ht="23.4" x14ac:dyDescent="0.3">
      <c r="A668" s="277" t="s">
        <v>110</v>
      </c>
      <c r="B668" s="957"/>
      <c r="C668" s="295" t="s">
        <v>121</v>
      </c>
      <c r="D668" s="295"/>
      <c r="E668" s="279">
        <v>0</v>
      </c>
      <c r="F668" s="280"/>
      <c r="G668" s="336">
        <f t="shared" si="901"/>
        <v>0</v>
      </c>
      <c r="H668" s="281"/>
      <c r="I668" s="281"/>
      <c r="J668" s="355" t="str">
        <f>IFERROR(G668/#REF!,"-")</f>
        <v>-</v>
      </c>
      <c r="K668" s="336">
        <f t="shared" si="902"/>
        <v>0</v>
      </c>
      <c r="L668" s="275">
        <f t="shared" si="903"/>
        <v>0</v>
      </c>
      <c r="M668" s="276">
        <f t="shared" si="904"/>
        <v>0</v>
      </c>
      <c r="N668" s="340" t="str">
        <f t="shared" si="905"/>
        <v>-</v>
      </c>
      <c r="O668" s="264" t="str">
        <f t="shared" si="899"/>
        <v>-</v>
      </c>
    </row>
    <row r="669" spans="1:15" ht="24" thickBot="1" x14ac:dyDescent="0.35">
      <c r="A669" s="277" t="s">
        <v>110</v>
      </c>
      <c r="B669" s="958"/>
      <c r="C669" s="296" t="s">
        <v>127</v>
      </c>
      <c r="D669" s="296"/>
      <c r="E669" s="283">
        <v>0</v>
      </c>
      <c r="F669" s="284"/>
      <c r="G669" s="337">
        <f t="shared" si="901"/>
        <v>0</v>
      </c>
      <c r="H669" s="285"/>
      <c r="I669" s="285"/>
      <c r="J669" s="356" t="str">
        <f>IFERROR(G669/#REF!,"-")</f>
        <v>-</v>
      </c>
      <c r="K669" s="337">
        <f t="shared" si="902"/>
        <v>0</v>
      </c>
      <c r="L669" s="275">
        <f t="shared" si="903"/>
        <v>0</v>
      </c>
      <c r="M669" s="276">
        <f t="shared" si="904"/>
        <v>0</v>
      </c>
      <c r="N669" s="341" t="str">
        <f t="shared" si="905"/>
        <v>-</v>
      </c>
      <c r="O669" s="350" t="str">
        <f t="shared" si="899"/>
        <v>-</v>
      </c>
    </row>
    <row r="670" spans="1:15" ht="24" thickBot="1" x14ac:dyDescent="0.35">
      <c r="A670" s="277" t="s">
        <v>110</v>
      </c>
      <c r="B670" s="968" t="s">
        <v>50</v>
      </c>
      <c r="C670" s="968"/>
      <c r="D670" s="989"/>
      <c r="E670" s="323">
        <f t="shared" ref="E670" si="906">SUM(E667:E669)</f>
        <v>0</v>
      </c>
      <c r="F670" s="288">
        <v>50000</v>
      </c>
      <c r="G670" s="323">
        <f>SUM(G667:G669)</f>
        <v>0</v>
      </c>
      <c r="H670" s="324">
        <f t="shared" ref="H670:I670" si="907">SUM(H667:H669)</f>
        <v>0</v>
      </c>
      <c r="I670" s="324">
        <f t="shared" si="907"/>
        <v>0</v>
      </c>
      <c r="J670" s="348">
        <f>+G670/F670</f>
        <v>0</v>
      </c>
      <c r="K670" s="323">
        <f t="shared" ref="K670:M670" si="908">SUM(K667:K669)</f>
        <v>0</v>
      </c>
      <c r="L670" s="324">
        <f t="shared" si="908"/>
        <v>0</v>
      </c>
      <c r="M670" s="325">
        <f t="shared" si="908"/>
        <v>0</v>
      </c>
      <c r="N670" s="342" t="str">
        <f t="shared" si="905"/>
        <v>-</v>
      </c>
      <c r="O670" s="348" t="str">
        <f t="shared" si="899"/>
        <v>-</v>
      </c>
    </row>
    <row r="671" spans="1:15" ht="24" thickBot="1" x14ac:dyDescent="0.35">
      <c r="A671" s="277" t="s">
        <v>110</v>
      </c>
      <c r="B671" s="981" t="s">
        <v>21</v>
      </c>
      <c r="C671" s="982"/>
      <c r="D671" s="983"/>
      <c r="E671" s="329">
        <f>+E646+E654+E662+E666+E670</f>
        <v>4750000</v>
      </c>
      <c r="F671" s="330">
        <f>+F646+F654+F662+F666+F670</f>
        <v>455000</v>
      </c>
      <c r="G671" s="329">
        <f>+G646+G654+G662+G666+G670</f>
        <v>131764</v>
      </c>
      <c r="H671" s="327">
        <f>+H646+H654+H662+H666+H670</f>
        <v>131421</v>
      </c>
      <c r="I671" s="327">
        <f>+I646+I654+I662+I666+I670</f>
        <v>343</v>
      </c>
      <c r="J671" s="352">
        <f>+G671/F671</f>
        <v>0.28959120879120881</v>
      </c>
      <c r="K671" s="329">
        <f>+K646+K654+K662+K666+K670</f>
        <v>998586</v>
      </c>
      <c r="L671" s="327">
        <f>+L646+L654+L662+L666+L670</f>
        <v>993445</v>
      </c>
      <c r="M671" s="328">
        <f>+M646+M654+M662+M666+M670</f>
        <v>5141</v>
      </c>
      <c r="N671" s="344">
        <f>IFERROR(K671/E671,"-")</f>
        <v>0.21022863157894736</v>
      </c>
      <c r="O671" s="352">
        <f t="shared" si="899"/>
        <v>5.1482796674497738E-3</v>
      </c>
    </row>
    <row r="672" spans="1:15" ht="23.4" x14ac:dyDescent="0.3">
      <c r="A672" s="277" t="s">
        <v>110</v>
      </c>
      <c r="B672" s="956" t="s">
        <v>22</v>
      </c>
      <c r="C672" s="272" t="s">
        <v>132</v>
      </c>
      <c r="D672" s="272"/>
      <c r="E672" s="273">
        <v>0</v>
      </c>
      <c r="F672" s="274"/>
      <c r="G672" s="335">
        <f t="shared" ref="G672:G675" si="909">+H672+I672</f>
        <v>0</v>
      </c>
      <c r="H672" s="275"/>
      <c r="I672" s="275"/>
      <c r="J672" s="354" t="str">
        <f>IFERROR(G672/#REF!,"-")</f>
        <v>-</v>
      </c>
      <c r="K672" s="335">
        <f t="shared" ref="K672:K675" si="910">+L672+M672</f>
        <v>0</v>
      </c>
      <c r="L672" s="275">
        <f t="shared" ref="L672:L675" si="911">+H672+L566</f>
        <v>0</v>
      </c>
      <c r="M672" s="276">
        <f t="shared" ref="M672:M675" si="912">+I672+M566</f>
        <v>0</v>
      </c>
      <c r="N672" s="339" t="str">
        <f t="shared" ref="N672:N686" si="913">IFERROR(K672/E672,"-")</f>
        <v>-</v>
      </c>
      <c r="O672" s="349" t="str">
        <f t="shared" si="899"/>
        <v>-</v>
      </c>
    </row>
    <row r="673" spans="1:15" ht="23.4" x14ac:dyDescent="0.3">
      <c r="A673" s="277" t="s">
        <v>110</v>
      </c>
      <c r="B673" s="957"/>
      <c r="C673" s="298" t="s">
        <v>283</v>
      </c>
      <c r="D673" s="298" t="s">
        <v>194</v>
      </c>
      <c r="E673" s="279">
        <v>0</v>
      </c>
      <c r="F673" s="280"/>
      <c r="G673" s="336">
        <f t="shared" si="909"/>
        <v>0</v>
      </c>
      <c r="H673" s="281"/>
      <c r="I673" s="281"/>
      <c r="J673" s="355" t="str">
        <f>IFERROR(G673/#REF!,"-")</f>
        <v>-</v>
      </c>
      <c r="K673" s="336">
        <f t="shared" si="910"/>
        <v>0</v>
      </c>
      <c r="L673" s="275">
        <f t="shared" si="911"/>
        <v>0</v>
      </c>
      <c r="M673" s="276">
        <f t="shared" si="912"/>
        <v>0</v>
      </c>
      <c r="N673" s="340" t="str">
        <f t="shared" si="913"/>
        <v>-</v>
      </c>
      <c r="O673" s="264" t="str">
        <f t="shared" si="899"/>
        <v>-</v>
      </c>
    </row>
    <row r="674" spans="1:15" ht="23.4" x14ac:dyDescent="0.3">
      <c r="A674" s="277" t="s">
        <v>110</v>
      </c>
      <c r="B674" s="957"/>
      <c r="C674" s="298" t="s">
        <v>405</v>
      </c>
      <c r="D674" s="298" t="s">
        <v>194</v>
      </c>
      <c r="E674" s="279">
        <v>1000000</v>
      </c>
      <c r="F674" s="280"/>
      <c r="G674" s="336">
        <f t="shared" si="909"/>
        <v>2060</v>
      </c>
      <c r="H674" s="281">
        <v>1980</v>
      </c>
      <c r="I674" s="281">
        <v>80</v>
      </c>
      <c r="J674" s="355" t="str">
        <f>IFERROR(G674/#REF!,"-")</f>
        <v>-</v>
      </c>
      <c r="K674" s="336">
        <f t="shared" si="910"/>
        <v>331109</v>
      </c>
      <c r="L674" s="275">
        <f t="shared" si="911"/>
        <v>330660</v>
      </c>
      <c r="M674" s="276">
        <f t="shared" si="912"/>
        <v>449</v>
      </c>
      <c r="N674" s="340">
        <f t="shared" si="913"/>
        <v>0.33110899999999999</v>
      </c>
      <c r="O674" s="264">
        <f t="shared" si="899"/>
        <v>1.35604891440583E-3</v>
      </c>
    </row>
    <row r="675" spans="1:15" ht="24" thickBot="1" x14ac:dyDescent="0.35">
      <c r="A675" s="277" t="s">
        <v>110</v>
      </c>
      <c r="B675" s="958"/>
      <c r="C675" s="282" t="s">
        <v>195</v>
      </c>
      <c r="D675" s="282" t="s">
        <v>100</v>
      </c>
      <c r="E675" s="283">
        <v>0</v>
      </c>
      <c r="F675" s="284"/>
      <c r="G675" s="337">
        <f t="shared" si="909"/>
        <v>0</v>
      </c>
      <c r="H675" s="285"/>
      <c r="I675" s="285"/>
      <c r="J675" s="356" t="str">
        <f>IFERROR(G675/#REF!,"-")</f>
        <v>-</v>
      </c>
      <c r="K675" s="337">
        <f t="shared" si="910"/>
        <v>0</v>
      </c>
      <c r="L675" s="275">
        <f t="shared" si="911"/>
        <v>0</v>
      </c>
      <c r="M675" s="276">
        <f t="shared" si="912"/>
        <v>0</v>
      </c>
      <c r="N675" s="341" t="str">
        <f t="shared" si="913"/>
        <v>-</v>
      </c>
      <c r="O675" s="350" t="str">
        <f t="shared" si="899"/>
        <v>-</v>
      </c>
    </row>
    <row r="676" spans="1:15" ht="24" thickBot="1" x14ac:dyDescent="0.35">
      <c r="A676" s="277" t="s">
        <v>110</v>
      </c>
      <c r="B676" s="967" t="s">
        <v>51</v>
      </c>
      <c r="C676" s="968"/>
      <c r="D676" s="969"/>
      <c r="E676" s="287">
        <f>SUM(E672:E675)</f>
        <v>1000000</v>
      </c>
      <c r="F676" s="288">
        <v>80000</v>
      </c>
      <c r="G676" s="323">
        <f>SUM(G672:G675)</f>
        <v>2060</v>
      </c>
      <c r="H676" s="324">
        <f t="shared" ref="H676:I676" si="914">SUM(H672:H675)</f>
        <v>1980</v>
      </c>
      <c r="I676" s="324">
        <f t="shared" si="914"/>
        <v>80</v>
      </c>
      <c r="J676" s="348">
        <f>+G676/F676</f>
        <v>2.5749999999999999E-2</v>
      </c>
      <c r="K676" s="323">
        <f t="shared" ref="K676:M676" si="915">SUM(K672:K675)</f>
        <v>331109</v>
      </c>
      <c r="L676" s="324">
        <f t="shared" si="915"/>
        <v>330660</v>
      </c>
      <c r="M676" s="325">
        <f t="shared" si="915"/>
        <v>449</v>
      </c>
      <c r="N676" s="342">
        <f t="shared" si="913"/>
        <v>0.33110899999999999</v>
      </c>
      <c r="O676" s="348">
        <f t="shared" si="899"/>
        <v>1.35604891440583E-3</v>
      </c>
    </row>
    <row r="677" spans="1:15" ht="23.4" x14ac:dyDescent="0.3">
      <c r="A677" s="277" t="s">
        <v>110</v>
      </c>
      <c r="B677" s="956" t="s">
        <v>23</v>
      </c>
      <c r="C677" s="299" t="s">
        <v>337</v>
      </c>
      <c r="D677" s="299" t="s">
        <v>258</v>
      </c>
      <c r="E677" s="273">
        <f>25000+10875+6000</f>
        <v>41875</v>
      </c>
      <c r="F677" s="274"/>
      <c r="G677" s="335">
        <f t="shared" ref="G677:G684" si="916">+H677+I677</f>
        <v>0</v>
      </c>
      <c r="H677" s="275"/>
      <c r="I677" s="275"/>
      <c r="J677" s="354" t="str">
        <f>IFERROR(G677/#REF!,"-")</f>
        <v>-</v>
      </c>
      <c r="K677" s="335">
        <f t="shared" ref="K677:K684" si="917">+L677+M677</f>
        <v>0</v>
      </c>
      <c r="L677" s="275">
        <f t="shared" ref="L677:L684" si="918">+H677+L571</f>
        <v>0</v>
      </c>
      <c r="M677" s="276">
        <f t="shared" ref="M677:M684" si="919">+I677+M571</f>
        <v>0</v>
      </c>
      <c r="N677" s="339">
        <f t="shared" si="913"/>
        <v>0</v>
      </c>
      <c r="O677" s="349" t="str">
        <f t="shared" si="899"/>
        <v>-</v>
      </c>
    </row>
    <row r="678" spans="1:15" ht="23.4" x14ac:dyDescent="0.3">
      <c r="A678" s="277" t="s">
        <v>110</v>
      </c>
      <c r="B678" s="957"/>
      <c r="C678" s="278" t="s">
        <v>24</v>
      </c>
      <c r="D678" s="278" t="s">
        <v>258</v>
      </c>
      <c r="E678" s="279">
        <v>97500</v>
      </c>
      <c r="F678" s="280"/>
      <c r="G678" s="336">
        <f t="shared" si="916"/>
        <v>0</v>
      </c>
      <c r="H678" s="281"/>
      <c r="I678" s="281"/>
      <c r="J678" s="355" t="str">
        <f>IFERROR(G678/#REF!,"-")</f>
        <v>-</v>
      </c>
      <c r="K678" s="336">
        <f t="shared" si="917"/>
        <v>0</v>
      </c>
      <c r="L678" s="275">
        <f t="shared" si="918"/>
        <v>0</v>
      </c>
      <c r="M678" s="276">
        <f t="shared" si="919"/>
        <v>0</v>
      </c>
      <c r="N678" s="340">
        <f t="shared" si="913"/>
        <v>0</v>
      </c>
      <c r="O678" s="264" t="str">
        <f t="shared" si="899"/>
        <v>-</v>
      </c>
    </row>
    <row r="679" spans="1:15" ht="23.4" x14ac:dyDescent="0.3">
      <c r="A679" s="277" t="s">
        <v>110</v>
      </c>
      <c r="B679" s="957"/>
      <c r="C679" s="278" t="s">
        <v>256</v>
      </c>
      <c r="D679" s="278" t="s">
        <v>258</v>
      </c>
      <c r="E679" s="279">
        <v>17750</v>
      </c>
      <c r="F679" s="280"/>
      <c r="G679" s="336">
        <f t="shared" si="916"/>
        <v>0</v>
      </c>
      <c r="H679" s="281"/>
      <c r="I679" s="281"/>
      <c r="J679" s="355" t="str">
        <f>IFERROR(G679/#REF!,"-")</f>
        <v>-</v>
      </c>
      <c r="K679" s="336">
        <f t="shared" si="917"/>
        <v>0</v>
      </c>
      <c r="L679" s="275">
        <f t="shared" si="918"/>
        <v>0</v>
      </c>
      <c r="M679" s="276">
        <f t="shared" si="919"/>
        <v>0</v>
      </c>
      <c r="N679" s="340">
        <f t="shared" si="913"/>
        <v>0</v>
      </c>
      <c r="O679" s="264" t="str">
        <f t="shared" si="899"/>
        <v>-</v>
      </c>
    </row>
    <row r="680" spans="1:15" ht="23.4" x14ac:dyDescent="0.3">
      <c r="A680" s="277" t="s">
        <v>110</v>
      </c>
      <c r="B680" s="957"/>
      <c r="C680" s="278" t="s">
        <v>257</v>
      </c>
      <c r="D680" s="278" t="s">
        <v>258</v>
      </c>
      <c r="E680" s="279">
        <v>20000</v>
      </c>
      <c r="F680" s="280"/>
      <c r="G680" s="336">
        <f t="shared" si="916"/>
        <v>0</v>
      </c>
      <c r="H680" s="281"/>
      <c r="I680" s="281"/>
      <c r="J680" s="355" t="str">
        <f>IFERROR(G680/#REF!,"-")</f>
        <v>-</v>
      </c>
      <c r="K680" s="336">
        <f t="shared" si="917"/>
        <v>0</v>
      </c>
      <c r="L680" s="275">
        <f t="shared" si="918"/>
        <v>0</v>
      </c>
      <c r="M680" s="276">
        <f t="shared" si="919"/>
        <v>0</v>
      </c>
      <c r="N680" s="340">
        <f t="shared" si="913"/>
        <v>0</v>
      </c>
      <c r="O680" s="264" t="str">
        <f t="shared" si="899"/>
        <v>-</v>
      </c>
    </row>
    <row r="681" spans="1:15" ht="23.4" x14ac:dyDescent="0.3">
      <c r="A681" s="277" t="s">
        <v>110</v>
      </c>
      <c r="B681" s="957"/>
      <c r="C681" s="298" t="s">
        <v>441</v>
      </c>
      <c r="D681" s="278" t="s">
        <v>258</v>
      </c>
      <c r="E681" s="279">
        <v>10000</v>
      </c>
      <c r="F681" s="280"/>
      <c r="G681" s="336">
        <f t="shared" si="916"/>
        <v>0</v>
      </c>
      <c r="H681" s="281"/>
      <c r="I681" s="281"/>
      <c r="J681" s="355" t="str">
        <f>IFERROR(G681/#REF!,"-")</f>
        <v>-</v>
      </c>
      <c r="K681" s="336">
        <f t="shared" si="917"/>
        <v>0</v>
      </c>
      <c r="L681" s="275">
        <f t="shared" si="918"/>
        <v>0</v>
      </c>
      <c r="M681" s="276">
        <f t="shared" si="919"/>
        <v>0</v>
      </c>
      <c r="N681" s="340">
        <f t="shared" si="913"/>
        <v>0</v>
      </c>
      <c r="O681" s="264" t="str">
        <f t="shared" si="899"/>
        <v>-</v>
      </c>
    </row>
    <row r="682" spans="1:15" ht="23.4" x14ac:dyDescent="0.3">
      <c r="A682" s="277" t="s">
        <v>110</v>
      </c>
      <c r="B682" s="957"/>
      <c r="C682" s="298" t="s">
        <v>260</v>
      </c>
      <c r="D682" s="278" t="s">
        <v>258</v>
      </c>
      <c r="E682" s="279">
        <v>9000</v>
      </c>
      <c r="F682" s="280"/>
      <c r="G682" s="336">
        <f t="shared" si="916"/>
        <v>0</v>
      </c>
      <c r="H682" s="281"/>
      <c r="I682" s="281"/>
      <c r="J682" s="355" t="str">
        <f>IFERROR(G682/#REF!,"-")</f>
        <v>-</v>
      </c>
      <c r="K682" s="336">
        <f t="shared" si="917"/>
        <v>0</v>
      </c>
      <c r="L682" s="275">
        <f t="shared" si="918"/>
        <v>0</v>
      </c>
      <c r="M682" s="276">
        <f t="shared" si="919"/>
        <v>0</v>
      </c>
      <c r="N682" s="340">
        <f t="shared" si="913"/>
        <v>0</v>
      </c>
      <c r="O682" s="264" t="str">
        <f t="shared" si="899"/>
        <v>-</v>
      </c>
    </row>
    <row r="683" spans="1:15" ht="23.4" x14ac:dyDescent="0.3">
      <c r="A683" s="277" t="s">
        <v>110</v>
      </c>
      <c r="B683" s="957"/>
      <c r="C683" s="298" t="s">
        <v>261</v>
      </c>
      <c r="D683" s="278" t="s">
        <v>263</v>
      </c>
      <c r="E683" s="279">
        <v>22500</v>
      </c>
      <c r="F683" s="280"/>
      <c r="G683" s="336">
        <f t="shared" si="916"/>
        <v>0</v>
      </c>
      <c r="H683" s="281"/>
      <c r="I683" s="281"/>
      <c r="J683" s="355" t="str">
        <f>IFERROR(G683/#REF!,"-")</f>
        <v>-</v>
      </c>
      <c r="K683" s="336">
        <f t="shared" si="917"/>
        <v>23536</v>
      </c>
      <c r="L683" s="275">
        <f t="shared" si="918"/>
        <v>23490</v>
      </c>
      <c r="M683" s="276">
        <f t="shared" si="919"/>
        <v>46</v>
      </c>
      <c r="N683" s="340">
        <f t="shared" si="913"/>
        <v>1.0460444444444446</v>
      </c>
      <c r="O683" s="264">
        <f t="shared" si="899"/>
        <v>1.954452753229096E-3</v>
      </c>
    </row>
    <row r="684" spans="1:15" ht="24" thickBot="1" x14ac:dyDescent="0.35">
      <c r="A684" s="277" t="s">
        <v>110</v>
      </c>
      <c r="B684" s="958"/>
      <c r="C684" s="298" t="s">
        <v>262</v>
      </c>
      <c r="D684" s="278" t="s">
        <v>258</v>
      </c>
      <c r="E684" s="283">
        <v>33500</v>
      </c>
      <c r="F684" s="284"/>
      <c r="G684" s="337">
        <f t="shared" si="916"/>
        <v>14026</v>
      </c>
      <c r="H684" s="285">
        <v>14000</v>
      </c>
      <c r="I684" s="285">
        <v>26</v>
      </c>
      <c r="J684" s="356" t="str">
        <f>IFERROR(G684/#REF!,"-")</f>
        <v>-</v>
      </c>
      <c r="K684" s="337">
        <f t="shared" si="917"/>
        <v>25849</v>
      </c>
      <c r="L684" s="275">
        <f t="shared" si="918"/>
        <v>25750</v>
      </c>
      <c r="M684" s="276">
        <f t="shared" si="919"/>
        <v>99</v>
      </c>
      <c r="N684" s="341">
        <f t="shared" si="913"/>
        <v>0.77161194029850744</v>
      </c>
      <c r="O684" s="350">
        <f t="shared" si="899"/>
        <v>3.8299353940191112E-3</v>
      </c>
    </row>
    <row r="685" spans="1:15" ht="24" thickBot="1" x14ac:dyDescent="0.35">
      <c r="A685" s="277" t="s">
        <v>110</v>
      </c>
      <c r="B685" s="967" t="s">
        <v>52</v>
      </c>
      <c r="C685" s="968"/>
      <c r="D685" s="969"/>
      <c r="E685" s="287">
        <f>SUM(E677:E684)</f>
        <v>252125</v>
      </c>
      <c r="F685" s="288">
        <v>14000</v>
      </c>
      <c r="G685" s="323">
        <f>SUM(G677:G684)</f>
        <v>14026</v>
      </c>
      <c r="H685" s="324">
        <f t="shared" ref="H685:I685" si="920">SUM(H677:H684)</f>
        <v>14000</v>
      </c>
      <c r="I685" s="324">
        <f t="shared" si="920"/>
        <v>26</v>
      </c>
      <c r="J685" s="348">
        <f>+G686/F686</f>
        <v>0.17112765957446807</v>
      </c>
      <c r="K685" s="323">
        <f>SUM(K677:K684)</f>
        <v>49385</v>
      </c>
      <c r="L685" s="324">
        <f t="shared" ref="L685:M685" si="921">SUM(L677:L684)</f>
        <v>49240</v>
      </c>
      <c r="M685" s="325">
        <f t="shared" si="921"/>
        <v>145</v>
      </c>
      <c r="N685" s="342">
        <f t="shared" si="913"/>
        <v>0.19587506197322757</v>
      </c>
      <c r="O685" s="348">
        <f t="shared" si="899"/>
        <v>2.9361142047180317E-3</v>
      </c>
    </row>
    <row r="686" spans="1:15" ht="24" thickBot="1" x14ac:dyDescent="0.35">
      <c r="A686" s="277" t="s">
        <v>110</v>
      </c>
      <c r="B686" s="981" t="s">
        <v>25</v>
      </c>
      <c r="C686" s="982"/>
      <c r="D686" s="983"/>
      <c r="E686" s="329">
        <f t="shared" ref="E686:F686" si="922">+E676+E685</f>
        <v>1252125</v>
      </c>
      <c r="F686" s="330">
        <f t="shared" si="922"/>
        <v>94000</v>
      </c>
      <c r="G686" s="329">
        <f>+G676+G685</f>
        <v>16086</v>
      </c>
      <c r="H686" s="327">
        <f t="shared" ref="H686:I686" si="923">+H676+H685</f>
        <v>15980</v>
      </c>
      <c r="I686" s="327">
        <f t="shared" si="923"/>
        <v>106</v>
      </c>
      <c r="J686" s="352" t="str">
        <f>IFERROR(G686/#REF!,"-")</f>
        <v>-</v>
      </c>
      <c r="K686" s="329">
        <f t="shared" ref="K686" si="924">+K676+K685</f>
        <v>380494</v>
      </c>
      <c r="L686" s="327">
        <f>+L676+L685</f>
        <v>379900</v>
      </c>
      <c r="M686" s="328">
        <f t="shared" ref="M686" si="925">+M676+M685</f>
        <v>594</v>
      </c>
      <c r="N686" s="344">
        <f t="shared" si="913"/>
        <v>0.30387860636917241</v>
      </c>
      <c r="O686" s="352">
        <f t="shared" si="899"/>
        <v>1.5611284277807272E-3</v>
      </c>
    </row>
    <row r="687" spans="1:15" ht="24" thickBot="1" x14ac:dyDescent="0.35">
      <c r="A687" s="277" t="s">
        <v>110</v>
      </c>
      <c r="B687" s="984" t="s">
        <v>180</v>
      </c>
      <c r="C687" s="962"/>
      <c r="D687" s="963"/>
      <c r="E687" s="333">
        <f>+E671+E686</f>
        <v>6002125</v>
      </c>
      <c r="F687" s="334">
        <f t="shared" ref="F687:I687" si="926">+F671+F686</f>
        <v>549000</v>
      </c>
      <c r="G687" s="333">
        <f t="shared" si="926"/>
        <v>147850</v>
      </c>
      <c r="H687" s="331">
        <f t="shared" si="926"/>
        <v>147401</v>
      </c>
      <c r="I687" s="331">
        <f t="shared" si="926"/>
        <v>449</v>
      </c>
      <c r="J687" s="353">
        <f>+G687/F687</f>
        <v>0.26930783242258655</v>
      </c>
      <c r="K687" s="333">
        <f>+K671+K686</f>
        <v>1379080</v>
      </c>
      <c r="L687" s="331">
        <f t="shared" ref="L687:M687" si="927">+L671+L686</f>
        <v>1373345</v>
      </c>
      <c r="M687" s="332">
        <f t="shared" si="927"/>
        <v>5735</v>
      </c>
      <c r="N687" s="345">
        <f>IFERROR(K687/E687,"-")</f>
        <v>0.22976529145927485</v>
      </c>
      <c r="O687" s="353">
        <f t="shared" si="899"/>
        <v>4.1585694811033446E-3</v>
      </c>
    </row>
    <row r="688" spans="1:15" ht="23.4" x14ac:dyDescent="0.3">
      <c r="A688" s="271" t="s">
        <v>108</v>
      </c>
      <c r="B688" s="977" t="s">
        <v>26</v>
      </c>
      <c r="C688" s="300" t="s">
        <v>323</v>
      </c>
      <c r="D688" s="300" t="s">
        <v>190</v>
      </c>
      <c r="E688" s="273">
        <v>0</v>
      </c>
      <c r="F688" s="274"/>
      <c r="G688" s="335">
        <f t="shared" ref="G688:G696" si="928">+H688+I688</f>
        <v>0</v>
      </c>
      <c r="H688" s="275"/>
      <c r="I688" s="275"/>
      <c r="J688" s="354" t="str">
        <f>IFERROR(G688/#REF!,"-")</f>
        <v>-</v>
      </c>
      <c r="K688" s="335">
        <f t="shared" ref="K688:K696" si="929">+L688+M688</f>
        <v>0</v>
      </c>
      <c r="L688" s="275">
        <f t="shared" ref="L688:L696" si="930">+H688+L582</f>
        <v>0</v>
      </c>
      <c r="M688" s="276">
        <f t="shared" ref="M688:M696" si="931">+I688+M582</f>
        <v>0</v>
      </c>
      <c r="N688" s="339" t="str">
        <f t="shared" ref="N688:N689" si="932">IFERROR(K688/E688,"-")</f>
        <v>-</v>
      </c>
      <c r="O688" s="349" t="str">
        <f t="shared" si="899"/>
        <v>-</v>
      </c>
    </row>
    <row r="689" spans="1:15" ht="23.4" x14ac:dyDescent="0.3">
      <c r="A689" s="277" t="s">
        <v>108</v>
      </c>
      <c r="B689" s="977"/>
      <c r="C689" s="301" t="s">
        <v>196</v>
      </c>
      <c r="D689" s="301" t="s">
        <v>114</v>
      </c>
      <c r="E689" s="279">
        <v>0</v>
      </c>
      <c r="F689" s="280"/>
      <c r="G689" s="336">
        <f t="shared" si="928"/>
        <v>0</v>
      </c>
      <c r="H689" s="281"/>
      <c r="I689" s="281"/>
      <c r="J689" s="355" t="str">
        <f>IFERROR(G689/#REF!,"-")</f>
        <v>-</v>
      </c>
      <c r="K689" s="336">
        <f t="shared" si="929"/>
        <v>0</v>
      </c>
      <c r="L689" s="275">
        <f t="shared" si="930"/>
        <v>0</v>
      </c>
      <c r="M689" s="276">
        <f t="shared" si="931"/>
        <v>0</v>
      </c>
      <c r="N689" s="340" t="str">
        <f t="shared" si="932"/>
        <v>-</v>
      </c>
      <c r="O689" s="264" t="str">
        <f t="shared" si="899"/>
        <v>-</v>
      </c>
    </row>
    <row r="690" spans="1:15" ht="23.4" x14ac:dyDescent="0.3">
      <c r="A690" s="277" t="s">
        <v>108</v>
      </c>
      <c r="B690" s="977"/>
      <c r="C690" s="302" t="s">
        <v>27</v>
      </c>
      <c r="D690" s="302" t="s">
        <v>370</v>
      </c>
      <c r="E690" s="283">
        <v>0</v>
      </c>
      <c r="F690" s="284"/>
      <c r="G690" s="336">
        <f t="shared" si="928"/>
        <v>0</v>
      </c>
      <c r="H690" s="285"/>
      <c r="I690" s="285"/>
      <c r="J690" s="356" t="str">
        <f>IFERROR(G690/#REF!,"-")</f>
        <v>-</v>
      </c>
      <c r="K690" s="336">
        <f t="shared" si="929"/>
        <v>8556</v>
      </c>
      <c r="L690" s="275">
        <f t="shared" si="930"/>
        <v>7956</v>
      </c>
      <c r="M690" s="276">
        <f t="shared" si="931"/>
        <v>600</v>
      </c>
      <c r="N690" s="286"/>
      <c r="O690" s="264">
        <f t="shared" si="899"/>
        <v>7.0126227208976155E-2</v>
      </c>
    </row>
    <row r="691" spans="1:15" ht="23.4" x14ac:dyDescent="0.3">
      <c r="A691" s="277" t="s">
        <v>108</v>
      </c>
      <c r="B691" s="977"/>
      <c r="C691" s="302" t="s">
        <v>27</v>
      </c>
      <c r="D691" s="302" t="s">
        <v>254</v>
      </c>
      <c r="E691" s="283">
        <v>0</v>
      </c>
      <c r="F691" s="284"/>
      <c r="G691" s="336">
        <f t="shared" si="928"/>
        <v>16342</v>
      </c>
      <c r="H691" s="285">
        <v>15912</v>
      </c>
      <c r="I691" s="285">
        <v>430</v>
      </c>
      <c r="J691" s="356" t="str">
        <f>IFERROR(G691/#REF!,"-")</f>
        <v>-</v>
      </c>
      <c r="K691" s="336">
        <f t="shared" si="929"/>
        <v>33014</v>
      </c>
      <c r="L691" s="275">
        <f t="shared" si="930"/>
        <v>31824</v>
      </c>
      <c r="M691" s="276">
        <f t="shared" si="931"/>
        <v>1190</v>
      </c>
      <c r="N691" s="286"/>
      <c r="O691" s="264">
        <f t="shared" si="899"/>
        <v>3.604531410916581E-2</v>
      </c>
    </row>
    <row r="692" spans="1:15" ht="23.4" x14ac:dyDescent="0.3">
      <c r="A692" s="277" t="s">
        <v>108</v>
      </c>
      <c r="B692" s="977"/>
      <c r="C692" s="302" t="s">
        <v>27</v>
      </c>
      <c r="D692" s="302" t="s">
        <v>302</v>
      </c>
      <c r="E692" s="283">
        <v>0</v>
      </c>
      <c r="F692" s="284"/>
      <c r="G692" s="336">
        <f t="shared" si="928"/>
        <v>0</v>
      </c>
      <c r="H692" s="285"/>
      <c r="I692" s="285"/>
      <c r="J692" s="356" t="str">
        <f>IFERROR(G692/#REF!,"-")</f>
        <v>-</v>
      </c>
      <c r="K692" s="336">
        <f t="shared" si="929"/>
        <v>0</v>
      </c>
      <c r="L692" s="275">
        <f t="shared" si="930"/>
        <v>0</v>
      </c>
      <c r="M692" s="276">
        <f t="shared" si="931"/>
        <v>0</v>
      </c>
      <c r="N692" s="286"/>
      <c r="O692" s="264" t="str">
        <f t="shared" si="899"/>
        <v>-</v>
      </c>
    </row>
    <row r="693" spans="1:15" ht="23.4" x14ac:dyDescent="0.3">
      <c r="A693" s="277"/>
      <c r="B693" s="977"/>
      <c r="C693" s="302" t="s">
        <v>369</v>
      </c>
      <c r="D693" s="302" t="s">
        <v>190</v>
      </c>
      <c r="E693" s="283">
        <v>0</v>
      </c>
      <c r="F693" s="284"/>
      <c r="G693" s="337">
        <f t="shared" si="928"/>
        <v>0</v>
      </c>
      <c r="H693" s="285"/>
      <c r="I693" s="285"/>
      <c r="J693" s="356" t="str">
        <f>IFERROR(G693/#REF!,"-")</f>
        <v>-</v>
      </c>
      <c r="K693" s="337">
        <f t="shared" si="929"/>
        <v>0</v>
      </c>
      <c r="L693" s="275">
        <f t="shared" si="930"/>
        <v>0</v>
      </c>
      <c r="M693" s="276">
        <f t="shared" si="931"/>
        <v>0</v>
      </c>
      <c r="N693" s="286"/>
      <c r="O693" s="264" t="str">
        <f t="shared" si="899"/>
        <v>-</v>
      </c>
    </row>
    <row r="694" spans="1:15" ht="23.4" x14ac:dyDescent="0.3">
      <c r="A694" s="277"/>
      <c r="B694" s="977"/>
      <c r="C694" s="302" t="s">
        <v>314</v>
      </c>
      <c r="D694" s="302" t="s">
        <v>101</v>
      </c>
      <c r="E694" s="283">
        <v>0</v>
      </c>
      <c r="F694" s="284"/>
      <c r="G694" s="337">
        <f t="shared" si="928"/>
        <v>0</v>
      </c>
      <c r="H694" s="285"/>
      <c r="I694" s="285"/>
      <c r="J694" s="356" t="str">
        <f>IFERROR(G694/#REF!,"-")</f>
        <v>-</v>
      </c>
      <c r="K694" s="337">
        <f t="shared" si="929"/>
        <v>0</v>
      </c>
      <c r="L694" s="275">
        <f t="shared" si="930"/>
        <v>0</v>
      </c>
      <c r="M694" s="276">
        <f t="shared" si="931"/>
        <v>0</v>
      </c>
      <c r="N694" s="286"/>
      <c r="O694" s="264" t="str">
        <f t="shared" si="899"/>
        <v>-</v>
      </c>
    </row>
    <row r="695" spans="1:15" ht="23.4" x14ac:dyDescent="0.3">
      <c r="A695" s="277"/>
      <c r="B695" s="977"/>
      <c r="C695" s="302" t="s">
        <v>452</v>
      </c>
      <c r="D695" s="302" t="s">
        <v>410</v>
      </c>
      <c r="E695" s="283">
        <v>0</v>
      </c>
      <c r="F695" s="284"/>
      <c r="G695" s="337">
        <f t="shared" si="928"/>
        <v>0</v>
      </c>
      <c r="H695" s="285"/>
      <c r="I695" s="285"/>
      <c r="J695" s="356" t="str">
        <f>IFERROR(G695/#REF!,"-")</f>
        <v>-</v>
      </c>
      <c r="K695" s="337">
        <f t="shared" si="929"/>
        <v>36855</v>
      </c>
      <c r="L695" s="275">
        <f t="shared" si="930"/>
        <v>35802</v>
      </c>
      <c r="M695" s="276">
        <f t="shared" si="931"/>
        <v>1053</v>
      </c>
      <c r="N695" s="286"/>
      <c r="O695" s="264">
        <f t="shared" si="899"/>
        <v>2.8571428571428571E-2</v>
      </c>
    </row>
    <row r="696" spans="1:15" ht="24" thickBot="1" x14ac:dyDescent="0.35">
      <c r="A696" s="277" t="s">
        <v>108</v>
      </c>
      <c r="B696" s="977"/>
      <c r="C696" s="303" t="s">
        <v>315</v>
      </c>
      <c r="D696" s="302" t="s">
        <v>313</v>
      </c>
      <c r="E696" s="283">
        <v>0</v>
      </c>
      <c r="F696" s="284"/>
      <c r="G696" s="337">
        <f t="shared" si="928"/>
        <v>8287</v>
      </c>
      <c r="H696" s="285">
        <f>3978+3978</f>
        <v>7956</v>
      </c>
      <c r="I696" s="285">
        <v>331</v>
      </c>
      <c r="J696" s="356" t="str">
        <f>IFERROR(G696/#REF!,"-")</f>
        <v>-</v>
      </c>
      <c r="K696" s="337">
        <f t="shared" si="929"/>
        <v>8287</v>
      </c>
      <c r="L696" s="275">
        <f t="shared" si="930"/>
        <v>7956</v>
      </c>
      <c r="M696" s="276">
        <f t="shared" si="931"/>
        <v>331</v>
      </c>
      <c r="N696" s="341" t="str">
        <f t="shared" ref="N696:N703" si="933">IFERROR(K696/E696,"-")</f>
        <v>-</v>
      </c>
      <c r="O696" s="350">
        <f t="shared" si="899"/>
        <v>3.9942077953421022E-2</v>
      </c>
    </row>
    <row r="697" spans="1:15" ht="24" thickBot="1" x14ac:dyDescent="0.35">
      <c r="A697" s="277" t="s">
        <v>108</v>
      </c>
      <c r="B697" s="990"/>
      <c r="C697" s="304"/>
      <c r="D697" s="305" t="s">
        <v>55</v>
      </c>
      <c r="E697" s="287">
        <f>SUM(E688:E696)</f>
        <v>0</v>
      </c>
      <c r="F697" s="288">
        <v>80000</v>
      </c>
      <c r="G697" s="323">
        <f>SUM(G688:G696)</f>
        <v>24629</v>
      </c>
      <c r="H697" s="324">
        <f>SUM(H688:H696)</f>
        <v>23868</v>
      </c>
      <c r="I697" s="324">
        <f>SUM(I688:I696)</f>
        <v>761</v>
      </c>
      <c r="J697" s="348">
        <f>+G697/F697</f>
        <v>0.30786249999999998</v>
      </c>
      <c r="K697" s="323">
        <f>SUM(K688:K696)</f>
        <v>86712</v>
      </c>
      <c r="L697" s="324">
        <f>SUM(L688:L696)</f>
        <v>83538</v>
      </c>
      <c r="M697" s="325">
        <f>SUM(M688:M696)</f>
        <v>3174</v>
      </c>
      <c r="N697" s="342" t="str">
        <f t="shared" si="933"/>
        <v>-</v>
      </c>
      <c r="O697" s="348">
        <f t="shared" si="899"/>
        <v>3.6603930251868255E-2</v>
      </c>
    </row>
    <row r="698" spans="1:15" ht="23.4" x14ac:dyDescent="0.3">
      <c r="A698" s="277" t="s">
        <v>108</v>
      </c>
      <c r="B698" s="976" t="s">
        <v>28</v>
      </c>
      <c r="C698" s="302" t="s">
        <v>27</v>
      </c>
      <c r="D698" s="300" t="s">
        <v>191</v>
      </c>
      <c r="E698" s="273">
        <v>2612056</v>
      </c>
      <c r="F698" s="274"/>
      <c r="G698" s="335">
        <f t="shared" ref="G698:G702" si="934">+H698+I698</f>
        <v>0</v>
      </c>
      <c r="H698" s="275"/>
      <c r="I698" s="275"/>
      <c r="J698" s="354" t="str">
        <f>IFERROR(G698/#REF!,"-")</f>
        <v>-</v>
      </c>
      <c r="K698" s="335">
        <f t="shared" ref="K698:K702" si="935">+L698+M698</f>
        <v>4258</v>
      </c>
      <c r="L698" s="275">
        <f t="shared" ref="L698:L702" si="936">+H698+L592</f>
        <v>3978</v>
      </c>
      <c r="M698" s="276">
        <f t="shared" ref="M698:M702" si="937">+I698+M592</f>
        <v>280</v>
      </c>
      <c r="N698" s="339">
        <f t="shared" si="933"/>
        <v>1.6301335040290101E-3</v>
      </c>
      <c r="O698" s="349">
        <f t="shared" si="899"/>
        <v>6.5758572099577264E-2</v>
      </c>
    </row>
    <row r="699" spans="1:15" ht="23.4" x14ac:dyDescent="0.3">
      <c r="A699" s="277" t="s">
        <v>108</v>
      </c>
      <c r="B699" s="977"/>
      <c r="C699" s="302" t="s">
        <v>455</v>
      </c>
      <c r="D699" s="302" t="s">
        <v>370</v>
      </c>
      <c r="E699" s="279">
        <v>0</v>
      </c>
      <c r="F699" s="280"/>
      <c r="G699" s="336">
        <f t="shared" si="934"/>
        <v>3672</v>
      </c>
      <c r="H699" s="281">
        <v>3672</v>
      </c>
      <c r="I699" s="281"/>
      <c r="J699" s="355" t="str">
        <f>IFERROR(G699/#REF!,"-")</f>
        <v>-</v>
      </c>
      <c r="K699" s="336">
        <f t="shared" si="935"/>
        <v>92266</v>
      </c>
      <c r="L699" s="275">
        <f t="shared" si="936"/>
        <v>91188</v>
      </c>
      <c r="M699" s="276">
        <f t="shared" si="937"/>
        <v>1078</v>
      </c>
      <c r="N699" s="340" t="str">
        <f t="shared" si="933"/>
        <v>-</v>
      </c>
      <c r="O699" s="264">
        <f t="shared" si="899"/>
        <v>1.1683610430711205E-2</v>
      </c>
    </row>
    <row r="700" spans="1:15" ht="23.4" x14ac:dyDescent="0.3">
      <c r="A700" s="277" t="s">
        <v>108</v>
      </c>
      <c r="B700" s="977"/>
      <c r="C700" s="302" t="s">
        <v>27</v>
      </c>
      <c r="D700" s="302" t="s">
        <v>370</v>
      </c>
      <c r="E700" s="279">
        <v>0</v>
      </c>
      <c r="F700" s="280"/>
      <c r="G700" s="336">
        <f t="shared" si="934"/>
        <v>40567</v>
      </c>
      <c r="H700" s="281">
        <v>39780</v>
      </c>
      <c r="I700" s="281">
        <v>787</v>
      </c>
      <c r="J700" s="355" t="str">
        <f>IFERROR(G700/#REF!,"-")</f>
        <v>-</v>
      </c>
      <c r="K700" s="336">
        <f t="shared" si="935"/>
        <v>65158</v>
      </c>
      <c r="L700" s="275">
        <f t="shared" si="936"/>
        <v>63648</v>
      </c>
      <c r="M700" s="276">
        <f t="shared" si="937"/>
        <v>1510</v>
      </c>
      <c r="N700" s="340" t="str">
        <f t="shared" si="933"/>
        <v>-</v>
      </c>
      <c r="O700" s="264">
        <f t="shared" si="899"/>
        <v>2.3174437521102549E-2</v>
      </c>
    </row>
    <row r="701" spans="1:15" ht="23.4" x14ac:dyDescent="0.3">
      <c r="A701" s="277" t="s">
        <v>108</v>
      </c>
      <c r="B701" s="977"/>
      <c r="C701" s="302" t="s">
        <v>452</v>
      </c>
      <c r="D701" s="303" t="s">
        <v>410</v>
      </c>
      <c r="E701" s="283">
        <v>0</v>
      </c>
      <c r="F701" s="284"/>
      <c r="G701" s="337">
        <f t="shared" si="934"/>
        <v>56762</v>
      </c>
      <c r="H701" s="285">
        <v>55692</v>
      </c>
      <c r="I701" s="285">
        <v>1070</v>
      </c>
      <c r="J701" s="356" t="str">
        <f>IFERROR(G701/#REF!,"-")</f>
        <v>-</v>
      </c>
      <c r="K701" s="337">
        <f t="shared" si="935"/>
        <v>249713</v>
      </c>
      <c r="L701" s="275">
        <f t="shared" si="936"/>
        <v>246636</v>
      </c>
      <c r="M701" s="755">
        <f t="shared" si="937"/>
        <v>3077</v>
      </c>
      <c r="N701" s="341" t="str">
        <f t="shared" si="933"/>
        <v>-</v>
      </c>
      <c r="O701" s="350">
        <f t="shared" si="899"/>
        <v>1.2322145823405269E-2</v>
      </c>
    </row>
    <row r="702" spans="1:15" ht="24" thickBot="1" x14ac:dyDescent="0.35">
      <c r="A702" s="277" t="s">
        <v>108</v>
      </c>
      <c r="B702" s="977"/>
      <c r="C702" s="302" t="s">
        <v>27</v>
      </c>
      <c r="D702" s="303" t="s">
        <v>254</v>
      </c>
      <c r="E702" s="283">
        <v>0</v>
      </c>
      <c r="F702" s="284"/>
      <c r="G702" s="337">
        <f t="shared" si="934"/>
        <v>93244</v>
      </c>
      <c r="H702" s="285">
        <f>75582+15912</f>
        <v>91494</v>
      </c>
      <c r="I702" s="285">
        <f>1253+497</f>
        <v>1750</v>
      </c>
      <c r="J702" s="356" t="str">
        <f>IFERROR(G702/#REF!,"-")</f>
        <v>-</v>
      </c>
      <c r="K702" s="337">
        <f t="shared" si="935"/>
        <v>684005</v>
      </c>
      <c r="L702" s="275">
        <f t="shared" si="936"/>
        <v>676260</v>
      </c>
      <c r="M702" s="755">
        <f t="shared" si="937"/>
        <v>7745</v>
      </c>
      <c r="N702" s="341" t="str">
        <f t="shared" si="933"/>
        <v>-</v>
      </c>
      <c r="O702" s="350">
        <f t="shared" si="899"/>
        <v>1.132301664461517E-2</v>
      </c>
    </row>
    <row r="703" spans="1:15" ht="24" thickBot="1" x14ac:dyDescent="0.35">
      <c r="A703" s="277" t="s">
        <v>108</v>
      </c>
      <c r="B703" s="977"/>
      <c r="C703" s="307"/>
      <c r="D703" s="308" t="s">
        <v>55</v>
      </c>
      <c r="E703" s="309">
        <f>SUM(E698:E702)</f>
        <v>2612056</v>
      </c>
      <c r="F703" s="310">
        <v>160000</v>
      </c>
      <c r="G703" s="369">
        <f>SUM(G698:G702)</f>
        <v>194245</v>
      </c>
      <c r="H703" s="368">
        <f>SUM(H698:H702)</f>
        <v>190638</v>
      </c>
      <c r="I703" s="368">
        <f>SUM(I698:I702)</f>
        <v>3607</v>
      </c>
      <c r="J703" s="359">
        <f>+G703/F703</f>
        <v>1.2140312499999999</v>
      </c>
      <c r="K703" s="369">
        <f>SUM(K698:K702)</f>
        <v>1095400</v>
      </c>
      <c r="L703" s="368">
        <f>SUM(L698:L702)</f>
        <v>1081710</v>
      </c>
      <c r="M703" s="370">
        <f>SUM(M698:M702)</f>
        <v>13690</v>
      </c>
      <c r="N703" s="358">
        <f t="shared" si="933"/>
        <v>0.41936313769689471</v>
      </c>
      <c r="O703" s="359">
        <f t="shared" si="899"/>
        <v>1.2497717728683586E-2</v>
      </c>
    </row>
    <row r="704" spans="1:15" ht="24" thickBot="1" x14ac:dyDescent="0.35">
      <c r="A704" s="793" t="s">
        <v>108</v>
      </c>
      <c r="B704" s="978" t="s">
        <v>170</v>
      </c>
      <c r="C704" s="979"/>
      <c r="D704" s="980"/>
      <c r="E704" s="311">
        <f>+E703+E697</f>
        <v>2612056</v>
      </c>
      <c r="F704" s="312">
        <v>240000</v>
      </c>
      <c r="G704" s="372">
        <f>+G697+G703</f>
        <v>218874</v>
      </c>
      <c r="H704" s="371">
        <f>+H697+H703</f>
        <v>214506</v>
      </c>
      <c r="I704" s="371">
        <f>+I697+I703</f>
        <v>4368</v>
      </c>
      <c r="J704" s="361">
        <f>+G704/F704</f>
        <v>0.91197499999999998</v>
      </c>
      <c r="K704" s="372">
        <f>+K697+K703</f>
        <v>1182112</v>
      </c>
      <c r="L704" s="371">
        <f>+L697+L703</f>
        <v>1165248</v>
      </c>
      <c r="M704" s="373">
        <f>+M697+M703</f>
        <v>16864</v>
      </c>
      <c r="N704" s="360">
        <f>IFERROR(K704/E704,"-")</f>
        <v>0.45255997574324591</v>
      </c>
      <c r="O704" s="361">
        <f t="shared" si="899"/>
        <v>1.4265991716520939E-2</v>
      </c>
    </row>
    <row r="705" spans="1:15" ht="23.4" x14ac:dyDescent="0.3">
      <c r="A705" s="277" t="s">
        <v>108</v>
      </c>
      <c r="B705" s="977" t="s">
        <v>30</v>
      </c>
      <c r="C705" s="306" t="s">
        <v>372</v>
      </c>
      <c r="D705" s="300" t="s">
        <v>191</v>
      </c>
      <c r="E705" s="273">
        <v>0</v>
      </c>
      <c r="F705" s="274"/>
      <c r="G705" s="335">
        <f t="shared" ref="G705:G707" si="938">+H705+I705</f>
        <v>0</v>
      </c>
      <c r="H705" s="275"/>
      <c r="I705" s="275"/>
      <c r="J705" s="354" t="str">
        <f>IFERROR(G705/#REF!,"-")</f>
        <v>-</v>
      </c>
      <c r="K705" s="335">
        <f t="shared" ref="K705:K707" si="939">+L705+M705</f>
        <v>0</v>
      </c>
      <c r="L705" s="275">
        <f t="shared" ref="L705:L707" si="940">+H705+L599</f>
        <v>0</v>
      </c>
      <c r="M705" s="276">
        <f t="shared" ref="M705:M707" si="941">+I705+M599</f>
        <v>0</v>
      </c>
      <c r="N705" s="339" t="str">
        <f t="shared" ref="N705:N715" si="942">IFERROR(K705/E705,"-")</f>
        <v>-</v>
      </c>
      <c r="O705" s="349" t="str">
        <f t="shared" si="899"/>
        <v>-</v>
      </c>
    </row>
    <row r="706" spans="1:15" ht="23.4" x14ac:dyDescent="0.3">
      <c r="A706" s="277" t="s">
        <v>108</v>
      </c>
      <c r="B706" s="977"/>
      <c r="C706" s="306" t="s">
        <v>371</v>
      </c>
      <c r="D706" s="306" t="s">
        <v>313</v>
      </c>
      <c r="E706" s="279">
        <v>0</v>
      </c>
      <c r="F706" s="280"/>
      <c r="G706" s="336">
        <f t="shared" si="938"/>
        <v>0</v>
      </c>
      <c r="H706" s="281"/>
      <c r="I706" s="281"/>
      <c r="J706" s="355" t="str">
        <f>IFERROR(G706/#REF!,"-")</f>
        <v>-</v>
      </c>
      <c r="K706" s="336">
        <f t="shared" si="939"/>
        <v>0</v>
      </c>
      <c r="L706" s="275">
        <f t="shared" si="940"/>
        <v>0</v>
      </c>
      <c r="M706" s="276">
        <f t="shared" si="941"/>
        <v>0</v>
      </c>
      <c r="N706" s="340" t="str">
        <f t="shared" si="942"/>
        <v>-</v>
      </c>
      <c r="O706" s="264" t="str">
        <f t="shared" si="899"/>
        <v>-</v>
      </c>
    </row>
    <row r="707" spans="1:15" ht="24" thickBot="1" x14ac:dyDescent="0.35">
      <c r="A707" s="277" t="s">
        <v>108</v>
      </c>
      <c r="B707" s="977"/>
      <c r="C707" s="303" t="s">
        <v>316</v>
      </c>
      <c r="D707" s="303" t="s">
        <v>410</v>
      </c>
      <c r="E707" s="283">
        <v>0</v>
      </c>
      <c r="F707" s="284"/>
      <c r="G707" s="337">
        <f t="shared" si="938"/>
        <v>72596</v>
      </c>
      <c r="H707" s="285">
        <f>26208+44928</f>
        <v>71136</v>
      </c>
      <c r="I707" s="285">
        <f>672+788</f>
        <v>1460</v>
      </c>
      <c r="J707" s="356" t="str">
        <f>IFERROR(G707/#REF!,"-")</f>
        <v>-</v>
      </c>
      <c r="K707" s="337">
        <f t="shared" si="939"/>
        <v>137320</v>
      </c>
      <c r="L707" s="275">
        <f t="shared" si="940"/>
        <v>132912</v>
      </c>
      <c r="M707" s="276">
        <f t="shared" si="941"/>
        <v>4408</v>
      </c>
      <c r="N707" s="341" t="str">
        <f t="shared" si="942"/>
        <v>-</v>
      </c>
      <c r="O707" s="350">
        <f t="shared" si="899"/>
        <v>3.2100203903291581E-2</v>
      </c>
    </row>
    <row r="708" spans="1:15" ht="24" thickBot="1" x14ac:dyDescent="0.35">
      <c r="A708" s="277" t="s">
        <v>108</v>
      </c>
      <c r="B708" s="977"/>
      <c r="C708" s="304"/>
      <c r="D708" s="305" t="s">
        <v>53</v>
      </c>
      <c r="E708" s="287">
        <v>0</v>
      </c>
      <c r="F708" s="288">
        <v>50000</v>
      </c>
      <c r="G708" s="323">
        <f>SUM(G705:G707)</f>
        <v>72596</v>
      </c>
      <c r="H708" s="324">
        <f>SUM(H705:H707)</f>
        <v>71136</v>
      </c>
      <c r="I708" s="324">
        <f>SUM(I705:I707)</f>
        <v>1460</v>
      </c>
      <c r="J708" s="348">
        <f>+H708/G708</f>
        <v>0.97988869910187892</v>
      </c>
      <c r="K708" s="323">
        <f>SUM(K705:K707)</f>
        <v>137320</v>
      </c>
      <c r="L708" s="324">
        <f>SUM(L705:L707)</f>
        <v>132912</v>
      </c>
      <c r="M708" s="325">
        <f>SUM(M705:M707)</f>
        <v>4408</v>
      </c>
      <c r="N708" s="342" t="str">
        <f t="shared" si="942"/>
        <v>-</v>
      </c>
      <c r="O708" s="348">
        <f t="shared" si="899"/>
        <v>3.2100203903291581E-2</v>
      </c>
    </row>
    <row r="709" spans="1:15" ht="23.4" x14ac:dyDescent="0.3">
      <c r="A709" s="277" t="s">
        <v>108</v>
      </c>
      <c r="B709" s="977"/>
      <c r="C709" s="300" t="s">
        <v>339</v>
      </c>
      <c r="D709" s="300"/>
      <c r="E709" s="273">
        <v>500000</v>
      </c>
      <c r="F709" s="274"/>
      <c r="G709" s="335">
        <f t="shared" ref="G709:G711" si="943">+H709+I709</f>
        <v>0</v>
      </c>
      <c r="H709" s="275"/>
      <c r="I709" s="275"/>
      <c r="J709" s="354" t="str">
        <f>IFERROR(G709/#REF!,"-")</f>
        <v>-</v>
      </c>
      <c r="K709" s="335">
        <f t="shared" ref="K709:K711" si="944">+L709+M709</f>
        <v>0</v>
      </c>
      <c r="L709" s="275">
        <f t="shared" ref="L709:L711" si="945">+H709+L603</f>
        <v>0</v>
      </c>
      <c r="M709" s="276">
        <f t="shared" ref="M709:M711" si="946">+I709+M603</f>
        <v>0</v>
      </c>
      <c r="N709" s="339">
        <f t="shared" si="942"/>
        <v>0</v>
      </c>
      <c r="O709" s="349" t="str">
        <f t="shared" si="899"/>
        <v>-</v>
      </c>
    </row>
    <row r="710" spans="1:15" ht="23.4" x14ac:dyDescent="0.3">
      <c r="A710" s="277" t="s">
        <v>108</v>
      </c>
      <c r="B710" s="977"/>
      <c r="C710" s="306" t="s">
        <v>373</v>
      </c>
      <c r="D710" s="306" t="s">
        <v>254</v>
      </c>
      <c r="E710" s="279">
        <v>0</v>
      </c>
      <c r="F710" s="280"/>
      <c r="G710" s="336">
        <f t="shared" si="943"/>
        <v>0</v>
      </c>
      <c r="H710" s="281"/>
      <c r="I710" s="281"/>
      <c r="J710" s="355" t="str">
        <f>IFERROR(G710/#REF!,"-")</f>
        <v>-</v>
      </c>
      <c r="K710" s="336">
        <f t="shared" si="944"/>
        <v>9638</v>
      </c>
      <c r="L710" s="275">
        <f t="shared" si="945"/>
        <v>9360</v>
      </c>
      <c r="M710" s="276">
        <f t="shared" si="946"/>
        <v>278</v>
      </c>
      <c r="N710" s="340" t="str">
        <f t="shared" si="942"/>
        <v>-</v>
      </c>
      <c r="O710" s="264">
        <f t="shared" si="899"/>
        <v>2.8844158539116E-2</v>
      </c>
    </row>
    <row r="711" spans="1:15" ht="24" thickBot="1" x14ac:dyDescent="0.35">
      <c r="A711" s="277" t="s">
        <v>108</v>
      </c>
      <c r="B711" s="977"/>
      <c r="C711" s="303" t="s">
        <v>145</v>
      </c>
      <c r="D711" s="303"/>
      <c r="E711" s="283">
        <v>0</v>
      </c>
      <c r="F711" s="284"/>
      <c r="G711" s="337">
        <f t="shared" si="943"/>
        <v>0</v>
      </c>
      <c r="H711" s="285"/>
      <c r="I711" s="285"/>
      <c r="J711" s="356" t="str">
        <f>IFERROR(G711/#REF!,"-")</f>
        <v>-</v>
      </c>
      <c r="K711" s="337">
        <f t="shared" si="944"/>
        <v>0</v>
      </c>
      <c r="L711" s="275">
        <f t="shared" si="945"/>
        <v>0</v>
      </c>
      <c r="M711" s="276">
        <f t="shared" si="946"/>
        <v>0</v>
      </c>
      <c r="N711" s="341" t="str">
        <f t="shared" si="942"/>
        <v>-</v>
      </c>
      <c r="O711" s="350" t="str">
        <f t="shared" si="899"/>
        <v>-</v>
      </c>
    </row>
    <row r="712" spans="1:15" ht="24" thickBot="1" x14ac:dyDescent="0.35">
      <c r="A712" s="277" t="s">
        <v>108</v>
      </c>
      <c r="B712" s="977"/>
      <c r="C712" s="307"/>
      <c r="D712" s="308" t="s">
        <v>54</v>
      </c>
      <c r="E712" s="309">
        <f>SUM(E709)</f>
        <v>500000</v>
      </c>
      <c r="F712" s="310">
        <v>50000</v>
      </c>
      <c r="G712" s="369">
        <f>SUM(G709:G711)</f>
        <v>0</v>
      </c>
      <c r="H712" s="368">
        <f t="shared" ref="H712:I712" si="947">SUM(H709:H711)</f>
        <v>0</v>
      </c>
      <c r="I712" s="368">
        <f t="shared" si="947"/>
        <v>0</v>
      </c>
      <c r="J712" s="359">
        <f>+G712/F712</f>
        <v>0</v>
      </c>
      <c r="K712" s="369">
        <f t="shared" ref="K712:M712" si="948">SUM(K709:K711)</f>
        <v>9638</v>
      </c>
      <c r="L712" s="368">
        <f t="shared" si="948"/>
        <v>9360</v>
      </c>
      <c r="M712" s="370">
        <f t="shared" si="948"/>
        <v>278</v>
      </c>
      <c r="N712" s="358">
        <f t="shared" si="942"/>
        <v>1.9276000000000001E-2</v>
      </c>
      <c r="O712" s="359">
        <f t="shared" si="899"/>
        <v>2.8844158539116E-2</v>
      </c>
    </row>
    <row r="713" spans="1:15" ht="24" thickBot="1" x14ac:dyDescent="0.35">
      <c r="A713" s="277" t="s">
        <v>108</v>
      </c>
      <c r="B713" s="978" t="s">
        <v>171</v>
      </c>
      <c r="C713" s="979"/>
      <c r="D713" s="980"/>
      <c r="E713" s="311">
        <f>+E712+E708</f>
        <v>500000</v>
      </c>
      <c r="F713" s="312">
        <v>50000</v>
      </c>
      <c r="G713" s="372">
        <f>+G708+G712</f>
        <v>72596</v>
      </c>
      <c r="H713" s="371">
        <f t="shared" ref="H713:I713" si="949">+H708+H712</f>
        <v>71136</v>
      </c>
      <c r="I713" s="371">
        <f t="shared" si="949"/>
        <v>1460</v>
      </c>
      <c r="J713" s="361">
        <f>+G713/F713</f>
        <v>1.4519200000000001</v>
      </c>
      <c r="K713" s="372">
        <f t="shared" ref="K713:M713" si="950">+K708+K712</f>
        <v>146958</v>
      </c>
      <c r="L713" s="371">
        <f t="shared" si="950"/>
        <v>142272</v>
      </c>
      <c r="M713" s="373">
        <f t="shared" si="950"/>
        <v>4686</v>
      </c>
      <c r="N713" s="360">
        <f t="shared" si="942"/>
        <v>0.29391600000000001</v>
      </c>
      <c r="O713" s="361">
        <f t="shared" si="899"/>
        <v>3.1886661495121052E-2</v>
      </c>
    </row>
    <row r="714" spans="1:15" ht="24" thickBot="1" x14ac:dyDescent="0.35">
      <c r="A714" s="277" t="s">
        <v>108</v>
      </c>
      <c r="B714" s="608" t="s">
        <v>32</v>
      </c>
      <c r="C714" s="788"/>
      <c r="D714" s="313" t="s">
        <v>32</v>
      </c>
      <c r="E714" s="290">
        <v>0</v>
      </c>
      <c r="F714" s="291">
        <v>110000</v>
      </c>
      <c r="G714" s="338">
        <f t="shared" ref="G714" si="951">+H714+I714</f>
        <v>0</v>
      </c>
      <c r="H714" s="292"/>
      <c r="I714" s="292"/>
      <c r="J714" s="357" t="str">
        <f>IFERROR(G714/#REF!,"-")</f>
        <v>-</v>
      </c>
      <c r="K714" s="338">
        <f>+L714+M714</f>
        <v>0</v>
      </c>
      <c r="L714" s="292">
        <f>+H714+L608</f>
        <v>0</v>
      </c>
      <c r="M714" s="293">
        <f>+I714+M608</f>
        <v>0</v>
      </c>
      <c r="N714" s="343" t="str">
        <f t="shared" si="942"/>
        <v>-</v>
      </c>
      <c r="O714" s="351" t="str">
        <f t="shared" si="899"/>
        <v>-</v>
      </c>
    </row>
    <row r="715" spans="1:15" ht="24" thickBot="1" x14ac:dyDescent="0.35">
      <c r="A715" s="277" t="s">
        <v>108</v>
      </c>
      <c r="B715" s="981" t="s">
        <v>21</v>
      </c>
      <c r="C715" s="982"/>
      <c r="D715" s="983"/>
      <c r="E715" s="329">
        <f>+E704+E713+E714</f>
        <v>3112056</v>
      </c>
      <c r="F715" s="330">
        <f>+F704+F713+F714</f>
        <v>400000</v>
      </c>
      <c r="G715" s="329">
        <f>+G704+G713+G714</f>
        <v>291470</v>
      </c>
      <c r="H715" s="327">
        <f>+H704+H713+H714</f>
        <v>285642</v>
      </c>
      <c r="I715" s="327">
        <f>+I704+I713+I714</f>
        <v>5828</v>
      </c>
      <c r="J715" s="352">
        <f>+G715/F715</f>
        <v>0.72867499999999996</v>
      </c>
      <c r="K715" s="329">
        <f>+K704+K713+K714</f>
        <v>1329070</v>
      </c>
      <c r="L715" s="327">
        <f>+L704+L713+L714</f>
        <v>1307520</v>
      </c>
      <c r="M715" s="328">
        <f>+M704+M713+M714</f>
        <v>21550</v>
      </c>
      <c r="N715" s="344">
        <f t="shared" si="942"/>
        <v>0.42707136375437976</v>
      </c>
      <c r="O715" s="352">
        <f t="shared" si="899"/>
        <v>1.6214345369318397E-2</v>
      </c>
    </row>
    <row r="716" spans="1:15" ht="24" thickBot="1" x14ac:dyDescent="0.35">
      <c r="A716" s="277" t="s">
        <v>108</v>
      </c>
      <c r="B716" s="984" t="s">
        <v>179</v>
      </c>
      <c r="C716" s="962"/>
      <c r="D716" s="963"/>
      <c r="E716" s="333">
        <f>+E715</f>
        <v>3112056</v>
      </c>
      <c r="F716" s="334">
        <f t="shared" ref="F716:I716" si="952">+F715</f>
        <v>400000</v>
      </c>
      <c r="G716" s="333">
        <f t="shared" si="952"/>
        <v>291470</v>
      </c>
      <c r="H716" s="331">
        <f t="shared" si="952"/>
        <v>285642</v>
      </c>
      <c r="I716" s="331">
        <f t="shared" si="952"/>
        <v>5828</v>
      </c>
      <c r="J716" s="353">
        <f>+J715</f>
        <v>0.72867499999999996</v>
      </c>
      <c r="K716" s="333">
        <f>+K715</f>
        <v>1329070</v>
      </c>
      <c r="L716" s="331">
        <f t="shared" ref="L716" si="953">+L715</f>
        <v>1307520</v>
      </c>
      <c r="M716" s="332">
        <f>+M715</f>
        <v>21550</v>
      </c>
      <c r="N716" s="345">
        <f t="shared" ref="N716:O716" si="954">+N715</f>
        <v>0.42707136375437976</v>
      </c>
      <c r="O716" s="353">
        <f t="shared" si="954"/>
        <v>1.6214345369318397E-2</v>
      </c>
    </row>
    <row r="717" spans="1:15" ht="23.4" x14ac:dyDescent="0.3">
      <c r="A717" s="271" t="s">
        <v>109</v>
      </c>
      <c r="B717" s="970" t="s">
        <v>33</v>
      </c>
      <c r="C717" s="314" t="s">
        <v>120</v>
      </c>
      <c r="D717" s="314"/>
      <c r="E717" s="273">
        <v>34000</v>
      </c>
      <c r="F717" s="274"/>
      <c r="G717" s="335">
        <f t="shared" ref="G717:G719" si="955">+H717+I717</f>
        <v>0</v>
      </c>
      <c r="H717" s="275"/>
      <c r="I717" s="275"/>
      <c r="J717" s="354" t="str">
        <f>IFERROR(G717/#REF!,"-")</f>
        <v>-</v>
      </c>
      <c r="K717" s="335">
        <f t="shared" ref="K717:K719" si="956">+L717+M717</f>
        <v>0</v>
      </c>
      <c r="L717" s="275">
        <f t="shared" ref="L717:L719" si="957">+H717+L611</f>
        <v>0</v>
      </c>
      <c r="M717" s="276">
        <f t="shared" ref="M717:M719" si="958">+I717+M611</f>
        <v>0</v>
      </c>
      <c r="N717" s="339">
        <f t="shared" ref="N717:N724" si="959">IFERROR(K717/E717,"-")</f>
        <v>0</v>
      </c>
      <c r="O717" s="349" t="str">
        <f t="shared" ref="O717:O742" si="960">IFERROR(M717/K717,"-")</f>
        <v>-</v>
      </c>
    </row>
    <row r="718" spans="1:15" ht="23.4" x14ac:dyDescent="0.3">
      <c r="A718" s="277" t="s">
        <v>109</v>
      </c>
      <c r="B718" s="972"/>
      <c r="C718" s="315" t="s">
        <v>267</v>
      </c>
      <c r="D718" s="315"/>
      <c r="E718" s="279">
        <v>0</v>
      </c>
      <c r="F718" s="280"/>
      <c r="G718" s="336">
        <f t="shared" si="955"/>
        <v>1332</v>
      </c>
      <c r="H718" s="281">
        <v>1280</v>
      </c>
      <c r="I718" s="281">
        <v>52</v>
      </c>
      <c r="J718" s="355" t="str">
        <f>IFERROR(G718/#REF!,"-")</f>
        <v>-</v>
      </c>
      <c r="K718" s="336">
        <f t="shared" si="956"/>
        <v>12352</v>
      </c>
      <c r="L718" s="275">
        <f t="shared" si="957"/>
        <v>12160</v>
      </c>
      <c r="M718" s="276">
        <f t="shared" si="958"/>
        <v>192</v>
      </c>
      <c r="N718" s="340" t="str">
        <f t="shared" si="959"/>
        <v>-</v>
      </c>
      <c r="O718" s="264">
        <f t="shared" si="960"/>
        <v>1.5544041450777202E-2</v>
      </c>
    </row>
    <row r="719" spans="1:15" ht="24" thickBot="1" x14ac:dyDescent="0.35">
      <c r="A719" s="277" t="s">
        <v>109</v>
      </c>
      <c r="B719" s="971"/>
      <c r="C719" s="316" t="s">
        <v>34</v>
      </c>
      <c r="D719" s="316"/>
      <c r="E719" s="283">
        <v>0</v>
      </c>
      <c r="F719" s="284"/>
      <c r="G719" s="337">
        <f t="shared" si="955"/>
        <v>0</v>
      </c>
      <c r="H719" s="285"/>
      <c r="I719" s="285"/>
      <c r="J719" s="356" t="str">
        <f>IFERROR(G719/#REF!,"-")</f>
        <v>-</v>
      </c>
      <c r="K719" s="337">
        <f t="shared" si="956"/>
        <v>0</v>
      </c>
      <c r="L719" s="275">
        <f t="shared" si="957"/>
        <v>0</v>
      </c>
      <c r="M719" s="276">
        <f t="shared" si="958"/>
        <v>0</v>
      </c>
      <c r="N719" s="341" t="str">
        <f t="shared" si="959"/>
        <v>-</v>
      </c>
      <c r="O719" s="350" t="str">
        <f t="shared" si="960"/>
        <v>-</v>
      </c>
    </row>
    <row r="720" spans="1:15" ht="24" thickBot="1" x14ac:dyDescent="0.35">
      <c r="A720" s="277" t="s">
        <v>109</v>
      </c>
      <c r="B720" s="967" t="s">
        <v>35</v>
      </c>
      <c r="C720" s="968"/>
      <c r="D720" s="969"/>
      <c r="E720" s="287">
        <f>SUM(E717:E719)</f>
        <v>34000</v>
      </c>
      <c r="F720" s="288">
        <v>6500</v>
      </c>
      <c r="G720" s="323">
        <f>SUM(G717:G719)</f>
        <v>1332</v>
      </c>
      <c r="H720" s="324">
        <f t="shared" ref="H720:I720" si="961">SUM(H717:H719)</f>
        <v>1280</v>
      </c>
      <c r="I720" s="324">
        <f t="shared" si="961"/>
        <v>52</v>
      </c>
      <c r="J720" s="348" t="str">
        <f>IFERROR(G720/#REF!,"-")</f>
        <v>-</v>
      </c>
      <c r="K720" s="323">
        <f t="shared" ref="K720:M720" si="962">SUM(K717:K719)</f>
        <v>12352</v>
      </c>
      <c r="L720" s="324">
        <f t="shared" si="962"/>
        <v>12160</v>
      </c>
      <c r="M720" s="325">
        <f t="shared" si="962"/>
        <v>192</v>
      </c>
      <c r="N720" s="342">
        <f t="shared" si="959"/>
        <v>0.36329411764705882</v>
      </c>
      <c r="O720" s="348">
        <f t="shared" si="960"/>
        <v>1.5544041450777202E-2</v>
      </c>
    </row>
    <row r="721" spans="1:15" ht="23.4" x14ac:dyDescent="0.3">
      <c r="A721" s="277" t="s">
        <v>109</v>
      </c>
      <c r="B721" s="970" t="s">
        <v>36</v>
      </c>
      <c r="C721" s="314" t="s">
        <v>120</v>
      </c>
      <c r="D721" s="314"/>
      <c r="E721" s="273">
        <v>64360</v>
      </c>
      <c r="F721" s="274"/>
      <c r="G721" s="335">
        <f t="shared" ref="G721:G724" si="963">+H721+I721</f>
        <v>0</v>
      </c>
      <c r="H721" s="275"/>
      <c r="I721" s="275"/>
      <c r="J721" s="354" t="str">
        <f>IFERROR(G721/#REF!,"-")</f>
        <v>-</v>
      </c>
      <c r="K721" s="335">
        <f t="shared" ref="K721:K724" si="964">+L721+M721</f>
        <v>0</v>
      </c>
      <c r="L721" s="275">
        <f t="shared" ref="L721:L724" si="965">+H721+L615</f>
        <v>0</v>
      </c>
      <c r="M721" s="276">
        <f t="shared" ref="M721:M724" si="966">+I721+M615</f>
        <v>0</v>
      </c>
      <c r="N721" s="339">
        <f t="shared" si="959"/>
        <v>0</v>
      </c>
      <c r="O721" s="349" t="str">
        <f t="shared" si="960"/>
        <v>-</v>
      </c>
    </row>
    <row r="722" spans="1:15" ht="23.4" x14ac:dyDescent="0.3">
      <c r="A722" s="277" t="s">
        <v>109</v>
      </c>
      <c r="B722" s="972"/>
      <c r="C722" s="315" t="s">
        <v>267</v>
      </c>
      <c r="D722" s="315"/>
      <c r="E722" s="279">
        <v>0</v>
      </c>
      <c r="F722" s="280"/>
      <c r="G722" s="336">
        <f t="shared" si="963"/>
        <v>3945</v>
      </c>
      <c r="H722" s="281">
        <f>1920+1920</f>
        <v>3840</v>
      </c>
      <c r="I722" s="281">
        <f>59+46</f>
        <v>105</v>
      </c>
      <c r="J722" s="355" t="str">
        <f>IFERROR(G722/#REF!,"-")</f>
        <v>-</v>
      </c>
      <c r="K722" s="336">
        <f t="shared" si="964"/>
        <v>3945</v>
      </c>
      <c r="L722" s="275">
        <f t="shared" si="965"/>
        <v>3840</v>
      </c>
      <c r="M722" s="276">
        <f t="shared" si="966"/>
        <v>105</v>
      </c>
      <c r="N722" s="340" t="str">
        <f t="shared" si="959"/>
        <v>-</v>
      </c>
      <c r="O722" s="264">
        <f t="shared" si="960"/>
        <v>2.6615969581749048E-2</v>
      </c>
    </row>
    <row r="723" spans="1:15" ht="23.4" x14ac:dyDescent="0.3">
      <c r="A723" s="277" t="s">
        <v>109</v>
      </c>
      <c r="B723" s="972"/>
      <c r="C723" s="315" t="s">
        <v>198</v>
      </c>
      <c r="D723" s="315"/>
      <c r="E723" s="279">
        <v>0</v>
      </c>
      <c r="F723" s="280"/>
      <c r="G723" s="336">
        <f t="shared" si="963"/>
        <v>0</v>
      </c>
      <c r="H723" s="281"/>
      <c r="I723" s="281"/>
      <c r="J723" s="355" t="str">
        <f>IFERROR(G723/#REF!,"-")</f>
        <v>-</v>
      </c>
      <c r="K723" s="336">
        <f t="shared" si="964"/>
        <v>0</v>
      </c>
      <c r="L723" s="275">
        <f t="shared" si="965"/>
        <v>0</v>
      </c>
      <c r="M723" s="276">
        <f t="shared" si="966"/>
        <v>0</v>
      </c>
      <c r="N723" s="340" t="str">
        <f t="shared" si="959"/>
        <v>-</v>
      </c>
      <c r="O723" s="264" t="str">
        <f t="shared" si="960"/>
        <v>-</v>
      </c>
    </row>
    <row r="724" spans="1:15" ht="24" thickBot="1" x14ac:dyDescent="0.35">
      <c r="A724" s="277" t="s">
        <v>109</v>
      </c>
      <c r="B724" s="971"/>
      <c r="C724" s="316" t="s">
        <v>37</v>
      </c>
      <c r="D724" s="316"/>
      <c r="E724" s="283">
        <v>0</v>
      </c>
      <c r="F724" s="284"/>
      <c r="G724" s="337">
        <f t="shared" si="963"/>
        <v>0</v>
      </c>
      <c r="H724" s="285"/>
      <c r="I724" s="285"/>
      <c r="J724" s="356" t="str">
        <f>IFERROR(G724/#REF!,"-")</f>
        <v>-</v>
      </c>
      <c r="K724" s="337">
        <f t="shared" si="964"/>
        <v>0</v>
      </c>
      <c r="L724" s="275">
        <f t="shared" si="965"/>
        <v>0</v>
      </c>
      <c r="M724" s="276">
        <f t="shared" si="966"/>
        <v>0</v>
      </c>
      <c r="N724" s="341" t="str">
        <f t="shared" si="959"/>
        <v>-</v>
      </c>
      <c r="O724" s="350" t="str">
        <f t="shared" si="960"/>
        <v>-</v>
      </c>
    </row>
    <row r="725" spans="1:15" ht="24" thickBot="1" x14ac:dyDescent="0.35">
      <c r="A725" s="277" t="s">
        <v>109</v>
      </c>
      <c r="B725" s="967" t="s">
        <v>38</v>
      </c>
      <c r="C725" s="968"/>
      <c r="D725" s="969"/>
      <c r="E725" s="287">
        <f>SUM(E721:E724)</f>
        <v>64360</v>
      </c>
      <c r="F725" s="288">
        <v>6500</v>
      </c>
      <c r="G725" s="323">
        <f>SUM(G721:G724)</f>
        <v>3945</v>
      </c>
      <c r="H725" s="324">
        <f t="shared" ref="H725:I725" si="967">SUM(H721:H724)</f>
        <v>3840</v>
      </c>
      <c r="I725" s="324">
        <f t="shared" si="967"/>
        <v>105</v>
      </c>
      <c r="J725" s="348" t="str">
        <f>IFERROR(G725/#REF!,"-")</f>
        <v>-</v>
      </c>
      <c r="K725" s="323">
        <f t="shared" ref="K725:M725" si="968">SUM(K721:K724)</f>
        <v>3945</v>
      </c>
      <c r="L725" s="324">
        <f t="shared" si="968"/>
        <v>3840</v>
      </c>
      <c r="M725" s="325">
        <f t="shared" si="968"/>
        <v>105</v>
      </c>
      <c r="N725" s="342">
        <f>IFERROR(K725/E725,"-")</f>
        <v>6.12958359229335E-2</v>
      </c>
      <c r="O725" s="348">
        <f t="shared" si="960"/>
        <v>2.6615969581749048E-2</v>
      </c>
    </row>
    <row r="726" spans="1:15" ht="23.4" x14ac:dyDescent="0.3">
      <c r="A726" s="277" t="s">
        <v>109</v>
      </c>
      <c r="B726" s="970" t="s">
        <v>39</v>
      </c>
      <c r="C726" s="317" t="s">
        <v>123</v>
      </c>
      <c r="D726" s="317"/>
      <c r="E726" s="273">
        <v>39800</v>
      </c>
      <c r="F726" s="274"/>
      <c r="G726" s="335">
        <f t="shared" ref="G726:G727" si="969">+H726+I726</f>
        <v>0</v>
      </c>
      <c r="H726" s="275"/>
      <c r="I726" s="275"/>
      <c r="J726" s="354" t="str">
        <f>IFERROR(G726/#REF!,"-")</f>
        <v>-</v>
      </c>
      <c r="K726" s="335">
        <f t="shared" ref="K726:K727" si="970">+L726+M726</f>
        <v>144</v>
      </c>
      <c r="L726" s="275">
        <f t="shared" ref="L726:L727" si="971">+H726+L620</f>
        <v>144</v>
      </c>
      <c r="M726" s="276">
        <f t="shared" ref="M726:M727" si="972">+I726+M620</f>
        <v>0</v>
      </c>
      <c r="N726" s="339">
        <f t="shared" ref="N726:N742" si="973">IFERROR(K726/E726,"-")</f>
        <v>3.6180904522613066E-3</v>
      </c>
      <c r="O726" s="349">
        <f t="shared" si="960"/>
        <v>0</v>
      </c>
    </row>
    <row r="727" spans="1:15" ht="24" thickBot="1" x14ac:dyDescent="0.35">
      <c r="A727" s="277" t="s">
        <v>109</v>
      </c>
      <c r="B727" s="971"/>
      <c r="C727" s="289" t="s">
        <v>139</v>
      </c>
      <c r="D727" s="289"/>
      <c r="E727" s="283">
        <v>0</v>
      </c>
      <c r="F727" s="284"/>
      <c r="G727" s="337">
        <f t="shared" si="969"/>
        <v>0</v>
      </c>
      <c r="H727" s="285"/>
      <c r="I727" s="285"/>
      <c r="J727" s="356" t="str">
        <f>IFERROR(G727/#REF!,"-")</f>
        <v>-</v>
      </c>
      <c r="K727" s="337">
        <f t="shared" si="970"/>
        <v>240</v>
      </c>
      <c r="L727" s="275">
        <f t="shared" si="971"/>
        <v>240</v>
      </c>
      <c r="M727" s="276">
        <f t="shared" si="972"/>
        <v>0</v>
      </c>
      <c r="N727" s="341" t="str">
        <f t="shared" si="973"/>
        <v>-</v>
      </c>
      <c r="O727" s="350">
        <f t="shared" si="960"/>
        <v>0</v>
      </c>
    </row>
    <row r="728" spans="1:15" ht="24" thickBot="1" x14ac:dyDescent="0.35">
      <c r="A728" s="793" t="s">
        <v>109</v>
      </c>
      <c r="B728" s="967" t="s">
        <v>40</v>
      </c>
      <c r="C728" s="968"/>
      <c r="D728" s="969"/>
      <c r="E728" s="287">
        <f>SUM(E726:E727)</f>
        <v>39800</v>
      </c>
      <c r="F728" s="288">
        <v>2800</v>
      </c>
      <c r="G728" s="323">
        <f>SUM(G726:G727)</f>
        <v>0</v>
      </c>
      <c r="H728" s="324">
        <f t="shared" ref="H728:I728" si="974">SUM(H726:H727)</f>
        <v>0</v>
      </c>
      <c r="I728" s="324">
        <f t="shared" si="974"/>
        <v>0</v>
      </c>
      <c r="J728" s="348" t="str">
        <f>IFERROR(G728/#REF!,"-")</f>
        <v>-</v>
      </c>
      <c r="K728" s="323">
        <f t="shared" ref="K728:M728" si="975">SUM(K726:K727)</f>
        <v>384</v>
      </c>
      <c r="L728" s="324">
        <f t="shared" si="975"/>
        <v>384</v>
      </c>
      <c r="M728" s="325">
        <f t="shared" si="975"/>
        <v>0</v>
      </c>
      <c r="N728" s="342">
        <f t="shared" si="973"/>
        <v>9.6482412060301514E-3</v>
      </c>
      <c r="O728" s="348">
        <f t="shared" si="960"/>
        <v>0</v>
      </c>
    </row>
    <row r="729" spans="1:15" ht="23.4" x14ac:dyDescent="0.3">
      <c r="A729" s="277" t="s">
        <v>109</v>
      </c>
      <c r="B729" s="970" t="s">
        <v>41</v>
      </c>
      <c r="C729" s="272" t="s">
        <v>335</v>
      </c>
      <c r="D729" s="272"/>
      <c r="E729" s="273">
        <v>916640</v>
      </c>
      <c r="F729" s="318"/>
      <c r="G729" s="335">
        <f t="shared" ref="G729:G733" si="976">+H729+I729</f>
        <v>20510</v>
      </c>
      <c r="H729" s="275">
        <v>20352</v>
      </c>
      <c r="I729" s="275">
        <v>158</v>
      </c>
      <c r="J729" s="374" t="str">
        <f>IFERROR(G729/#REF!,"-")</f>
        <v>-</v>
      </c>
      <c r="K729" s="335">
        <f t="shared" ref="K729:K733" si="977">+L729+M729</f>
        <v>134589</v>
      </c>
      <c r="L729" s="275">
        <f t="shared" ref="L729:L733" si="978">+H729+L623</f>
        <v>132588</v>
      </c>
      <c r="M729" s="275">
        <f t="shared" ref="M729:M733" si="979">+I729+M623</f>
        <v>2001</v>
      </c>
      <c r="N729" s="362">
        <f t="shared" si="973"/>
        <v>0.14682863501483678</v>
      </c>
      <c r="O729" s="363">
        <f t="shared" si="960"/>
        <v>1.4867485455720749E-2</v>
      </c>
    </row>
    <row r="730" spans="1:15" ht="23.4" x14ac:dyDescent="0.3">
      <c r="A730" s="277" t="s">
        <v>109</v>
      </c>
      <c r="B730" s="972"/>
      <c r="C730" s="272" t="s">
        <v>336</v>
      </c>
      <c r="D730" s="278"/>
      <c r="E730" s="279">
        <v>0</v>
      </c>
      <c r="F730" s="319"/>
      <c r="G730" s="336">
        <f t="shared" si="976"/>
        <v>0</v>
      </c>
      <c r="H730" s="281"/>
      <c r="I730" s="281"/>
      <c r="J730" s="375" t="str">
        <f>IFERROR(G730/#REF!,"-")</f>
        <v>-</v>
      </c>
      <c r="K730" s="336">
        <f t="shared" si="977"/>
        <v>0</v>
      </c>
      <c r="L730" s="275">
        <f t="shared" si="978"/>
        <v>0</v>
      </c>
      <c r="M730" s="276">
        <f t="shared" si="979"/>
        <v>0</v>
      </c>
      <c r="N730" s="364" t="str">
        <f t="shared" si="973"/>
        <v>-</v>
      </c>
      <c r="O730" s="365" t="str">
        <f t="shared" si="960"/>
        <v>-</v>
      </c>
    </row>
    <row r="731" spans="1:15" ht="23.4" x14ac:dyDescent="0.3">
      <c r="A731" s="277" t="s">
        <v>109</v>
      </c>
      <c r="B731" s="972"/>
      <c r="C731" s="278" t="s">
        <v>383</v>
      </c>
      <c r="D731" s="278"/>
      <c r="E731" s="279">
        <v>40000</v>
      </c>
      <c r="F731" s="319"/>
      <c r="G731" s="336">
        <f t="shared" si="976"/>
        <v>0</v>
      </c>
      <c r="H731" s="281"/>
      <c r="I731" s="281"/>
      <c r="J731" s="375" t="str">
        <f>IFERROR(G731/#REF!,"-")</f>
        <v>-</v>
      </c>
      <c r="K731" s="336">
        <f t="shared" si="977"/>
        <v>0</v>
      </c>
      <c r="L731" s="275">
        <f t="shared" si="978"/>
        <v>0</v>
      </c>
      <c r="M731" s="276">
        <f t="shared" si="979"/>
        <v>0</v>
      </c>
      <c r="N731" s="364">
        <f t="shared" si="973"/>
        <v>0</v>
      </c>
      <c r="O731" s="365" t="str">
        <f t="shared" si="960"/>
        <v>-</v>
      </c>
    </row>
    <row r="732" spans="1:15" ht="23.4" x14ac:dyDescent="0.3">
      <c r="A732" s="277" t="s">
        <v>109</v>
      </c>
      <c r="B732" s="972"/>
      <c r="C732" s="278" t="s">
        <v>165</v>
      </c>
      <c r="D732" s="278"/>
      <c r="E732" s="279">
        <v>0</v>
      </c>
      <c r="F732" s="319"/>
      <c r="G732" s="336">
        <f t="shared" si="976"/>
        <v>0</v>
      </c>
      <c r="H732" s="281"/>
      <c r="I732" s="281"/>
      <c r="J732" s="375" t="str">
        <f>IFERROR(G732/#REF!,"-")</f>
        <v>-</v>
      </c>
      <c r="K732" s="336">
        <f t="shared" si="977"/>
        <v>0</v>
      </c>
      <c r="L732" s="275">
        <f t="shared" si="978"/>
        <v>0</v>
      </c>
      <c r="M732" s="276">
        <f t="shared" si="979"/>
        <v>0</v>
      </c>
      <c r="N732" s="364" t="str">
        <f t="shared" si="973"/>
        <v>-</v>
      </c>
      <c r="O732" s="365" t="str">
        <f t="shared" si="960"/>
        <v>-</v>
      </c>
    </row>
    <row r="733" spans="1:15" ht="24" thickBot="1" x14ac:dyDescent="0.35">
      <c r="A733" s="277" t="s">
        <v>109</v>
      </c>
      <c r="B733" s="971"/>
      <c r="C733" s="282" t="s">
        <v>166</v>
      </c>
      <c r="D733" s="282"/>
      <c r="E733" s="283">
        <v>0</v>
      </c>
      <c r="F733" s="320"/>
      <c r="G733" s="337">
        <f t="shared" si="976"/>
        <v>0</v>
      </c>
      <c r="H733" s="285"/>
      <c r="I733" s="285"/>
      <c r="J733" s="376" t="str">
        <f>IFERROR(G733/#REF!,"-")</f>
        <v>-</v>
      </c>
      <c r="K733" s="337">
        <f t="shared" si="977"/>
        <v>0</v>
      </c>
      <c r="L733" s="275">
        <f t="shared" si="978"/>
        <v>0</v>
      </c>
      <c r="M733" s="276">
        <f t="shared" si="979"/>
        <v>0</v>
      </c>
      <c r="N733" s="366" t="str">
        <f t="shared" si="973"/>
        <v>-</v>
      </c>
      <c r="O733" s="367" t="str">
        <f t="shared" si="960"/>
        <v>-</v>
      </c>
    </row>
    <row r="734" spans="1:15" ht="24" thickBot="1" x14ac:dyDescent="0.35">
      <c r="A734" s="277" t="s">
        <v>109</v>
      </c>
      <c r="B734" s="967" t="s">
        <v>42</v>
      </c>
      <c r="C734" s="968"/>
      <c r="D734" s="969"/>
      <c r="E734" s="323">
        <f>SUM(E729:E733)</f>
        <v>956640</v>
      </c>
      <c r="F734" s="288">
        <v>25000</v>
      </c>
      <c r="G734" s="323">
        <f>SUM(G730:G733)</f>
        <v>0</v>
      </c>
      <c r="H734" s="324">
        <f>SUM(H729:H733)</f>
        <v>20352</v>
      </c>
      <c r="I734" s="324">
        <f t="shared" ref="I734" si="980">SUM(I730:I733)</f>
        <v>0</v>
      </c>
      <c r="J734" s="348" t="str">
        <f>IFERROR(G734/#REF!,"-")</f>
        <v>-</v>
      </c>
      <c r="K734" s="323">
        <f>SUM(K729:K733)</f>
        <v>134589</v>
      </c>
      <c r="L734" s="324">
        <f>SUM(L729:L733)</f>
        <v>132588</v>
      </c>
      <c r="M734" s="325">
        <f>SUM(M729:M733)</f>
        <v>2001</v>
      </c>
      <c r="N734" s="342">
        <f t="shared" si="973"/>
        <v>0.14068928750627197</v>
      </c>
      <c r="O734" s="348">
        <f t="shared" si="960"/>
        <v>1.4867485455720749E-2</v>
      </c>
    </row>
    <row r="735" spans="1:15" ht="23.4" x14ac:dyDescent="0.3">
      <c r="A735" s="277" t="s">
        <v>109</v>
      </c>
      <c r="B735" s="970" t="s">
        <v>43</v>
      </c>
      <c r="C735" s="272" t="s">
        <v>200</v>
      </c>
      <c r="D735" s="272"/>
      <c r="E735" s="273">
        <v>0</v>
      </c>
      <c r="F735" s="274"/>
      <c r="G735" s="335">
        <f t="shared" ref="G735:G737" si="981">+H735+I735</f>
        <v>0</v>
      </c>
      <c r="H735" s="275"/>
      <c r="I735" s="275"/>
      <c r="J735" s="354" t="str">
        <f>IFERROR(G735/#REF!,"-")</f>
        <v>-</v>
      </c>
      <c r="K735" s="335">
        <f t="shared" ref="K735:K737" si="982">+L735+M735</f>
        <v>0</v>
      </c>
      <c r="L735" s="275">
        <f t="shared" ref="L735:L737" si="983">+H735+L629</f>
        <v>0</v>
      </c>
      <c r="M735" s="276">
        <f t="shared" ref="M735:M737" si="984">+I735+M629</f>
        <v>0</v>
      </c>
      <c r="N735" s="339" t="str">
        <f t="shared" si="973"/>
        <v>-</v>
      </c>
      <c r="O735" s="349" t="str">
        <f t="shared" si="960"/>
        <v>-</v>
      </c>
    </row>
    <row r="736" spans="1:15" ht="23.4" x14ac:dyDescent="0.3">
      <c r="A736" s="277" t="s">
        <v>109</v>
      </c>
      <c r="B736" s="972"/>
      <c r="C736" s="278" t="s">
        <v>167</v>
      </c>
      <c r="D736" s="278"/>
      <c r="E736" s="279">
        <v>50000</v>
      </c>
      <c r="F736" s="280"/>
      <c r="G736" s="336">
        <f t="shared" si="981"/>
        <v>20354</v>
      </c>
      <c r="H736" s="281">
        <v>20160</v>
      </c>
      <c r="I736" s="281">
        <v>194</v>
      </c>
      <c r="J736" s="375" t="str">
        <f>IFERROR(G736/#REF!,"-")</f>
        <v>-</v>
      </c>
      <c r="K736" s="336">
        <f t="shared" si="982"/>
        <v>71017</v>
      </c>
      <c r="L736" s="794">
        <f t="shared" si="983"/>
        <v>69120</v>
      </c>
      <c r="M736" s="276">
        <f t="shared" si="984"/>
        <v>1897</v>
      </c>
      <c r="N736" s="364">
        <f t="shared" si="973"/>
        <v>1.4203399999999999</v>
      </c>
      <c r="O736" s="365">
        <f t="shared" si="960"/>
        <v>2.671191404874889E-2</v>
      </c>
    </row>
    <row r="737" spans="1:15" ht="24" thickBot="1" x14ac:dyDescent="0.35">
      <c r="A737" s="277" t="s">
        <v>109</v>
      </c>
      <c r="B737" s="971"/>
      <c r="C737" s="282" t="s">
        <v>200</v>
      </c>
      <c r="D737" s="282"/>
      <c r="E737" s="283">
        <v>0</v>
      </c>
      <c r="F737" s="284"/>
      <c r="G737" s="337">
        <f t="shared" si="981"/>
        <v>0</v>
      </c>
      <c r="H737" s="285"/>
      <c r="I737" s="285"/>
      <c r="J737" s="376" t="str">
        <f>IFERROR(G737/#REF!,"-")</f>
        <v>-</v>
      </c>
      <c r="K737" s="337">
        <f t="shared" si="982"/>
        <v>0</v>
      </c>
      <c r="L737" s="275">
        <f t="shared" si="983"/>
        <v>0</v>
      </c>
      <c r="M737" s="276">
        <f t="shared" si="984"/>
        <v>0</v>
      </c>
      <c r="N737" s="366" t="str">
        <f t="shared" si="973"/>
        <v>-</v>
      </c>
      <c r="O737" s="367" t="str">
        <f t="shared" si="960"/>
        <v>-</v>
      </c>
    </row>
    <row r="738" spans="1:15" ht="24" thickBot="1" x14ac:dyDescent="0.35">
      <c r="A738" s="277" t="s">
        <v>109</v>
      </c>
      <c r="B738" s="973" t="s">
        <v>44</v>
      </c>
      <c r="C738" s="974"/>
      <c r="D738" s="975"/>
      <c r="E738" s="323">
        <f>SUM(E735:E737)</f>
        <v>50000</v>
      </c>
      <c r="F738" s="288"/>
      <c r="G738" s="323">
        <f>SUM(G735:G737)</f>
        <v>20354</v>
      </c>
      <c r="H738" s="324">
        <f t="shared" ref="H738:I738" si="985">SUM(H735:H737)</f>
        <v>20160</v>
      </c>
      <c r="I738" s="324">
        <f t="shared" si="985"/>
        <v>194</v>
      </c>
      <c r="J738" s="348" t="str">
        <f>IFERROR(G738/#REF!,"-")</f>
        <v>-</v>
      </c>
      <c r="K738" s="323">
        <f t="shared" ref="K738:M738" si="986">SUM(K735:K737)</f>
        <v>71017</v>
      </c>
      <c r="L738" s="368">
        <f t="shared" si="986"/>
        <v>69120</v>
      </c>
      <c r="M738" s="370">
        <f t="shared" si="986"/>
        <v>1897</v>
      </c>
      <c r="N738" s="342">
        <f t="shared" si="973"/>
        <v>1.4203399999999999</v>
      </c>
      <c r="O738" s="348">
        <f t="shared" si="960"/>
        <v>2.671191404874889E-2</v>
      </c>
    </row>
    <row r="739" spans="1:15" ht="23.4" x14ac:dyDescent="0.3">
      <c r="A739" s="277" t="s">
        <v>109</v>
      </c>
      <c r="B739" s="970" t="s">
        <v>45</v>
      </c>
      <c r="C739" s="272" t="s">
        <v>168</v>
      </c>
      <c r="D739" s="272"/>
      <c r="E739" s="273">
        <v>0</v>
      </c>
      <c r="F739" s="274"/>
      <c r="G739" s="335">
        <f t="shared" ref="G739:G740" si="987">+H739+I739</f>
        <v>0</v>
      </c>
      <c r="H739" s="275"/>
      <c r="I739" s="275"/>
      <c r="J739" s="374" t="str">
        <f>IFERROR(G739/#REF!,"-")</f>
        <v>-</v>
      </c>
      <c r="K739" s="739">
        <f t="shared" ref="K739:K740" si="988">+L739+M739</f>
        <v>0</v>
      </c>
      <c r="L739" s="532">
        <f t="shared" ref="L739:L740" si="989">+H739+L633</f>
        <v>0</v>
      </c>
      <c r="M739" s="247">
        <f t="shared" ref="M739:M740" si="990">+I739+M633</f>
        <v>0</v>
      </c>
      <c r="N739" s="362" t="str">
        <f t="shared" si="973"/>
        <v>-</v>
      </c>
      <c r="O739" s="363" t="str">
        <f t="shared" si="960"/>
        <v>-</v>
      </c>
    </row>
    <row r="740" spans="1:15" ht="24" thickBot="1" x14ac:dyDescent="0.35">
      <c r="A740" s="277" t="s">
        <v>109</v>
      </c>
      <c r="B740" s="971"/>
      <c r="C740" s="282" t="s">
        <v>169</v>
      </c>
      <c r="D740" s="282"/>
      <c r="E740" s="283">
        <v>0</v>
      </c>
      <c r="F740" s="284"/>
      <c r="G740" s="337">
        <f t="shared" si="987"/>
        <v>0</v>
      </c>
      <c r="H740" s="285"/>
      <c r="I740" s="285"/>
      <c r="J740" s="376" t="str">
        <f>IFERROR(G740/#REF!,"-")</f>
        <v>-</v>
      </c>
      <c r="K740" s="740">
        <f t="shared" si="988"/>
        <v>0</v>
      </c>
      <c r="L740" s="535">
        <f t="shared" si="989"/>
        <v>0</v>
      </c>
      <c r="M740" s="258">
        <f t="shared" si="990"/>
        <v>0</v>
      </c>
      <c r="N740" s="366" t="str">
        <f t="shared" si="973"/>
        <v>-</v>
      </c>
      <c r="O740" s="367" t="str">
        <f t="shared" si="960"/>
        <v>-</v>
      </c>
    </row>
    <row r="741" spans="1:15" ht="24" thickBot="1" x14ac:dyDescent="0.35">
      <c r="A741" s="277" t="s">
        <v>109</v>
      </c>
      <c r="B741" s="973" t="s">
        <v>46</v>
      </c>
      <c r="C741" s="974"/>
      <c r="D741" s="975"/>
      <c r="E741" s="287">
        <v>0</v>
      </c>
      <c r="F741" s="288">
        <v>25000</v>
      </c>
      <c r="G741" s="323">
        <f>SUM(G739:G740)</f>
        <v>0</v>
      </c>
      <c r="H741" s="324">
        <f t="shared" ref="H741:I741" si="991">SUM(H739:H740)</f>
        <v>0</v>
      </c>
      <c r="I741" s="324">
        <f t="shared" si="991"/>
        <v>0</v>
      </c>
      <c r="J741" s="348" t="str">
        <f>IFERROR(G741/#REF!,"-")</f>
        <v>-</v>
      </c>
      <c r="K741" s="323">
        <f t="shared" ref="K741:M741" si="992">SUM(K739:K740)</f>
        <v>0</v>
      </c>
      <c r="L741" s="524">
        <f t="shared" si="992"/>
        <v>0</v>
      </c>
      <c r="M741" s="733">
        <f t="shared" si="992"/>
        <v>0</v>
      </c>
      <c r="N741" s="342" t="str">
        <f t="shared" si="973"/>
        <v>-</v>
      </c>
      <c r="O741" s="348" t="str">
        <f t="shared" si="960"/>
        <v>-</v>
      </c>
    </row>
    <row r="742" spans="1:15" ht="24" thickBot="1" x14ac:dyDescent="0.35">
      <c r="A742" s="277" t="s">
        <v>109</v>
      </c>
      <c r="B742" s="959" t="s">
        <v>25</v>
      </c>
      <c r="C742" s="960"/>
      <c r="D742" s="961"/>
      <c r="E742" s="329">
        <f t="shared" ref="E742:F742" si="993">+E720+E725+E728+E734+E738+E741</f>
        <v>1144800</v>
      </c>
      <c r="F742" s="330">
        <f t="shared" si="993"/>
        <v>65800</v>
      </c>
      <c r="G742" s="329">
        <f>+G720+G725+G728+G734+G738+G741</f>
        <v>25631</v>
      </c>
      <c r="H742" s="327">
        <f>+H720+H725+H728+H734+H738+H741</f>
        <v>45632</v>
      </c>
      <c r="I742" s="327">
        <f t="shared" ref="I742" si="994">+I720+I725+I728+I734+I738+I741</f>
        <v>351</v>
      </c>
      <c r="J742" s="352" t="str">
        <f>IFERROR(G742/#REF!,"-")</f>
        <v>-</v>
      </c>
      <c r="K742" s="329">
        <f>+K720+K725+K728+K734+K738+K741</f>
        <v>222287</v>
      </c>
      <c r="L742" s="327">
        <f t="shared" ref="L742:M742" si="995">+L720+L725+L728+L734+L738+L741</f>
        <v>218092</v>
      </c>
      <c r="M742" s="328">
        <f t="shared" si="995"/>
        <v>4195</v>
      </c>
      <c r="N742" s="344">
        <f t="shared" si="973"/>
        <v>0.19417103424178897</v>
      </c>
      <c r="O742" s="352">
        <f t="shared" si="960"/>
        <v>1.8871998812346202E-2</v>
      </c>
    </row>
    <row r="743" spans="1:15" ht="24" thickBot="1" x14ac:dyDescent="0.35">
      <c r="A743" s="321" t="s">
        <v>109</v>
      </c>
      <c r="B743" s="962" t="s">
        <v>181</v>
      </c>
      <c r="C743" s="962"/>
      <c r="D743" s="963"/>
      <c r="E743" s="333">
        <f>+E742</f>
        <v>1144800</v>
      </c>
      <c r="F743" s="334">
        <f t="shared" ref="F743:O743" si="996">+F742</f>
        <v>65800</v>
      </c>
      <c r="G743" s="333">
        <f t="shared" si="996"/>
        <v>25631</v>
      </c>
      <c r="H743" s="331">
        <f t="shared" si="996"/>
        <v>45632</v>
      </c>
      <c r="I743" s="331">
        <f t="shared" si="996"/>
        <v>351</v>
      </c>
      <c r="J743" s="353" t="str">
        <f t="shared" si="996"/>
        <v>-</v>
      </c>
      <c r="K743" s="333">
        <f t="shared" si="996"/>
        <v>222287</v>
      </c>
      <c r="L743" s="331">
        <f t="shared" si="996"/>
        <v>218092</v>
      </c>
      <c r="M743" s="332">
        <f t="shared" si="996"/>
        <v>4195</v>
      </c>
      <c r="N743" s="345">
        <f t="shared" si="996"/>
        <v>0.19417103424178897</v>
      </c>
      <c r="O743" s="353">
        <f t="shared" si="996"/>
        <v>1.8871998812346202E-2</v>
      </c>
    </row>
    <row r="744" spans="1:15" ht="24.6" thickBot="1" x14ac:dyDescent="0.35">
      <c r="A744" s="322"/>
      <c r="B744" s="964" t="s">
        <v>182</v>
      </c>
      <c r="C744" s="965"/>
      <c r="D744" s="966"/>
      <c r="E744" s="377">
        <f>+E687+E716+E743</f>
        <v>10258981</v>
      </c>
      <c r="F744" s="377">
        <f>+F687+F716+F743</f>
        <v>1014800</v>
      </c>
      <c r="G744" s="377">
        <f>+G687+G716+G743</f>
        <v>464951</v>
      </c>
      <c r="H744" s="377">
        <f>+H687+H716+H743</f>
        <v>478675</v>
      </c>
      <c r="I744" s="377">
        <f>+I687+I716+I743</f>
        <v>6628</v>
      </c>
      <c r="J744" s="378" t="str">
        <f>IFERROR(G744/#REF!,"-")</f>
        <v>-</v>
      </c>
      <c r="K744" s="377">
        <f>+K687+K716+K743</f>
        <v>2930437</v>
      </c>
      <c r="L744" s="377">
        <f>+L687+L716+L743</f>
        <v>2898957</v>
      </c>
      <c r="M744" s="377">
        <f>+M687+M716+M743</f>
        <v>31480</v>
      </c>
      <c r="N744" s="378">
        <f>IFERROR(K744/E744,"-")</f>
        <v>0.28564601104144749</v>
      </c>
      <c r="O744" s="378">
        <f>IFERROR(M744/K744,"-")</f>
        <v>1.0742425105880114E-2</v>
      </c>
    </row>
    <row r="745" spans="1:15" ht="23.4" x14ac:dyDescent="0.3">
      <c r="A745" s="991" t="s">
        <v>1</v>
      </c>
      <c r="B745" s="994" t="s">
        <v>2</v>
      </c>
      <c r="C745" s="997" t="s">
        <v>477</v>
      </c>
      <c r="D745" s="997" t="s">
        <v>478</v>
      </c>
      <c r="E745" s="1000" t="s">
        <v>4</v>
      </c>
      <c r="F745" s="1001"/>
      <c r="G745" s="1001"/>
      <c r="H745" s="1001"/>
      <c r="I745" s="1001"/>
      <c r="J745" s="1001"/>
      <c r="K745" s="1001"/>
      <c r="L745" s="1001"/>
      <c r="M745" s="1001"/>
      <c r="N745" s="1001"/>
      <c r="O745" s="1002"/>
    </row>
    <row r="746" spans="1:15" ht="23.4" x14ac:dyDescent="0.3">
      <c r="A746" s="992"/>
      <c r="B746" s="995"/>
      <c r="C746" s="998"/>
      <c r="D746" s="998"/>
      <c r="E746" s="1003" t="s">
        <v>7</v>
      </c>
      <c r="F746" s="1005" t="s">
        <v>115</v>
      </c>
      <c r="G746" s="1007">
        <v>44542</v>
      </c>
      <c r="H746" s="1008"/>
      <c r="I746" s="1008"/>
      <c r="J746" s="1009"/>
      <c r="K746" s="1010" t="s">
        <v>479</v>
      </c>
      <c r="L746" s="1011"/>
      <c r="M746" s="1012"/>
      <c r="N746" s="1013" t="s">
        <v>480</v>
      </c>
      <c r="O746" s="1015" t="s">
        <v>172</v>
      </c>
    </row>
    <row r="747" spans="1:15" ht="41.4" thickBot="1" x14ac:dyDescent="0.35">
      <c r="A747" s="993"/>
      <c r="B747" s="996"/>
      <c r="C747" s="999"/>
      <c r="D747" s="999"/>
      <c r="E747" s="1004"/>
      <c r="F747" s="1006"/>
      <c r="G747" s="455" t="s">
        <v>13</v>
      </c>
      <c r="H747" s="456" t="s">
        <v>14</v>
      </c>
      <c r="I747" s="456" t="s">
        <v>15</v>
      </c>
      <c r="J747" s="457" t="s">
        <v>174</v>
      </c>
      <c r="K747" s="712" t="s">
        <v>13</v>
      </c>
      <c r="L747" s="710" t="s">
        <v>14</v>
      </c>
      <c r="M747" s="711" t="s">
        <v>15</v>
      </c>
      <c r="N747" s="1014"/>
      <c r="O747" s="1016"/>
    </row>
    <row r="748" spans="1:15" ht="24" thickBot="1" x14ac:dyDescent="0.35">
      <c r="A748" s="271" t="s">
        <v>110</v>
      </c>
      <c r="B748" s="956" t="s">
        <v>16</v>
      </c>
      <c r="C748" s="272" t="s">
        <v>424</v>
      </c>
      <c r="D748" s="272" t="s">
        <v>425</v>
      </c>
      <c r="E748" s="273">
        <v>20000</v>
      </c>
      <c r="F748" s="274"/>
      <c r="G748" s="335">
        <f>+H748+I748</f>
        <v>0</v>
      </c>
      <c r="H748" s="275"/>
      <c r="I748" s="275"/>
      <c r="J748" s="354"/>
      <c r="K748" s="461">
        <f>+L748+M748</f>
        <v>20432</v>
      </c>
      <c r="L748" s="732">
        <f>+H748+L642</f>
        <v>19840</v>
      </c>
      <c r="M748" s="732">
        <f>+I748+M642</f>
        <v>592</v>
      </c>
      <c r="N748" s="339">
        <f>IFERROR(K748/E748,"-")</f>
        <v>1.0216000000000001</v>
      </c>
      <c r="O748" s="346">
        <f t="shared" ref="O748:O749" si="997">IFERROR(M748/K748,"-")</f>
        <v>2.8974158183241974E-2</v>
      </c>
    </row>
    <row r="749" spans="1:15" ht="23.4" x14ac:dyDescent="0.3">
      <c r="A749" s="277" t="s">
        <v>110</v>
      </c>
      <c r="B749" s="957"/>
      <c r="C749" s="278" t="s">
        <v>438</v>
      </c>
      <c r="D749" s="278" t="s">
        <v>437</v>
      </c>
      <c r="E749" s="279">
        <v>50000</v>
      </c>
      <c r="F749" s="280"/>
      <c r="G749" s="336">
        <f t="shared" ref="G749:G751" si="998">+H749+I749</f>
        <v>0</v>
      </c>
      <c r="H749" s="281"/>
      <c r="I749" s="281"/>
      <c r="J749" s="355" t="str">
        <f>IFERROR(G749/#REF!,"-")</f>
        <v>-</v>
      </c>
      <c r="K749" s="734">
        <f t="shared" ref="K749:K751" si="999">+L749+M749</f>
        <v>48806</v>
      </c>
      <c r="L749" s="532">
        <f t="shared" ref="L749:L751" si="1000">+H749+L643</f>
        <v>48381</v>
      </c>
      <c r="M749" s="463">
        <f t="shared" ref="M749:M751" si="1001">+I749+M643</f>
        <v>425</v>
      </c>
      <c r="N749" s="340">
        <f t="shared" ref="N749:N751" si="1002">IFERROR(K749/E749,"-")</f>
        <v>0.97611999999999999</v>
      </c>
      <c r="O749" s="268">
        <f t="shared" si="997"/>
        <v>8.7079457443756912E-3</v>
      </c>
    </row>
    <row r="750" spans="1:15" ht="23.4" x14ac:dyDescent="0.3">
      <c r="A750" s="277" t="s">
        <v>110</v>
      </c>
      <c r="B750" s="957"/>
      <c r="C750" s="278" t="s">
        <v>186</v>
      </c>
      <c r="D750" s="278" t="s">
        <v>184</v>
      </c>
      <c r="E750" s="279">
        <v>0</v>
      </c>
      <c r="F750" s="280"/>
      <c r="G750" s="336">
        <f t="shared" si="998"/>
        <v>0</v>
      </c>
      <c r="H750" s="281"/>
      <c r="I750" s="281"/>
      <c r="J750" s="355" t="str">
        <f>IFERROR(G750/#REF!,"-")</f>
        <v>-</v>
      </c>
      <c r="K750" s="734">
        <f t="shared" si="999"/>
        <v>0</v>
      </c>
      <c r="L750" s="279">
        <f t="shared" si="1000"/>
        <v>0</v>
      </c>
      <c r="M750" s="439">
        <f t="shared" si="1001"/>
        <v>0</v>
      </c>
      <c r="N750" s="340" t="str">
        <f t="shared" si="1002"/>
        <v>-</v>
      </c>
      <c r="O750" s="268" t="str">
        <f>IFERROR(M750/K750,"-")</f>
        <v>-</v>
      </c>
    </row>
    <row r="751" spans="1:15" ht="24" thickBot="1" x14ac:dyDescent="0.35">
      <c r="A751" s="277" t="s">
        <v>110</v>
      </c>
      <c r="B751" s="958"/>
      <c r="C751" s="282" t="s">
        <v>250</v>
      </c>
      <c r="D751" s="282" t="s">
        <v>436</v>
      </c>
      <c r="E751" s="283">
        <v>30000</v>
      </c>
      <c r="F751" s="284"/>
      <c r="G751" s="337">
        <f t="shared" si="998"/>
        <v>0</v>
      </c>
      <c r="H751" s="285"/>
      <c r="I751" s="285"/>
      <c r="J751" s="356" t="str">
        <f>IFERROR(G751/#REF!,"-")</f>
        <v>-</v>
      </c>
      <c r="K751" s="735">
        <f t="shared" si="999"/>
        <v>0</v>
      </c>
      <c r="L751" s="535">
        <f t="shared" si="1000"/>
        <v>0</v>
      </c>
      <c r="M751" s="466">
        <f t="shared" si="1001"/>
        <v>0</v>
      </c>
      <c r="N751" s="341">
        <f t="shared" si="1002"/>
        <v>0</v>
      </c>
      <c r="O751" s="347" t="str">
        <f t="shared" ref="O751:O769" si="1003">IFERROR(M751/K751,"-")</f>
        <v>-</v>
      </c>
    </row>
    <row r="752" spans="1:15" ht="24" thickBot="1" x14ac:dyDescent="0.35">
      <c r="A752" s="277" t="s">
        <v>110</v>
      </c>
      <c r="B752" s="967" t="s">
        <v>47</v>
      </c>
      <c r="C752" s="968"/>
      <c r="D752" s="969"/>
      <c r="E752" s="323">
        <f>SUM(E748:E751)</f>
        <v>100000</v>
      </c>
      <c r="F752" s="288">
        <v>15000</v>
      </c>
      <c r="G752" s="323">
        <f>SUM(G748:G751)</f>
        <v>0</v>
      </c>
      <c r="H752" s="324">
        <f t="shared" ref="H752:I752" si="1004">SUM(H748:H751)</f>
        <v>0</v>
      </c>
      <c r="I752" s="324">
        <f t="shared" si="1004"/>
        <v>0</v>
      </c>
      <c r="J752" s="348">
        <f>+G752/F752</f>
        <v>0</v>
      </c>
      <c r="K752" s="323">
        <f t="shared" ref="K752:M752" si="1005">SUM(K748:K751)</f>
        <v>69238</v>
      </c>
      <c r="L752" s="736">
        <f t="shared" si="1005"/>
        <v>68221</v>
      </c>
      <c r="M752" s="737">
        <f t="shared" si="1005"/>
        <v>1017</v>
      </c>
      <c r="N752" s="342">
        <f>IFERROR(K752/E752,"-")</f>
        <v>0.69238</v>
      </c>
      <c r="O752" s="348">
        <f t="shared" si="1003"/>
        <v>1.4688465871342326E-2</v>
      </c>
    </row>
    <row r="753" spans="1:15" ht="23.4" x14ac:dyDescent="0.3">
      <c r="A753" s="277" t="s">
        <v>110</v>
      </c>
      <c r="B753" s="956" t="s">
        <v>17</v>
      </c>
      <c r="C753" s="272" t="s">
        <v>320</v>
      </c>
      <c r="D753" s="272"/>
      <c r="E753" s="273">
        <v>0</v>
      </c>
      <c r="F753" s="274"/>
      <c r="G753" s="335">
        <f t="shared" ref="G753:G759" si="1006">+H753+I753</f>
        <v>0</v>
      </c>
      <c r="H753" s="275"/>
      <c r="I753" s="275"/>
      <c r="J753" s="354" t="str">
        <f>IFERROR(G753/#REF!,"-")</f>
        <v>-</v>
      </c>
      <c r="K753" s="738">
        <f t="shared" ref="K753:K759" si="1007">+L753+M753</f>
        <v>0</v>
      </c>
      <c r="L753" s="532">
        <f t="shared" ref="L753:L759" si="1008">+H753+L647</f>
        <v>0</v>
      </c>
      <c r="M753" s="463">
        <f t="shared" ref="M753:M759" si="1009">+I753+M647</f>
        <v>0</v>
      </c>
      <c r="N753" s="339" t="str">
        <f t="shared" ref="N753:N759" si="1010">IFERROR(K753/E753,"-")</f>
        <v>-</v>
      </c>
      <c r="O753" s="349" t="str">
        <f t="shared" si="1003"/>
        <v>-</v>
      </c>
    </row>
    <row r="754" spans="1:15" ht="23.4" x14ac:dyDescent="0.3">
      <c r="A754" s="277" t="s">
        <v>110</v>
      </c>
      <c r="B754" s="957"/>
      <c r="C754" s="278" t="s">
        <v>382</v>
      </c>
      <c r="D754" s="278" t="s">
        <v>252</v>
      </c>
      <c r="E754" s="279">
        <v>2000000</v>
      </c>
      <c r="F754" s="280"/>
      <c r="G754" s="336">
        <f t="shared" si="1006"/>
        <v>119561</v>
      </c>
      <c r="H754" s="281">
        <f>30600+88663</f>
        <v>119263</v>
      </c>
      <c r="I754" s="281">
        <f>155+143</f>
        <v>298</v>
      </c>
      <c r="J754" s="355" t="str">
        <f>IFERROR(G754/#REF!,"-")</f>
        <v>-</v>
      </c>
      <c r="K754" s="734">
        <f t="shared" si="1007"/>
        <v>587011</v>
      </c>
      <c r="L754" s="279">
        <f t="shared" si="1008"/>
        <v>584383</v>
      </c>
      <c r="M754" s="439">
        <f t="shared" si="1009"/>
        <v>2628</v>
      </c>
      <c r="N754" s="340">
        <f t="shared" si="1010"/>
        <v>0.29350549999999997</v>
      </c>
      <c r="O754" s="264">
        <f t="shared" si="1003"/>
        <v>4.4769178090359463E-3</v>
      </c>
    </row>
    <row r="755" spans="1:15" ht="23.4" x14ac:dyDescent="0.3">
      <c r="A755" s="277" t="s">
        <v>110</v>
      </c>
      <c r="B755" s="957"/>
      <c r="C755" s="278" t="s">
        <v>422</v>
      </c>
      <c r="D755" s="278" t="s">
        <v>201</v>
      </c>
      <c r="E755" s="279">
        <v>1000000</v>
      </c>
      <c r="F755" s="280"/>
      <c r="G755" s="336">
        <f t="shared" si="1006"/>
        <v>0</v>
      </c>
      <c r="H755" s="281"/>
      <c r="I755" s="281"/>
      <c r="J755" s="355" t="str">
        <f>IFERROR(G755/#REF!,"-")</f>
        <v>-</v>
      </c>
      <c r="K755" s="734">
        <f t="shared" si="1007"/>
        <v>453213</v>
      </c>
      <c r="L755" s="279">
        <f t="shared" si="1008"/>
        <v>451656</v>
      </c>
      <c r="M755" s="439">
        <f t="shared" si="1009"/>
        <v>1557</v>
      </c>
      <c r="N755" s="340">
        <f t="shared" si="1010"/>
        <v>0.45321299999999998</v>
      </c>
      <c r="O755" s="264">
        <f t="shared" si="1003"/>
        <v>3.435470738924082E-3</v>
      </c>
    </row>
    <row r="756" spans="1:15" ht="23.4" x14ac:dyDescent="0.3">
      <c r="A756" s="277" t="s">
        <v>110</v>
      </c>
      <c r="B756" s="957"/>
      <c r="C756" s="278" t="s">
        <v>319</v>
      </c>
      <c r="D756" s="278" t="s">
        <v>202</v>
      </c>
      <c r="E756" s="279">
        <v>0</v>
      </c>
      <c r="F756" s="280"/>
      <c r="G756" s="336">
        <f t="shared" si="1006"/>
        <v>0</v>
      </c>
      <c r="H756" s="281"/>
      <c r="I756" s="281"/>
      <c r="J756" s="355" t="str">
        <f>IFERROR(G756/#REF!,"-")</f>
        <v>-</v>
      </c>
      <c r="K756" s="734">
        <f t="shared" si="1007"/>
        <v>0</v>
      </c>
      <c r="L756" s="279">
        <f t="shared" si="1008"/>
        <v>0</v>
      </c>
      <c r="M756" s="439">
        <f t="shared" si="1009"/>
        <v>0</v>
      </c>
      <c r="N756" s="340" t="str">
        <f t="shared" si="1010"/>
        <v>-</v>
      </c>
      <c r="O756" s="264" t="str">
        <f t="shared" si="1003"/>
        <v>-</v>
      </c>
    </row>
    <row r="757" spans="1:15" ht="23.4" x14ac:dyDescent="0.3">
      <c r="A757" s="277" t="s">
        <v>110</v>
      </c>
      <c r="B757" s="957"/>
      <c r="C757" s="278" t="s">
        <v>358</v>
      </c>
      <c r="D757" s="278" t="s">
        <v>352</v>
      </c>
      <c r="E757" s="279">
        <v>500000</v>
      </c>
      <c r="F757" s="280"/>
      <c r="G757" s="336">
        <f t="shared" si="1006"/>
        <v>0</v>
      </c>
      <c r="H757" s="281"/>
      <c r="I757" s="281"/>
      <c r="J757" s="355" t="str">
        <f>IFERROR(G757/#REF!,"-")</f>
        <v>-</v>
      </c>
      <c r="K757" s="734">
        <f t="shared" si="1007"/>
        <v>0</v>
      </c>
      <c r="L757" s="279">
        <f t="shared" si="1008"/>
        <v>0</v>
      </c>
      <c r="M757" s="439">
        <f t="shared" si="1009"/>
        <v>0</v>
      </c>
      <c r="N757" s="340">
        <f t="shared" si="1010"/>
        <v>0</v>
      </c>
      <c r="O757" s="264" t="str">
        <f t="shared" si="1003"/>
        <v>-</v>
      </c>
    </row>
    <row r="758" spans="1:15" ht="23.4" x14ac:dyDescent="0.3">
      <c r="A758" s="277" t="s">
        <v>110</v>
      </c>
      <c r="B758" s="957"/>
      <c r="C758" s="278" t="s">
        <v>392</v>
      </c>
      <c r="D758" s="278" t="s">
        <v>203</v>
      </c>
      <c r="E758" s="279">
        <v>0</v>
      </c>
      <c r="F758" s="280"/>
      <c r="G758" s="336">
        <f t="shared" si="1006"/>
        <v>0</v>
      </c>
      <c r="H758" s="281"/>
      <c r="I758" s="281"/>
      <c r="J758" s="355" t="str">
        <f>IFERROR(G758/#REF!,"-")</f>
        <v>-</v>
      </c>
      <c r="K758" s="734">
        <f t="shared" si="1007"/>
        <v>0</v>
      </c>
      <c r="L758" s="279">
        <f t="shared" si="1008"/>
        <v>0</v>
      </c>
      <c r="M758" s="439">
        <f t="shared" si="1009"/>
        <v>0</v>
      </c>
      <c r="N758" s="340" t="str">
        <f t="shared" si="1010"/>
        <v>-</v>
      </c>
      <c r="O758" s="264" t="str">
        <f t="shared" si="1003"/>
        <v>-</v>
      </c>
    </row>
    <row r="759" spans="1:15" ht="24" thickBot="1" x14ac:dyDescent="0.35">
      <c r="A759" s="277" t="s">
        <v>110</v>
      </c>
      <c r="B759" s="958"/>
      <c r="C759" s="282" t="s">
        <v>379</v>
      </c>
      <c r="D759" s="282" t="s">
        <v>252</v>
      </c>
      <c r="E759" s="283">
        <v>0</v>
      </c>
      <c r="F759" s="284"/>
      <c r="G759" s="337">
        <f t="shared" si="1006"/>
        <v>0</v>
      </c>
      <c r="H759" s="285"/>
      <c r="I759" s="285"/>
      <c r="J759" s="356" t="str">
        <f>IFERROR(G759/#REF!,"-")</f>
        <v>-</v>
      </c>
      <c r="K759" s="735">
        <f t="shared" si="1007"/>
        <v>0</v>
      </c>
      <c r="L759" s="535">
        <f t="shared" si="1008"/>
        <v>0</v>
      </c>
      <c r="M759" s="466">
        <f t="shared" si="1009"/>
        <v>0</v>
      </c>
      <c r="N759" s="341" t="str">
        <f t="shared" si="1010"/>
        <v>-</v>
      </c>
      <c r="O759" s="350" t="str">
        <f t="shared" si="1003"/>
        <v>-</v>
      </c>
    </row>
    <row r="760" spans="1:15" ht="24" thickBot="1" x14ac:dyDescent="0.35">
      <c r="A760" s="277" t="s">
        <v>110</v>
      </c>
      <c r="B760" s="967" t="s">
        <v>48</v>
      </c>
      <c r="C760" s="968"/>
      <c r="D760" s="969"/>
      <c r="E760" s="323">
        <f>SUM(E753:E759)</f>
        <v>3500000</v>
      </c>
      <c r="F760" s="288">
        <v>200000</v>
      </c>
      <c r="G760" s="323">
        <f>SUM(G753:G759)</f>
        <v>119561</v>
      </c>
      <c r="H760" s="324">
        <f t="shared" ref="H760:I760" si="1011">SUM(H753:H759)</f>
        <v>119263</v>
      </c>
      <c r="I760" s="324">
        <f t="shared" si="1011"/>
        <v>298</v>
      </c>
      <c r="J760" s="348">
        <f>+G760/F760</f>
        <v>0.59780500000000003</v>
      </c>
      <c r="K760" s="323">
        <f>SUM(K753:K759)</f>
        <v>1040224</v>
      </c>
      <c r="L760" s="524">
        <f>SUM(L753:L759)</f>
        <v>1036039</v>
      </c>
      <c r="M760" s="733">
        <f t="shared" ref="M760" si="1012">SUM(M753:M759)</f>
        <v>4185</v>
      </c>
      <c r="N760" s="342">
        <f>IFERROR(K760/E760,"-")</f>
        <v>0.29720685714285716</v>
      </c>
      <c r="O760" s="348">
        <f t="shared" si="1003"/>
        <v>4.0231719321992187E-3</v>
      </c>
    </row>
    <row r="761" spans="1:15" ht="23.4" x14ac:dyDescent="0.3">
      <c r="A761" s="277" t="s">
        <v>110</v>
      </c>
      <c r="B761" s="956" t="s">
        <v>18</v>
      </c>
      <c r="C761" s="272" t="s">
        <v>344</v>
      </c>
      <c r="D761" s="272" t="s">
        <v>99</v>
      </c>
      <c r="E761" s="273">
        <v>0</v>
      </c>
      <c r="F761" s="274"/>
      <c r="G761" s="335">
        <f t="shared" ref="G761:G767" si="1013">+H761+I761</f>
        <v>0</v>
      </c>
      <c r="H761" s="275"/>
      <c r="I761" s="275"/>
      <c r="J761" s="354" t="str">
        <f>IFERROR(G761/#REF!,"-")</f>
        <v>-</v>
      </c>
      <c r="K761" s="335">
        <f t="shared" ref="K761:K767" si="1014">+L761+M761</f>
        <v>0</v>
      </c>
      <c r="L761" s="275">
        <f t="shared" ref="L761:L767" si="1015">+H761+L655</f>
        <v>0</v>
      </c>
      <c r="M761" s="276">
        <f t="shared" ref="M761:M767" si="1016">+I761+M655</f>
        <v>0</v>
      </c>
      <c r="N761" s="339" t="str">
        <f t="shared" ref="N761:N768" si="1017">IFERROR(K761/E761,"-")</f>
        <v>-</v>
      </c>
      <c r="O761" s="349" t="str">
        <f t="shared" si="1003"/>
        <v>-</v>
      </c>
    </row>
    <row r="762" spans="1:15" ht="23.4" x14ac:dyDescent="0.3">
      <c r="A762" s="277" t="s">
        <v>110</v>
      </c>
      <c r="B762" s="957"/>
      <c r="C762" s="278" t="s">
        <v>253</v>
      </c>
      <c r="D762" s="278" t="s">
        <v>254</v>
      </c>
      <c r="E762" s="279">
        <v>0</v>
      </c>
      <c r="F762" s="280"/>
      <c r="G762" s="336">
        <f t="shared" si="1013"/>
        <v>0</v>
      </c>
      <c r="H762" s="281"/>
      <c r="I762" s="281"/>
      <c r="J762" s="355" t="str">
        <f>IFERROR(G762/#REF!,"-")</f>
        <v>-</v>
      </c>
      <c r="K762" s="336">
        <f t="shared" si="1014"/>
        <v>0</v>
      </c>
      <c r="L762" s="275">
        <f t="shared" si="1015"/>
        <v>0</v>
      </c>
      <c r="M762" s="276">
        <f t="shared" si="1016"/>
        <v>0</v>
      </c>
      <c r="N762" s="340" t="str">
        <f t="shared" si="1017"/>
        <v>-</v>
      </c>
      <c r="O762" s="264" t="str">
        <f t="shared" si="1003"/>
        <v>-</v>
      </c>
    </row>
    <row r="763" spans="1:15" ht="23.4" x14ac:dyDescent="0.3">
      <c r="A763" s="277" t="s">
        <v>110</v>
      </c>
      <c r="B763" s="957"/>
      <c r="C763" s="278" t="s">
        <v>122</v>
      </c>
      <c r="D763" s="278"/>
      <c r="E763" s="279">
        <v>0</v>
      </c>
      <c r="F763" s="280"/>
      <c r="G763" s="336">
        <f t="shared" si="1013"/>
        <v>0</v>
      </c>
      <c r="H763" s="281"/>
      <c r="I763" s="281"/>
      <c r="J763" s="355" t="str">
        <f>IFERROR(G763/#REF!,"-")</f>
        <v>-</v>
      </c>
      <c r="K763" s="336">
        <f t="shared" si="1014"/>
        <v>0</v>
      </c>
      <c r="L763" s="275">
        <f t="shared" si="1015"/>
        <v>0</v>
      </c>
      <c r="M763" s="276">
        <f t="shared" si="1016"/>
        <v>0</v>
      </c>
      <c r="N763" s="340" t="str">
        <f t="shared" si="1017"/>
        <v>-</v>
      </c>
      <c r="O763" s="264" t="str">
        <f t="shared" si="1003"/>
        <v>-</v>
      </c>
    </row>
    <row r="764" spans="1:15" ht="23.4" x14ac:dyDescent="0.3">
      <c r="A764" s="277" t="s">
        <v>110</v>
      </c>
      <c r="B764" s="957"/>
      <c r="C764" s="278" t="s">
        <v>129</v>
      </c>
      <c r="D764" s="278"/>
      <c r="E764" s="279">
        <v>0</v>
      </c>
      <c r="F764" s="280"/>
      <c r="G764" s="336">
        <f t="shared" si="1013"/>
        <v>0</v>
      </c>
      <c r="H764" s="281"/>
      <c r="I764" s="281"/>
      <c r="J764" s="355" t="str">
        <f>IFERROR(G764/#REF!,"-")</f>
        <v>-</v>
      </c>
      <c r="K764" s="336">
        <f t="shared" si="1014"/>
        <v>0</v>
      </c>
      <c r="L764" s="275">
        <f t="shared" si="1015"/>
        <v>0</v>
      </c>
      <c r="M764" s="276">
        <f t="shared" si="1016"/>
        <v>0</v>
      </c>
      <c r="N764" s="340" t="str">
        <f t="shared" si="1017"/>
        <v>-</v>
      </c>
      <c r="O764" s="264" t="str">
        <f t="shared" si="1003"/>
        <v>-</v>
      </c>
    </row>
    <row r="765" spans="1:15" ht="23.4" x14ac:dyDescent="0.3">
      <c r="A765" s="277" t="s">
        <v>110</v>
      </c>
      <c r="B765" s="957"/>
      <c r="C765" s="278" t="s">
        <v>189</v>
      </c>
      <c r="D765" s="278" t="s">
        <v>190</v>
      </c>
      <c r="E765" s="279">
        <v>0</v>
      </c>
      <c r="F765" s="280"/>
      <c r="G765" s="336">
        <f t="shared" si="1013"/>
        <v>0</v>
      </c>
      <c r="H765" s="281"/>
      <c r="I765" s="281"/>
      <c r="J765" s="355" t="str">
        <f>IFERROR(G765/#REF!,"-")</f>
        <v>-</v>
      </c>
      <c r="K765" s="336">
        <f t="shared" si="1014"/>
        <v>0</v>
      </c>
      <c r="L765" s="275">
        <f t="shared" si="1015"/>
        <v>0</v>
      </c>
      <c r="M765" s="276">
        <f t="shared" si="1016"/>
        <v>0</v>
      </c>
      <c r="N765" s="340" t="str">
        <f t="shared" si="1017"/>
        <v>-</v>
      </c>
      <c r="O765" s="264" t="str">
        <f t="shared" si="1003"/>
        <v>-</v>
      </c>
    </row>
    <row r="766" spans="1:15" ht="23.4" x14ac:dyDescent="0.3">
      <c r="A766" s="277" t="s">
        <v>110</v>
      </c>
      <c r="B766" s="957"/>
      <c r="C766" s="278" t="s">
        <v>192</v>
      </c>
      <c r="D766" s="278" t="s">
        <v>191</v>
      </c>
      <c r="E766" s="279">
        <v>0</v>
      </c>
      <c r="F766" s="280"/>
      <c r="G766" s="336">
        <f t="shared" si="1013"/>
        <v>0</v>
      </c>
      <c r="H766" s="281"/>
      <c r="I766" s="281"/>
      <c r="J766" s="355" t="str">
        <f>IFERROR(G766/#REF!,"-")</f>
        <v>-</v>
      </c>
      <c r="K766" s="336">
        <f t="shared" si="1014"/>
        <v>0</v>
      </c>
      <c r="L766" s="275">
        <f t="shared" si="1015"/>
        <v>0</v>
      </c>
      <c r="M766" s="276">
        <f t="shared" si="1016"/>
        <v>0</v>
      </c>
      <c r="N766" s="340" t="str">
        <f t="shared" si="1017"/>
        <v>-</v>
      </c>
      <c r="O766" s="264" t="str">
        <f t="shared" si="1003"/>
        <v>-</v>
      </c>
    </row>
    <row r="767" spans="1:15" ht="24" thickBot="1" x14ac:dyDescent="0.35">
      <c r="A767" s="277" t="s">
        <v>110</v>
      </c>
      <c r="B767" s="958"/>
      <c r="C767" s="289" t="s">
        <v>193</v>
      </c>
      <c r="D767" s="289" t="s">
        <v>114</v>
      </c>
      <c r="E767" s="283">
        <v>0</v>
      </c>
      <c r="F767" s="284"/>
      <c r="G767" s="337">
        <f t="shared" si="1013"/>
        <v>0</v>
      </c>
      <c r="H767" s="285"/>
      <c r="I767" s="285"/>
      <c r="J767" s="356" t="str">
        <f>IFERROR(G767/#REF!,"-")</f>
        <v>-</v>
      </c>
      <c r="K767" s="337">
        <f t="shared" si="1014"/>
        <v>0</v>
      </c>
      <c r="L767" s="275">
        <f t="shared" si="1015"/>
        <v>0</v>
      </c>
      <c r="M767" s="276">
        <f t="shared" si="1016"/>
        <v>0</v>
      </c>
      <c r="N767" s="341" t="str">
        <f t="shared" si="1017"/>
        <v>-</v>
      </c>
      <c r="O767" s="350" t="str">
        <f t="shared" si="1003"/>
        <v>-</v>
      </c>
    </row>
    <row r="768" spans="1:15" ht="24" thickBot="1" x14ac:dyDescent="0.35">
      <c r="A768" s="277" t="s">
        <v>110</v>
      </c>
      <c r="B768" s="967" t="s">
        <v>29</v>
      </c>
      <c r="C768" s="968"/>
      <c r="D768" s="969"/>
      <c r="E768" s="323">
        <f t="shared" ref="E768" si="1018">SUM(E761:E767)</f>
        <v>0</v>
      </c>
      <c r="F768" s="288">
        <v>80000</v>
      </c>
      <c r="G768" s="323">
        <f>SUM(G761:G767)</f>
        <v>0</v>
      </c>
      <c r="H768" s="324">
        <f t="shared" ref="H768:I768" si="1019">SUM(H761:H767)</f>
        <v>0</v>
      </c>
      <c r="I768" s="324">
        <f t="shared" si="1019"/>
        <v>0</v>
      </c>
      <c r="J768" s="348">
        <f>+G768/F768</f>
        <v>0</v>
      </c>
      <c r="K768" s="323">
        <f t="shared" ref="K768:M768" si="1020">SUM(K761:K767)</f>
        <v>0</v>
      </c>
      <c r="L768" s="324">
        <f t="shared" si="1020"/>
        <v>0</v>
      </c>
      <c r="M768" s="325">
        <f t="shared" si="1020"/>
        <v>0</v>
      </c>
      <c r="N768" s="342" t="str">
        <f t="shared" si="1017"/>
        <v>-</v>
      </c>
      <c r="O768" s="348" t="str">
        <f t="shared" si="1003"/>
        <v>-</v>
      </c>
    </row>
    <row r="769" spans="1:15" ht="24" thickBot="1" x14ac:dyDescent="0.35">
      <c r="A769" s="252" t="s">
        <v>110</v>
      </c>
      <c r="B769" s="985" t="s">
        <v>19</v>
      </c>
      <c r="C769" s="653" t="s">
        <v>255</v>
      </c>
      <c r="D769" s="690" t="s">
        <v>190</v>
      </c>
      <c r="E769" s="695">
        <v>0</v>
      </c>
      <c r="F769" s="692">
        <v>110000</v>
      </c>
      <c r="G769" s="656">
        <f t="shared" ref="G769:G771" si="1021">+H769+I769</f>
        <v>0</v>
      </c>
      <c r="H769" s="462"/>
      <c r="I769" s="462"/>
      <c r="J769" s="536" t="str">
        <f>IFERROR(G769/#REF!,"-")</f>
        <v>-</v>
      </c>
      <c r="K769" s="461">
        <f>+L769+M769</f>
        <v>0</v>
      </c>
      <c r="L769" s="462">
        <f t="shared" ref="L769:L771" si="1022">+H769+L663</f>
        <v>0</v>
      </c>
      <c r="M769" s="463">
        <f t="shared" ref="M769:M771" si="1023">+I769+M663</f>
        <v>0</v>
      </c>
      <c r="N769" s="658" t="str">
        <f>IFERROR(K769/E769,"-")</f>
        <v>-</v>
      </c>
      <c r="O769" s="659" t="str">
        <f t="shared" si="1003"/>
        <v>-</v>
      </c>
    </row>
    <row r="770" spans="1:15" ht="24" thickBot="1" x14ac:dyDescent="0.35">
      <c r="A770" s="252"/>
      <c r="B770" s="986"/>
      <c r="C770" s="299" t="s">
        <v>440</v>
      </c>
      <c r="D770" s="657" t="s">
        <v>439</v>
      </c>
      <c r="E770" s="696">
        <v>1000000</v>
      </c>
      <c r="F770" s="693">
        <v>110000</v>
      </c>
      <c r="G770" s="652">
        <f t="shared" si="1021"/>
        <v>0</v>
      </c>
      <c r="H770" s="275"/>
      <c r="I770" s="275"/>
      <c r="J770" s="354" t="str">
        <f>IFERROR(G770/#REF!,"-")</f>
        <v>-</v>
      </c>
      <c r="K770" s="338">
        <f>+L770+M770</f>
        <v>8685</v>
      </c>
      <c r="L770" s="462">
        <f t="shared" si="1022"/>
        <v>8448</v>
      </c>
      <c r="M770" s="463">
        <f t="shared" si="1023"/>
        <v>237</v>
      </c>
      <c r="N770" s="343">
        <f t="shared" ref="N770:N771" si="1024">IFERROR(K770/E770,"-")</f>
        <v>8.685E-3</v>
      </c>
      <c r="O770" s="651">
        <f>IFERROR(M770/K770,"-")</f>
        <v>2.7288428324697755E-2</v>
      </c>
    </row>
    <row r="771" spans="1:15" ht="24" thickBot="1" x14ac:dyDescent="0.35">
      <c r="A771" s="252"/>
      <c r="B771" s="987"/>
      <c r="C771" s="647" t="s">
        <v>380</v>
      </c>
      <c r="D771" s="691"/>
      <c r="E771" s="697">
        <v>150000</v>
      </c>
      <c r="F771" s="694">
        <v>110000</v>
      </c>
      <c r="G771" s="599">
        <f t="shared" si="1021"/>
        <v>0</v>
      </c>
      <c r="H771" s="285"/>
      <c r="I771" s="285"/>
      <c r="J771" s="356"/>
      <c r="K771" s="464">
        <f>+L771+M771</f>
        <v>0</v>
      </c>
      <c r="L771" s="462">
        <f t="shared" si="1022"/>
        <v>0</v>
      </c>
      <c r="M771" s="463">
        <f t="shared" si="1023"/>
        <v>0</v>
      </c>
      <c r="N771" s="341">
        <f t="shared" si="1024"/>
        <v>0</v>
      </c>
      <c r="O771" s="648" t="str">
        <f t="shared" ref="O771:O821" si="1025">IFERROR(M771/K771,"-")</f>
        <v>-</v>
      </c>
    </row>
    <row r="772" spans="1:15" ht="24" thickBot="1" x14ac:dyDescent="0.35">
      <c r="A772" s="277" t="s">
        <v>110</v>
      </c>
      <c r="B772" s="988" t="s">
        <v>49</v>
      </c>
      <c r="C772" s="968"/>
      <c r="D772" s="969"/>
      <c r="E772" s="323">
        <f>SUM(E769:E771)</f>
        <v>1150000</v>
      </c>
      <c r="F772" s="326">
        <f t="shared" ref="F772" si="1026">SUM(F769)</f>
        <v>110000</v>
      </c>
      <c r="G772" s="323">
        <f>SUM(G769)</f>
        <v>0</v>
      </c>
      <c r="H772" s="324">
        <f>SUM(H769:H771)</f>
        <v>0</v>
      </c>
      <c r="I772" s="324">
        <f>SUM(I769:I771)</f>
        <v>0</v>
      </c>
      <c r="J772" s="348">
        <f>+G772/F772</f>
        <v>0</v>
      </c>
      <c r="K772" s="649">
        <f>SUM(K769:K770)</f>
        <v>8685</v>
      </c>
      <c r="L772" s="324">
        <f>SUM(L769:L770)</f>
        <v>8448</v>
      </c>
      <c r="M772" s="325">
        <f>SUM(M769:M770)</f>
        <v>237</v>
      </c>
      <c r="N772" s="342">
        <f>IFERROR(K772/E772,"-")</f>
        <v>7.5521739130434782E-3</v>
      </c>
      <c r="O772" s="348">
        <f t="shared" si="1025"/>
        <v>2.7288428324697755E-2</v>
      </c>
    </row>
    <row r="773" spans="1:15" ht="23.4" x14ac:dyDescent="0.3">
      <c r="A773" s="277" t="s">
        <v>110</v>
      </c>
      <c r="B773" s="956" t="s">
        <v>20</v>
      </c>
      <c r="C773" s="294" t="s">
        <v>351</v>
      </c>
      <c r="D773" s="294" t="s">
        <v>313</v>
      </c>
      <c r="E773" s="273">
        <v>0</v>
      </c>
      <c r="F773" s="274"/>
      <c r="G773" s="335">
        <f t="shared" ref="G773:G775" si="1027">+H773+I773</f>
        <v>0</v>
      </c>
      <c r="H773" s="275"/>
      <c r="I773" s="275"/>
      <c r="J773" s="354" t="str">
        <f>IFERROR(G773/#REF!,"-")</f>
        <v>-</v>
      </c>
      <c r="K773" s="335">
        <f t="shared" ref="K773:K775" si="1028">+L773+M773</f>
        <v>0</v>
      </c>
      <c r="L773" s="275">
        <f t="shared" ref="L773:L775" si="1029">+H773+L667</f>
        <v>0</v>
      </c>
      <c r="M773" s="276">
        <f t="shared" ref="M773:M775" si="1030">+I773+M667</f>
        <v>0</v>
      </c>
      <c r="N773" s="339" t="str">
        <f t="shared" ref="N773:N776" si="1031">IFERROR(K773/E773,"-")</f>
        <v>-</v>
      </c>
      <c r="O773" s="349" t="str">
        <f t="shared" si="1025"/>
        <v>-</v>
      </c>
    </row>
    <row r="774" spans="1:15" ht="23.4" x14ac:dyDescent="0.3">
      <c r="A774" s="277" t="s">
        <v>110</v>
      </c>
      <c r="B774" s="957"/>
      <c r="C774" s="295" t="s">
        <v>121</v>
      </c>
      <c r="D774" s="295"/>
      <c r="E774" s="279">
        <v>0</v>
      </c>
      <c r="F774" s="280"/>
      <c r="G774" s="336">
        <f t="shared" si="1027"/>
        <v>0</v>
      </c>
      <c r="H774" s="281"/>
      <c r="I774" s="281"/>
      <c r="J774" s="355" t="str">
        <f>IFERROR(G774/#REF!,"-")</f>
        <v>-</v>
      </c>
      <c r="K774" s="336">
        <f t="shared" si="1028"/>
        <v>0</v>
      </c>
      <c r="L774" s="275">
        <f t="shared" si="1029"/>
        <v>0</v>
      </c>
      <c r="M774" s="276">
        <f t="shared" si="1030"/>
        <v>0</v>
      </c>
      <c r="N774" s="340" t="str">
        <f t="shared" si="1031"/>
        <v>-</v>
      </c>
      <c r="O774" s="264" t="str">
        <f t="shared" si="1025"/>
        <v>-</v>
      </c>
    </row>
    <row r="775" spans="1:15" ht="24" thickBot="1" x14ac:dyDescent="0.35">
      <c r="A775" s="277" t="s">
        <v>110</v>
      </c>
      <c r="B775" s="958"/>
      <c r="C775" s="296" t="s">
        <v>127</v>
      </c>
      <c r="D775" s="296"/>
      <c r="E775" s="283">
        <v>0</v>
      </c>
      <c r="F775" s="284"/>
      <c r="G775" s="337">
        <f t="shared" si="1027"/>
        <v>0</v>
      </c>
      <c r="H775" s="285"/>
      <c r="I775" s="285"/>
      <c r="J775" s="356" t="str">
        <f>IFERROR(G775/#REF!,"-")</f>
        <v>-</v>
      </c>
      <c r="K775" s="337">
        <f t="shared" si="1028"/>
        <v>0</v>
      </c>
      <c r="L775" s="275">
        <f t="shared" si="1029"/>
        <v>0</v>
      </c>
      <c r="M775" s="276">
        <f t="shared" si="1030"/>
        <v>0</v>
      </c>
      <c r="N775" s="341" t="str">
        <f t="shared" si="1031"/>
        <v>-</v>
      </c>
      <c r="O775" s="350" t="str">
        <f t="shared" si="1025"/>
        <v>-</v>
      </c>
    </row>
    <row r="776" spans="1:15" ht="24" thickBot="1" x14ac:dyDescent="0.35">
      <c r="A776" s="277" t="s">
        <v>110</v>
      </c>
      <c r="B776" s="968" t="s">
        <v>50</v>
      </c>
      <c r="C776" s="968"/>
      <c r="D776" s="989"/>
      <c r="E776" s="323">
        <f t="shared" ref="E776" si="1032">SUM(E773:E775)</f>
        <v>0</v>
      </c>
      <c r="F776" s="288">
        <v>50000</v>
      </c>
      <c r="G776" s="323">
        <f>SUM(G773:G775)</f>
        <v>0</v>
      </c>
      <c r="H776" s="324">
        <f t="shared" ref="H776:I776" si="1033">SUM(H773:H775)</f>
        <v>0</v>
      </c>
      <c r="I776" s="324">
        <f t="shared" si="1033"/>
        <v>0</v>
      </c>
      <c r="J776" s="348">
        <f>+G776/F776</f>
        <v>0</v>
      </c>
      <c r="K776" s="323">
        <f t="shared" ref="K776:M776" si="1034">SUM(K773:K775)</f>
        <v>0</v>
      </c>
      <c r="L776" s="324">
        <f t="shared" si="1034"/>
        <v>0</v>
      </c>
      <c r="M776" s="325">
        <f t="shared" si="1034"/>
        <v>0</v>
      </c>
      <c r="N776" s="342" t="str">
        <f t="shared" si="1031"/>
        <v>-</v>
      </c>
      <c r="O776" s="348" t="str">
        <f t="shared" si="1025"/>
        <v>-</v>
      </c>
    </row>
    <row r="777" spans="1:15" ht="24" thickBot="1" x14ac:dyDescent="0.35">
      <c r="A777" s="277" t="s">
        <v>110</v>
      </c>
      <c r="B777" s="981" t="s">
        <v>21</v>
      </c>
      <c r="C777" s="982"/>
      <c r="D777" s="983"/>
      <c r="E777" s="329">
        <f>+E752+E760+E768+E772+E776</f>
        <v>4750000</v>
      </c>
      <c r="F777" s="330">
        <f>+F752+F760+F768+F772+F776</f>
        <v>455000</v>
      </c>
      <c r="G777" s="329">
        <f>+G752+G760+G768+G772+G776</f>
        <v>119561</v>
      </c>
      <c r="H777" s="327">
        <f>+H752+H760+H768+H772+H776</f>
        <v>119263</v>
      </c>
      <c r="I777" s="327">
        <f>+I752+I760+I768+I772+I776</f>
        <v>298</v>
      </c>
      <c r="J777" s="352">
        <f>+G777/F777</f>
        <v>0.26277142857142854</v>
      </c>
      <c r="K777" s="329">
        <f>+K752+K760+K768+K772+K776</f>
        <v>1118147</v>
      </c>
      <c r="L777" s="327">
        <f>+L752+L760+L768+L772+L776</f>
        <v>1112708</v>
      </c>
      <c r="M777" s="328">
        <f>+M752+M760+M768+M772+M776</f>
        <v>5439</v>
      </c>
      <c r="N777" s="344">
        <f>IFERROR(K777/E777,"-")</f>
        <v>0.23539936842105263</v>
      </c>
      <c r="O777" s="352">
        <f t="shared" si="1025"/>
        <v>4.8642978069967542E-3</v>
      </c>
    </row>
    <row r="778" spans="1:15" ht="23.4" x14ac:dyDescent="0.3">
      <c r="A778" s="277" t="s">
        <v>110</v>
      </c>
      <c r="B778" s="956" t="s">
        <v>481</v>
      </c>
      <c r="C778" s="272" t="s">
        <v>132</v>
      </c>
      <c r="D778" s="272"/>
      <c r="E778" s="273">
        <v>0</v>
      </c>
      <c r="F778" s="274"/>
      <c r="G778" s="335">
        <f t="shared" ref="G778:G781" si="1035">+H778+I778</f>
        <v>0</v>
      </c>
      <c r="H778" s="275"/>
      <c r="I778" s="275"/>
      <c r="J778" s="354" t="str">
        <f>IFERROR(G778/#REF!,"-")</f>
        <v>-</v>
      </c>
      <c r="K778" s="335">
        <f t="shared" ref="K778:K781" si="1036">+L778+M778</f>
        <v>0</v>
      </c>
      <c r="L778" s="275">
        <f t="shared" ref="L778:L781" si="1037">+H778+L672</f>
        <v>0</v>
      </c>
      <c r="M778" s="276">
        <f t="shared" ref="M778:M781" si="1038">+I778+M672</f>
        <v>0</v>
      </c>
      <c r="N778" s="339" t="str">
        <f t="shared" ref="N778:N792" si="1039">IFERROR(K778/E778,"-")</f>
        <v>-</v>
      </c>
      <c r="O778" s="349" t="str">
        <f t="shared" si="1025"/>
        <v>-</v>
      </c>
    </row>
    <row r="779" spans="1:15" ht="23.4" x14ac:dyDescent="0.3">
      <c r="A779" s="277" t="s">
        <v>110</v>
      </c>
      <c r="B779" s="957"/>
      <c r="C779" s="298" t="s">
        <v>283</v>
      </c>
      <c r="D779" s="298" t="s">
        <v>194</v>
      </c>
      <c r="E779" s="279">
        <v>0</v>
      </c>
      <c r="F779" s="280"/>
      <c r="G779" s="336">
        <f t="shared" si="1035"/>
        <v>0</v>
      </c>
      <c r="H779" s="281"/>
      <c r="I779" s="281"/>
      <c r="J779" s="355" t="str">
        <f>IFERROR(G779/#REF!,"-")</f>
        <v>-</v>
      </c>
      <c r="K779" s="336">
        <f t="shared" si="1036"/>
        <v>0</v>
      </c>
      <c r="L779" s="275">
        <f t="shared" si="1037"/>
        <v>0</v>
      </c>
      <c r="M779" s="276">
        <f t="shared" si="1038"/>
        <v>0</v>
      </c>
      <c r="N779" s="340" t="str">
        <f t="shared" si="1039"/>
        <v>-</v>
      </c>
      <c r="O779" s="264" t="str">
        <f t="shared" si="1025"/>
        <v>-</v>
      </c>
    </row>
    <row r="780" spans="1:15" ht="23.4" x14ac:dyDescent="0.3">
      <c r="A780" s="277" t="s">
        <v>110</v>
      </c>
      <c r="B780" s="957"/>
      <c r="C780" s="298" t="s">
        <v>405</v>
      </c>
      <c r="D780" s="298" t="s">
        <v>194</v>
      </c>
      <c r="E780" s="279">
        <v>1000000</v>
      </c>
      <c r="F780" s="280"/>
      <c r="G780" s="336">
        <f t="shared" si="1035"/>
        <v>2467</v>
      </c>
      <c r="H780" s="281">
        <v>1980</v>
      </c>
      <c r="I780" s="281">
        <v>487</v>
      </c>
      <c r="J780" s="355" t="str">
        <f>IFERROR(G780/#REF!,"-")</f>
        <v>-</v>
      </c>
      <c r="K780" s="336">
        <f t="shared" si="1036"/>
        <v>333576</v>
      </c>
      <c r="L780" s="275">
        <f t="shared" si="1037"/>
        <v>332640</v>
      </c>
      <c r="M780" s="276">
        <f t="shared" si="1038"/>
        <v>936</v>
      </c>
      <c r="N780" s="340">
        <f t="shared" si="1039"/>
        <v>0.33357599999999998</v>
      </c>
      <c r="O780" s="264">
        <f t="shared" si="1025"/>
        <v>2.8059572631124541E-3</v>
      </c>
    </row>
    <row r="781" spans="1:15" ht="24" thickBot="1" x14ac:dyDescent="0.35">
      <c r="A781" s="277" t="s">
        <v>110</v>
      </c>
      <c r="B781" s="958"/>
      <c r="C781" s="282" t="s">
        <v>195</v>
      </c>
      <c r="D781" s="282" t="s">
        <v>100</v>
      </c>
      <c r="E781" s="283">
        <v>0</v>
      </c>
      <c r="F781" s="284"/>
      <c r="G781" s="337">
        <f t="shared" si="1035"/>
        <v>0</v>
      </c>
      <c r="H781" s="285"/>
      <c r="I781" s="285"/>
      <c r="J781" s="356" t="str">
        <f>IFERROR(G781/#REF!,"-")</f>
        <v>-</v>
      </c>
      <c r="K781" s="337">
        <f t="shared" si="1036"/>
        <v>0</v>
      </c>
      <c r="L781" s="275">
        <f t="shared" si="1037"/>
        <v>0</v>
      </c>
      <c r="M781" s="276">
        <f t="shared" si="1038"/>
        <v>0</v>
      </c>
      <c r="N781" s="341" t="str">
        <f t="shared" si="1039"/>
        <v>-</v>
      </c>
      <c r="O781" s="350" t="str">
        <f t="shared" si="1025"/>
        <v>-</v>
      </c>
    </row>
    <row r="782" spans="1:15" ht="24" thickBot="1" x14ac:dyDescent="0.35">
      <c r="A782" s="277" t="s">
        <v>110</v>
      </c>
      <c r="B782" s="967" t="s">
        <v>51</v>
      </c>
      <c r="C782" s="968"/>
      <c r="D782" s="969"/>
      <c r="E782" s="287">
        <f>SUM(E778:E781)</f>
        <v>1000000</v>
      </c>
      <c r="F782" s="288">
        <v>80000</v>
      </c>
      <c r="G782" s="323">
        <f>SUM(G778:G781)</f>
        <v>2467</v>
      </c>
      <c r="H782" s="324">
        <f t="shared" ref="H782:I782" si="1040">SUM(H778:H781)</f>
        <v>1980</v>
      </c>
      <c r="I782" s="324">
        <f t="shared" si="1040"/>
        <v>487</v>
      </c>
      <c r="J782" s="348">
        <f>+G782/F782</f>
        <v>3.08375E-2</v>
      </c>
      <c r="K782" s="323">
        <f t="shared" ref="K782:M782" si="1041">SUM(K778:K781)</f>
        <v>333576</v>
      </c>
      <c r="L782" s="324">
        <f t="shared" si="1041"/>
        <v>332640</v>
      </c>
      <c r="M782" s="325">
        <f t="shared" si="1041"/>
        <v>936</v>
      </c>
      <c r="N782" s="342">
        <f t="shared" si="1039"/>
        <v>0.33357599999999998</v>
      </c>
      <c r="O782" s="348">
        <f t="shared" si="1025"/>
        <v>2.8059572631124541E-3</v>
      </c>
    </row>
    <row r="783" spans="1:15" ht="23.4" x14ac:dyDescent="0.3">
      <c r="A783" s="277" t="s">
        <v>110</v>
      </c>
      <c r="B783" s="956" t="s">
        <v>23</v>
      </c>
      <c r="C783" s="299" t="s">
        <v>337</v>
      </c>
      <c r="D783" s="299" t="s">
        <v>258</v>
      </c>
      <c r="E783" s="273">
        <f>25000+10875+6000</f>
        <v>41875</v>
      </c>
      <c r="F783" s="274"/>
      <c r="G783" s="335">
        <f t="shared" ref="G783:G790" si="1042">+H783+I783</f>
        <v>0</v>
      </c>
      <c r="H783" s="275"/>
      <c r="I783" s="275"/>
      <c r="J783" s="354" t="str">
        <f>IFERROR(G783/#REF!,"-")</f>
        <v>-</v>
      </c>
      <c r="K783" s="335">
        <f t="shared" ref="K783:K790" si="1043">+L783+M783</f>
        <v>0</v>
      </c>
      <c r="L783" s="275">
        <f t="shared" ref="L783:L790" si="1044">+H783+L677</f>
        <v>0</v>
      </c>
      <c r="M783" s="276">
        <f t="shared" ref="M783:M790" si="1045">+I783+M677</f>
        <v>0</v>
      </c>
      <c r="N783" s="339">
        <f t="shared" si="1039"/>
        <v>0</v>
      </c>
      <c r="O783" s="349" t="str">
        <f t="shared" si="1025"/>
        <v>-</v>
      </c>
    </row>
    <row r="784" spans="1:15" ht="23.4" x14ac:dyDescent="0.3">
      <c r="A784" s="277" t="s">
        <v>110</v>
      </c>
      <c r="B784" s="957"/>
      <c r="C784" s="278" t="s">
        <v>24</v>
      </c>
      <c r="D784" s="278" t="s">
        <v>258</v>
      </c>
      <c r="E784" s="279">
        <v>97500</v>
      </c>
      <c r="F784" s="280"/>
      <c r="G784" s="336">
        <f t="shared" si="1042"/>
        <v>0</v>
      </c>
      <c r="H784" s="281"/>
      <c r="I784" s="281"/>
      <c r="J784" s="355" t="str">
        <f>IFERROR(G784/#REF!,"-")</f>
        <v>-</v>
      </c>
      <c r="K784" s="336">
        <f t="shared" si="1043"/>
        <v>0</v>
      </c>
      <c r="L784" s="275">
        <f t="shared" si="1044"/>
        <v>0</v>
      </c>
      <c r="M784" s="276">
        <f t="shared" si="1045"/>
        <v>0</v>
      </c>
      <c r="N784" s="340">
        <f t="shared" si="1039"/>
        <v>0</v>
      </c>
      <c r="O784" s="264" t="str">
        <f t="shared" si="1025"/>
        <v>-</v>
      </c>
    </row>
    <row r="785" spans="1:15" ht="23.4" x14ac:dyDescent="0.3">
      <c r="A785" s="277" t="s">
        <v>110</v>
      </c>
      <c r="B785" s="957"/>
      <c r="C785" s="278" t="s">
        <v>256</v>
      </c>
      <c r="D785" s="278" t="s">
        <v>258</v>
      </c>
      <c r="E785" s="279">
        <v>17750</v>
      </c>
      <c r="F785" s="280"/>
      <c r="G785" s="336">
        <f t="shared" si="1042"/>
        <v>0</v>
      </c>
      <c r="H785" s="281"/>
      <c r="I785" s="281"/>
      <c r="J785" s="355" t="str">
        <f>IFERROR(G785/#REF!,"-")</f>
        <v>-</v>
      </c>
      <c r="K785" s="336">
        <f t="shared" si="1043"/>
        <v>0</v>
      </c>
      <c r="L785" s="275">
        <f t="shared" si="1044"/>
        <v>0</v>
      </c>
      <c r="M785" s="276">
        <f t="shared" si="1045"/>
        <v>0</v>
      </c>
      <c r="N785" s="340">
        <f t="shared" si="1039"/>
        <v>0</v>
      </c>
      <c r="O785" s="264" t="str">
        <f t="shared" si="1025"/>
        <v>-</v>
      </c>
    </row>
    <row r="786" spans="1:15" ht="23.4" x14ac:dyDescent="0.3">
      <c r="A786" s="277" t="s">
        <v>110</v>
      </c>
      <c r="B786" s="957"/>
      <c r="C786" s="278" t="s">
        <v>257</v>
      </c>
      <c r="D786" s="278" t="s">
        <v>258</v>
      </c>
      <c r="E786" s="279">
        <v>20000</v>
      </c>
      <c r="F786" s="280"/>
      <c r="G786" s="336">
        <f t="shared" si="1042"/>
        <v>0</v>
      </c>
      <c r="H786" s="281"/>
      <c r="I786" s="281"/>
      <c r="J786" s="355" t="str">
        <f>IFERROR(G786/#REF!,"-")</f>
        <v>-</v>
      </c>
      <c r="K786" s="336">
        <f t="shared" si="1043"/>
        <v>0</v>
      </c>
      <c r="L786" s="275">
        <f t="shared" si="1044"/>
        <v>0</v>
      </c>
      <c r="M786" s="276">
        <f t="shared" si="1045"/>
        <v>0</v>
      </c>
      <c r="N786" s="340">
        <f t="shared" si="1039"/>
        <v>0</v>
      </c>
      <c r="O786" s="264" t="str">
        <f t="shared" si="1025"/>
        <v>-</v>
      </c>
    </row>
    <row r="787" spans="1:15" ht="23.4" x14ac:dyDescent="0.3">
      <c r="A787" s="277" t="s">
        <v>110</v>
      </c>
      <c r="B787" s="957"/>
      <c r="C787" s="298" t="s">
        <v>475</v>
      </c>
      <c r="D787" s="278" t="s">
        <v>258</v>
      </c>
      <c r="E787" s="279">
        <v>10000</v>
      </c>
      <c r="F787" s="280"/>
      <c r="G787" s="336">
        <f t="shared" si="1042"/>
        <v>9645</v>
      </c>
      <c r="H787" s="281">
        <v>9625</v>
      </c>
      <c r="I787" s="281">
        <v>20</v>
      </c>
      <c r="J787" s="355" t="str">
        <f>IFERROR(G787/#REF!,"-")</f>
        <v>-</v>
      </c>
      <c r="K787" s="336">
        <f t="shared" si="1043"/>
        <v>9645</v>
      </c>
      <c r="L787" s="275">
        <f t="shared" si="1044"/>
        <v>9625</v>
      </c>
      <c r="M787" s="276">
        <f t="shared" si="1045"/>
        <v>20</v>
      </c>
      <c r="N787" s="340">
        <f t="shared" si="1039"/>
        <v>0.96450000000000002</v>
      </c>
      <c r="O787" s="264">
        <f t="shared" si="1025"/>
        <v>2.0736132711249352E-3</v>
      </c>
    </row>
    <row r="788" spans="1:15" ht="23.4" x14ac:dyDescent="0.3">
      <c r="A788" s="277" t="s">
        <v>110</v>
      </c>
      <c r="B788" s="957"/>
      <c r="C788" s="298" t="s">
        <v>260</v>
      </c>
      <c r="D788" s="278" t="s">
        <v>258</v>
      </c>
      <c r="E788" s="279">
        <v>9000</v>
      </c>
      <c r="F788" s="280"/>
      <c r="G788" s="336">
        <f t="shared" si="1042"/>
        <v>0</v>
      </c>
      <c r="H788" s="281"/>
      <c r="I788" s="281"/>
      <c r="J788" s="355" t="str">
        <f>IFERROR(G788/#REF!,"-")</f>
        <v>-</v>
      </c>
      <c r="K788" s="336">
        <f t="shared" si="1043"/>
        <v>0</v>
      </c>
      <c r="L788" s="275">
        <f t="shared" si="1044"/>
        <v>0</v>
      </c>
      <c r="M788" s="276">
        <f t="shared" si="1045"/>
        <v>0</v>
      </c>
      <c r="N788" s="340">
        <f t="shared" si="1039"/>
        <v>0</v>
      </c>
      <c r="O788" s="264" t="str">
        <f t="shared" si="1025"/>
        <v>-</v>
      </c>
    </row>
    <row r="789" spans="1:15" ht="23.4" x14ac:dyDescent="0.3">
      <c r="A789" s="277" t="s">
        <v>110</v>
      </c>
      <c r="B789" s="957"/>
      <c r="C789" s="298" t="s">
        <v>261</v>
      </c>
      <c r="D789" s="278" t="s">
        <v>263</v>
      </c>
      <c r="E789" s="279">
        <v>22500</v>
      </c>
      <c r="F789" s="280"/>
      <c r="G789" s="336">
        <f t="shared" si="1042"/>
        <v>0</v>
      </c>
      <c r="H789" s="281"/>
      <c r="I789" s="281"/>
      <c r="J789" s="355" t="str">
        <f>IFERROR(G789/#REF!,"-")</f>
        <v>-</v>
      </c>
      <c r="K789" s="336">
        <f t="shared" si="1043"/>
        <v>23536</v>
      </c>
      <c r="L789" s="275">
        <f t="shared" si="1044"/>
        <v>23490</v>
      </c>
      <c r="M789" s="276">
        <f t="shared" si="1045"/>
        <v>46</v>
      </c>
      <c r="N789" s="340">
        <f t="shared" si="1039"/>
        <v>1.0460444444444446</v>
      </c>
      <c r="O789" s="264">
        <f t="shared" si="1025"/>
        <v>1.954452753229096E-3</v>
      </c>
    </row>
    <row r="790" spans="1:15" ht="24" thickBot="1" x14ac:dyDescent="0.35">
      <c r="A790" s="277" t="s">
        <v>110</v>
      </c>
      <c r="B790" s="958"/>
      <c r="C790" s="298" t="s">
        <v>262</v>
      </c>
      <c r="D790" s="278" t="s">
        <v>258</v>
      </c>
      <c r="E790" s="283">
        <v>33500</v>
      </c>
      <c r="F790" s="284"/>
      <c r="G790" s="337">
        <f t="shared" si="1042"/>
        <v>2666</v>
      </c>
      <c r="H790" s="285">
        <v>2625</v>
      </c>
      <c r="I790" s="285">
        <v>41</v>
      </c>
      <c r="J790" s="356" t="str">
        <f>IFERROR(G790/#REF!,"-")</f>
        <v>-</v>
      </c>
      <c r="K790" s="337">
        <f t="shared" si="1043"/>
        <v>28515</v>
      </c>
      <c r="L790" s="275">
        <f t="shared" si="1044"/>
        <v>28375</v>
      </c>
      <c r="M790" s="276">
        <f t="shared" si="1045"/>
        <v>140</v>
      </c>
      <c r="N790" s="341">
        <f t="shared" si="1039"/>
        <v>0.85119402985074621</v>
      </c>
      <c r="O790" s="350">
        <f t="shared" si="1025"/>
        <v>4.909696650885499E-3</v>
      </c>
    </row>
    <row r="791" spans="1:15" ht="24" thickBot="1" x14ac:dyDescent="0.35">
      <c r="A791" s="277" t="s">
        <v>110</v>
      </c>
      <c r="B791" s="967" t="s">
        <v>52</v>
      </c>
      <c r="C791" s="968"/>
      <c r="D791" s="969"/>
      <c r="E791" s="287">
        <f>SUM(E783:E790)</f>
        <v>252125</v>
      </c>
      <c r="F791" s="288">
        <v>14000</v>
      </c>
      <c r="G791" s="323">
        <f>SUM(G783:G790)</f>
        <v>12311</v>
      </c>
      <c r="H791" s="324">
        <f t="shared" ref="H791:I791" si="1046">SUM(H783:H790)</f>
        <v>12250</v>
      </c>
      <c r="I791" s="324">
        <f t="shared" si="1046"/>
        <v>61</v>
      </c>
      <c r="J791" s="348">
        <f>+G792/F792</f>
        <v>0.15721276595744682</v>
      </c>
      <c r="K791" s="323">
        <f>SUM(K783:K790)</f>
        <v>61696</v>
      </c>
      <c r="L791" s="324">
        <f t="shared" ref="L791:M791" si="1047">SUM(L783:L790)</f>
        <v>61490</v>
      </c>
      <c r="M791" s="325">
        <f t="shared" si="1047"/>
        <v>206</v>
      </c>
      <c r="N791" s="342">
        <f t="shared" si="1039"/>
        <v>0.24470401586514626</v>
      </c>
      <c r="O791" s="348">
        <f t="shared" si="1025"/>
        <v>3.3389522821576762E-3</v>
      </c>
    </row>
    <row r="792" spans="1:15" ht="24" thickBot="1" x14ac:dyDescent="0.35">
      <c r="A792" s="277" t="s">
        <v>110</v>
      </c>
      <c r="B792" s="981" t="s">
        <v>25</v>
      </c>
      <c r="C792" s="982"/>
      <c r="D792" s="983"/>
      <c r="E792" s="329">
        <f t="shared" ref="E792:F792" si="1048">+E782+E791</f>
        <v>1252125</v>
      </c>
      <c r="F792" s="330">
        <f t="shared" si="1048"/>
        <v>94000</v>
      </c>
      <c r="G792" s="329">
        <f>+G782+G791</f>
        <v>14778</v>
      </c>
      <c r="H792" s="327">
        <f t="shared" ref="H792:I792" si="1049">+H782+H791</f>
        <v>14230</v>
      </c>
      <c r="I792" s="327">
        <f t="shared" si="1049"/>
        <v>548</v>
      </c>
      <c r="J792" s="352" t="str">
        <f>IFERROR(G792/#REF!,"-")</f>
        <v>-</v>
      </c>
      <c r="K792" s="329">
        <f t="shared" ref="K792" si="1050">+K782+K791</f>
        <v>395272</v>
      </c>
      <c r="L792" s="327">
        <f>+L782+L791</f>
        <v>394130</v>
      </c>
      <c r="M792" s="328">
        <f t="shared" ref="M792" si="1051">+M782+M791</f>
        <v>1142</v>
      </c>
      <c r="N792" s="344">
        <f t="shared" si="1039"/>
        <v>0.31568094239792355</v>
      </c>
      <c r="O792" s="352">
        <f t="shared" si="1025"/>
        <v>2.8891497500455384E-3</v>
      </c>
    </row>
    <row r="793" spans="1:15" ht="24" thickBot="1" x14ac:dyDescent="0.35">
      <c r="A793" s="277" t="s">
        <v>110</v>
      </c>
      <c r="B793" s="984" t="s">
        <v>180</v>
      </c>
      <c r="C793" s="962"/>
      <c r="D793" s="963"/>
      <c r="E793" s="333">
        <f>+E777+E792</f>
        <v>6002125</v>
      </c>
      <c r="F793" s="334">
        <f t="shared" ref="F793:I793" si="1052">+F777+F792</f>
        <v>549000</v>
      </c>
      <c r="G793" s="333">
        <f t="shared" si="1052"/>
        <v>134339</v>
      </c>
      <c r="H793" s="331">
        <f t="shared" si="1052"/>
        <v>133493</v>
      </c>
      <c r="I793" s="331">
        <f t="shared" si="1052"/>
        <v>846</v>
      </c>
      <c r="J793" s="353">
        <f>+G793/F793</f>
        <v>0.24469763205828779</v>
      </c>
      <c r="K793" s="333">
        <f>+K777+K792</f>
        <v>1513419</v>
      </c>
      <c r="L793" s="331">
        <f t="shared" ref="L793:M793" si="1053">+L777+L792</f>
        <v>1506838</v>
      </c>
      <c r="M793" s="332">
        <f t="shared" si="1053"/>
        <v>6581</v>
      </c>
      <c r="N793" s="345">
        <f>IFERROR(K793/E793,"-")</f>
        <v>0.25214719786742196</v>
      </c>
      <c r="O793" s="353">
        <f t="shared" si="1025"/>
        <v>4.3484322583501331E-3</v>
      </c>
    </row>
    <row r="794" spans="1:15" ht="23.4" x14ac:dyDescent="0.3">
      <c r="A794" s="271" t="s">
        <v>108</v>
      </c>
      <c r="B794" s="977" t="s">
        <v>26</v>
      </c>
      <c r="C794" s="300" t="s">
        <v>323</v>
      </c>
      <c r="D794" s="300" t="s">
        <v>190</v>
      </c>
      <c r="E794" s="273">
        <v>0</v>
      </c>
      <c r="F794" s="274"/>
      <c r="G794" s="335">
        <f t="shared" ref="G794:G802" si="1054">+H794+I794</f>
        <v>0</v>
      </c>
      <c r="H794" s="275"/>
      <c r="I794" s="275"/>
      <c r="J794" s="354" t="str">
        <f>IFERROR(G794/#REF!,"-")</f>
        <v>-</v>
      </c>
      <c r="K794" s="335">
        <f t="shared" ref="K794:K802" si="1055">+L794+M794</f>
        <v>0</v>
      </c>
      <c r="L794" s="275">
        <f t="shared" ref="L794:L802" si="1056">+H794+L688</f>
        <v>0</v>
      </c>
      <c r="M794" s="276">
        <f t="shared" ref="M794:M802" si="1057">+I794+M688</f>
        <v>0</v>
      </c>
      <c r="N794" s="339" t="str">
        <f t="shared" ref="N794:N795" si="1058">IFERROR(K794/E794,"-")</f>
        <v>-</v>
      </c>
      <c r="O794" s="349" t="str">
        <f t="shared" si="1025"/>
        <v>-</v>
      </c>
    </row>
    <row r="795" spans="1:15" ht="23.4" x14ac:dyDescent="0.3">
      <c r="A795" s="277" t="s">
        <v>108</v>
      </c>
      <c r="B795" s="977"/>
      <c r="C795" s="301" t="s">
        <v>196</v>
      </c>
      <c r="D795" s="301" t="s">
        <v>114</v>
      </c>
      <c r="E795" s="279">
        <v>0</v>
      </c>
      <c r="F795" s="280"/>
      <c r="G795" s="336">
        <f t="shared" si="1054"/>
        <v>0</v>
      </c>
      <c r="H795" s="281"/>
      <c r="I795" s="281"/>
      <c r="J795" s="355" t="str">
        <f>IFERROR(G795/#REF!,"-")</f>
        <v>-</v>
      </c>
      <c r="K795" s="336">
        <f t="shared" si="1055"/>
        <v>0</v>
      </c>
      <c r="L795" s="275">
        <f t="shared" si="1056"/>
        <v>0</v>
      </c>
      <c r="M795" s="276">
        <f t="shared" si="1057"/>
        <v>0</v>
      </c>
      <c r="N795" s="340" t="str">
        <f t="shared" si="1058"/>
        <v>-</v>
      </c>
      <c r="O795" s="264" t="str">
        <f t="shared" si="1025"/>
        <v>-</v>
      </c>
    </row>
    <row r="796" spans="1:15" ht="23.4" x14ac:dyDescent="0.3">
      <c r="A796" s="277" t="s">
        <v>108</v>
      </c>
      <c r="B796" s="977"/>
      <c r="C796" s="302" t="s">
        <v>27</v>
      </c>
      <c r="D796" s="302" t="s">
        <v>370</v>
      </c>
      <c r="E796" s="283">
        <v>0</v>
      </c>
      <c r="F796" s="284"/>
      <c r="G796" s="336">
        <f t="shared" si="1054"/>
        <v>0</v>
      </c>
      <c r="H796" s="285"/>
      <c r="I796" s="285"/>
      <c r="J796" s="356" t="str">
        <f>IFERROR(G796/#REF!,"-")</f>
        <v>-</v>
      </c>
      <c r="K796" s="336">
        <f t="shared" si="1055"/>
        <v>8556</v>
      </c>
      <c r="L796" s="275">
        <f t="shared" si="1056"/>
        <v>7956</v>
      </c>
      <c r="M796" s="276">
        <f t="shared" si="1057"/>
        <v>600</v>
      </c>
      <c r="N796" s="286"/>
      <c r="O796" s="264">
        <f t="shared" si="1025"/>
        <v>7.0126227208976155E-2</v>
      </c>
    </row>
    <row r="797" spans="1:15" ht="23.4" x14ac:dyDescent="0.3">
      <c r="A797" s="277" t="s">
        <v>108</v>
      </c>
      <c r="B797" s="977"/>
      <c r="C797" s="302" t="s">
        <v>27</v>
      </c>
      <c r="D797" s="302" t="s">
        <v>254</v>
      </c>
      <c r="E797" s="283">
        <v>0</v>
      </c>
      <c r="F797" s="284"/>
      <c r="G797" s="336">
        <f t="shared" si="1054"/>
        <v>0</v>
      </c>
      <c r="H797" s="285"/>
      <c r="I797" s="285"/>
      <c r="J797" s="356" t="str">
        <f>IFERROR(G797/#REF!,"-")</f>
        <v>-</v>
      </c>
      <c r="K797" s="336">
        <f t="shared" si="1055"/>
        <v>33014</v>
      </c>
      <c r="L797" s="275">
        <f t="shared" si="1056"/>
        <v>31824</v>
      </c>
      <c r="M797" s="276">
        <f t="shared" si="1057"/>
        <v>1190</v>
      </c>
      <c r="N797" s="286"/>
      <c r="O797" s="264">
        <f t="shared" si="1025"/>
        <v>3.604531410916581E-2</v>
      </c>
    </row>
    <row r="798" spans="1:15" ht="23.4" x14ac:dyDescent="0.3">
      <c r="A798" s="277" t="s">
        <v>108</v>
      </c>
      <c r="B798" s="977"/>
      <c r="C798" s="302" t="s">
        <v>27</v>
      </c>
      <c r="D798" s="302" t="s">
        <v>302</v>
      </c>
      <c r="E798" s="283">
        <v>0</v>
      </c>
      <c r="F798" s="284"/>
      <c r="G798" s="336">
        <f t="shared" si="1054"/>
        <v>0</v>
      </c>
      <c r="H798" s="285"/>
      <c r="I798" s="285"/>
      <c r="J798" s="356" t="str">
        <f>IFERROR(G798/#REF!,"-")</f>
        <v>-</v>
      </c>
      <c r="K798" s="336">
        <f t="shared" si="1055"/>
        <v>0</v>
      </c>
      <c r="L798" s="275">
        <f t="shared" si="1056"/>
        <v>0</v>
      </c>
      <c r="M798" s="276">
        <f t="shared" si="1057"/>
        <v>0</v>
      </c>
      <c r="N798" s="286"/>
      <c r="O798" s="264" t="str">
        <f t="shared" si="1025"/>
        <v>-</v>
      </c>
    </row>
    <row r="799" spans="1:15" ht="23.4" x14ac:dyDescent="0.3">
      <c r="A799" s="277"/>
      <c r="B799" s="977"/>
      <c r="C799" s="302" t="s">
        <v>369</v>
      </c>
      <c r="D799" s="302" t="s">
        <v>190</v>
      </c>
      <c r="E799" s="283">
        <v>0</v>
      </c>
      <c r="F799" s="284"/>
      <c r="G799" s="337">
        <f t="shared" si="1054"/>
        <v>0</v>
      </c>
      <c r="H799" s="285"/>
      <c r="I799" s="285"/>
      <c r="J799" s="356" t="str">
        <f>IFERROR(G799/#REF!,"-")</f>
        <v>-</v>
      </c>
      <c r="K799" s="337">
        <f t="shared" si="1055"/>
        <v>0</v>
      </c>
      <c r="L799" s="275">
        <f t="shared" si="1056"/>
        <v>0</v>
      </c>
      <c r="M799" s="276">
        <f t="shared" si="1057"/>
        <v>0</v>
      </c>
      <c r="N799" s="286"/>
      <c r="O799" s="264" t="str">
        <f t="shared" si="1025"/>
        <v>-</v>
      </c>
    </row>
    <row r="800" spans="1:15" ht="23.4" x14ac:dyDescent="0.3">
      <c r="A800" s="277"/>
      <c r="B800" s="977"/>
      <c r="C800" s="302" t="s">
        <v>314</v>
      </c>
      <c r="D800" s="302" t="s">
        <v>101</v>
      </c>
      <c r="E800" s="283">
        <v>0</v>
      </c>
      <c r="F800" s="284"/>
      <c r="G800" s="337">
        <f t="shared" si="1054"/>
        <v>0</v>
      </c>
      <c r="H800" s="285"/>
      <c r="I800" s="285"/>
      <c r="J800" s="356" t="str">
        <f>IFERROR(G800/#REF!,"-")</f>
        <v>-</v>
      </c>
      <c r="K800" s="337">
        <f t="shared" si="1055"/>
        <v>0</v>
      </c>
      <c r="L800" s="275">
        <f t="shared" si="1056"/>
        <v>0</v>
      </c>
      <c r="M800" s="276">
        <f t="shared" si="1057"/>
        <v>0</v>
      </c>
      <c r="N800" s="286"/>
      <c r="O800" s="264" t="str">
        <f t="shared" si="1025"/>
        <v>-</v>
      </c>
    </row>
    <row r="801" spans="1:15" ht="23.4" x14ac:dyDescent="0.3">
      <c r="A801" s="277"/>
      <c r="B801" s="977"/>
      <c r="C801" s="302" t="s">
        <v>452</v>
      </c>
      <c r="D801" s="302" t="s">
        <v>410</v>
      </c>
      <c r="E801" s="283">
        <v>0</v>
      </c>
      <c r="F801" s="284"/>
      <c r="G801" s="337">
        <f t="shared" si="1054"/>
        <v>0</v>
      </c>
      <c r="H801" s="285"/>
      <c r="I801" s="285"/>
      <c r="J801" s="356" t="str">
        <f>IFERROR(G801/#REF!,"-")</f>
        <v>-</v>
      </c>
      <c r="K801" s="337">
        <f t="shared" si="1055"/>
        <v>36855</v>
      </c>
      <c r="L801" s="275">
        <f t="shared" si="1056"/>
        <v>35802</v>
      </c>
      <c r="M801" s="276">
        <f t="shared" si="1057"/>
        <v>1053</v>
      </c>
      <c r="N801" s="286"/>
      <c r="O801" s="264">
        <f t="shared" si="1025"/>
        <v>2.8571428571428571E-2</v>
      </c>
    </row>
    <row r="802" spans="1:15" ht="24" thickBot="1" x14ac:dyDescent="0.35">
      <c r="A802" s="277" t="s">
        <v>108</v>
      </c>
      <c r="B802" s="977"/>
      <c r="C802" s="303" t="s">
        <v>315</v>
      </c>
      <c r="D802" s="302" t="s">
        <v>313</v>
      </c>
      <c r="E802" s="283">
        <v>0</v>
      </c>
      <c r="F802" s="284"/>
      <c r="G802" s="337">
        <f t="shared" si="1054"/>
        <v>0</v>
      </c>
      <c r="H802" s="285"/>
      <c r="I802" s="285"/>
      <c r="J802" s="356" t="str">
        <f>IFERROR(G802/#REF!,"-")</f>
        <v>-</v>
      </c>
      <c r="K802" s="337">
        <f t="shared" si="1055"/>
        <v>8287</v>
      </c>
      <c r="L802" s="275">
        <f t="shared" si="1056"/>
        <v>7956</v>
      </c>
      <c r="M802" s="276">
        <f t="shared" si="1057"/>
        <v>331</v>
      </c>
      <c r="N802" s="341" t="str">
        <f t="shared" ref="N802:N809" si="1059">IFERROR(K802/E802,"-")</f>
        <v>-</v>
      </c>
      <c r="O802" s="350">
        <f t="shared" si="1025"/>
        <v>3.9942077953421022E-2</v>
      </c>
    </row>
    <row r="803" spans="1:15" ht="24" thickBot="1" x14ac:dyDescent="0.35">
      <c r="A803" s="277" t="s">
        <v>108</v>
      </c>
      <c r="B803" s="990"/>
      <c r="C803" s="304"/>
      <c r="D803" s="305" t="s">
        <v>55</v>
      </c>
      <c r="E803" s="287">
        <f>SUM(E794:E802)</f>
        <v>0</v>
      </c>
      <c r="F803" s="288">
        <v>80000</v>
      </c>
      <c r="G803" s="323">
        <f>SUM(G794:G802)</f>
        <v>0</v>
      </c>
      <c r="H803" s="324">
        <f>SUM(H794:H802)</f>
        <v>0</v>
      </c>
      <c r="I803" s="324">
        <f>SUM(I794:I802)</f>
        <v>0</v>
      </c>
      <c r="J803" s="348">
        <f>+G803/F803</f>
        <v>0</v>
      </c>
      <c r="K803" s="323">
        <f>SUM(K794:K802)</f>
        <v>86712</v>
      </c>
      <c r="L803" s="324">
        <f>SUM(L794:L802)</f>
        <v>83538</v>
      </c>
      <c r="M803" s="325">
        <f>SUM(M794:M802)</f>
        <v>3174</v>
      </c>
      <c r="N803" s="342" t="str">
        <f t="shared" si="1059"/>
        <v>-</v>
      </c>
      <c r="O803" s="348">
        <f t="shared" si="1025"/>
        <v>3.6603930251868255E-2</v>
      </c>
    </row>
    <row r="804" spans="1:15" ht="23.4" x14ac:dyDescent="0.3">
      <c r="A804" s="277" t="s">
        <v>108</v>
      </c>
      <c r="B804" s="976" t="s">
        <v>28</v>
      </c>
      <c r="C804" s="302" t="s">
        <v>27</v>
      </c>
      <c r="D804" s="300" t="s">
        <v>191</v>
      </c>
      <c r="E804" s="273">
        <v>2612056</v>
      </c>
      <c r="F804" s="274"/>
      <c r="G804" s="335">
        <f t="shared" ref="G804:G808" si="1060">+H804+I804</f>
        <v>4274</v>
      </c>
      <c r="H804" s="275">
        <v>3978</v>
      </c>
      <c r="I804" s="275">
        <v>296</v>
      </c>
      <c r="J804" s="354" t="str">
        <f>IFERROR(G804/#REF!,"-")</f>
        <v>-</v>
      </c>
      <c r="K804" s="335">
        <f t="shared" ref="K804:K808" si="1061">+L804+M804</f>
        <v>8532</v>
      </c>
      <c r="L804" s="275">
        <f t="shared" ref="L804:L805" si="1062">+H804+L698</f>
        <v>7956</v>
      </c>
      <c r="M804" s="276">
        <f t="shared" ref="M804:M805" si="1063">+I804+M698</f>
        <v>576</v>
      </c>
      <c r="N804" s="339">
        <f t="shared" si="1059"/>
        <v>3.2663924510041133E-3</v>
      </c>
      <c r="O804" s="349">
        <f t="shared" si="1025"/>
        <v>6.7510548523206745E-2</v>
      </c>
    </row>
    <row r="805" spans="1:15" ht="23.4" x14ac:dyDescent="0.3">
      <c r="A805" s="277" t="s">
        <v>108</v>
      </c>
      <c r="B805" s="977"/>
      <c r="C805" s="302" t="s">
        <v>455</v>
      </c>
      <c r="D805" s="302" t="s">
        <v>370</v>
      </c>
      <c r="E805" s="279">
        <v>0</v>
      </c>
      <c r="F805" s="280"/>
      <c r="G805" s="336">
        <f t="shared" si="1060"/>
        <v>0</v>
      </c>
      <c r="H805" s="281"/>
      <c r="I805" s="281"/>
      <c r="J805" s="355" t="str">
        <f>IFERROR(G805/#REF!,"-")</f>
        <v>-</v>
      </c>
      <c r="K805" s="336">
        <f t="shared" si="1061"/>
        <v>92266</v>
      </c>
      <c r="L805" s="275">
        <f t="shared" si="1062"/>
        <v>91188</v>
      </c>
      <c r="M805" s="276">
        <f t="shared" si="1063"/>
        <v>1078</v>
      </c>
      <c r="N805" s="340" t="str">
        <f t="shared" si="1059"/>
        <v>-</v>
      </c>
      <c r="O805" s="264">
        <f t="shared" si="1025"/>
        <v>1.1683610430711205E-2</v>
      </c>
    </row>
    <row r="806" spans="1:15" ht="23.4" x14ac:dyDescent="0.3">
      <c r="A806" s="277" t="s">
        <v>108</v>
      </c>
      <c r="B806" s="977"/>
      <c r="C806" s="302" t="s">
        <v>27</v>
      </c>
      <c r="D806" s="302" t="s">
        <v>370</v>
      </c>
      <c r="E806" s="279">
        <v>0</v>
      </c>
      <c r="F806" s="280"/>
      <c r="G806" s="336">
        <f t="shared" si="1060"/>
        <v>0</v>
      </c>
      <c r="H806" s="281"/>
      <c r="I806" s="281"/>
      <c r="J806" s="355" t="str">
        <f>IFERROR(G806/#REF!,"-")</f>
        <v>-</v>
      </c>
      <c r="K806" s="336">
        <f t="shared" si="1061"/>
        <v>65158</v>
      </c>
      <c r="L806" s="275">
        <f t="shared" ref="L806:M808" si="1064">+H806+L700</f>
        <v>63648</v>
      </c>
      <c r="M806" s="276">
        <f t="shared" si="1064"/>
        <v>1510</v>
      </c>
      <c r="N806" s="340" t="str">
        <f t="shared" si="1059"/>
        <v>-</v>
      </c>
      <c r="O806" s="264">
        <f t="shared" si="1025"/>
        <v>2.3174437521102549E-2</v>
      </c>
    </row>
    <row r="807" spans="1:15" ht="23.4" x14ac:dyDescent="0.3">
      <c r="A807" s="277" t="s">
        <v>108</v>
      </c>
      <c r="B807" s="977"/>
      <c r="C807" s="302" t="s">
        <v>452</v>
      </c>
      <c r="D807" s="303" t="s">
        <v>410</v>
      </c>
      <c r="E807" s="283">
        <v>0</v>
      </c>
      <c r="F807" s="284"/>
      <c r="G807" s="337">
        <f t="shared" si="1060"/>
        <v>0</v>
      </c>
      <c r="H807" s="285"/>
      <c r="I807" s="285"/>
      <c r="J807" s="356" t="str">
        <f>IFERROR(G807/#REF!,"-")</f>
        <v>-</v>
      </c>
      <c r="K807" s="337">
        <f t="shared" si="1061"/>
        <v>249713</v>
      </c>
      <c r="L807" s="275">
        <f t="shared" si="1064"/>
        <v>246636</v>
      </c>
      <c r="M807" s="755">
        <f t="shared" si="1064"/>
        <v>3077</v>
      </c>
      <c r="N807" s="341" t="str">
        <f t="shared" si="1059"/>
        <v>-</v>
      </c>
      <c r="O807" s="350">
        <f t="shared" si="1025"/>
        <v>1.2322145823405269E-2</v>
      </c>
    </row>
    <row r="808" spans="1:15" ht="24" thickBot="1" x14ac:dyDescent="0.35">
      <c r="A808" s="277" t="s">
        <v>108</v>
      </c>
      <c r="B808" s="977"/>
      <c r="C808" s="302" t="s">
        <v>27</v>
      </c>
      <c r="D808" s="303" t="s">
        <v>254</v>
      </c>
      <c r="E808" s="283">
        <v>0</v>
      </c>
      <c r="F808" s="284"/>
      <c r="G808" s="337">
        <f t="shared" si="1060"/>
        <v>80750</v>
      </c>
      <c r="H808" s="285">
        <v>79560</v>
      </c>
      <c r="I808" s="285">
        <v>1190</v>
      </c>
      <c r="J808" s="356" t="str">
        <f>IFERROR(G808/#REF!,"-")</f>
        <v>-</v>
      </c>
      <c r="K808" s="337">
        <f t="shared" si="1061"/>
        <v>764755</v>
      </c>
      <c r="L808" s="275">
        <f t="shared" si="1064"/>
        <v>755820</v>
      </c>
      <c r="M808" s="755">
        <f t="shared" si="1064"/>
        <v>8935</v>
      </c>
      <c r="N808" s="341" t="str">
        <f t="shared" si="1059"/>
        <v>-</v>
      </c>
      <c r="O808" s="350">
        <f t="shared" si="1025"/>
        <v>1.1683480330301862E-2</v>
      </c>
    </row>
    <row r="809" spans="1:15" ht="24" thickBot="1" x14ac:dyDescent="0.35">
      <c r="A809" s="277" t="s">
        <v>108</v>
      </c>
      <c r="B809" s="977"/>
      <c r="C809" s="307"/>
      <c r="D809" s="308" t="s">
        <v>55</v>
      </c>
      <c r="E809" s="309">
        <f>SUM(E804:E808)</f>
        <v>2612056</v>
      </c>
      <c r="F809" s="310">
        <v>160000</v>
      </c>
      <c r="G809" s="369">
        <f>SUM(G804:G808)</f>
        <v>85024</v>
      </c>
      <c r="H809" s="368">
        <f>SUM(H804:H808)</f>
        <v>83538</v>
      </c>
      <c r="I809" s="368">
        <f>SUM(I804:I808)</f>
        <v>1486</v>
      </c>
      <c r="J809" s="359">
        <f>+G809/F809</f>
        <v>0.53139999999999998</v>
      </c>
      <c r="K809" s="369">
        <f>SUM(K804:K808)</f>
        <v>1180424</v>
      </c>
      <c r="L809" s="368">
        <f>SUM(L804:L808)</f>
        <v>1165248</v>
      </c>
      <c r="M809" s="370">
        <f>SUM(M804:M808)</f>
        <v>15176</v>
      </c>
      <c r="N809" s="358">
        <f t="shared" si="1059"/>
        <v>0.45191374151243313</v>
      </c>
      <c r="O809" s="359">
        <f t="shared" si="1025"/>
        <v>1.2856397362303715E-2</v>
      </c>
    </row>
    <row r="810" spans="1:15" ht="24" thickBot="1" x14ac:dyDescent="0.35">
      <c r="A810" s="804" t="s">
        <v>108</v>
      </c>
      <c r="B810" s="978" t="s">
        <v>170</v>
      </c>
      <c r="C810" s="979"/>
      <c r="D810" s="980"/>
      <c r="E810" s="311">
        <f>+E809+E803</f>
        <v>2612056</v>
      </c>
      <c r="F810" s="312">
        <v>240000</v>
      </c>
      <c r="G810" s="372">
        <f>+G803+G809</f>
        <v>85024</v>
      </c>
      <c r="H810" s="371">
        <f>+H803+H809</f>
        <v>83538</v>
      </c>
      <c r="I810" s="371">
        <f>+I803+I809</f>
        <v>1486</v>
      </c>
      <c r="J810" s="361">
        <f>+G810/F810</f>
        <v>0.35426666666666667</v>
      </c>
      <c r="K810" s="372">
        <f>+K803+K809</f>
        <v>1267136</v>
      </c>
      <c r="L810" s="371">
        <f>+L803+L809</f>
        <v>1248786</v>
      </c>
      <c r="M810" s="373">
        <f>+M803+M809</f>
        <v>18350</v>
      </c>
      <c r="N810" s="360">
        <f>IFERROR(K810/E810,"-")</f>
        <v>0.48511057955878434</v>
      </c>
      <c r="O810" s="361">
        <f t="shared" si="1025"/>
        <v>1.4481476337188747E-2</v>
      </c>
    </row>
    <row r="811" spans="1:15" ht="23.4" x14ac:dyDescent="0.3">
      <c r="A811" s="277" t="s">
        <v>108</v>
      </c>
      <c r="B811" s="977" t="s">
        <v>30</v>
      </c>
      <c r="C811" s="306" t="s">
        <v>372</v>
      </c>
      <c r="D811" s="300" t="s">
        <v>191</v>
      </c>
      <c r="E811" s="273">
        <v>0</v>
      </c>
      <c r="F811" s="274"/>
      <c r="G811" s="335">
        <f t="shared" ref="G811:G813" si="1065">+H811+I811</f>
        <v>0</v>
      </c>
      <c r="H811" s="275"/>
      <c r="I811" s="275"/>
      <c r="J811" s="354" t="str">
        <f>IFERROR(G811/#REF!,"-")</f>
        <v>-</v>
      </c>
      <c r="K811" s="335">
        <f t="shared" ref="K811:K813" si="1066">+L811+M811</f>
        <v>0</v>
      </c>
      <c r="L811" s="275">
        <f t="shared" ref="L811:M813" si="1067">+H811+L705</f>
        <v>0</v>
      </c>
      <c r="M811" s="276">
        <f t="shared" si="1067"/>
        <v>0</v>
      </c>
      <c r="N811" s="339" t="str">
        <f t="shared" ref="N811:N821" si="1068">IFERROR(K811/E811,"-")</f>
        <v>-</v>
      </c>
      <c r="O811" s="349" t="str">
        <f t="shared" si="1025"/>
        <v>-</v>
      </c>
    </row>
    <row r="812" spans="1:15" ht="23.4" x14ac:dyDescent="0.3">
      <c r="A812" s="277" t="s">
        <v>108</v>
      </c>
      <c r="B812" s="977"/>
      <c r="C812" s="306" t="s">
        <v>371</v>
      </c>
      <c r="D812" s="306" t="s">
        <v>313</v>
      </c>
      <c r="E812" s="279">
        <v>0</v>
      </c>
      <c r="F812" s="280"/>
      <c r="G812" s="336">
        <f t="shared" si="1065"/>
        <v>0</v>
      </c>
      <c r="H812" s="281"/>
      <c r="I812" s="281"/>
      <c r="J812" s="355" t="str">
        <f>IFERROR(G812/#REF!,"-")</f>
        <v>-</v>
      </c>
      <c r="K812" s="336">
        <f t="shared" si="1066"/>
        <v>0</v>
      </c>
      <c r="L812" s="275">
        <f t="shared" si="1067"/>
        <v>0</v>
      </c>
      <c r="M812" s="276">
        <f t="shared" si="1067"/>
        <v>0</v>
      </c>
      <c r="N812" s="340" t="str">
        <f t="shared" si="1068"/>
        <v>-</v>
      </c>
      <c r="O812" s="264" t="str">
        <f t="shared" si="1025"/>
        <v>-</v>
      </c>
    </row>
    <row r="813" spans="1:15" ht="24" thickBot="1" x14ac:dyDescent="0.35">
      <c r="A813" s="277" t="s">
        <v>108</v>
      </c>
      <c r="B813" s="977"/>
      <c r="C813" s="303" t="s">
        <v>316</v>
      </c>
      <c r="D813" s="303" t="s">
        <v>410</v>
      </c>
      <c r="E813" s="283">
        <v>0</v>
      </c>
      <c r="F813" s="284"/>
      <c r="G813" s="337">
        <f t="shared" si="1065"/>
        <v>32447</v>
      </c>
      <c r="H813" s="285">
        <v>31824</v>
      </c>
      <c r="I813" s="285">
        <v>623</v>
      </c>
      <c r="J813" s="356" t="str">
        <f>IFERROR(G813/#REF!,"-")</f>
        <v>-</v>
      </c>
      <c r="K813" s="337">
        <f t="shared" si="1066"/>
        <v>169767</v>
      </c>
      <c r="L813" s="275">
        <f t="shared" si="1067"/>
        <v>164736</v>
      </c>
      <c r="M813" s="276">
        <f t="shared" si="1067"/>
        <v>5031</v>
      </c>
      <c r="N813" s="341" t="str">
        <f t="shared" si="1068"/>
        <v>-</v>
      </c>
      <c r="O813" s="350">
        <f t="shared" si="1025"/>
        <v>2.9634734665747762E-2</v>
      </c>
    </row>
    <row r="814" spans="1:15" ht="24" thickBot="1" x14ac:dyDescent="0.35">
      <c r="A814" s="277" t="s">
        <v>108</v>
      </c>
      <c r="B814" s="977"/>
      <c r="C814" s="304"/>
      <c r="D814" s="305" t="s">
        <v>53</v>
      </c>
      <c r="E814" s="287">
        <v>0</v>
      </c>
      <c r="F814" s="288">
        <v>50000</v>
      </c>
      <c r="G814" s="323">
        <f>SUM(G811:G813)</f>
        <v>32447</v>
      </c>
      <c r="H814" s="324">
        <f>SUM(H811:H813)</f>
        <v>31824</v>
      </c>
      <c r="I814" s="324">
        <f>SUM(I811:I813)</f>
        <v>623</v>
      </c>
      <c r="J814" s="348">
        <f>+H814/G814</f>
        <v>0.98079945757697162</v>
      </c>
      <c r="K814" s="323">
        <f>SUM(K811:K813)</f>
        <v>169767</v>
      </c>
      <c r="L814" s="324">
        <f>SUM(L811:L813)</f>
        <v>164736</v>
      </c>
      <c r="M814" s="325">
        <f>SUM(M811:M813)</f>
        <v>5031</v>
      </c>
      <c r="N814" s="342" t="str">
        <f t="shared" si="1068"/>
        <v>-</v>
      </c>
      <c r="O814" s="348">
        <f t="shared" si="1025"/>
        <v>2.9634734665747762E-2</v>
      </c>
    </row>
    <row r="815" spans="1:15" ht="23.4" x14ac:dyDescent="0.3">
      <c r="A815" s="277" t="s">
        <v>108</v>
      </c>
      <c r="B815" s="977"/>
      <c r="C815" s="300" t="s">
        <v>339</v>
      </c>
      <c r="D815" s="300"/>
      <c r="E815" s="273">
        <v>500000</v>
      </c>
      <c r="F815" s="274"/>
      <c r="G815" s="335">
        <f t="shared" ref="G815:G817" si="1069">+H815+I815</f>
        <v>0</v>
      </c>
      <c r="H815" s="275"/>
      <c r="I815" s="275"/>
      <c r="J815" s="354" t="str">
        <f>IFERROR(G815/#REF!,"-")</f>
        <v>-</v>
      </c>
      <c r="K815" s="335">
        <f t="shared" ref="K815:K817" si="1070">+L815+M815</f>
        <v>0</v>
      </c>
      <c r="L815" s="275">
        <f t="shared" ref="L815:M817" si="1071">+H815+L709</f>
        <v>0</v>
      </c>
      <c r="M815" s="276">
        <f t="shared" si="1071"/>
        <v>0</v>
      </c>
      <c r="N815" s="339">
        <f t="shared" si="1068"/>
        <v>0</v>
      </c>
      <c r="O815" s="349" t="str">
        <f t="shared" si="1025"/>
        <v>-</v>
      </c>
    </row>
    <row r="816" spans="1:15" ht="23.4" x14ac:dyDescent="0.3">
      <c r="A816" s="277" t="s">
        <v>108</v>
      </c>
      <c r="B816" s="977"/>
      <c r="C816" s="306" t="s">
        <v>373</v>
      </c>
      <c r="D816" s="306" t="s">
        <v>254</v>
      </c>
      <c r="E816" s="279">
        <v>0</v>
      </c>
      <c r="F816" s="280"/>
      <c r="G816" s="336">
        <f t="shared" si="1069"/>
        <v>0</v>
      </c>
      <c r="H816" s="281"/>
      <c r="I816" s="281"/>
      <c r="J816" s="355" t="str">
        <f>IFERROR(G816/#REF!,"-")</f>
        <v>-</v>
      </c>
      <c r="K816" s="336">
        <f t="shared" si="1070"/>
        <v>9638</v>
      </c>
      <c r="L816" s="275">
        <f t="shared" si="1071"/>
        <v>9360</v>
      </c>
      <c r="M816" s="276">
        <f t="shared" si="1071"/>
        <v>278</v>
      </c>
      <c r="N816" s="340" t="str">
        <f t="shared" si="1068"/>
        <v>-</v>
      </c>
      <c r="O816" s="264">
        <f t="shared" si="1025"/>
        <v>2.8844158539116E-2</v>
      </c>
    </row>
    <row r="817" spans="1:15" ht="24" thickBot="1" x14ac:dyDescent="0.35">
      <c r="A817" s="277" t="s">
        <v>108</v>
      </c>
      <c r="B817" s="977"/>
      <c r="C817" s="303" t="s">
        <v>145</v>
      </c>
      <c r="D817" s="303"/>
      <c r="E817" s="283">
        <v>0</v>
      </c>
      <c r="F817" s="284"/>
      <c r="G817" s="337">
        <f t="shared" si="1069"/>
        <v>0</v>
      </c>
      <c r="H817" s="285"/>
      <c r="I817" s="285"/>
      <c r="J817" s="356" t="str">
        <f>IFERROR(G817/#REF!,"-")</f>
        <v>-</v>
      </c>
      <c r="K817" s="337">
        <f t="shared" si="1070"/>
        <v>0</v>
      </c>
      <c r="L817" s="275">
        <f t="shared" si="1071"/>
        <v>0</v>
      </c>
      <c r="M817" s="276">
        <f t="shared" si="1071"/>
        <v>0</v>
      </c>
      <c r="N817" s="341" t="str">
        <f t="shared" si="1068"/>
        <v>-</v>
      </c>
      <c r="O817" s="350" t="str">
        <f t="shared" si="1025"/>
        <v>-</v>
      </c>
    </row>
    <row r="818" spans="1:15" ht="24" thickBot="1" x14ac:dyDescent="0.35">
      <c r="A818" s="277" t="s">
        <v>108</v>
      </c>
      <c r="B818" s="977"/>
      <c r="C818" s="307"/>
      <c r="D818" s="308" t="s">
        <v>54</v>
      </c>
      <c r="E818" s="309">
        <f>SUM(E815)</f>
        <v>500000</v>
      </c>
      <c r="F818" s="310">
        <v>50000</v>
      </c>
      <c r="G818" s="369">
        <f>SUM(G815:G817)</f>
        <v>0</v>
      </c>
      <c r="H818" s="368">
        <f t="shared" ref="H818:I818" si="1072">SUM(H815:H817)</f>
        <v>0</v>
      </c>
      <c r="I818" s="368">
        <f t="shared" si="1072"/>
        <v>0</v>
      </c>
      <c r="J818" s="359">
        <f>+G818/F818</f>
        <v>0</v>
      </c>
      <c r="K818" s="369">
        <f t="shared" ref="K818:M818" si="1073">SUM(K815:K817)</f>
        <v>9638</v>
      </c>
      <c r="L818" s="368">
        <f t="shared" si="1073"/>
        <v>9360</v>
      </c>
      <c r="M818" s="370">
        <f t="shared" si="1073"/>
        <v>278</v>
      </c>
      <c r="N818" s="358">
        <f t="shared" si="1068"/>
        <v>1.9276000000000001E-2</v>
      </c>
      <c r="O818" s="359">
        <f t="shared" si="1025"/>
        <v>2.8844158539116E-2</v>
      </c>
    </row>
    <row r="819" spans="1:15" ht="24" thickBot="1" x14ac:dyDescent="0.35">
      <c r="A819" s="277" t="s">
        <v>108</v>
      </c>
      <c r="B819" s="978" t="s">
        <v>171</v>
      </c>
      <c r="C819" s="979"/>
      <c r="D819" s="980"/>
      <c r="E819" s="311">
        <f>+E818+E814</f>
        <v>500000</v>
      </c>
      <c r="F819" s="312">
        <v>50000</v>
      </c>
      <c r="G819" s="372">
        <f>+G814+G818</f>
        <v>32447</v>
      </c>
      <c r="H819" s="371">
        <f t="shared" ref="H819:I819" si="1074">+H814+H818</f>
        <v>31824</v>
      </c>
      <c r="I819" s="371">
        <f t="shared" si="1074"/>
        <v>623</v>
      </c>
      <c r="J819" s="361">
        <f>+G819/F819</f>
        <v>0.64893999999999996</v>
      </c>
      <c r="K819" s="372">
        <f t="shared" ref="K819:M819" si="1075">+K814+K818</f>
        <v>179405</v>
      </c>
      <c r="L819" s="371">
        <f t="shared" si="1075"/>
        <v>174096</v>
      </c>
      <c r="M819" s="373">
        <f t="shared" si="1075"/>
        <v>5309</v>
      </c>
      <c r="N819" s="360">
        <f t="shared" si="1068"/>
        <v>0.35881000000000002</v>
      </c>
      <c r="O819" s="361">
        <f t="shared" si="1025"/>
        <v>2.9592263314846299E-2</v>
      </c>
    </row>
    <row r="820" spans="1:15" ht="24" thickBot="1" x14ac:dyDescent="0.35">
      <c r="A820" s="277" t="s">
        <v>108</v>
      </c>
      <c r="B820" s="608" t="s">
        <v>32</v>
      </c>
      <c r="C820" s="800"/>
      <c r="D820" s="313" t="s">
        <v>32</v>
      </c>
      <c r="E820" s="290">
        <v>0</v>
      </c>
      <c r="F820" s="291">
        <v>110000</v>
      </c>
      <c r="G820" s="338">
        <f t="shared" ref="G820" si="1076">+H820+I820</f>
        <v>0</v>
      </c>
      <c r="H820" s="292"/>
      <c r="I820" s="292"/>
      <c r="J820" s="357" t="str">
        <f>IFERROR(G820/#REF!,"-")</f>
        <v>-</v>
      </c>
      <c r="K820" s="338">
        <f>+L820+M820</f>
        <v>0</v>
      </c>
      <c r="L820" s="292">
        <f>+H820+L714</f>
        <v>0</v>
      </c>
      <c r="M820" s="293">
        <f>+I820+M714</f>
        <v>0</v>
      </c>
      <c r="N820" s="343" t="str">
        <f t="shared" si="1068"/>
        <v>-</v>
      </c>
      <c r="O820" s="351" t="str">
        <f t="shared" si="1025"/>
        <v>-</v>
      </c>
    </row>
    <row r="821" spans="1:15" ht="24" thickBot="1" x14ac:dyDescent="0.35">
      <c r="A821" s="277" t="s">
        <v>108</v>
      </c>
      <c r="B821" s="981" t="s">
        <v>21</v>
      </c>
      <c r="C821" s="982"/>
      <c r="D821" s="983"/>
      <c r="E821" s="329">
        <f>+E810+E819+E820</f>
        <v>3112056</v>
      </c>
      <c r="F821" s="330">
        <f>+F810+F819+F820</f>
        <v>400000</v>
      </c>
      <c r="G821" s="329">
        <f>+G810+G819+G820</f>
        <v>117471</v>
      </c>
      <c r="H821" s="327">
        <f>+H810+H819+H820</f>
        <v>115362</v>
      </c>
      <c r="I821" s="327">
        <f>+I810+I819+I820</f>
        <v>2109</v>
      </c>
      <c r="J821" s="352">
        <f>+G821/F821</f>
        <v>0.29367749999999998</v>
      </c>
      <c r="K821" s="329">
        <f>+K810+K819+K820</f>
        <v>1446541</v>
      </c>
      <c r="L821" s="327">
        <f>+L810+L819+L820</f>
        <v>1422882</v>
      </c>
      <c r="M821" s="328">
        <f>+M810+M819+M820</f>
        <v>23659</v>
      </c>
      <c r="N821" s="344">
        <f t="shared" si="1068"/>
        <v>0.46481843514384058</v>
      </c>
      <c r="O821" s="352">
        <f t="shared" si="1025"/>
        <v>1.6355568214105234E-2</v>
      </c>
    </row>
    <row r="822" spans="1:15" ht="24" thickBot="1" x14ac:dyDescent="0.35">
      <c r="A822" s="277" t="s">
        <v>108</v>
      </c>
      <c r="B822" s="984" t="s">
        <v>179</v>
      </c>
      <c r="C822" s="962"/>
      <c r="D822" s="963"/>
      <c r="E822" s="333">
        <f>+E821</f>
        <v>3112056</v>
      </c>
      <c r="F822" s="334">
        <f t="shared" ref="F822:I822" si="1077">+F821</f>
        <v>400000</v>
      </c>
      <c r="G822" s="333">
        <f t="shared" si="1077"/>
        <v>117471</v>
      </c>
      <c r="H822" s="331">
        <f t="shared" si="1077"/>
        <v>115362</v>
      </c>
      <c r="I822" s="331">
        <f t="shared" si="1077"/>
        <v>2109</v>
      </c>
      <c r="J822" s="353">
        <f>+J821</f>
        <v>0.29367749999999998</v>
      </c>
      <c r="K822" s="333">
        <f>+K821</f>
        <v>1446541</v>
      </c>
      <c r="L822" s="331">
        <f t="shared" ref="L822" si="1078">+L821</f>
        <v>1422882</v>
      </c>
      <c r="M822" s="332">
        <f>+M821</f>
        <v>23659</v>
      </c>
      <c r="N822" s="345">
        <f t="shared" ref="N822:O822" si="1079">+N821</f>
        <v>0.46481843514384058</v>
      </c>
      <c r="O822" s="353">
        <f t="shared" si="1079"/>
        <v>1.6355568214105234E-2</v>
      </c>
    </row>
    <row r="823" spans="1:15" ht="23.4" x14ac:dyDescent="0.3">
      <c r="A823" s="271" t="s">
        <v>109</v>
      </c>
      <c r="B823" s="970" t="s">
        <v>482</v>
      </c>
      <c r="C823" s="314" t="s">
        <v>120</v>
      </c>
      <c r="D823" s="314"/>
      <c r="E823" s="273">
        <v>34000</v>
      </c>
      <c r="F823" s="274"/>
      <c r="G823" s="335">
        <f t="shared" ref="G823:G825" si="1080">+H823+I823</f>
        <v>0</v>
      </c>
      <c r="H823" s="275"/>
      <c r="I823" s="275"/>
      <c r="J823" s="354" t="str">
        <f>IFERROR(G823/#REF!,"-")</f>
        <v>-</v>
      </c>
      <c r="K823" s="335">
        <f t="shared" ref="K823:K825" si="1081">+L823+M823</f>
        <v>0</v>
      </c>
      <c r="L823" s="275">
        <f t="shared" ref="L823:M825" si="1082">+H823+L717</f>
        <v>0</v>
      </c>
      <c r="M823" s="276">
        <f t="shared" si="1082"/>
        <v>0</v>
      </c>
      <c r="N823" s="339">
        <f t="shared" ref="N823:N830" si="1083">IFERROR(K823/E823,"-")</f>
        <v>0</v>
      </c>
      <c r="O823" s="349" t="str">
        <f t="shared" ref="O823:O848" si="1084">IFERROR(M823/K823,"-")</f>
        <v>-</v>
      </c>
    </row>
    <row r="824" spans="1:15" ht="23.4" x14ac:dyDescent="0.3">
      <c r="A824" s="277" t="s">
        <v>109</v>
      </c>
      <c r="B824" s="972"/>
      <c r="C824" s="315" t="s">
        <v>267</v>
      </c>
      <c r="D824" s="315"/>
      <c r="E824" s="279">
        <v>0</v>
      </c>
      <c r="F824" s="280"/>
      <c r="G824" s="336">
        <f t="shared" si="1080"/>
        <v>320</v>
      </c>
      <c r="H824" s="281">
        <v>320</v>
      </c>
      <c r="I824" s="281"/>
      <c r="J824" s="355" t="str">
        <f>IFERROR(G824/#REF!,"-")</f>
        <v>-</v>
      </c>
      <c r="K824" s="336">
        <f t="shared" si="1081"/>
        <v>12672</v>
      </c>
      <c r="L824" s="275">
        <f t="shared" si="1082"/>
        <v>12480</v>
      </c>
      <c r="M824" s="276">
        <f t="shared" si="1082"/>
        <v>192</v>
      </c>
      <c r="N824" s="340" t="str">
        <f t="shared" si="1083"/>
        <v>-</v>
      </c>
      <c r="O824" s="264">
        <f t="shared" si="1084"/>
        <v>1.5151515151515152E-2</v>
      </c>
    </row>
    <row r="825" spans="1:15" ht="24" thickBot="1" x14ac:dyDescent="0.35">
      <c r="A825" s="277" t="s">
        <v>109</v>
      </c>
      <c r="B825" s="971"/>
      <c r="C825" s="316" t="s">
        <v>34</v>
      </c>
      <c r="D825" s="316"/>
      <c r="E825" s="283">
        <v>0</v>
      </c>
      <c r="F825" s="284"/>
      <c r="G825" s="337">
        <f t="shared" si="1080"/>
        <v>0</v>
      </c>
      <c r="H825" s="285"/>
      <c r="I825" s="285"/>
      <c r="J825" s="356" t="str">
        <f>IFERROR(G825/#REF!,"-")</f>
        <v>-</v>
      </c>
      <c r="K825" s="337">
        <f t="shared" si="1081"/>
        <v>0</v>
      </c>
      <c r="L825" s="275">
        <f t="shared" si="1082"/>
        <v>0</v>
      </c>
      <c r="M825" s="276">
        <f t="shared" si="1082"/>
        <v>0</v>
      </c>
      <c r="N825" s="341" t="str">
        <f t="shared" si="1083"/>
        <v>-</v>
      </c>
      <c r="O825" s="350" t="str">
        <f t="shared" si="1084"/>
        <v>-</v>
      </c>
    </row>
    <row r="826" spans="1:15" ht="24" thickBot="1" x14ac:dyDescent="0.35">
      <c r="A826" s="277" t="s">
        <v>109</v>
      </c>
      <c r="B826" s="967" t="s">
        <v>35</v>
      </c>
      <c r="C826" s="968"/>
      <c r="D826" s="969"/>
      <c r="E826" s="287">
        <f>SUM(E823:E825)</f>
        <v>34000</v>
      </c>
      <c r="F826" s="288">
        <v>6500</v>
      </c>
      <c r="G826" s="323">
        <f>SUM(G823:G825)</f>
        <v>320</v>
      </c>
      <c r="H826" s="324">
        <f t="shared" ref="H826:I826" si="1085">SUM(H823:H825)</f>
        <v>320</v>
      </c>
      <c r="I826" s="324">
        <f t="shared" si="1085"/>
        <v>0</v>
      </c>
      <c r="J826" s="348" t="str">
        <f>IFERROR(G826/#REF!,"-")</f>
        <v>-</v>
      </c>
      <c r="K826" s="323">
        <f t="shared" ref="K826:M826" si="1086">SUM(K823:K825)</f>
        <v>12672</v>
      </c>
      <c r="L826" s="324">
        <f t="shared" si="1086"/>
        <v>12480</v>
      </c>
      <c r="M826" s="325">
        <f t="shared" si="1086"/>
        <v>192</v>
      </c>
      <c r="N826" s="342">
        <f t="shared" si="1083"/>
        <v>0.37270588235294116</v>
      </c>
      <c r="O826" s="348">
        <f t="shared" si="1084"/>
        <v>1.5151515151515152E-2</v>
      </c>
    </row>
    <row r="827" spans="1:15" ht="23.4" x14ac:dyDescent="0.3">
      <c r="A827" s="277" t="s">
        <v>109</v>
      </c>
      <c r="B827" s="970" t="s">
        <v>36</v>
      </c>
      <c r="C827" s="314" t="s">
        <v>120</v>
      </c>
      <c r="D827" s="314"/>
      <c r="E827" s="273">
        <v>64360</v>
      </c>
      <c r="F827" s="274"/>
      <c r="G827" s="335">
        <f t="shared" ref="G827:G830" si="1087">+H827+I827</f>
        <v>0</v>
      </c>
      <c r="H827" s="275"/>
      <c r="I827" s="275"/>
      <c r="J827" s="354" t="str">
        <f>IFERROR(G827/#REF!,"-")</f>
        <v>-</v>
      </c>
      <c r="K827" s="335">
        <f t="shared" ref="K827:K830" si="1088">+L827+M827</f>
        <v>0</v>
      </c>
      <c r="L827" s="275">
        <f t="shared" ref="L827:M830" si="1089">+H827+L721</f>
        <v>0</v>
      </c>
      <c r="M827" s="276">
        <f t="shared" si="1089"/>
        <v>0</v>
      </c>
      <c r="N827" s="339">
        <f t="shared" si="1083"/>
        <v>0</v>
      </c>
      <c r="O827" s="349" t="str">
        <f t="shared" si="1084"/>
        <v>-</v>
      </c>
    </row>
    <row r="828" spans="1:15" ht="23.4" x14ac:dyDescent="0.3">
      <c r="A828" s="277" t="s">
        <v>109</v>
      </c>
      <c r="B828" s="972"/>
      <c r="C828" s="315" t="s">
        <v>267</v>
      </c>
      <c r="D828" s="315"/>
      <c r="E828" s="279">
        <v>0</v>
      </c>
      <c r="F828" s="280"/>
      <c r="G828" s="336">
        <f t="shared" si="1087"/>
        <v>0</v>
      </c>
      <c r="H828" s="281"/>
      <c r="I828" s="281"/>
      <c r="J828" s="355" t="str">
        <f>IFERROR(G828/#REF!,"-")</f>
        <v>-</v>
      </c>
      <c r="K828" s="336">
        <f t="shared" si="1088"/>
        <v>3945</v>
      </c>
      <c r="L828" s="275">
        <f t="shared" si="1089"/>
        <v>3840</v>
      </c>
      <c r="M828" s="276">
        <f t="shared" si="1089"/>
        <v>105</v>
      </c>
      <c r="N828" s="340" t="str">
        <f t="shared" si="1083"/>
        <v>-</v>
      </c>
      <c r="O828" s="264">
        <f t="shared" si="1084"/>
        <v>2.6615969581749048E-2</v>
      </c>
    </row>
    <row r="829" spans="1:15" ht="23.4" x14ac:dyDescent="0.3">
      <c r="A829" s="277" t="s">
        <v>109</v>
      </c>
      <c r="B829" s="972"/>
      <c r="C829" s="315" t="s">
        <v>198</v>
      </c>
      <c r="D829" s="315"/>
      <c r="E829" s="279">
        <v>0</v>
      </c>
      <c r="F829" s="280"/>
      <c r="G829" s="336">
        <f t="shared" si="1087"/>
        <v>0</v>
      </c>
      <c r="H829" s="281"/>
      <c r="I829" s="281"/>
      <c r="J829" s="355" t="str">
        <f>IFERROR(G829/#REF!,"-")</f>
        <v>-</v>
      </c>
      <c r="K829" s="336">
        <f t="shared" si="1088"/>
        <v>0</v>
      </c>
      <c r="L829" s="275">
        <f t="shared" si="1089"/>
        <v>0</v>
      </c>
      <c r="M829" s="276">
        <f t="shared" si="1089"/>
        <v>0</v>
      </c>
      <c r="N829" s="340" t="str">
        <f t="shared" si="1083"/>
        <v>-</v>
      </c>
      <c r="O829" s="264" t="str">
        <f t="shared" si="1084"/>
        <v>-</v>
      </c>
    </row>
    <row r="830" spans="1:15" ht="24" thickBot="1" x14ac:dyDescent="0.35">
      <c r="A830" s="277" t="s">
        <v>109</v>
      </c>
      <c r="B830" s="971"/>
      <c r="C830" s="316" t="s">
        <v>37</v>
      </c>
      <c r="D830" s="316"/>
      <c r="E830" s="283">
        <v>0</v>
      </c>
      <c r="F830" s="284"/>
      <c r="G830" s="337">
        <f t="shared" si="1087"/>
        <v>0</v>
      </c>
      <c r="H830" s="285"/>
      <c r="I830" s="285"/>
      <c r="J830" s="356" t="str">
        <f>IFERROR(G830/#REF!,"-")</f>
        <v>-</v>
      </c>
      <c r="K830" s="337">
        <f t="shared" si="1088"/>
        <v>0</v>
      </c>
      <c r="L830" s="275">
        <f t="shared" si="1089"/>
        <v>0</v>
      </c>
      <c r="M830" s="276">
        <f t="shared" si="1089"/>
        <v>0</v>
      </c>
      <c r="N830" s="341" t="str">
        <f t="shared" si="1083"/>
        <v>-</v>
      </c>
      <c r="O830" s="350" t="str">
        <f t="shared" si="1084"/>
        <v>-</v>
      </c>
    </row>
    <row r="831" spans="1:15" ht="24" thickBot="1" x14ac:dyDescent="0.35">
      <c r="A831" s="277" t="s">
        <v>109</v>
      </c>
      <c r="B831" s="967" t="s">
        <v>38</v>
      </c>
      <c r="C831" s="968"/>
      <c r="D831" s="969"/>
      <c r="E831" s="287">
        <f>SUM(E827:E830)</f>
        <v>64360</v>
      </c>
      <c r="F831" s="288">
        <v>6500</v>
      </c>
      <c r="G831" s="323">
        <f>SUM(G827:G830)</f>
        <v>0</v>
      </c>
      <c r="H831" s="324">
        <f t="shared" ref="H831:I831" si="1090">SUM(H827:H830)</f>
        <v>0</v>
      </c>
      <c r="I831" s="324">
        <f t="shared" si="1090"/>
        <v>0</v>
      </c>
      <c r="J831" s="348" t="str">
        <f>IFERROR(G831/#REF!,"-")</f>
        <v>-</v>
      </c>
      <c r="K831" s="323">
        <f t="shared" ref="K831:M831" si="1091">SUM(K827:K830)</f>
        <v>3945</v>
      </c>
      <c r="L831" s="324">
        <f t="shared" si="1091"/>
        <v>3840</v>
      </c>
      <c r="M831" s="325">
        <f t="shared" si="1091"/>
        <v>105</v>
      </c>
      <c r="N831" s="342">
        <f>IFERROR(K831/E831,"-")</f>
        <v>6.12958359229335E-2</v>
      </c>
      <c r="O831" s="348">
        <f t="shared" si="1084"/>
        <v>2.6615969581749048E-2</v>
      </c>
    </row>
    <row r="832" spans="1:15" ht="23.4" x14ac:dyDescent="0.3">
      <c r="A832" s="277" t="s">
        <v>109</v>
      </c>
      <c r="B832" s="970" t="s">
        <v>483</v>
      </c>
      <c r="C832" s="317" t="s">
        <v>123</v>
      </c>
      <c r="D832" s="317"/>
      <c r="E832" s="273">
        <v>39800</v>
      </c>
      <c r="F832" s="274"/>
      <c r="G832" s="335">
        <f t="shared" ref="G832:G833" si="1092">+H832+I832</f>
        <v>0</v>
      </c>
      <c r="H832" s="275"/>
      <c r="I832" s="275"/>
      <c r="J832" s="354" t="str">
        <f>IFERROR(G832/#REF!,"-")</f>
        <v>-</v>
      </c>
      <c r="K832" s="335">
        <f t="shared" ref="K832:K833" si="1093">+L832+M832</f>
        <v>144</v>
      </c>
      <c r="L832" s="275">
        <f>+H832+L726</f>
        <v>144</v>
      </c>
      <c r="M832" s="276">
        <f>+I832+M726</f>
        <v>0</v>
      </c>
      <c r="N832" s="339">
        <f t="shared" ref="N832:N848" si="1094">IFERROR(K832/E832,"-")</f>
        <v>3.6180904522613066E-3</v>
      </c>
      <c r="O832" s="349">
        <f t="shared" si="1084"/>
        <v>0</v>
      </c>
    </row>
    <row r="833" spans="1:15" ht="24" thickBot="1" x14ac:dyDescent="0.35">
      <c r="A833" s="277" t="s">
        <v>109</v>
      </c>
      <c r="B833" s="971"/>
      <c r="C833" s="289" t="s">
        <v>139</v>
      </c>
      <c r="D833" s="289"/>
      <c r="E833" s="283">
        <v>0</v>
      </c>
      <c r="F833" s="284"/>
      <c r="G833" s="337">
        <f t="shared" si="1092"/>
        <v>0</v>
      </c>
      <c r="H833" s="285"/>
      <c r="I833" s="285"/>
      <c r="J833" s="356" t="str">
        <f>IFERROR(G833/#REF!,"-")</f>
        <v>-</v>
      </c>
      <c r="K833" s="337">
        <f t="shared" si="1093"/>
        <v>240</v>
      </c>
      <c r="L833" s="275">
        <f>+H833+L727</f>
        <v>240</v>
      </c>
      <c r="M833" s="276">
        <f>+I833+M727</f>
        <v>0</v>
      </c>
      <c r="N833" s="341" t="str">
        <f t="shared" si="1094"/>
        <v>-</v>
      </c>
      <c r="O833" s="350">
        <f t="shared" si="1084"/>
        <v>0</v>
      </c>
    </row>
    <row r="834" spans="1:15" ht="24" thickBot="1" x14ac:dyDescent="0.35">
      <c r="A834" s="804" t="s">
        <v>109</v>
      </c>
      <c r="B834" s="967" t="s">
        <v>40</v>
      </c>
      <c r="C834" s="968"/>
      <c r="D834" s="969"/>
      <c r="E834" s="287">
        <f>SUM(E832:E833)</f>
        <v>39800</v>
      </c>
      <c r="F834" s="288">
        <v>2800</v>
      </c>
      <c r="G834" s="323">
        <f>SUM(G832:G833)</f>
        <v>0</v>
      </c>
      <c r="H834" s="324">
        <f t="shared" ref="H834:I834" si="1095">SUM(H832:H833)</f>
        <v>0</v>
      </c>
      <c r="I834" s="324">
        <f t="shared" si="1095"/>
        <v>0</v>
      </c>
      <c r="J834" s="348" t="str">
        <f>IFERROR(G834/#REF!,"-")</f>
        <v>-</v>
      </c>
      <c r="K834" s="323">
        <f t="shared" ref="K834:M834" si="1096">SUM(K832:K833)</f>
        <v>384</v>
      </c>
      <c r="L834" s="324">
        <f t="shared" si="1096"/>
        <v>384</v>
      </c>
      <c r="M834" s="325">
        <f t="shared" si="1096"/>
        <v>0</v>
      </c>
      <c r="N834" s="342">
        <f t="shared" si="1094"/>
        <v>9.6482412060301514E-3</v>
      </c>
      <c r="O834" s="348">
        <f t="shared" si="1084"/>
        <v>0</v>
      </c>
    </row>
    <row r="835" spans="1:15" ht="23.4" x14ac:dyDescent="0.3">
      <c r="A835" s="277" t="s">
        <v>109</v>
      </c>
      <c r="B835" s="970" t="s">
        <v>484</v>
      </c>
      <c r="C835" s="272" t="s">
        <v>335</v>
      </c>
      <c r="D835" s="272"/>
      <c r="E835" s="273">
        <v>916640</v>
      </c>
      <c r="F835" s="318"/>
      <c r="G835" s="335">
        <f t="shared" ref="G835:G839" si="1097">+H835+I835</f>
        <v>22940</v>
      </c>
      <c r="H835" s="275">
        <v>22704</v>
      </c>
      <c r="I835" s="275">
        <v>236</v>
      </c>
      <c r="J835" s="374" t="str">
        <f>IFERROR(G835/#REF!,"-")</f>
        <v>-</v>
      </c>
      <c r="K835" s="335">
        <f t="shared" ref="K835:K839" si="1098">+L835+M835</f>
        <v>157529</v>
      </c>
      <c r="L835" s="275">
        <f t="shared" ref="L835:M839" si="1099">+H835+L729</f>
        <v>155292</v>
      </c>
      <c r="M835" s="275">
        <f t="shared" si="1099"/>
        <v>2237</v>
      </c>
      <c r="N835" s="362">
        <f t="shared" si="1094"/>
        <v>0.17185481759469368</v>
      </c>
      <c r="O835" s="363">
        <f t="shared" si="1084"/>
        <v>1.4200559896907871E-2</v>
      </c>
    </row>
    <row r="836" spans="1:15" ht="23.4" x14ac:dyDescent="0.3">
      <c r="A836" s="277" t="s">
        <v>109</v>
      </c>
      <c r="B836" s="972"/>
      <c r="C836" s="272" t="s">
        <v>336</v>
      </c>
      <c r="D836" s="278"/>
      <c r="E836" s="279">
        <v>0</v>
      </c>
      <c r="F836" s="319"/>
      <c r="G836" s="336">
        <f t="shared" si="1097"/>
        <v>0</v>
      </c>
      <c r="H836" s="281"/>
      <c r="I836" s="281"/>
      <c r="J836" s="375" t="str">
        <f>IFERROR(G836/#REF!,"-")</f>
        <v>-</v>
      </c>
      <c r="K836" s="336">
        <f t="shared" si="1098"/>
        <v>0</v>
      </c>
      <c r="L836" s="275">
        <f t="shared" si="1099"/>
        <v>0</v>
      </c>
      <c r="M836" s="276">
        <f t="shared" si="1099"/>
        <v>0</v>
      </c>
      <c r="N836" s="364" t="str">
        <f t="shared" si="1094"/>
        <v>-</v>
      </c>
      <c r="O836" s="365" t="str">
        <f t="shared" si="1084"/>
        <v>-</v>
      </c>
    </row>
    <row r="837" spans="1:15" ht="23.4" x14ac:dyDescent="0.3">
      <c r="A837" s="277" t="s">
        <v>109</v>
      </c>
      <c r="B837" s="972"/>
      <c r="C837" s="278" t="s">
        <v>383</v>
      </c>
      <c r="D837" s="278"/>
      <c r="E837" s="279">
        <v>40000</v>
      </c>
      <c r="F837" s="319"/>
      <c r="G837" s="336">
        <f t="shared" si="1097"/>
        <v>0</v>
      </c>
      <c r="H837" s="281"/>
      <c r="I837" s="281"/>
      <c r="J837" s="375" t="str">
        <f>IFERROR(G837/#REF!,"-")</f>
        <v>-</v>
      </c>
      <c r="K837" s="336">
        <f t="shared" si="1098"/>
        <v>0</v>
      </c>
      <c r="L837" s="275">
        <f t="shared" si="1099"/>
        <v>0</v>
      </c>
      <c r="M837" s="276">
        <f t="shared" si="1099"/>
        <v>0</v>
      </c>
      <c r="N837" s="364">
        <f t="shared" si="1094"/>
        <v>0</v>
      </c>
      <c r="O837" s="365" t="str">
        <f t="shared" si="1084"/>
        <v>-</v>
      </c>
    </row>
    <row r="838" spans="1:15" ht="23.4" x14ac:dyDescent="0.3">
      <c r="A838" s="277" t="s">
        <v>109</v>
      </c>
      <c r="B838" s="972"/>
      <c r="C838" s="278" t="s">
        <v>165</v>
      </c>
      <c r="D838" s="278"/>
      <c r="E838" s="279">
        <v>0</v>
      </c>
      <c r="F838" s="319"/>
      <c r="G838" s="336">
        <f t="shared" si="1097"/>
        <v>0</v>
      </c>
      <c r="H838" s="281"/>
      <c r="I838" s="281"/>
      <c r="J838" s="375" t="str">
        <f>IFERROR(G838/#REF!,"-")</f>
        <v>-</v>
      </c>
      <c r="K838" s="336">
        <f t="shared" si="1098"/>
        <v>0</v>
      </c>
      <c r="L838" s="275">
        <f t="shared" si="1099"/>
        <v>0</v>
      </c>
      <c r="M838" s="276">
        <f t="shared" si="1099"/>
        <v>0</v>
      </c>
      <c r="N838" s="364" t="str">
        <f t="shared" si="1094"/>
        <v>-</v>
      </c>
      <c r="O838" s="365" t="str">
        <f t="shared" si="1084"/>
        <v>-</v>
      </c>
    </row>
    <row r="839" spans="1:15" ht="24" thickBot="1" x14ac:dyDescent="0.35">
      <c r="A839" s="277" t="s">
        <v>109</v>
      </c>
      <c r="B839" s="971"/>
      <c r="C839" s="282" t="s">
        <v>166</v>
      </c>
      <c r="D839" s="282"/>
      <c r="E839" s="283">
        <v>0</v>
      </c>
      <c r="F839" s="320"/>
      <c r="G839" s="337">
        <f t="shared" si="1097"/>
        <v>0</v>
      </c>
      <c r="H839" s="285"/>
      <c r="I839" s="285"/>
      <c r="J839" s="376" t="str">
        <f>IFERROR(G839/#REF!,"-")</f>
        <v>-</v>
      </c>
      <c r="K839" s="337">
        <f t="shared" si="1098"/>
        <v>0</v>
      </c>
      <c r="L839" s="275">
        <f t="shared" si="1099"/>
        <v>0</v>
      </c>
      <c r="M839" s="276">
        <f t="shared" si="1099"/>
        <v>0</v>
      </c>
      <c r="N839" s="366" t="str">
        <f t="shared" si="1094"/>
        <v>-</v>
      </c>
      <c r="O839" s="367" t="str">
        <f t="shared" si="1084"/>
        <v>-</v>
      </c>
    </row>
    <row r="840" spans="1:15" ht="24" thickBot="1" x14ac:dyDescent="0.35">
      <c r="A840" s="277" t="s">
        <v>109</v>
      </c>
      <c r="B840" s="967" t="s">
        <v>42</v>
      </c>
      <c r="C840" s="968"/>
      <c r="D840" s="969"/>
      <c r="E840" s="323">
        <f>SUM(E835:E839)</f>
        <v>956640</v>
      </c>
      <c r="F840" s="288">
        <v>25000</v>
      </c>
      <c r="G840" s="323">
        <f>SUM(G836:G839)</f>
        <v>0</v>
      </c>
      <c r="H840" s="324">
        <f>SUM(H835:H839)</f>
        <v>22704</v>
      </c>
      <c r="I840" s="324">
        <f t="shared" ref="I840" si="1100">SUM(I836:I839)</f>
        <v>0</v>
      </c>
      <c r="J840" s="348" t="str">
        <f>IFERROR(G840/#REF!,"-")</f>
        <v>-</v>
      </c>
      <c r="K840" s="323">
        <f>SUM(K835:K839)</f>
        <v>157529</v>
      </c>
      <c r="L840" s="324">
        <f>SUM(L835:L839)</f>
        <v>155292</v>
      </c>
      <c r="M840" s="325">
        <f>SUM(M835:M839)</f>
        <v>2237</v>
      </c>
      <c r="N840" s="342">
        <f t="shared" si="1094"/>
        <v>0.1646690500083626</v>
      </c>
      <c r="O840" s="348">
        <f t="shared" si="1084"/>
        <v>1.4200559896907871E-2</v>
      </c>
    </row>
    <row r="841" spans="1:15" ht="23.4" x14ac:dyDescent="0.3">
      <c r="A841" s="277" t="s">
        <v>109</v>
      </c>
      <c r="B841" s="970" t="s">
        <v>485</v>
      </c>
      <c r="C841" s="272" t="s">
        <v>200</v>
      </c>
      <c r="D841" s="272"/>
      <c r="E841" s="273">
        <v>0</v>
      </c>
      <c r="F841" s="274"/>
      <c r="G841" s="335">
        <f t="shared" ref="G841:G843" si="1101">+H841+I841</f>
        <v>0</v>
      </c>
      <c r="H841" s="275"/>
      <c r="I841" s="275"/>
      <c r="J841" s="354" t="str">
        <f>IFERROR(G841/#REF!,"-")</f>
        <v>-</v>
      </c>
      <c r="K841" s="335">
        <f t="shared" ref="K841:K843" si="1102">+L841+M841</f>
        <v>0</v>
      </c>
      <c r="L841" s="275">
        <f t="shared" ref="L841:M843" si="1103">+H841+L735</f>
        <v>0</v>
      </c>
      <c r="M841" s="276">
        <f t="shared" si="1103"/>
        <v>0</v>
      </c>
      <c r="N841" s="339" t="str">
        <f t="shared" si="1094"/>
        <v>-</v>
      </c>
      <c r="O841" s="349" t="str">
        <f t="shared" si="1084"/>
        <v>-</v>
      </c>
    </row>
    <row r="842" spans="1:15" ht="23.4" x14ac:dyDescent="0.3">
      <c r="A842" s="277" t="s">
        <v>109</v>
      </c>
      <c r="B842" s="972"/>
      <c r="C842" s="278" t="s">
        <v>167</v>
      </c>
      <c r="D842" s="278"/>
      <c r="E842" s="279">
        <v>50000</v>
      </c>
      <c r="F842" s="280"/>
      <c r="G842" s="336">
        <f t="shared" si="1101"/>
        <v>19856</v>
      </c>
      <c r="H842" s="281">
        <v>19536</v>
      </c>
      <c r="I842" s="281">
        <v>320</v>
      </c>
      <c r="J842" s="375" t="str">
        <f>IFERROR(G842/#REF!,"-")</f>
        <v>-</v>
      </c>
      <c r="K842" s="336">
        <f t="shared" si="1102"/>
        <v>90873</v>
      </c>
      <c r="L842" s="794">
        <f t="shared" si="1103"/>
        <v>88656</v>
      </c>
      <c r="M842" s="276">
        <f t="shared" si="1103"/>
        <v>2217</v>
      </c>
      <c r="N842" s="364">
        <f t="shared" si="1094"/>
        <v>1.8174600000000001</v>
      </c>
      <c r="O842" s="365">
        <f t="shared" si="1084"/>
        <v>2.4396685484137204E-2</v>
      </c>
    </row>
    <row r="843" spans="1:15" ht="24" thickBot="1" x14ac:dyDescent="0.35">
      <c r="A843" s="277" t="s">
        <v>109</v>
      </c>
      <c r="B843" s="971"/>
      <c r="C843" s="282" t="s">
        <v>200</v>
      </c>
      <c r="D843" s="282"/>
      <c r="E843" s="283">
        <v>0</v>
      </c>
      <c r="F843" s="284"/>
      <c r="G843" s="337">
        <f t="shared" si="1101"/>
        <v>0</v>
      </c>
      <c r="H843" s="285"/>
      <c r="I843" s="285"/>
      <c r="J843" s="376" t="str">
        <f>IFERROR(G843/#REF!,"-")</f>
        <v>-</v>
      </c>
      <c r="K843" s="337">
        <f t="shared" si="1102"/>
        <v>0</v>
      </c>
      <c r="L843" s="275">
        <f t="shared" si="1103"/>
        <v>0</v>
      </c>
      <c r="M843" s="276">
        <f t="shared" si="1103"/>
        <v>0</v>
      </c>
      <c r="N843" s="366" t="str">
        <f t="shared" si="1094"/>
        <v>-</v>
      </c>
      <c r="O843" s="367" t="str">
        <f t="shared" si="1084"/>
        <v>-</v>
      </c>
    </row>
    <row r="844" spans="1:15" ht="24" thickBot="1" x14ac:dyDescent="0.35">
      <c r="A844" s="277" t="s">
        <v>109</v>
      </c>
      <c r="B844" s="973" t="s">
        <v>44</v>
      </c>
      <c r="C844" s="974"/>
      <c r="D844" s="975"/>
      <c r="E844" s="323">
        <f>SUM(E841:E843)</f>
        <v>50000</v>
      </c>
      <c r="F844" s="288"/>
      <c r="G844" s="323">
        <f>SUM(G841:G843)</f>
        <v>19856</v>
      </c>
      <c r="H844" s="324">
        <f t="shared" ref="H844:I844" si="1104">SUM(H841:H843)</f>
        <v>19536</v>
      </c>
      <c r="I844" s="324">
        <f t="shared" si="1104"/>
        <v>320</v>
      </c>
      <c r="J844" s="348" t="str">
        <f>IFERROR(G844/#REF!,"-")</f>
        <v>-</v>
      </c>
      <c r="K844" s="323">
        <f t="shared" ref="K844:M844" si="1105">SUM(K841:K843)</f>
        <v>90873</v>
      </c>
      <c r="L844" s="368">
        <f t="shared" si="1105"/>
        <v>88656</v>
      </c>
      <c r="M844" s="370">
        <f t="shared" si="1105"/>
        <v>2217</v>
      </c>
      <c r="N844" s="342">
        <f t="shared" si="1094"/>
        <v>1.8174600000000001</v>
      </c>
      <c r="O844" s="348">
        <f t="shared" si="1084"/>
        <v>2.4396685484137204E-2</v>
      </c>
    </row>
    <row r="845" spans="1:15" ht="23.4" x14ac:dyDescent="0.3">
      <c r="A845" s="277" t="s">
        <v>109</v>
      </c>
      <c r="B845" s="970" t="s">
        <v>45</v>
      </c>
      <c r="C845" s="272" t="s">
        <v>168</v>
      </c>
      <c r="D845" s="272"/>
      <c r="E845" s="273">
        <v>0</v>
      </c>
      <c r="F845" s="274"/>
      <c r="G845" s="335">
        <f t="shared" ref="G845:G846" si="1106">+H845+I845</f>
        <v>0</v>
      </c>
      <c r="H845" s="275"/>
      <c r="I845" s="275"/>
      <c r="J845" s="374" t="str">
        <f>IFERROR(G845/#REF!,"-")</f>
        <v>-</v>
      </c>
      <c r="K845" s="739">
        <f t="shared" ref="K845:K846" si="1107">+L845+M845</f>
        <v>0</v>
      </c>
      <c r="L845" s="532">
        <f>+H845+L739</f>
        <v>0</v>
      </c>
      <c r="M845" s="247">
        <f>+I845+M739</f>
        <v>0</v>
      </c>
      <c r="N845" s="362" t="str">
        <f t="shared" si="1094"/>
        <v>-</v>
      </c>
      <c r="O845" s="363" t="str">
        <f t="shared" si="1084"/>
        <v>-</v>
      </c>
    </row>
    <row r="846" spans="1:15" ht="24" thickBot="1" x14ac:dyDescent="0.35">
      <c r="A846" s="277" t="s">
        <v>109</v>
      </c>
      <c r="B846" s="971"/>
      <c r="C846" s="282" t="s">
        <v>169</v>
      </c>
      <c r="D846" s="282"/>
      <c r="E846" s="283">
        <v>0</v>
      </c>
      <c r="F846" s="284"/>
      <c r="G846" s="337">
        <f t="shared" si="1106"/>
        <v>0</v>
      </c>
      <c r="H846" s="285"/>
      <c r="I846" s="285"/>
      <c r="J846" s="376" t="str">
        <f>IFERROR(G846/#REF!,"-")</f>
        <v>-</v>
      </c>
      <c r="K846" s="740">
        <f t="shared" si="1107"/>
        <v>0</v>
      </c>
      <c r="L846" s="535">
        <f>+H846+L740</f>
        <v>0</v>
      </c>
      <c r="M846" s="258">
        <f>+I846+M740</f>
        <v>0</v>
      </c>
      <c r="N846" s="366" t="str">
        <f t="shared" si="1094"/>
        <v>-</v>
      </c>
      <c r="O846" s="367" t="str">
        <f t="shared" si="1084"/>
        <v>-</v>
      </c>
    </row>
    <row r="847" spans="1:15" ht="24" thickBot="1" x14ac:dyDescent="0.35">
      <c r="A847" s="277" t="s">
        <v>109</v>
      </c>
      <c r="B847" s="973" t="s">
        <v>46</v>
      </c>
      <c r="C847" s="974"/>
      <c r="D847" s="975"/>
      <c r="E847" s="287">
        <v>0</v>
      </c>
      <c r="F847" s="288">
        <v>25000</v>
      </c>
      <c r="G847" s="323">
        <f>SUM(G845:G846)</f>
        <v>0</v>
      </c>
      <c r="H847" s="324">
        <f t="shared" ref="H847:I847" si="1108">SUM(H845:H846)</f>
        <v>0</v>
      </c>
      <c r="I847" s="324">
        <f t="shared" si="1108"/>
        <v>0</v>
      </c>
      <c r="J847" s="348" t="str">
        <f>IFERROR(G847/#REF!,"-")</f>
        <v>-</v>
      </c>
      <c r="K847" s="323">
        <f t="shared" ref="K847:M847" si="1109">SUM(K845:K846)</f>
        <v>0</v>
      </c>
      <c r="L847" s="524">
        <f t="shared" si="1109"/>
        <v>0</v>
      </c>
      <c r="M847" s="733">
        <f t="shared" si="1109"/>
        <v>0</v>
      </c>
      <c r="N847" s="342" t="str">
        <f t="shared" si="1094"/>
        <v>-</v>
      </c>
      <c r="O847" s="348" t="str">
        <f t="shared" si="1084"/>
        <v>-</v>
      </c>
    </row>
    <row r="848" spans="1:15" ht="24" thickBot="1" x14ac:dyDescent="0.35">
      <c r="A848" s="277" t="s">
        <v>109</v>
      </c>
      <c r="B848" s="959" t="s">
        <v>25</v>
      </c>
      <c r="C848" s="960"/>
      <c r="D848" s="961"/>
      <c r="E848" s="329">
        <f t="shared" ref="E848:F848" si="1110">+E826+E831+E834+E840+E844+E847</f>
        <v>1144800</v>
      </c>
      <c r="F848" s="330">
        <f t="shared" si="1110"/>
        <v>65800</v>
      </c>
      <c r="G848" s="329">
        <f>+G826+G831+G834+G840+G844+G847</f>
        <v>20176</v>
      </c>
      <c r="H848" s="327">
        <f>+H826+H831+H834+H840+H844+H847</f>
        <v>42560</v>
      </c>
      <c r="I848" s="327">
        <f t="shared" ref="I848" si="1111">+I826+I831+I834+I840+I844+I847</f>
        <v>320</v>
      </c>
      <c r="J848" s="352" t="str">
        <f>IFERROR(G848/#REF!,"-")</f>
        <v>-</v>
      </c>
      <c r="K848" s="329">
        <f>+K826+K831+K834+K840+K844+K847</f>
        <v>265403</v>
      </c>
      <c r="L848" s="327">
        <f t="shared" ref="L848:M848" si="1112">+L826+L831+L834+L840+L844+L847</f>
        <v>260652</v>
      </c>
      <c r="M848" s="328">
        <f t="shared" si="1112"/>
        <v>4751</v>
      </c>
      <c r="N848" s="344">
        <f t="shared" si="1094"/>
        <v>0.23183350803633823</v>
      </c>
      <c r="O848" s="352">
        <f t="shared" si="1084"/>
        <v>1.7901078736864317E-2</v>
      </c>
    </row>
    <row r="849" spans="1:15" ht="24" thickBot="1" x14ac:dyDescent="0.35">
      <c r="A849" s="321" t="s">
        <v>109</v>
      </c>
      <c r="B849" s="962" t="s">
        <v>181</v>
      </c>
      <c r="C849" s="962"/>
      <c r="D849" s="963"/>
      <c r="E849" s="333">
        <f>+E848</f>
        <v>1144800</v>
      </c>
      <c r="F849" s="334">
        <f t="shared" ref="F849:O849" si="1113">+F848</f>
        <v>65800</v>
      </c>
      <c r="G849" s="333">
        <f t="shared" si="1113"/>
        <v>20176</v>
      </c>
      <c r="H849" s="331">
        <f t="shared" si="1113"/>
        <v>42560</v>
      </c>
      <c r="I849" s="331">
        <f t="shared" si="1113"/>
        <v>320</v>
      </c>
      <c r="J849" s="353" t="str">
        <f t="shared" si="1113"/>
        <v>-</v>
      </c>
      <c r="K849" s="333">
        <f t="shared" si="1113"/>
        <v>265403</v>
      </c>
      <c r="L849" s="331">
        <f t="shared" si="1113"/>
        <v>260652</v>
      </c>
      <c r="M849" s="332">
        <f t="shared" si="1113"/>
        <v>4751</v>
      </c>
      <c r="N849" s="345">
        <f t="shared" si="1113"/>
        <v>0.23183350803633823</v>
      </c>
      <c r="O849" s="353">
        <f t="shared" si="1113"/>
        <v>1.7901078736864317E-2</v>
      </c>
    </row>
    <row r="850" spans="1:15" ht="24.6" thickBot="1" x14ac:dyDescent="0.35">
      <c r="A850" s="322"/>
      <c r="B850" s="964" t="s">
        <v>182</v>
      </c>
      <c r="C850" s="965"/>
      <c r="D850" s="966"/>
      <c r="E850" s="377">
        <f>+E793+E822+E849</f>
        <v>10258981</v>
      </c>
      <c r="F850" s="377">
        <f>+F793+F822+F849</f>
        <v>1014800</v>
      </c>
      <c r="G850" s="377">
        <f>+G793+G822+G849</f>
        <v>271986</v>
      </c>
      <c r="H850" s="377">
        <f>+H793+H822+H849</f>
        <v>291415</v>
      </c>
      <c r="I850" s="377">
        <f>+I793+I822+I849</f>
        <v>3275</v>
      </c>
      <c r="J850" s="378" t="str">
        <f>IFERROR(G850/#REF!,"-")</f>
        <v>-</v>
      </c>
      <c r="K850" s="377">
        <f>+K793+K822+K849</f>
        <v>3225363</v>
      </c>
      <c r="L850" s="377">
        <f>+L793+L822+L849</f>
        <v>3190372</v>
      </c>
      <c r="M850" s="377">
        <f>+M793+M822+M849</f>
        <v>34991</v>
      </c>
      <c r="N850" s="378">
        <f>IFERROR(K850/E850,"-")</f>
        <v>0.31439409040722466</v>
      </c>
      <c r="O850" s="378">
        <f>IFERROR(M850/K850,"-")</f>
        <v>1.0848701370977468E-2</v>
      </c>
    </row>
    <row r="851" spans="1:15" ht="23.4" x14ac:dyDescent="0.3">
      <c r="A851" s="991" t="s">
        <v>1</v>
      </c>
      <c r="B851" s="994" t="s">
        <v>2</v>
      </c>
      <c r="C851" s="997" t="s">
        <v>477</v>
      </c>
      <c r="D851" s="997" t="s">
        <v>478</v>
      </c>
      <c r="E851" s="1000" t="s">
        <v>4</v>
      </c>
      <c r="F851" s="1001"/>
      <c r="G851" s="1001"/>
      <c r="H851" s="1001"/>
      <c r="I851" s="1001"/>
      <c r="J851" s="1001"/>
      <c r="K851" s="1001"/>
      <c r="L851" s="1001"/>
      <c r="M851" s="1001"/>
      <c r="N851" s="1001"/>
      <c r="O851" s="1002"/>
    </row>
    <row r="852" spans="1:15" ht="23.4" x14ac:dyDescent="0.3">
      <c r="A852" s="992"/>
      <c r="B852" s="995"/>
      <c r="C852" s="998"/>
      <c r="D852" s="998"/>
      <c r="E852" s="1003" t="s">
        <v>7</v>
      </c>
      <c r="F852" s="1005" t="s">
        <v>115</v>
      </c>
      <c r="G852" s="1007">
        <v>44543</v>
      </c>
      <c r="H852" s="1008"/>
      <c r="I852" s="1008"/>
      <c r="J852" s="1009"/>
      <c r="K852" s="1010" t="s">
        <v>479</v>
      </c>
      <c r="L852" s="1011"/>
      <c r="M852" s="1012"/>
      <c r="N852" s="1013" t="s">
        <v>480</v>
      </c>
      <c r="O852" s="1015" t="s">
        <v>172</v>
      </c>
    </row>
    <row r="853" spans="1:15" ht="41.4" thickBot="1" x14ac:dyDescent="0.35">
      <c r="A853" s="993"/>
      <c r="B853" s="996"/>
      <c r="C853" s="999"/>
      <c r="D853" s="999"/>
      <c r="E853" s="1004"/>
      <c r="F853" s="1006"/>
      <c r="G853" s="455" t="s">
        <v>13</v>
      </c>
      <c r="H853" s="456" t="s">
        <v>14</v>
      </c>
      <c r="I853" s="456" t="s">
        <v>15</v>
      </c>
      <c r="J853" s="457" t="s">
        <v>174</v>
      </c>
      <c r="K853" s="712" t="s">
        <v>13</v>
      </c>
      <c r="L853" s="710" t="s">
        <v>14</v>
      </c>
      <c r="M853" s="711" t="s">
        <v>15</v>
      </c>
      <c r="N853" s="1014"/>
      <c r="O853" s="1016"/>
    </row>
    <row r="854" spans="1:15" ht="24" thickBot="1" x14ac:dyDescent="0.35">
      <c r="A854" s="271" t="s">
        <v>110</v>
      </c>
      <c r="B854" s="956" t="s">
        <v>16</v>
      </c>
      <c r="C854" s="272" t="s">
        <v>424</v>
      </c>
      <c r="D854" s="272" t="s">
        <v>425</v>
      </c>
      <c r="E854" s="273">
        <v>20000</v>
      </c>
      <c r="F854" s="274"/>
      <c r="G854" s="335">
        <f>+H854+I854</f>
        <v>0</v>
      </c>
      <c r="H854" s="275"/>
      <c r="I854" s="275"/>
      <c r="J854" s="354"/>
      <c r="K854" s="461">
        <f>+L854+M854</f>
        <v>20432</v>
      </c>
      <c r="L854" s="732">
        <f>+H854+L748</f>
        <v>19840</v>
      </c>
      <c r="M854" s="732">
        <f>+I854+M748</f>
        <v>592</v>
      </c>
      <c r="N854" s="339">
        <f>IFERROR(K854/E854,"-")</f>
        <v>1.0216000000000001</v>
      </c>
      <c r="O854" s="346">
        <f t="shared" ref="O854:O855" si="1114">IFERROR(M854/K854,"-")</f>
        <v>2.8974158183241974E-2</v>
      </c>
    </row>
    <row r="855" spans="1:15" ht="23.4" x14ac:dyDescent="0.3">
      <c r="A855" s="277" t="s">
        <v>110</v>
      </c>
      <c r="B855" s="957"/>
      <c r="C855" s="278" t="s">
        <v>438</v>
      </c>
      <c r="D855" s="278" t="s">
        <v>437</v>
      </c>
      <c r="E855" s="279">
        <v>50000</v>
      </c>
      <c r="F855" s="280"/>
      <c r="G855" s="336">
        <f t="shared" ref="G855:G857" si="1115">+H855+I855</f>
        <v>0</v>
      </c>
      <c r="H855" s="281"/>
      <c r="I855" s="281"/>
      <c r="J855" s="355" t="str">
        <f>IFERROR(G855/#REF!,"-")</f>
        <v>-</v>
      </c>
      <c r="K855" s="734">
        <f t="shared" ref="K855:K857" si="1116">+L855+M855</f>
        <v>48806</v>
      </c>
      <c r="L855" s="532">
        <f t="shared" ref="L855:L857" si="1117">+H855+L749</f>
        <v>48381</v>
      </c>
      <c r="M855" s="463">
        <f t="shared" ref="M855:M857" si="1118">+I855+M749</f>
        <v>425</v>
      </c>
      <c r="N855" s="340">
        <f t="shared" ref="N855:N857" si="1119">IFERROR(K855/E855,"-")</f>
        <v>0.97611999999999999</v>
      </c>
      <c r="O855" s="268">
        <f t="shared" si="1114"/>
        <v>8.7079457443756912E-3</v>
      </c>
    </row>
    <row r="856" spans="1:15" ht="23.4" x14ac:dyDescent="0.3">
      <c r="A856" s="277" t="s">
        <v>110</v>
      </c>
      <c r="B856" s="957"/>
      <c r="C856" s="278" t="s">
        <v>186</v>
      </c>
      <c r="D856" s="278" t="s">
        <v>184</v>
      </c>
      <c r="E856" s="279">
        <v>0</v>
      </c>
      <c r="F856" s="280"/>
      <c r="G856" s="336">
        <f t="shared" si="1115"/>
        <v>0</v>
      </c>
      <c r="H856" s="281"/>
      <c r="I856" s="281"/>
      <c r="J856" s="355" t="str">
        <f>IFERROR(G856/#REF!,"-")</f>
        <v>-</v>
      </c>
      <c r="K856" s="734">
        <f t="shared" si="1116"/>
        <v>0</v>
      </c>
      <c r="L856" s="279">
        <f t="shared" si="1117"/>
        <v>0</v>
      </c>
      <c r="M856" s="439">
        <f t="shared" si="1118"/>
        <v>0</v>
      </c>
      <c r="N856" s="340" t="str">
        <f t="shared" si="1119"/>
        <v>-</v>
      </c>
      <c r="O856" s="268" t="str">
        <f>IFERROR(M856/K856,"-")</f>
        <v>-</v>
      </c>
    </row>
    <row r="857" spans="1:15" ht="24" thickBot="1" x14ac:dyDescent="0.35">
      <c r="A857" s="277" t="s">
        <v>110</v>
      </c>
      <c r="B857" s="958"/>
      <c r="C857" s="282" t="s">
        <v>250</v>
      </c>
      <c r="D857" s="282" t="s">
        <v>436</v>
      </c>
      <c r="E857" s="283">
        <v>30000</v>
      </c>
      <c r="F857" s="284"/>
      <c r="G857" s="337">
        <f t="shared" si="1115"/>
        <v>0</v>
      </c>
      <c r="H857" s="285"/>
      <c r="I857" s="285"/>
      <c r="J857" s="356" t="str">
        <f>IFERROR(G857/#REF!,"-")</f>
        <v>-</v>
      </c>
      <c r="K857" s="735">
        <f t="shared" si="1116"/>
        <v>0</v>
      </c>
      <c r="L857" s="535">
        <f t="shared" si="1117"/>
        <v>0</v>
      </c>
      <c r="M857" s="466">
        <f t="shared" si="1118"/>
        <v>0</v>
      </c>
      <c r="N857" s="341">
        <f t="shared" si="1119"/>
        <v>0</v>
      </c>
      <c r="O857" s="347" t="str">
        <f t="shared" ref="O857:O875" si="1120">IFERROR(M857/K857,"-")</f>
        <v>-</v>
      </c>
    </row>
    <row r="858" spans="1:15" ht="24" thickBot="1" x14ac:dyDescent="0.35">
      <c r="A858" s="277" t="s">
        <v>110</v>
      </c>
      <c r="B858" s="967" t="s">
        <v>47</v>
      </c>
      <c r="C858" s="968"/>
      <c r="D858" s="969"/>
      <c r="E858" s="323">
        <f>SUM(E854:E857)</f>
        <v>100000</v>
      </c>
      <c r="F858" s="288">
        <v>15000</v>
      </c>
      <c r="G858" s="323">
        <f>SUM(G854:G857)</f>
        <v>0</v>
      </c>
      <c r="H858" s="324">
        <f t="shared" ref="H858:I858" si="1121">SUM(H854:H857)</f>
        <v>0</v>
      </c>
      <c r="I858" s="324">
        <f t="shared" si="1121"/>
        <v>0</v>
      </c>
      <c r="J858" s="348">
        <f>+G858/F858</f>
        <v>0</v>
      </c>
      <c r="K858" s="323">
        <f t="shared" ref="K858:M858" si="1122">SUM(K854:K857)</f>
        <v>69238</v>
      </c>
      <c r="L858" s="736">
        <f t="shared" si="1122"/>
        <v>68221</v>
      </c>
      <c r="M858" s="737">
        <f t="shared" si="1122"/>
        <v>1017</v>
      </c>
      <c r="N858" s="342">
        <f>IFERROR(K858/E858,"-")</f>
        <v>0.69238</v>
      </c>
      <c r="O858" s="348">
        <f t="shared" si="1120"/>
        <v>1.4688465871342326E-2</v>
      </c>
    </row>
    <row r="859" spans="1:15" ht="23.4" x14ac:dyDescent="0.3">
      <c r="A859" s="277" t="s">
        <v>110</v>
      </c>
      <c r="B859" s="956" t="s">
        <v>17</v>
      </c>
      <c r="C859" s="272" t="s">
        <v>320</v>
      </c>
      <c r="D859" s="272"/>
      <c r="E859" s="273">
        <v>0</v>
      </c>
      <c r="F859" s="274"/>
      <c r="G859" s="335">
        <f t="shared" ref="G859:G865" si="1123">+H859+I859</f>
        <v>0</v>
      </c>
      <c r="H859" s="275"/>
      <c r="I859" s="275"/>
      <c r="J859" s="354" t="str">
        <f>IFERROR(G859/#REF!,"-")</f>
        <v>-</v>
      </c>
      <c r="K859" s="738">
        <f t="shared" ref="K859:K865" si="1124">+L859+M859</f>
        <v>0</v>
      </c>
      <c r="L859" s="532">
        <f t="shared" ref="L859:L865" si="1125">+H859+L753</f>
        <v>0</v>
      </c>
      <c r="M859" s="463">
        <f t="shared" ref="M859:M865" si="1126">+I859+M753</f>
        <v>0</v>
      </c>
      <c r="N859" s="339" t="str">
        <f t="shared" ref="N859:N865" si="1127">IFERROR(K859/E859,"-")</f>
        <v>-</v>
      </c>
      <c r="O859" s="349" t="str">
        <f t="shared" si="1120"/>
        <v>-</v>
      </c>
    </row>
    <row r="860" spans="1:15" ht="23.4" x14ac:dyDescent="0.3">
      <c r="A860" s="277" t="s">
        <v>110</v>
      </c>
      <c r="B860" s="957"/>
      <c r="C860" s="278" t="s">
        <v>382</v>
      </c>
      <c r="D860" s="278" t="s">
        <v>252</v>
      </c>
      <c r="E860" s="279">
        <v>2000000</v>
      </c>
      <c r="F860" s="280"/>
      <c r="G860" s="336">
        <f t="shared" si="1123"/>
        <v>6120</v>
      </c>
      <c r="H860" s="281">
        <v>6120</v>
      </c>
      <c r="I860" s="281"/>
      <c r="J860" s="355" t="str">
        <f>IFERROR(G860/#REF!,"-")</f>
        <v>-</v>
      </c>
      <c r="K860" s="734">
        <f t="shared" si="1124"/>
        <v>593131</v>
      </c>
      <c r="L860" s="279">
        <f t="shared" si="1125"/>
        <v>590503</v>
      </c>
      <c r="M860" s="439">
        <f t="shared" si="1126"/>
        <v>2628</v>
      </c>
      <c r="N860" s="340">
        <f t="shared" si="1127"/>
        <v>0.29656549999999998</v>
      </c>
      <c r="O860" s="264">
        <f t="shared" si="1120"/>
        <v>4.4307244099532819E-3</v>
      </c>
    </row>
    <row r="861" spans="1:15" ht="23.4" x14ac:dyDescent="0.3">
      <c r="A861" s="277" t="s">
        <v>110</v>
      </c>
      <c r="B861" s="957"/>
      <c r="C861" s="278" t="s">
        <v>422</v>
      </c>
      <c r="D861" s="278" t="s">
        <v>201</v>
      </c>
      <c r="E861" s="279">
        <v>1000000</v>
      </c>
      <c r="F861" s="280"/>
      <c r="G861" s="336">
        <f t="shared" si="1123"/>
        <v>0</v>
      </c>
      <c r="H861" s="281"/>
      <c r="I861" s="281"/>
      <c r="J861" s="355" t="str">
        <f>IFERROR(G861/#REF!,"-")</f>
        <v>-</v>
      </c>
      <c r="K861" s="734">
        <f t="shared" si="1124"/>
        <v>453213</v>
      </c>
      <c r="L861" s="279">
        <f t="shared" si="1125"/>
        <v>451656</v>
      </c>
      <c r="M861" s="439">
        <f t="shared" si="1126"/>
        <v>1557</v>
      </c>
      <c r="N861" s="340">
        <f t="shared" si="1127"/>
        <v>0.45321299999999998</v>
      </c>
      <c r="O861" s="264">
        <f t="shared" si="1120"/>
        <v>3.435470738924082E-3</v>
      </c>
    </row>
    <row r="862" spans="1:15" ht="23.4" x14ac:dyDescent="0.3">
      <c r="A862" s="277" t="s">
        <v>110</v>
      </c>
      <c r="B862" s="957"/>
      <c r="C862" s="278" t="s">
        <v>319</v>
      </c>
      <c r="D862" s="278" t="s">
        <v>202</v>
      </c>
      <c r="E862" s="279">
        <v>0</v>
      </c>
      <c r="F862" s="280"/>
      <c r="G862" s="336">
        <f t="shared" si="1123"/>
        <v>0</v>
      </c>
      <c r="H862" s="281"/>
      <c r="I862" s="281"/>
      <c r="J862" s="355" t="str">
        <f>IFERROR(G862/#REF!,"-")</f>
        <v>-</v>
      </c>
      <c r="K862" s="734">
        <f t="shared" si="1124"/>
        <v>0</v>
      </c>
      <c r="L862" s="279">
        <f t="shared" si="1125"/>
        <v>0</v>
      </c>
      <c r="M862" s="439">
        <f t="shared" si="1126"/>
        <v>0</v>
      </c>
      <c r="N862" s="340" t="str">
        <f t="shared" si="1127"/>
        <v>-</v>
      </c>
      <c r="O862" s="264" t="str">
        <f t="shared" si="1120"/>
        <v>-</v>
      </c>
    </row>
    <row r="863" spans="1:15" ht="23.4" x14ac:dyDescent="0.3">
      <c r="A863" s="277" t="s">
        <v>110</v>
      </c>
      <c r="B863" s="957"/>
      <c r="C863" s="278" t="s">
        <v>358</v>
      </c>
      <c r="D863" s="278" t="s">
        <v>352</v>
      </c>
      <c r="E863" s="279">
        <v>500000</v>
      </c>
      <c r="F863" s="280"/>
      <c r="G863" s="336">
        <f t="shared" si="1123"/>
        <v>104300</v>
      </c>
      <c r="H863" s="281">
        <v>104040</v>
      </c>
      <c r="I863" s="281">
        <v>260</v>
      </c>
      <c r="J863" s="355" t="str">
        <f>IFERROR(G863/#REF!,"-")</f>
        <v>-</v>
      </c>
      <c r="K863" s="734">
        <f t="shared" si="1124"/>
        <v>104300</v>
      </c>
      <c r="L863" s="279">
        <f t="shared" si="1125"/>
        <v>104040</v>
      </c>
      <c r="M863" s="439">
        <f t="shared" si="1126"/>
        <v>260</v>
      </c>
      <c r="N863" s="340">
        <f t="shared" si="1127"/>
        <v>0.20860000000000001</v>
      </c>
      <c r="O863" s="264">
        <f t="shared" si="1120"/>
        <v>2.4928092042186003E-3</v>
      </c>
    </row>
    <row r="864" spans="1:15" ht="23.4" x14ac:dyDescent="0.3">
      <c r="A864" s="277" t="s">
        <v>110</v>
      </c>
      <c r="B864" s="957"/>
      <c r="C864" s="278" t="s">
        <v>392</v>
      </c>
      <c r="D864" s="278" t="s">
        <v>203</v>
      </c>
      <c r="E864" s="279">
        <v>0</v>
      </c>
      <c r="F864" s="280"/>
      <c r="G864" s="336">
        <f t="shared" si="1123"/>
        <v>0</v>
      </c>
      <c r="H864" s="281"/>
      <c r="I864" s="281"/>
      <c r="J864" s="355" t="str">
        <f>IFERROR(G864/#REF!,"-")</f>
        <v>-</v>
      </c>
      <c r="K864" s="734">
        <f t="shared" si="1124"/>
        <v>0</v>
      </c>
      <c r="L864" s="279">
        <f t="shared" si="1125"/>
        <v>0</v>
      </c>
      <c r="M864" s="439">
        <f t="shared" si="1126"/>
        <v>0</v>
      </c>
      <c r="N864" s="340" t="str">
        <f t="shared" si="1127"/>
        <v>-</v>
      </c>
      <c r="O864" s="264" t="str">
        <f t="shared" si="1120"/>
        <v>-</v>
      </c>
    </row>
    <row r="865" spans="1:15" ht="24" thickBot="1" x14ac:dyDescent="0.35">
      <c r="A865" s="277" t="s">
        <v>110</v>
      </c>
      <c r="B865" s="958"/>
      <c r="C865" s="282" t="s">
        <v>379</v>
      </c>
      <c r="D865" s="282" t="s">
        <v>252</v>
      </c>
      <c r="E865" s="283">
        <v>0</v>
      </c>
      <c r="F865" s="284"/>
      <c r="G865" s="337">
        <f t="shared" si="1123"/>
        <v>0</v>
      </c>
      <c r="H865" s="285"/>
      <c r="I865" s="285"/>
      <c r="J865" s="356" t="str">
        <f>IFERROR(G865/#REF!,"-")</f>
        <v>-</v>
      </c>
      <c r="K865" s="735">
        <f t="shared" si="1124"/>
        <v>0</v>
      </c>
      <c r="L865" s="535">
        <f t="shared" si="1125"/>
        <v>0</v>
      </c>
      <c r="M865" s="466">
        <f t="shared" si="1126"/>
        <v>0</v>
      </c>
      <c r="N865" s="341" t="str">
        <f t="shared" si="1127"/>
        <v>-</v>
      </c>
      <c r="O865" s="350" t="str">
        <f t="shared" si="1120"/>
        <v>-</v>
      </c>
    </row>
    <row r="866" spans="1:15" ht="24" thickBot="1" x14ac:dyDescent="0.35">
      <c r="A866" s="277" t="s">
        <v>110</v>
      </c>
      <c r="B866" s="967" t="s">
        <v>48</v>
      </c>
      <c r="C866" s="968"/>
      <c r="D866" s="969"/>
      <c r="E866" s="323">
        <f>SUM(E859:E865)</f>
        <v>3500000</v>
      </c>
      <c r="F866" s="288">
        <v>200000</v>
      </c>
      <c r="G866" s="323">
        <f>SUM(G859:G865)</f>
        <v>110420</v>
      </c>
      <c r="H866" s="324">
        <f t="shared" ref="H866:I866" si="1128">SUM(H859:H865)</f>
        <v>110160</v>
      </c>
      <c r="I866" s="324">
        <f t="shared" si="1128"/>
        <v>260</v>
      </c>
      <c r="J866" s="348">
        <f>+G866/F866</f>
        <v>0.55210000000000004</v>
      </c>
      <c r="K866" s="323">
        <f>SUM(K859:K865)</f>
        <v>1150644</v>
      </c>
      <c r="L866" s="524">
        <f>SUM(L859:L865)</f>
        <v>1146199</v>
      </c>
      <c r="M866" s="733">
        <f t="shared" ref="M866" si="1129">SUM(M859:M865)</f>
        <v>4445</v>
      </c>
      <c r="N866" s="342">
        <f>IFERROR(K866/E866,"-")</f>
        <v>0.32875542857142859</v>
      </c>
      <c r="O866" s="348">
        <f t="shared" si="1120"/>
        <v>3.863054081018977E-3</v>
      </c>
    </row>
    <row r="867" spans="1:15" ht="23.4" x14ac:dyDescent="0.3">
      <c r="A867" s="277" t="s">
        <v>110</v>
      </c>
      <c r="B867" s="956" t="s">
        <v>18</v>
      </c>
      <c r="C867" s="272" t="s">
        <v>344</v>
      </c>
      <c r="D867" s="272" t="s">
        <v>99</v>
      </c>
      <c r="E867" s="273">
        <v>0</v>
      </c>
      <c r="F867" s="274"/>
      <c r="G867" s="335">
        <f t="shared" ref="G867:G873" si="1130">+H867+I867</f>
        <v>0</v>
      </c>
      <c r="H867" s="275"/>
      <c r="I867" s="275"/>
      <c r="J867" s="354" t="str">
        <f>IFERROR(G867/#REF!,"-")</f>
        <v>-</v>
      </c>
      <c r="K867" s="335">
        <f t="shared" ref="K867:K873" si="1131">+L867+M867</f>
        <v>0</v>
      </c>
      <c r="L867" s="275">
        <f t="shared" ref="L867:L873" si="1132">+H867+L761</f>
        <v>0</v>
      </c>
      <c r="M867" s="276">
        <f t="shared" ref="M867:M873" si="1133">+I867+M761</f>
        <v>0</v>
      </c>
      <c r="N867" s="339" t="str">
        <f t="shared" ref="N867:N874" si="1134">IFERROR(K867/E867,"-")</f>
        <v>-</v>
      </c>
      <c r="O867" s="349" t="str">
        <f t="shared" si="1120"/>
        <v>-</v>
      </c>
    </row>
    <row r="868" spans="1:15" ht="23.4" x14ac:dyDescent="0.3">
      <c r="A868" s="277" t="s">
        <v>110</v>
      </c>
      <c r="B868" s="957"/>
      <c r="C868" s="278" t="s">
        <v>253</v>
      </c>
      <c r="D868" s="278" t="s">
        <v>254</v>
      </c>
      <c r="E868" s="279">
        <v>0</v>
      </c>
      <c r="F868" s="280"/>
      <c r="G868" s="336">
        <f t="shared" si="1130"/>
        <v>0</v>
      </c>
      <c r="H868" s="281"/>
      <c r="I868" s="281"/>
      <c r="J868" s="355" t="str">
        <f>IFERROR(G868/#REF!,"-")</f>
        <v>-</v>
      </c>
      <c r="K868" s="336">
        <f t="shared" si="1131"/>
        <v>0</v>
      </c>
      <c r="L868" s="275">
        <f t="shared" si="1132"/>
        <v>0</v>
      </c>
      <c r="M868" s="276">
        <f t="shared" si="1133"/>
        <v>0</v>
      </c>
      <c r="N868" s="340" t="str">
        <f t="shared" si="1134"/>
        <v>-</v>
      </c>
      <c r="O868" s="264" t="str">
        <f t="shared" si="1120"/>
        <v>-</v>
      </c>
    </row>
    <row r="869" spans="1:15" ht="23.4" x14ac:dyDescent="0.3">
      <c r="A869" s="277" t="s">
        <v>110</v>
      </c>
      <c r="B869" s="957"/>
      <c r="C869" s="278" t="s">
        <v>122</v>
      </c>
      <c r="D869" s="278"/>
      <c r="E869" s="279">
        <v>0</v>
      </c>
      <c r="F869" s="280"/>
      <c r="G869" s="336">
        <f t="shared" si="1130"/>
        <v>0</v>
      </c>
      <c r="H869" s="281"/>
      <c r="I869" s="281"/>
      <c r="J869" s="355" t="str">
        <f>IFERROR(G869/#REF!,"-")</f>
        <v>-</v>
      </c>
      <c r="K869" s="336">
        <f t="shared" si="1131"/>
        <v>0</v>
      </c>
      <c r="L869" s="275">
        <f t="shared" si="1132"/>
        <v>0</v>
      </c>
      <c r="M869" s="276">
        <f t="shared" si="1133"/>
        <v>0</v>
      </c>
      <c r="N869" s="340" t="str">
        <f t="shared" si="1134"/>
        <v>-</v>
      </c>
      <c r="O869" s="264" t="str">
        <f t="shared" si="1120"/>
        <v>-</v>
      </c>
    </row>
    <row r="870" spans="1:15" ht="23.4" x14ac:dyDescent="0.3">
      <c r="A870" s="277" t="s">
        <v>110</v>
      </c>
      <c r="B870" s="957"/>
      <c r="C870" s="278" t="s">
        <v>129</v>
      </c>
      <c r="D870" s="278"/>
      <c r="E870" s="279">
        <v>0</v>
      </c>
      <c r="F870" s="280"/>
      <c r="G870" s="336">
        <f t="shared" si="1130"/>
        <v>0</v>
      </c>
      <c r="H870" s="281"/>
      <c r="I870" s="281"/>
      <c r="J870" s="355" t="str">
        <f>IFERROR(G870/#REF!,"-")</f>
        <v>-</v>
      </c>
      <c r="K870" s="336">
        <f t="shared" si="1131"/>
        <v>0</v>
      </c>
      <c r="L870" s="275">
        <f t="shared" si="1132"/>
        <v>0</v>
      </c>
      <c r="M870" s="276">
        <f t="shared" si="1133"/>
        <v>0</v>
      </c>
      <c r="N870" s="340" t="str">
        <f t="shared" si="1134"/>
        <v>-</v>
      </c>
      <c r="O870" s="264" t="str">
        <f t="shared" si="1120"/>
        <v>-</v>
      </c>
    </row>
    <row r="871" spans="1:15" ht="23.4" x14ac:dyDescent="0.3">
      <c r="A871" s="277" t="s">
        <v>110</v>
      </c>
      <c r="B871" s="957"/>
      <c r="C871" s="278" t="s">
        <v>189</v>
      </c>
      <c r="D871" s="278" t="s">
        <v>190</v>
      </c>
      <c r="E871" s="279">
        <v>0</v>
      </c>
      <c r="F871" s="280"/>
      <c r="G871" s="336">
        <f t="shared" si="1130"/>
        <v>0</v>
      </c>
      <c r="H871" s="281"/>
      <c r="I871" s="281"/>
      <c r="J871" s="355" t="str">
        <f>IFERROR(G871/#REF!,"-")</f>
        <v>-</v>
      </c>
      <c r="K871" s="336">
        <f t="shared" si="1131"/>
        <v>0</v>
      </c>
      <c r="L871" s="275">
        <f t="shared" si="1132"/>
        <v>0</v>
      </c>
      <c r="M871" s="276">
        <f t="shared" si="1133"/>
        <v>0</v>
      </c>
      <c r="N871" s="340" t="str">
        <f t="shared" si="1134"/>
        <v>-</v>
      </c>
      <c r="O871" s="264" t="str">
        <f t="shared" si="1120"/>
        <v>-</v>
      </c>
    </row>
    <row r="872" spans="1:15" ht="23.4" x14ac:dyDescent="0.3">
      <c r="A872" s="277" t="s">
        <v>110</v>
      </c>
      <c r="B872" s="957"/>
      <c r="C872" s="278" t="s">
        <v>192</v>
      </c>
      <c r="D872" s="278" t="s">
        <v>191</v>
      </c>
      <c r="E872" s="279">
        <v>0</v>
      </c>
      <c r="F872" s="280"/>
      <c r="G872" s="336">
        <f t="shared" si="1130"/>
        <v>0</v>
      </c>
      <c r="H872" s="281"/>
      <c r="I872" s="281"/>
      <c r="J872" s="355" t="str">
        <f>IFERROR(G872/#REF!,"-")</f>
        <v>-</v>
      </c>
      <c r="K872" s="336">
        <f t="shared" si="1131"/>
        <v>0</v>
      </c>
      <c r="L872" s="275">
        <f t="shared" si="1132"/>
        <v>0</v>
      </c>
      <c r="M872" s="276">
        <f t="shared" si="1133"/>
        <v>0</v>
      </c>
      <c r="N872" s="340" t="str">
        <f t="shared" si="1134"/>
        <v>-</v>
      </c>
      <c r="O872" s="264" t="str">
        <f t="shared" si="1120"/>
        <v>-</v>
      </c>
    </row>
    <row r="873" spans="1:15" ht="24" thickBot="1" x14ac:dyDescent="0.35">
      <c r="A873" s="277" t="s">
        <v>110</v>
      </c>
      <c r="B873" s="958"/>
      <c r="C873" s="289" t="s">
        <v>193</v>
      </c>
      <c r="D873" s="289" t="s">
        <v>114</v>
      </c>
      <c r="E873" s="283">
        <v>0</v>
      </c>
      <c r="F873" s="284"/>
      <c r="G873" s="337">
        <f t="shared" si="1130"/>
        <v>0</v>
      </c>
      <c r="H873" s="285"/>
      <c r="I873" s="285"/>
      <c r="J873" s="356" t="str">
        <f>IFERROR(G873/#REF!,"-")</f>
        <v>-</v>
      </c>
      <c r="K873" s="337">
        <f t="shared" si="1131"/>
        <v>0</v>
      </c>
      <c r="L873" s="275">
        <f t="shared" si="1132"/>
        <v>0</v>
      </c>
      <c r="M873" s="276">
        <f t="shared" si="1133"/>
        <v>0</v>
      </c>
      <c r="N873" s="341" t="str">
        <f t="shared" si="1134"/>
        <v>-</v>
      </c>
      <c r="O873" s="350" t="str">
        <f t="shared" si="1120"/>
        <v>-</v>
      </c>
    </row>
    <row r="874" spans="1:15" ht="24" thickBot="1" x14ac:dyDescent="0.35">
      <c r="A874" s="277" t="s">
        <v>110</v>
      </c>
      <c r="B874" s="967" t="s">
        <v>29</v>
      </c>
      <c r="C874" s="968"/>
      <c r="D874" s="969"/>
      <c r="E874" s="323">
        <f t="shared" ref="E874" si="1135">SUM(E867:E873)</f>
        <v>0</v>
      </c>
      <c r="F874" s="288">
        <v>80000</v>
      </c>
      <c r="G874" s="323">
        <f>SUM(G867:G873)</f>
        <v>0</v>
      </c>
      <c r="H874" s="324">
        <f t="shared" ref="H874:I874" si="1136">SUM(H867:H873)</f>
        <v>0</v>
      </c>
      <c r="I874" s="324">
        <f t="shared" si="1136"/>
        <v>0</v>
      </c>
      <c r="J874" s="348">
        <f>+G874/F874</f>
        <v>0</v>
      </c>
      <c r="K874" s="323">
        <f t="shared" ref="K874:M874" si="1137">SUM(K867:K873)</f>
        <v>0</v>
      </c>
      <c r="L874" s="324">
        <f t="shared" si="1137"/>
        <v>0</v>
      </c>
      <c r="M874" s="325">
        <f t="shared" si="1137"/>
        <v>0</v>
      </c>
      <c r="N874" s="342" t="str">
        <f t="shared" si="1134"/>
        <v>-</v>
      </c>
      <c r="O874" s="348" t="str">
        <f t="shared" si="1120"/>
        <v>-</v>
      </c>
    </row>
    <row r="875" spans="1:15" ht="24" thickBot="1" x14ac:dyDescent="0.35">
      <c r="A875" s="252" t="s">
        <v>110</v>
      </c>
      <c r="B875" s="985" t="s">
        <v>19</v>
      </c>
      <c r="C875" s="653" t="s">
        <v>255</v>
      </c>
      <c r="D875" s="690" t="s">
        <v>190</v>
      </c>
      <c r="E875" s="695">
        <v>0</v>
      </c>
      <c r="F875" s="692">
        <v>110000</v>
      </c>
      <c r="G875" s="656">
        <f t="shared" ref="G875:G877" si="1138">+H875+I875</f>
        <v>0</v>
      </c>
      <c r="H875" s="462"/>
      <c r="I875" s="462"/>
      <c r="J875" s="536" t="str">
        <f>IFERROR(G875/#REF!,"-")</f>
        <v>-</v>
      </c>
      <c r="K875" s="461">
        <f>+L875+M875</f>
        <v>0</v>
      </c>
      <c r="L875" s="462">
        <f t="shared" ref="L875:L877" si="1139">+H875+L769</f>
        <v>0</v>
      </c>
      <c r="M875" s="463">
        <f t="shared" ref="M875:M877" si="1140">+I875+M769</f>
        <v>0</v>
      </c>
      <c r="N875" s="658" t="str">
        <f>IFERROR(K875/E875,"-")</f>
        <v>-</v>
      </c>
      <c r="O875" s="659" t="str">
        <f t="shared" si="1120"/>
        <v>-</v>
      </c>
    </row>
    <row r="876" spans="1:15" ht="24" thickBot="1" x14ac:dyDescent="0.35">
      <c r="A876" s="252"/>
      <c r="B876" s="986"/>
      <c r="C876" s="299" t="s">
        <v>440</v>
      </c>
      <c r="D876" s="657" t="s">
        <v>439</v>
      </c>
      <c r="E876" s="696">
        <v>1000000</v>
      </c>
      <c r="F876" s="693">
        <v>110000</v>
      </c>
      <c r="G876" s="652">
        <f t="shared" si="1138"/>
        <v>0</v>
      </c>
      <c r="H876" s="275"/>
      <c r="I876" s="275"/>
      <c r="J876" s="354" t="str">
        <f>IFERROR(G876/#REF!,"-")</f>
        <v>-</v>
      </c>
      <c r="K876" s="338">
        <f>+L876+M876</f>
        <v>8685</v>
      </c>
      <c r="L876" s="462">
        <f t="shared" si="1139"/>
        <v>8448</v>
      </c>
      <c r="M876" s="463">
        <f t="shared" si="1140"/>
        <v>237</v>
      </c>
      <c r="N876" s="343">
        <f t="shared" ref="N876:N877" si="1141">IFERROR(K876/E876,"-")</f>
        <v>8.685E-3</v>
      </c>
      <c r="O876" s="651">
        <f>IFERROR(M876/K876,"-")</f>
        <v>2.7288428324697755E-2</v>
      </c>
    </row>
    <row r="877" spans="1:15" ht="24" thickBot="1" x14ac:dyDescent="0.35">
      <c r="A877" s="252"/>
      <c r="B877" s="987"/>
      <c r="C877" s="647" t="s">
        <v>380</v>
      </c>
      <c r="D877" s="691"/>
      <c r="E877" s="697">
        <v>150000</v>
      </c>
      <c r="F877" s="694">
        <v>110000</v>
      </c>
      <c r="G877" s="599">
        <f t="shared" si="1138"/>
        <v>0</v>
      </c>
      <c r="H877" s="285"/>
      <c r="I877" s="285"/>
      <c r="J877" s="356"/>
      <c r="K877" s="464">
        <f>+L877+M877</f>
        <v>0</v>
      </c>
      <c r="L877" s="462">
        <f t="shared" si="1139"/>
        <v>0</v>
      </c>
      <c r="M877" s="463">
        <f t="shared" si="1140"/>
        <v>0</v>
      </c>
      <c r="N877" s="341">
        <f t="shared" si="1141"/>
        <v>0</v>
      </c>
      <c r="O877" s="648" t="str">
        <f t="shared" ref="O877:O927" si="1142">IFERROR(M877/K877,"-")</f>
        <v>-</v>
      </c>
    </row>
    <row r="878" spans="1:15" ht="24" thickBot="1" x14ac:dyDescent="0.35">
      <c r="A878" s="277" t="s">
        <v>110</v>
      </c>
      <c r="B878" s="988" t="s">
        <v>49</v>
      </c>
      <c r="C878" s="968"/>
      <c r="D878" s="969"/>
      <c r="E878" s="323">
        <f>SUM(E875:E877)</f>
        <v>1150000</v>
      </c>
      <c r="F878" s="326">
        <f t="shared" ref="F878" si="1143">SUM(F875)</f>
        <v>110000</v>
      </c>
      <c r="G878" s="323">
        <f>SUM(G875)</f>
        <v>0</v>
      </c>
      <c r="H878" s="324">
        <f>SUM(H875:H877)</f>
        <v>0</v>
      </c>
      <c r="I878" s="324">
        <f>SUM(I875:I877)</f>
        <v>0</v>
      </c>
      <c r="J878" s="348">
        <f>+G878/F878</f>
        <v>0</v>
      </c>
      <c r="K878" s="649">
        <f>SUM(K875:K876)</f>
        <v>8685</v>
      </c>
      <c r="L878" s="324">
        <f>SUM(L875:L876)</f>
        <v>8448</v>
      </c>
      <c r="M878" s="325">
        <f>SUM(M875:M876)</f>
        <v>237</v>
      </c>
      <c r="N878" s="342">
        <f>IFERROR(K878/E878,"-")</f>
        <v>7.5521739130434782E-3</v>
      </c>
      <c r="O878" s="348">
        <f t="shared" si="1142"/>
        <v>2.7288428324697755E-2</v>
      </c>
    </row>
    <row r="879" spans="1:15" ht="23.4" x14ac:dyDescent="0.3">
      <c r="A879" s="277" t="s">
        <v>110</v>
      </c>
      <c r="B879" s="956" t="s">
        <v>20</v>
      </c>
      <c r="C879" s="294" t="s">
        <v>351</v>
      </c>
      <c r="D879" s="294" t="s">
        <v>313</v>
      </c>
      <c r="E879" s="273">
        <v>0</v>
      </c>
      <c r="F879" s="274"/>
      <c r="G879" s="335">
        <f t="shared" ref="G879:G881" si="1144">+H879+I879</f>
        <v>0</v>
      </c>
      <c r="H879" s="275"/>
      <c r="I879" s="275"/>
      <c r="J879" s="354" t="str">
        <f>IFERROR(G879/#REF!,"-")</f>
        <v>-</v>
      </c>
      <c r="K879" s="335">
        <f t="shared" ref="K879:K881" si="1145">+L879+M879</f>
        <v>0</v>
      </c>
      <c r="L879" s="275">
        <f t="shared" ref="L879:L881" si="1146">+H879+L773</f>
        <v>0</v>
      </c>
      <c r="M879" s="276">
        <f t="shared" ref="M879:M881" si="1147">+I879+M773</f>
        <v>0</v>
      </c>
      <c r="N879" s="339" t="str">
        <f t="shared" ref="N879:N882" si="1148">IFERROR(K879/E879,"-")</f>
        <v>-</v>
      </c>
      <c r="O879" s="349" t="str">
        <f t="shared" si="1142"/>
        <v>-</v>
      </c>
    </row>
    <row r="880" spans="1:15" ht="23.4" x14ac:dyDescent="0.3">
      <c r="A880" s="277" t="s">
        <v>110</v>
      </c>
      <c r="B880" s="957"/>
      <c r="C880" s="295" t="s">
        <v>121</v>
      </c>
      <c r="D880" s="295"/>
      <c r="E880" s="279">
        <v>0</v>
      </c>
      <c r="F880" s="280"/>
      <c r="G880" s="336">
        <f t="shared" si="1144"/>
        <v>0</v>
      </c>
      <c r="H880" s="281"/>
      <c r="I880" s="281"/>
      <c r="J880" s="355" t="str">
        <f>IFERROR(G880/#REF!,"-")</f>
        <v>-</v>
      </c>
      <c r="K880" s="336">
        <f t="shared" si="1145"/>
        <v>0</v>
      </c>
      <c r="L880" s="275">
        <f t="shared" si="1146"/>
        <v>0</v>
      </c>
      <c r="M880" s="276">
        <f t="shared" si="1147"/>
        <v>0</v>
      </c>
      <c r="N880" s="340" t="str">
        <f t="shared" si="1148"/>
        <v>-</v>
      </c>
      <c r="O880" s="264" t="str">
        <f t="shared" si="1142"/>
        <v>-</v>
      </c>
    </row>
    <row r="881" spans="1:15" ht="24" thickBot="1" x14ac:dyDescent="0.35">
      <c r="A881" s="277" t="s">
        <v>110</v>
      </c>
      <c r="B881" s="958"/>
      <c r="C881" s="296" t="s">
        <v>127</v>
      </c>
      <c r="D881" s="296"/>
      <c r="E881" s="283">
        <v>0</v>
      </c>
      <c r="F881" s="284"/>
      <c r="G881" s="337">
        <f t="shared" si="1144"/>
        <v>0</v>
      </c>
      <c r="H881" s="285"/>
      <c r="I881" s="285"/>
      <c r="J881" s="356" t="str">
        <f>IFERROR(G881/#REF!,"-")</f>
        <v>-</v>
      </c>
      <c r="K881" s="337">
        <f t="shared" si="1145"/>
        <v>0</v>
      </c>
      <c r="L881" s="275">
        <f t="shared" si="1146"/>
        <v>0</v>
      </c>
      <c r="M881" s="276">
        <f t="shared" si="1147"/>
        <v>0</v>
      </c>
      <c r="N881" s="341" t="str">
        <f t="shared" si="1148"/>
        <v>-</v>
      </c>
      <c r="O881" s="350" t="str">
        <f t="shared" si="1142"/>
        <v>-</v>
      </c>
    </row>
    <row r="882" spans="1:15" ht="24" thickBot="1" x14ac:dyDescent="0.35">
      <c r="A882" s="277" t="s">
        <v>110</v>
      </c>
      <c r="B882" s="968" t="s">
        <v>50</v>
      </c>
      <c r="C882" s="968"/>
      <c r="D882" s="989"/>
      <c r="E882" s="323">
        <f t="shared" ref="E882" si="1149">SUM(E879:E881)</f>
        <v>0</v>
      </c>
      <c r="F882" s="288">
        <v>50000</v>
      </c>
      <c r="G882" s="323">
        <f>SUM(G879:G881)</f>
        <v>0</v>
      </c>
      <c r="H882" s="324">
        <f t="shared" ref="H882:I882" si="1150">SUM(H879:H881)</f>
        <v>0</v>
      </c>
      <c r="I882" s="324">
        <f t="shared" si="1150"/>
        <v>0</v>
      </c>
      <c r="J882" s="348">
        <f>+G882/F882</f>
        <v>0</v>
      </c>
      <c r="K882" s="323">
        <f t="shared" ref="K882:M882" si="1151">SUM(K879:K881)</f>
        <v>0</v>
      </c>
      <c r="L882" s="324">
        <f t="shared" si="1151"/>
        <v>0</v>
      </c>
      <c r="M882" s="325">
        <f t="shared" si="1151"/>
        <v>0</v>
      </c>
      <c r="N882" s="342" t="str">
        <f t="shared" si="1148"/>
        <v>-</v>
      </c>
      <c r="O882" s="348" t="str">
        <f t="shared" si="1142"/>
        <v>-</v>
      </c>
    </row>
    <row r="883" spans="1:15" ht="24" thickBot="1" x14ac:dyDescent="0.35">
      <c r="A883" s="277" t="s">
        <v>110</v>
      </c>
      <c r="B883" s="981" t="s">
        <v>21</v>
      </c>
      <c r="C883" s="982"/>
      <c r="D883" s="983"/>
      <c r="E883" s="329">
        <f>+E858+E866+E874+E878+E882</f>
        <v>4750000</v>
      </c>
      <c r="F883" s="330">
        <f>+F858+F866+F874+F878+F882</f>
        <v>455000</v>
      </c>
      <c r="G883" s="329">
        <f>+G858+G866+G874+G878+G882</f>
        <v>110420</v>
      </c>
      <c r="H883" s="327">
        <f>+H858+H866+H874+H878+H882</f>
        <v>110160</v>
      </c>
      <c r="I883" s="327">
        <f>+I858+I866+I874+I878+I882</f>
        <v>260</v>
      </c>
      <c r="J883" s="352">
        <f>+G883/F883</f>
        <v>0.24268131868131868</v>
      </c>
      <c r="K883" s="329">
        <f>+K858+K866+K874+K878+K882</f>
        <v>1228567</v>
      </c>
      <c r="L883" s="327">
        <f>+L858+L866+L874+L878+L882</f>
        <v>1222868</v>
      </c>
      <c r="M883" s="328">
        <f>+M858+M866+M874+M878+M882</f>
        <v>5699</v>
      </c>
      <c r="N883" s="344">
        <f>IFERROR(K883/E883,"-")</f>
        <v>0.25864568421052631</v>
      </c>
      <c r="O883" s="352">
        <f t="shared" si="1142"/>
        <v>4.6387376512636268E-3</v>
      </c>
    </row>
    <row r="884" spans="1:15" ht="23.4" x14ac:dyDescent="0.3">
      <c r="A884" s="277" t="s">
        <v>110</v>
      </c>
      <c r="B884" s="956" t="s">
        <v>481</v>
      </c>
      <c r="C884" s="272" t="s">
        <v>132</v>
      </c>
      <c r="D884" s="272"/>
      <c r="E884" s="273">
        <v>0</v>
      </c>
      <c r="F884" s="274"/>
      <c r="G884" s="335">
        <f t="shared" ref="G884:G887" si="1152">+H884+I884</f>
        <v>0</v>
      </c>
      <c r="H884" s="275"/>
      <c r="I884" s="275"/>
      <c r="J884" s="354" t="str">
        <f>IFERROR(G884/#REF!,"-")</f>
        <v>-</v>
      </c>
      <c r="K884" s="335">
        <f t="shared" ref="K884:K887" si="1153">+L884+M884</f>
        <v>0</v>
      </c>
      <c r="L884" s="275">
        <f t="shared" ref="L884:L887" si="1154">+H884+L778</f>
        <v>0</v>
      </c>
      <c r="M884" s="276">
        <f t="shared" ref="M884:M887" si="1155">+I884+M778</f>
        <v>0</v>
      </c>
      <c r="N884" s="339" t="str">
        <f t="shared" ref="N884:N898" si="1156">IFERROR(K884/E884,"-")</f>
        <v>-</v>
      </c>
      <c r="O884" s="349" t="str">
        <f t="shared" si="1142"/>
        <v>-</v>
      </c>
    </row>
    <row r="885" spans="1:15" ht="23.4" x14ac:dyDescent="0.3">
      <c r="A885" s="277" t="s">
        <v>110</v>
      </c>
      <c r="B885" s="957"/>
      <c r="C885" s="298" t="s">
        <v>283</v>
      </c>
      <c r="D885" s="298" t="s">
        <v>194</v>
      </c>
      <c r="E885" s="279">
        <v>0</v>
      </c>
      <c r="F885" s="280"/>
      <c r="G885" s="336">
        <f t="shared" si="1152"/>
        <v>0</v>
      </c>
      <c r="H885" s="281"/>
      <c r="I885" s="281"/>
      <c r="J885" s="355" t="str">
        <f>IFERROR(G885/#REF!,"-")</f>
        <v>-</v>
      </c>
      <c r="K885" s="336">
        <f t="shared" si="1153"/>
        <v>0</v>
      </c>
      <c r="L885" s="275">
        <f t="shared" si="1154"/>
        <v>0</v>
      </c>
      <c r="M885" s="276">
        <f t="shared" si="1155"/>
        <v>0</v>
      </c>
      <c r="N885" s="340" t="str">
        <f t="shared" si="1156"/>
        <v>-</v>
      </c>
      <c r="O885" s="264" t="str">
        <f t="shared" si="1142"/>
        <v>-</v>
      </c>
    </row>
    <row r="886" spans="1:15" ht="23.4" x14ac:dyDescent="0.3">
      <c r="A886" s="277" t="s">
        <v>110</v>
      </c>
      <c r="B886" s="957"/>
      <c r="C886" s="298" t="s">
        <v>405</v>
      </c>
      <c r="D886" s="298" t="s">
        <v>194</v>
      </c>
      <c r="E886" s="279">
        <v>1000000</v>
      </c>
      <c r="F886" s="280"/>
      <c r="G886" s="336">
        <f t="shared" si="1152"/>
        <v>4355</v>
      </c>
      <c r="H886" s="281">
        <v>3960</v>
      </c>
      <c r="I886" s="281">
        <v>395</v>
      </c>
      <c r="J886" s="355" t="str">
        <f>IFERROR(G886/#REF!,"-")</f>
        <v>-</v>
      </c>
      <c r="K886" s="336">
        <f t="shared" si="1153"/>
        <v>337931</v>
      </c>
      <c r="L886" s="275">
        <f t="shared" si="1154"/>
        <v>336600</v>
      </c>
      <c r="M886" s="276">
        <f t="shared" si="1155"/>
        <v>1331</v>
      </c>
      <c r="N886" s="340">
        <f t="shared" si="1156"/>
        <v>0.33793099999999998</v>
      </c>
      <c r="O886" s="264">
        <f t="shared" si="1142"/>
        <v>3.9386738712932521E-3</v>
      </c>
    </row>
    <row r="887" spans="1:15" ht="24" thickBot="1" x14ac:dyDescent="0.35">
      <c r="A887" s="277" t="s">
        <v>110</v>
      </c>
      <c r="B887" s="958"/>
      <c r="C887" s="282" t="s">
        <v>195</v>
      </c>
      <c r="D887" s="282" t="s">
        <v>100</v>
      </c>
      <c r="E887" s="283">
        <v>0</v>
      </c>
      <c r="F887" s="284"/>
      <c r="G887" s="337">
        <f t="shared" si="1152"/>
        <v>0</v>
      </c>
      <c r="H887" s="285"/>
      <c r="I887" s="285"/>
      <c r="J887" s="356" t="str">
        <f>IFERROR(G887/#REF!,"-")</f>
        <v>-</v>
      </c>
      <c r="K887" s="337">
        <f t="shared" si="1153"/>
        <v>0</v>
      </c>
      <c r="L887" s="275">
        <f t="shared" si="1154"/>
        <v>0</v>
      </c>
      <c r="M887" s="276">
        <f t="shared" si="1155"/>
        <v>0</v>
      </c>
      <c r="N887" s="341" t="str">
        <f t="shared" si="1156"/>
        <v>-</v>
      </c>
      <c r="O887" s="350" t="str">
        <f t="shared" si="1142"/>
        <v>-</v>
      </c>
    </row>
    <row r="888" spans="1:15" ht="24" thickBot="1" x14ac:dyDescent="0.35">
      <c r="A888" s="277" t="s">
        <v>110</v>
      </c>
      <c r="B888" s="967" t="s">
        <v>51</v>
      </c>
      <c r="C888" s="968"/>
      <c r="D888" s="969"/>
      <c r="E888" s="287">
        <f>SUM(E884:E887)</f>
        <v>1000000</v>
      </c>
      <c r="F888" s="288">
        <v>80000</v>
      </c>
      <c r="G888" s="323">
        <f>SUM(G884:G887)</f>
        <v>4355</v>
      </c>
      <c r="H888" s="324">
        <f t="shared" ref="H888:I888" si="1157">SUM(H884:H887)</f>
        <v>3960</v>
      </c>
      <c r="I888" s="324">
        <f t="shared" si="1157"/>
        <v>395</v>
      </c>
      <c r="J888" s="348">
        <f>+G888/F888</f>
        <v>5.44375E-2</v>
      </c>
      <c r="K888" s="323">
        <f t="shared" ref="K888:M888" si="1158">SUM(K884:K887)</f>
        <v>337931</v>
      </c>
      <c r="L888" s="324">
        <f t="shared" si="1158"/>
        <v>336600</v>
      </c>
      <c r="M888" s="325">
        <f t="shared" si="1158"/>
        <v>1331</v>
      </c>
      <c r="N888" s="342">
        <f t="shared" si="1156"/>
        <v>0.33793099999999998</v>
      </c>
      <c r="O888" s="348">
        <f t="shared" si="1142"/>
        <v>3.9386738712932521E-3</v>
      </c>
    </row>
    <row r="889" spans="1:15" ht="23.4" x14ac:dyDescent="0.3">
      <c r="A889" s="277" t="s">
        <v>110</v>
      </c>
      <c r="B889" s="956" t="s">
        <v>23</v>
      </c>
      <c r="C889" s="299" t="s">
        <v>337</v>
      </c>
      <c r="D889" s="299" t="s">
        <v>258</v>
      </c>
      <c r="E889" s="273">
        <f>25000+10875+6000</f>
        <v>41875</v>
      </c>
      <c r="F889" s="274"/>
      <c r="G889" s="335">
        <f t="shared" ref="G889:G896" si="1159">+H889+I889</f>
        <v>0</v>
      </c>
      <c r="H889" s="275"/>
      <c r="I889" s="275"/>
      <c r="J889" s="354" t="str">
        <f>IFERROR(G889/#REF!,"-")</f>
        <v>-</v>
      </c>
      <c r="K889" s="335">
        <f t="shared" ref="K889:K896" si="1160">+L889+M889</f>
        <v>0</v>
      </c>
      <c r="L889" s="275">
        <f t="shared" ref="L889:L896" si="1161">+H889+L783</f>
        <v>0</v>
      </c>
      <c r="M889" s="276">
        <f t="shared" ref="M889:M896" si="1162">+I889+M783</f>
        <v>0</v>
      </c>
      <c r="N889" s="339">
        <f t="shared" si="1156"/>
        <v>0</v>
      </c>
      <c r="O889" s="349" t="str">
        <f t="shared" si="1142"/>
        <v>-</v>
      </c>
    </row>
    <row r="890" spans="1:15" ht="23.4" x14ac:dyDescent="0.3">
      <c r="A890" s="277" t="s">
        <v>110</v>
      </c>
      <c r="B890" s="957"/>
      <c r="C890" s="278" t="s">
        <v>24</v>
      </c>
      <c r="D890" s="278" t="s">
        <v>258</v>
      </c>
      <c r="E890" s="279">
        <v>97500</v>
      </c>
      <c r="F890" s="280"/>
      <c r="G890" s="336">
        <f t="shared" si="1159"/>
        <v>0</v>
      </c>
      <c r="H890" s="281"/>
      <c r="I890" s="281"/>
      <c r="J890" s="355" t="str">
        <f>IFERROR(G890/#REF!,"-")</f>
        <v>-</v>
      </c>
      <c r="K890" s="336">
        <f t="shared" si="1160"/>
        <v>0</v>
      </c>
      <c r="L890" s="275">
        <f t="shared" si="1161"/>
        <v>0</v>
      </c>
      <c r="M890" s="276">
        <f t="shared" si="1162"/>
        <v>0</v>
      </c>
      <c r="N890" s="340">
        <f t="shared" si="1156"/>
        <v>0</v>
      </c>
      <c r="O890" s="264" t="str">
        <f t="shared" si="1142"/>
        <v>-</v>
      </c>
    </row>
    <row r="891" spans="1:15" ht="23.4" x14ac:dyDescent="0.3">
      <c r="A891" s="277" t="s">
        <v>110</v>
      </c>
      <c r="B891" s="957"/>
      <c r="C891" s="278" t="s">
        <v>256</v>
      </c>
      <c r="D891" s="278" t="s">
        <v>258</v>
      </c>
      <c r="E891" s="279">
        <v>17750</v>
      </c>
      <c r="F891" s="280"/>
      <c r="G891" s="336">
        <f t="shared" si="1159"/>
        <v>0</v>
      </c>
      <c r="H891" s="281"/>
      <c r="I891" s="281"/>
      <c r="J891" s="355" t="str">
        <f>IFERROR(G891/#REF!,"-")</f>
        <v>-</v>
      </c>
      <c r="K891" s="336">
        <f t="shared" si="1160"/>
        <v>0</v>
      </c>
      <c r="L891" s="275">
        <f t="shared" si="1161"/>
        <v>0</v>
      </c>
      <c r="M891" s="276">
        <f t="shared" si="1162"/>
        <v>0</v>
      </c>
      <c r="N891" s="340">
        <f t="shared" si="1156"/>
        <v>0</v>
      </c>
      <c r="O891" s="264" t="str">
        <f t="shared" si="1142"/>
        <v>-</v>
      </c>
    </row>
    <row r="892" spans="1:15" ht="23.4" x14ac:dyDescent="0.3">
      <c r="A892" s="277" t="s">
        <v>110</v>
      </c>
      <c r="B892" s="957"/>
      <c r="C892" s="278" t="s">
        <v>257</v>
      </c>
      <c r="D892" s="278" t="s">
        <v>258</v>
      </c>
      <c r="E892" s="279">
        <v>20000</v>
      </c>
      <c r="F892" s="280"/>
      <c r="G892" s="336">
        <f t="shared" si="1159"/>
        <v>0</v>
      </c>
      <c r="H892" s="281"/>
      <c r="I892" s="281"/>
      <c r="J892" s="355" t="str">
        <f>IFERROR(G892/#REF!,"-")</f>
        <v>-</v>
      </c>
      <c r="K892" s="336">
        <f t="shared" si="1160"/>
        <v>0</v>
      </c>
      <c r="L892" s="275">
        <f t="shared" si="1161"/>
        <v>0</v>
      </c>
      <c r="M892" s="276">
        <f t="shared" si="1162"/>
        <v>0</v>
      </c>
      <c r="N892" s="340">
        <f t="shared" si="1156"/>
        <v>0</v>
      </c>
      <c r="O892" s="264" t="str">
        <f t="shared" si="1142"/>
        <v>-</v>
      </c>
    </row>
    <row r="893" spans="1:15" ht="23.4" x14ac:dyDescent="0.3">
      <c r="A893" s="277" t="s">
        <v>110</v>
      </c>
      <c r="B893" s="957"/>
      <c r="C893" s="298" t="s">
        <v>475</v>
      </c>
      <c r="D893" s="278" t="s">
        <v>258</v>
      </c>
      <c r="E893" s="279">
        <v>10000</v>
      </c>
      <c r="F893" s="280"/>
      <c r="G893" s="336">
        <f t="shared" si="1159"/>
        <v>2682</v>
      </c>
      <c r="H893" s="281">
        <v>2682</v>
      </c>
      <c r="I893" s="281"/>
      <c r="J893" s="355" t="str">
        <f>IFERROR(G893/#REF!,"-")</f>
        <v>-</v>
      </c>
      <c r="K893" s="336">
        <f t="shared" si="1160"/>
        <v>12327</v>
      </c>
      <c r="L893" s="275">
        <f t="shared" si="1161"/>
        <v>12307</v>
      </c>
      <c r="M893" s="276">
        <f t="shared" si="1162"/>
        <v>20</v>
      </c>
      <c r="N893" s="340">
        <f t="shared" si="1156"/>
        <v>1.2326999999999999</v>
      </c>
      <c r="O893" s="264">
        <f t="shared" si="1142"/>
        <v>1.6224547740731727E-3</v>
      </c>
    </row>
    <row r="894" spans="1:15" ht="23.4" x14ac:dyDescent="0.3">
      <c r="A894" s="277" t="s">
        <v>110</v>
      </c>
      <c r="B894" s="957"/>
      <c r="C894" s="298" t="s">
        <v>506</v>
      </c>
      <c r="D894" s="278" t="s">
        <v>258</v>
      </c>
      <c r="E894" s="279">
        <v>9000</v>
      </c>
      <c r="F894" s="280"/>
      <c r="G894" s="336">
        <f t="shared" si="1159"/>
        <v>8760</v>
      </c>
      <c r="H894" s="281">
        <v>8750</v>
      </c>
      <c r="I894" s="281">
        <v>10</v>
      </c>
      <c r="J894" s="355" t="str">
        <f>IFERROR(G894/#REF!,"-")</f>
        <v>-</v>
      </c>
      <c r="K894" s="336">
        <f t="shared" si="1160"/>
        <v>8760</v>
      </c>
      <c r="L894" s="275">
        <f t="shared" si="1161"/>
        <v>8750</v>
      </c>
      <c r="M894" s="276">
        <f t="shared" si="1162"/>
        <v>10</v>
      </c>
      <c r="N894" s="340">
        <f t="shared" si="1156"/>
        <v>0.97333333333333338</v>
      </c>
      <c r="O894" s="264">
        <f t="shared" si="1142"/>
        <v>1.1415525114155251E-3</v>
      </c>
    </row>
    <row r="895" spans="1:15" ht="23.4" x14ac:dyDescent="0.3">
      <c r="A895" s="277" t="s">
        <v>110</v>
      </c>
      <c r="B895" s="957"/>
      <c r="C895" s="298" t="s">
        <v>261</v>
      </c>
      <c r="D895" s="278" t="s">
        <v>263</v>
      </c>
      <c r="E895" s="279">
        <v>22500</v>
      </c>
      <c r="F895" s="280"/>
      <c r="G895" s="336">
        <f t="shared" si="1159"/>
        <v>0</v>
      </c>
      <c r="H895" s="281"/>
      <c r="I895" s="281"/>
      <c r="J895" s="355" t="str">
        <f>IFERROR(G895/#REF!,"-")</f>
        <v>-</v>
      </c>
      <c r="K895" s="336">
        <f t="shared" si="1160"/>
        <v>23536</v>
      </c>
      <c r="L895" s="275">
        <f t="shared" si="1161"/>
        <v>23490</v>
      </c>
      <c r="M895" s="276">
        <f t="shared" si="1162"/>
        <v>46</v>
      </c>
      <c r="N895" s="340">
        <f t="shared" si="1156"/>
        <v>1.0460444444444446</v>
      </c>
      <c r="O895" s="264">
        <f t="shared" si="1142"/>
        <v>1.954452753229096E-3</v>
      </c>
    </row>
    <row r="896" spans="1:15" ht="24" thickBot="1" x14ac:dyDescent="0.35">
      <c r="A896" s="277" t="s">
        <v>110</v>
      </c>
      <c r="B896" s="958"/>
      <c r="C896" s="298" t="s">
        <v>262</v>
      </c>
      <c r="D896" s="278" t="s">
        <v>258</v>
      </c>
      <c r="E896" s="283">
        <v>33500</v>
      </c>
      <c r="F896" s="284"/>
      <c r="G896" s="337">
        <f t="shared" si="1159"/>
        <v>0</v>
      </c>
      <c r="H896" s="285"/>
      <c r="I896" s="285"/>
      <c r="J896" s="356" t="str">
        <f>IFERROR(G896/#REF!,"-")</f>
        <v>-</v>
      </c>
      <c r="K896" s="337">
        <f t="shared" si="1160"/>
        <v>28515</v>
      </c>
      <c r="L896" s="275">
        <f t="shared" si="1161"/>
        <v>28375</v>
      </c>
      <c r="M896" s="276">
        <f t="shared" si="1162"/>
        <v>140</v>
      </c>
      <c r="N896" s="341">
        <f t="shared" si="1156"/>
        <v>0.85119402985074621</v>
      </c>
      <c r="O896" s="350">
        <f t="shared" si="1142"/>
        <v>4.909696650885499E-3</v>
      </c>
    </row>
    <row r="897" spans="1:15" ht="24" thickBot="1" x14ac:dyDescent="0.35">
      <c r="A897" s="277" t="s">
        <v>110</v>
      </c>
      <c r="B897" s="967" t="s">
        <v>52</v>
      </c>
      <c r="C897" s="968"/>
      <c r="D897" s="969"/>
      <c r="E897" s="287">
        <f>SUM(E889:E896)</f>
        <v>252125</v>
      </c>
      <c r="F897" s="288">
        <v>14000</v>
      </c>
      <c r="G897" s="323">
        <f>SUM(G889:G896)</f>
        <v>11442</v>
      </c>
      <c r="H897" s="324">
        <f t="shared" ref="H897:I897" si="1163">SUM(H889:H896)</f>
        <v>11432</v>
      </c>
      <c r="I897" s="324">
        <f t="shared" si="1163"/>
        <v>10</v>
      </c>
      <c r="J897" s="348">
        <f>+G898/F898</f>
        <v>0.16805319148936171</v>
      </c>
      <c r="K897" s="323">
        <f>SUM(K889:K896)</f>
        <v>73138</v>
      </c>
      <c r="L897" s="324">
        <f t="shared" ref="L897:M897" si="1164">SUM(L889:L896)</f>
        <v>72922</v>
      </c>
      <c r="M897" s="325">
        <f t="shared" si="1164"/>
        <v>216</v>
      </c>
      <c r="N897" s="342">
        <f t="shared" si="1156"/>
        <v>0.29008626673277144</v>
      </c>
      <c r="O897" s="348">
        <f t="shared" si="1142"/>
        <v>2.9533211189805572E-3</v>
      </c>
    </row>
    <row r="898" spans="1:15" ht="24" thickBot="1" x14ac:dyDescent="0.35">
      <c r="A898" s="277" t="s">
        <v>110</v>
      </c>
      <c r="B898" s="981" t="s">
        <v>25</v>
      </c>
      <c r="C898" s="982"/>
      <c r="D898" s="983"/>
      <c r="E898" s="329">
        <f t="shared" ref="E898:F898" si="1165">+E888+E897</f>
        <v>1252125</v>
      </c>
      <c r="F898" s="330">
        <f t="shared" si="1165"/>
        <v>94000</v>
      </c>
      <c r="G898" s="329">
        <f>+G888+G897</f>
        <v>15797</v>
      </c>
      <c r="H898" s="327">
        <f t="shared" ref="H898:I898" si="1166">+H888+H897</f>
        <v>15392</v>
      </c>
      <c r="I898" s="327">
        <f t="shared" si="1166"/>
        <v>405</v>
      </c>
      <c r="J898" s="352" t="str">
        <f>IFERROR(G898/#REF!,"-")</f>
        <v>-</v>
      </c>
      <c r="K898" s="329">
        <f t="shared" ref="K898" si="1167">+K888+K897</f>
        <v>411069</v>
      </c>
      <c r="L898" s="327">
        <f>+L888+L897</f>
        <v>409522</v>
      </c>
      <c r="M898" s="328">
        <f t="shared" ref="M898" si="1168">+M888+M897</f>
        <v>1547</v>
      </c>
      <c r="N898" s="344">
        <f t="shared" si="1156"/>
        <v>0.32829709493860437</v>
      </c>
      <c r="O898" s="352">
        <f t="shared" si="1142"/>
        <v>3.7633584629344465E-3</v>
      </c>
    </row>
    <row r="899" spans="1:15" ht="24" thickBot="1" x14ac:dyDescent="0.35">
      <c r="A899" s="277" t="s">
        <v>110</v>
      </c>
      <c r="B899" s="984" t="s">
        <v>180</v>
      </c>
      <c r="C899" s="962"/>
      <c r="D899" s="963"/>
      <c r="E899" s="333">
        <f>+E883+E898</f>
        <v>6002125</v>
      </c>
      <c r="F899" s="334">
        <f t="shared" ref="F899:I899" si="1169">+F883+F898</f>
        <v>549000</v>
      </c>
      <c r="G899" s="333">
        <f t="shared" si="1169"/>
        <v>126217</v>
      </c>
      <c r="H899" s="331">
        <f t="shared" si="1169"/>
        <v>125552</v>
      </c>
      <c r="I899" s="331">
        <f t="shared" si="1169"/>
        <v>665</v>
      </c>
      <c r="J899" s="353">
        <f>+G899/F899</f>
        <v>0.22990346083788707</v>
      </c>
      <c r="K899" s="333">
        <f>+K883+K898</f>
        <v>1639636</v>
      </c>
      <c r="L899" s="331">
        <f t="shared" ref="L899:M899" si="1170">+L883+L898</f>
        <v>1632390</v>
      </c>
      <c r="M899" s="332">
        <f t="shared" si="1170"/>
        <v>7246</v>
      </c>
      <c r="N899" s="345">
        <f>IFERROR(K899/E899,"-")</f>
        <v>0.27317591686277776</v>
      </c>
      <c r="O899" s="353">
        <f t="shared" si="1142"/>
        <v>4.4192735460797401E-3</v>
      </c>
    </row>
    <row r="900" spans="1:15" ht="23.4" x14ac:dyDescent="0.3">
      <c r="A900" s="271" t="s">
        <v>108</v>
      </c>
      <c r="B900" s="977" t="s">
        <v>26</v>
      </c>
      <c r="C900" s="300" t="s">
        <v>323</v>
      </c>
      <c r="D900" s="300" t="s">
        <v>190</v>
      </c>
      <c r="E900" s="273">
        <v>0</v>
      </c>
      <c r="F900" s="274"/>
      <c r="G900" s="335">
        <f t="shared" ref="G900:G908" si="1171">+H900+I900</f>
        <v>0</v>
      </c>
      <c r="H900" s="275"/>
      <c r="I900" s="275"/>
      <c r="J900" s="354" t="str">
        <f>IFERROR(G900/#REF!,"-")</f>
        <v>-</v>
      </c>
      <c r="K900" s="335">
        <f t="shared" ref="K900:K908" si="1172">+L900+M900</f>
        <v>0</v>
      </c>
      <c r="L900" s="275">
        <f t="shared" ref="L900:L908" si="1173">+H900+L794</f>
        <v>0</v>
      </c>
      <c r="M900" s="276">
        <f t="shared" ref="M900:M908" si="1174">+I900+M794</f>
        <v>0</v>
      </c>
      <c r="N900" s="339" t="str">
        <f t="shared" ref="N900:N901" si="1175">IFERROR(K900/E900,"-")</f>
        <v>-</v>
      </c>
      <c r="O900" s="349" t="str">
        <f t="shared" si="1142"/>
        <v>-</v>
      </c>
    </row>
    <row r="901" spans="1:15" ht="23.4" x14ac:dyDescent="0.3">
      <c r="A901" s="277" t="s">
        <v>108</v>
      </c>
      <c r="B901" s="977"/>
      <c r="C901" s="301" t="s">
        <v>508</v>
      </c>
      <c r="D901" s="301" t="s">
        <v>507</v>
      </c>
      <c r="E901" s="279">
        <v>0</v>
      </c>
      <c r="F901" s="280"/>
      <c r="G901" s="336">
        <f t="shared" si="1171"/>
        <v>8536</v>
      </c>
      <c r="H901" s="281">
        <v>7956</v>
      </c>
      <c r="I901" s="281">
        <v>580</v>
      </c>
      <c r="J901" s="355" t="str">
        <f>IFERROR(G901/#REF!,"-")</f>
        <v>-</v>
      </c>
      <c r="K901" s="336">
        <f t="shared" si="1172"/>
        <v>8536</v>
      </c>
      <c r="L901" s="275">
        <f t="shared" si="1173"/>
        <v>7956</v>
      </c>
      <c r="M901" s="276">
        <f t="shared" si="1174"/>
        <v>580</v>
      </c>
      <c r="N901" s="340" t="str">
        <f t="shared" si="1175"/>
        <v>-</v>
      </c>
      <c r="O901" s="264">
        <f t="shared" si="1142"/>
        <v>6.7947516401124647E-2</v>
      </c>
    </row>
    <row r="902" spans="1:15" ht="23.4" x14ac:dyDescent="0.3">
      <c r="A902" s="277" t="s">
        <v>108</v>
      </c>
      <c r="B902" s="977"/>
      <c r="C902" s="302" t="s">
        <v>27</v>
      </c>
      <c r="D902" s="302" t="s">
        <v>370</v>
      </c>
      <c r="E902" s="283">
        <v>0</v>
      </c>
      <c r="F902" s="284"/>
      <c r="G902" s="336">
        <f t="shared" si="1171"/>
        <v>3978</v>
      </c>
      <c r="H902" s="285">
        <v>3978</v>
      </c>
      <c r="I902" s="285"/>
      <c r="J902" s="356" t="str">
        <f>IFERROR(G902/#REF!,"-")</f>
        <v>-</v>
      </c>
      <c r="K902" s="336">
        <f t="shared" si="1172"/>
        <v>12534</v>
      </c>
      <c r="L902" s="275">
        <f t="shared" si="1173"/>
        <v>11934</v>
      </c>
      <c r="M902" s="276">
        <f t="shared" si="1174"/>
        <v>600</v>
      </c>
      <c r="N902" s="286"/>
      <c r="O902" s="264">
        <f t="shared" si="1142"/>
        <v>4.7869794159885112E-2</v>
      </c>
    </row>
    <row r="903" spans="1:15" ht="23.4" x14ac:dyDescent="0.3">
      <c r="A903" s="277" t="s">
        <v>108</v>
      </c>
      <c r="B903" s="977"/>
      <c r="C903" s="302" t="s">
        <v>27</v>
      </c>
      <c r="D903" s="302" t="s">
        <v>254</v>
      </c>
      <c r="E903" s="283">
        <v>0</v>
      </c>
      <c r="F903" s="284"/>
      <c r="G903" s="336">
        <f t="shared" si="1171"/>
        <v>0</v>
      </c>
      <c r="H903" s="285"/>
      <c r="I903" s="285"/>
      <c r="J903" s="356" t="str">
        <f>IFERROR(G903/#REF!,"-")</f>
        <v>-</v>
      </c>
      <c r="K903" s="336">
        <f t="shared" si="1172"/>
        <v>33014</v>
      </c>
      <c r="L903" s="275">
        <f t="shared" si="1173"/>
        <v>31824</v>
      </c>
      <c r="M903" s="276">
        <f t="shared" si="1174"/>
        <v>1190</v>
      </c>
      <c r="N903" s="286"/>
      <c r="O903" s="264">
        <f t="shared" si="1142"/>
        <v>3.604531410916581E-2</v>
      </c>
    </row>
    <row r="904" spans="1:15" ht="23.4" x14ac:dyDescent="0.3">
      <c r="A904" s="277" t="s">
        <v>108</v>
      </c>
      <c r="B904" s="977"/>
      <c r="C904" s="302" t="s">
        <v>27</v>
      </c>
      <c r="D904" s="302" t="s">
        <v>302</v>
      </c>
      <c r="E904" s="283">
        <v>0</v>
      </c>
      <c r="F904" s="284"/>
      <c r="G904" s="336">
        <f t="shared" si="1171"/>
        <v>0</v>
      </c>
      <c r="H904" s="285"/>
      <c r="I904" s="285"/>
      <c r="J904" s="356" t="str">
        <f>IFERROR(G904/#REF!,"-")</f>
        <v>-</v>
      </c>
      <c r="K904" s="336">
        <f t="shared" si="1172"/>
        <v>0</v>
      </c>
      <c r="L904" s="275">
        <f t="shared" si="1173"/>
        <v>0</v>
      </c>
      <c r="M904" s="276">
        <f t="shared" si="1174"/>
        <v>0</v>
      </c>
      <c r="N904" s="286"/>
      <c r="O904" s="264" t="str">
        <f t="shared" si="1142"/>
        <v>-</v>
      </c>
    </row>
    <row r="905" spans="1:15" ht="23.4" x14ac:dyDescent="0.3">
      <c r="A905" s="277"/>
      <c r="B905" s="977"/>
      <c r="C905" s="302" t="s">
        <v>369</v>
      </c>
      <c r="D905" s="302" t="s">
        <v>190</v>
      </c>
      <c r="E905" s="283">
        <v>0</v>
      </c>
      <c r="F905" s="284"/>
      <c r="G905" s="337">
        <f t="shared" si="1171"/>
        <v>0</v>
      </c>
      <c r="H905" s="285"/>
      <c r="I905" s="285"/>
      <c r="J905" s="356" t="str">
        <f>IFERROR(G905/#REF!,"-")</f>
        <v>-</v>
      </c>
      <c r="K905" s="337">
        <f t="shared" si="1172"/>
        <v>0</v>
      </c>
      <c r="L905" s="275">
        <f t="shared" si="1173"/>
        <v>0</v>
      </c>
      <c r="M905" s="276">
        <f t="shared" si="1174"/>
        <v>0</v>
      </c>
      <c r="N905" s="286"/>
      <c r="O905" s="264" t="str">
        <f t="shared" si="1142"/>
        <v>-</v>
      </c>
    </row>
    <row r="906" spans="1:15" ht="23.4" x14ac:dyDescent="0.3">
      <c r="A906" s="277"/>
      <c r="B906" s="977"/>
      <c r="C906" s="302" t="s">
        <v>314</v>
      </c>
      <c r="D906" s="302" t="s">
        <v>101</v>
      </c>
      <c r="E906" s="283">
        <v>0</v>
      </c>
      <c r="F906" s="284"/>
      <c r="G906" s="337">
        <f t="shared" si="1171"/>
        <v>0</v>
      </c>
      <c r="H906" s="285"/>
      <c r="I906" s="285"/>
      <c r="J906" s="356" t="str">
        <f>IFERROR(G906/#REF!,"-")</f>
        <v>-</v>
      </c>
      <c r="K906" s="337">
        <f t="shared" si="1172"/>
        <v>0</v>
      </c>
      <c r="L906" s="275">
        <f t="shared" si="1173"/>
        <v>0</v>
      </c>
      <c r="M906" s="276">
        <f t="shared" si="1174"/>
        <v>0</v>
      </c>
      <c r="N906" s="286"/>
      <c r="O906" s="264" t="str">
        <f t="shared" si="1142"/>
        <v>-</v>
      </c>
    </row>
    <row r="907" spans="1:15" ht="23.4" x14ac:dyDescent="0.3">
      <c r="A907" s="277"/>
      <c r="B907" s="977"/>
      <c r="C907" s="302" t="s">
        <v>452</v>
      </c>
      <c r="D907" s="302" t="s">
        <v>410</v>
      </c>
      <c r="E907" s="283">
        <v>0</v>
      </c>
      <c r="F907" s="284"/>
      <c r="G907" s="337">
        <f t="shared" si="1171"/>
        <v>0</v>
      </c>
      <c r="H907" s="285"/>
      <c r="I907" s="285"/>
      <c r="J907" s="356" t="str">
        <f>IFERROR(G907/#REF!,"-")</f>
        <v>-</v>
      </c>
      <c r="K907" s="337">
        <f t="shared" si="1172"/>
        <v>36855</v>
      </c>
      <c r="L907" s="275">
        <f t="shared" si="1173"/>
        <v>35802</v>
      </c>
      <c r="M907" s="276">
        <f t="shared" si="1174"/>
        <v>1053</v>
      </c>
      <c r="N907" s="286"/>
      <c r="O907" s="264">
        <f t="shared" si="1142"/>
        <v>2.8571428571428571E-2</v>
      </c>
    </row>
    <row r="908" spans="1:15" ht="24" thickBot="1" x14ac:dyDescent="0.35">
      <c r="A908" s="277" t="s">
        <v>108</v>
      </c>
      <c r="B908" s="977"/>
      <c r="C908" s="303" t="s">
        <v>315</v>
      </c>
      <c r="D908" s="302" t="s">
        <v>313</v>
      </c>
      <c r="E908" s="283">
        <v>0</v>
      </c>
      <c r="F908" s="284"/>
      <c r="G908" s="337">
        <f t="shared" si="1171"/>
        <v>0</v>
      </c>
      <c r="H908" s="285"/>
      <c r="I908" s="285"/>
      <c r="J908" s="356" t="str">
        <f>IFERROR(G908/#REF!,"-")</f>
        <v>-</v>
      </c>
      <c r="K908" s="337">
        <f t="shared" si="1172"/>
        <v>8287</v>
      </c>
      <c r="L908" s="275">
        <f t="shared" si="1173"/>
        <v>7956</v>
      </c>
      <c r="M908" s="276">
        <f t="shared" si="1174"/>
        <v>331</v>
      </c>
      <c r="N908" s="341" t="str">
        <f t="shared" ref="N908:N915" si="1176">IFERROR(K908/E908,"-")</f>
        <v>-</v>
      </c>
      <c r="O908" s="350">
        <f t="shared" si="1142"/>
        <v>3.9942077953421022E-2</v>
      </c>
    </row>
    <row r="909" spans="1:15" ht="24" thickBot="1" x14ac:dyDescent="0.35">
      <c r="A909" s="277" t="s">
        <v>108</v>
      </c>
      <c r="B909" s="990"/>
      <c r="C909" s="304"/>
      <c r="D909" s="305" t="s">
        <v>55</v>
      </c>
      <c r="E909" s="287">
        <f>SUM(E900:E908)</f>
        <v>0</v>
      </c>
      <c r="F909" s="288">
        <v>80000</v>
      </c>
      <c r="G909" s="323">
        <f>SUM(G900:G908)</f>
        <v>12514</v>
      </c>
      <c r="H909" s="324">
        <f>SUM(H900:H908)</f>
        <v>11934</v>
      </c>
      <c r="I909" s="324">
        <f>SUM(I900:I908)</f>
        <v>580</v>
      </c>
      <c r="J909" s="348">
        <f>+G909/F909</f>
        <v>0.15642500000000001</v>
      </c>
      <c r="K909" s="323">
        <f>SUM(K900:K908)</f>
        <v>99226</v>
      </c>
      <c r="L909" s="324">
        <f>SUM(L900:L908)</f>
        <v>95472</v>
      </c>
      <c r="M909" s="325">
        <f>SUM(M900:M908)</f>
        <v>3754</v>
      </c>
      <c r="N909" s="342" t="str">
        <f t="shared" si="1176"/>
        <v>-</v>
      </c>
      <c r="O909" s="348">
        <f t="shared" si="1142"/>
        <v>3.7832826073811297E-2</v>
      </c>
    </row>
    <row r="910" spans="1:15" ht="23.4" x14ac:dyDescent="0.3">
      <c r="A910" s="277" t="s">
        <v>108</v>
      </c>
      <c r="B910" s="976" t="s">
        <v>28</v>
      </c>
      <c r="C910" s="302" t="s">
        <v>27</v>
      </c>
      <c r="D910" s="300" t="s">
        <v>191</v>
      </c>
      <c r="E910" s="273">
        <v>2612056</v>
      </c>
      <c r="F910" s="274"/>
      <c r="G910" s="335">
        <f t="shared" ref="G910:G914" si="1177">+H910+I910</f>
        <v>13210</v>
      </c>
      <c r="H910" s="275">
        <v>11934</v>
      </c>
      <c r="I910" s="275">
        <v>1276</v>
      </c>
      <c r="J910" s="354" t="str">
        <f>IFERROR(G910/#REF!,"-")</f>
        <v>-</v>
      </c>
      <c r="K910" s="335">
        <f t="shared" ref="K910:K914" si="1178">+L910+M910</f>
        <v>21742</v>
      </c>
      <c r="L910" s="275">
        <f t="shared" ref="L910:L914" si="1179">+H910+L804</f>
        <v>19890</v>
      </c>
      <c r="M910" s="276">
        <f t="shared" ref="M910:M914" si="1180">+I910+M804</f>
        <v>1852</v>
      </c>
      <c r="N910" s="339">
        <f t="shared" si="1176"/>
        <v>8.3237112833721792E-3</v>
      </c>
      <c r="O910" s="349">
        <f t="shared" si="1142"/>
        <v>8.5180756140189495E-2</v>
      </c>
    </row>
    <row r="911" spans="1:15" ht="23.4" x14ac:dyDescent="0.3">
      <c r="A911" s="277" t="s">
        <v>108</v>
      </c>
      <c r="B911" s="977"/>
      <c r="C911" s="302" t="s">
        <v>455</v>
      </c>
      <c r="D911" s="302" t="s">
        <v>370</v>
      </c>
      <c r="E911" s="279">
        <v>0</v>
      </c>
      <c r="F911" s="280"/>
      <c r="G911" s="336">
        <f t="shared" si="1177"/>
        <v>112391</v>
      </c>
      <c r="H911" s="281">
        <v>111384</v>
      </c>
      <c r="I911" s="281">
        <v>1007</v>
      </c>
      <c r="J911" s="355" t="str">
        <f>IFERROR(G911/#REF!,"-")</f>
        <v>-</v>
      </c>
      <c r="K911" s="336">
        <f t="shared" si="1178"/>
        <v>204657</v>
      </c>
      <c r="L911" s="275">
        <f t="shared" si="1179"/>
        <v>202572</v>
      </c>
      <c r="M911" s="276">
        <f t="shared" si="1180"/>
        <v>2085</v>
      </c>
      <c r="N911" s="340" t="str">
        <f t="shared" si="1176"/>
        <v>-</v>
      </c>
      <c r="O911" s="264">
        <f t="shared" si="1142"/>
        <v>1.0187777598616221E-2</v>
      </c>
    </row>
    <row r="912" spans="1:15" ht="23.4" x14ac:dyDescent="0.3">
      <c r="A912" s="277" t="s">
        <v>108</v>
      </c>
      <c r="B912" s="977"/>
      <c r="C912" s="302" t="s">
        <v>27</v>
      </c>
      <c r="D912" s="302" t="s">
        <v>370</v>
      </c>
      <c r="E912" s="279">
        <v>0</v>
      </c>
      <c r="F912" s="280"/>
      <c r="G912" s="336">
        <f t="shared" si="1177"/>
        <v>0</v>
      </c>
      <c r="H912" s="281"/>
      <c r="I912" s="281"/>
      <c r="J912" s="355" t="str">
        <f>IFERROR(G912/#REF!,"-")</f>
        <v>-</v>
      </c>
      <c r="K912" s="336">
        <f t="shared" si="1178"/>
        <v>65158</v>
      </c>
      <c r="L912" s="275">
        <f t="shared" si="1179"/>
        <v>63648</v>
      </c>
      <c r="M912" s="276">
        <f t="shared" si="1180"/>
        <v>1510</v>
      </c>
      <c r="N912" s="340" t="str">
        <f t="shared" si="1176"/>
        <v>-</v>
      </c>
      <c r="O912" s="264">
        <f t="shared" si="1142"/>
        <v>2.3174437521102549E-2</v>
      </c>
    </row>
    <row r="913" spans="1:15" ht="23.4" x14ac:dyDescent="0.3">
      <c r="A913" s="277" t="s">
        <v>108</v>
      </c>
      <c r="B913" s="977"/>
      <c r="C913" s="302" t="s">
        <v>452</v>
      </c>
      <c r="D913" s="303" t="s">
        <v>410</v>
      </c>
      <c r="E913" s="283">
        <v>0</v>
      </c>
      <c r="F913" s="284"/>
      <c r="G913" s="337">
        <f t="shared" si="1177"/>
        <v>0</v>
      </c>
      <c r="H913" s="285"/>
      <c r="I913" s="285"/>
      <c r="J913" s="356" t="str">
        <f>IFERROR(G913/#REF!,"-")</f>
        <v>-</v>
      </c>
      <c r="K913" s="337">
        <f t="shared" si="1178"/>
        <v>249713</v>
      </c>
      <c r="L913" s="275">
        <f t="shared" si="1179"/>
        <v>246636</v>
      </c>
      <c r="M913" s="755">
        <f t="shared" si="1180"/>
        <v>3077</v>
      </c>
      <c r="N913" s="341" t="str">
        <f t="shared" si="1176"/>
        <v>-</v>
      </c>
      <c r="O913" s="350">
        <f t="shared" si="1142"/>
        <v>1.2322145823405269E-2</v>
      </c>
    </row>
    <row r="914" spans="1:15" ht="24" thickBot="1" x14ac:dyDescent="0.35">
      <c r="A914" s="277" t="s">
        <v>108</v>
      </c>
      <c r="B914" s="977"/>
      <c r="C914" s="302" t="s">
        <v>27</v>
      </c>
      <c r="D914" s="303" t="s">
        <v>254</v>
      </c>
      <c r="E914" s="283">
        <v>0</v>
      </c>
      <c r="F914" s="284"/>
      <c r="G914" s="337">
        <f t="shared" si="1177"/>
        <v>0</v>
      </c>
      <c r="H914" s="285"/>
      <c r="I914" s="285"/>
      <c r="J914" s="356" t="str">
        <f>IFERROR(G914/#REF!,"-")</f>
        <v>-</v>
      </c>
      <c r="K914" s="337">
        <f t="shared" si="1178"/>
        <v>764755</v>
      </c>
      <c r="L914" s="275">
        <f t="shared" si="1179"/>
        <v>755820</v>
      </c>
      <c r="M914" s="755">
        <f t="shared" si="1180"/>
        <v>8935</v>
      </c>
      <c r="N914" s="341" t="str">
        <f t="shared" si="1176"/>
        <v>-</v>
      </c>
      <c r="O914" s="350">
        <f t="shared" si="1142"/>
        <v>1.1683480330301862E-2</v>
      </c>
    </row>
    <row r="915" spans="1:15" ht="24" thickBot="1" x14ac:dyDescent="0.35">
      <c r="A915" s="277" t="s">
        <v>108</v>
      </c>
      <c r="B915" s="977"/>
      <c r="C915" s="307"/>
      <c r="D915" s="308" t="s">
        <v>55</v>
      </c>
      <c r="E915" s="309">
        <f>SUM(E910:E914)</f>
        <v>2612056</v>
      </c>
      <c r="F915" s="310">
        <v>160000</v>
      </c>
      <c r="G915" s="369">
        <f>SUM(G910:G914)</f>
        <v>125601</v>
      </c>
      <c r="H915" s="368">
        <f>SUM(H910:H914)</f>
        <v>123318</v>
      </c>
      <c r="I915" s="368">
        <f>SUM(I910:I914)</f>
        <v>2283</v>
      </c>
      <c r="J915" s="359">
        <f>+G915/F915</f>
        <v>0.78500625000000002</v>
      </c>
      <c r="K915" s="369">
        <f>SUM(K910:K914)</f>
        <v>1306025</v>
      </c>
      <c r="L915" s="368">
        <f>SUM(L910:L914)</f>
        <v>1288566</v>
      </c>
      <c r="M915" s="370">
        <f>SUM(M910:M914)</f>
        <v>17459</v>
      </c>
      <c r="N915" s="358">
        <f t="shared" si="1176"/>
        <v>0.49999885147944761</v>
      </c>
      <c r="O915" s="359">
        <f t="shared" si="1142"/>
        <v>1.3368044256426945E-2</v>
      </c>
    </row>
    <row r="916" spans="1:15" ht="24" thickBot="1" x14ac:dyDescent="0.35">
      <c r="A916" s="814" t="s">
        <v>108</v>
      </c>
      <c r="B916" s="978" t="s">
        <v>170</v>
      </c>
      <c r="C916" s="979"/>
      <c r="D916" s="980"/>
      <c r="E916" s="311">
        <f>+E915+E909</f>
        <v>2612056</v>
      </c>
      <c r="F916" s="312">
        <v>240000</v>
      </c>
      <c r="G916" s="372">
        <f>+G909+G915</f>
        <v>138115</v>
      </c>
      <c r="H916" s="371">
        <f>+H909+H915</f>
        <v>135252</v>
      </c>
      <c r="I916" s="371">
        <f>+I909+I915</f>
        <v>2863</v>
      </c>
      <c r="J916" s="361">
        <f>+G916/F916</f>
        <v>0.57547916666666665</v>
      </c>
      <c r="K916" s="372">
        <f>+K909+K915</f>
        <v>1405251</v>
      </c>
      <c r="L916" s="371">
        <f>+L909+L915</f>
        <v>1384038</v>
      </c>
      <c r="M916" s="373">
        <f>+M909+M915</f>
        <v>21213</v>
      </c>
      <c r="N916" s="360">
        <f>IFERROR(K916/E916,"-")</f>
        <v>0.53798655159001185</v>
      </c>
      <c r="O916" s="361">
        <f t="shared" si="1142"/>
        <v>1.5095523860150251E-2</v>
      </c>
    </row>
    <row r="917" spans="1:15" ht="23.4" x14ac:dyDescent="0.3">
      <c r="A917" s="277" t="s">
        <v>108</v>
      </c>
      <c r="B917" s="977" t="s">
        <v>30</v>
      </c>
      <c r="C917" s="306" t="s">
        <v>372</v>
      </c>
      <c r="D917" s="300" t="s">
        <v>191</v>
      </c>
      <c r="E917" s="273">
        <v>0</v>
      </c>
      <c r="F917" s="274"/>
      <c r="G917" s="335">
        <f t="shared" ref="G917:G919" si="1181">+H917+I917</f>
        <v>0</v>
      </c>
      <c r="H917" s="275"/>
      <c r="I917" s="275"/>
      <c r="J917" s="354" t="str">
        <f>IFERROR(G917/#REF!,"-")</f>
        <v>-</v>
      </c>
      <c r="K917" s="335">
        <f t="shared" ref="K917:K919" si="1182">+L917+M917</f>
        <v>0</v>
      </c>
      <c r="L917" s="275">
        <f t="shared" ref="L917:L919" si="1183">+H917+L811</f>
        <v>0</v>
      </c>
      <c r="M917" s="276">
        <f t="shared" ref="M917:M919" si="1184">+I917+M811</f>
        <v>0</v>
      </c>
      <c r="N917" s="339" t="str">
        <f t="shared" ref="N917:N927" si="1185">IFERROR(K917/E917,"-")</f>
        <v>-</v>
      </c>
      <c r="O917" s="349" t="str">
        <f t="shared" si="1142"/>
        <v>-</v>
      </c>
    </row>
    <row r="918" spans="1:15" ht="23.4" x14ac:dyDescent="0.3">
      <c r="A918" s="277" t="s">
        <v>108</v>
      </c>
      <c r="B918" s="977"/>
      <c r="C918" s="306" t="s">
        <v>371</v>
      </c>
      <c r="D918" s="306" t="s">
        <v>313</v>
      </c>
      <c r="E918" s="279">
        <v>0</v>
      </c>
      <c r="F918" s="280"/>
      <c r="G918" s="336">
        <f t="shared" si="1181"/>
        <v>0</v>
      </c>
      <c r="H918" s="281"/>
      <c r="I918" s="281"/>
      <c r="J918" s="355" t="str">
        <f>IFERROR(G918/#REF!,"-")</f>
        <v>-</v>
      </c>
      <c r="K918" s="336">
        <f t="shared" si="1182"/>
        <v>0</v>
      </c>
      <c r="L918" s="275">
        <f t="shared" si="1183"/>
        <v>0</v>
      </c>
      <c r="M918" s="276">
        <f t="shared" si="1184"/>
        <v>0</v>
      </c>
      <c r="N918" s="340" t="str">
        <f t="shared" si="1185"/>
        <v>-</v>
      </c>
      <c r="O918" s="264" t="str">
        <f t="shared" si="1142"/>
        <v>-</v>
      </c>
    </row>
    <row r="919" spans="1:15" ht="24" thickBot="1" x14ac:dyDescent="0.35">
      <c r="A919" s="277" t="s">
        <v>108</v>
      </c>
      <c r="B919" s="977"/>
      <c r="C919" s="303" t="s">
        <v>316</v>
      </c>
      <c r="D919" s="303" t="s">
        <v>410</v>
      </c>
      <c r="E919" s="283">
        <v>0</v>
      </c>
      <c r="F919" s="284"/>
      <c r="G919" s="337">
        <f t="shared" si="1181"/>
        <v>0</v>
      </c>
      <c r="H919" s="285"/>
      <c r="I919" s="285"/>
      <c r="J919" s="356" t="str">
        <f>IFERROR(G919/#REF!,"-")</f>
        <v>-</v>
      </c>
      <c r="K919" s="337">
        <f t="shared" si="1182"/>
        <v>169767</v>
      </c>
      <c r="L919" s="275">
        <f t="shared" si="1183"/>
        <v>164736</v>
      </c>
      <c r="M919" s="276">
        <f t="shared" si="1184"/>
        <v>5031</v>
      </c>
      <c r="N919" s="341" t="str">
        <f t="shared" si="1185"/>
        <v>-</v>
      </c>
      <c r="O919" s="350">
        <f t="shared" si="1142"/>
        <v>2.9634734665747762E-2</v>
      </c>
    </row>
    <row r="920" spans="1:15" ht="24" thickBot="1" x14ac:dyDescent="0.35">
      <c r="A920" s="277" t="s">
        <v>108</v>
      </c>
      <c r="B920" s="977"/>
      <c r="C920" s="304"/>
      <c r="D920" s="305" t="s">
        <v>53</v>
      </c>
      <c r="E920" s="287">
        <v>0</v>
      </c>
      <c r="F920" s="288">
        <v>50000</v>
      </c>
      <c r="G920" s="323">
        <f>SUM(G917:G919)</f>
        <v>0</v>
      </c>
      <c r="H920" s="324">
        <f>SUM(H917:H919)</f>
        <v>0</v>
      </c>
      <c r="I920" s="324">
        <f>SUM(I917:I919)</f>
        <v>0</v>
      </c>
      <c r="J920" s="348" t="e">
        <f>+H920/G920</f>
        <v>#DIV/0!</v>
      </c>
      <c r="K920" s="323">
        <f>SUM(K917:K919)</f>
        <v>169767</v>
      </c>
      <c r="L920" s="324">
        <f>SUM(L917:L919)</f>
        <v>164736</v>
      </c>
      <c r="M920" s="325">
        <f>SUM(M917:M919)</f>
        <v>5031</v>
      </c>
      <c r="N920" s="342" t="str">
        <f t="shared" si="1185"/>
        <v>-</v>
      </c>
      <c r="O920" s="348">
        <f t="shared" si="1142"/>
        <v>2.9634734665747762E-2</v>
      </c>
    </row>
    <row r="921" spans="1:15" ht="23.4" x14ac:dyDescent="0.3">
      <c r="A921" s="277" t="s">
        <v>108</v>
      </c>
      <c r="B921" s="977"/>
      <c r="C921" s="300" t="s">
        <v>339</v>
      </c>
      <c r="D921" s="300"/>
      <c r="E921" s="273">
        <v>500000</v>
      </c>
      <c r="F921" s="274"/>
      <c r="G921" s="335">
        <f t="shared" ref="G921:G923" si="1186">+H921+I921</f>
        <v>0</v>
      </c>
      <c r="H921" s="275"/>
      <c r="I921" s="275"/>
      <c r="J921" s="354" t="str">
        <f>IFERROR(G921/#REF!,"-")</f>
        <v>-</v>
      </c>
      <c r="K921" s="335">
        <f t="shared" ref="K921:K923" si="1187">+L921+M921</f>
        <v>0</v>
      </c>
      <c r="L921" s="275">
        <f t="shared" ref="L921:L923" si="1188">+H921+L815</f>
        <v>0</v>
      </c>
      <c r="M921" s="276">
        <f t="shared" ref="M921:M923" si="1189">+I921+M815</f>
        <v>0</v>
      </c>
      <c r="N921" s="339">
        <f t="shared" si="1185"/>
        <v>0</v>
      </c>
      <c r="O921" s="349" t="str">
        <f t="shared" si="1142"/>
        <v>-</v>
      </c>
    </row>
    <row r="922" spans="1:15" ht="23.4" x14ac:dyDescent="0.3">
      <c r="A922" s="277" t="s">
        <v>108</v>
      </c>
      <c r="B922" s="977"/>
      <c r="C922" s="306" t="s">
        <v>373</v>
      </c>
      <c r="D922" s="306" t="s">
        <v>254</v>
      </c>
      <c r="E922" s="279">
        <v>0</v>
      </c>
      <c r="F922" s="280"/>
      <c r="G922" s="336">
        <f t="shared" si="1186"/>
        <v>0</v>
      </c>
      <c r="H922" s="281"/>
      <c r="I922" s="281"/>
      <c r="J922" s="355" t="str">
        <f>IFERROR(G922/#REF!,"-")</f>
        <v>-</v>
      </c>
      <c r="K922" s="336">
        <f t="shared" si="1187"/>
        <v>9638</v>
      </c>
      <c r="L922" s="275">
        <f t="shared" si="1188"/>
        <v>9360</v>
      </c>
      <c r="M922" s="276">
        <f t="shared" si="1189"/>
        <v>278</v>
      </c>
      <c r="N922" s="340" t="str">
        <f t="shared" si="1185"/>
        <v>-</v>
      </c>
      <c r="O922" s="264">
        <f t="shared" si="1142"/>
        <v>2.8844158539116E-2</v>
      </c>
    </row>
    <row r="923" spans="1:15" ht="24" thickBot="1" x14ac:dyDescent="0.35">
      <c r="A923" s="277" t="s">
        <v>108</v>
      </c>
      <c r="B923" s="977"/>
      <c r="C923" s="303" t="s">
        <v>145</v>
      </c>
      <c r="D923" s="303"/>
      <c r="E923" s="283">
        <v>0</v>
      </c>
      <c r="F923" s="284"/>
      <c r="G923" s="337">
        <f t="shared" si="1186"/>
        <v>0</v>
      </c>
      <c r="H923" s="285"/>
      <c r="I923" s="285"/>
      <c r="J923" s="356" t="str">
        <f>IFERROR(G923/#REF!,"-")</f>
        <v>-</v>
      </c>
      <c r="K923" s="337">
        <f t="shared" si="1187"/>
        <v>0</v>
      </c>
      <c r="L923" s="275">
        <f t="shared" si="1188"/>
        <v>0</v>
      </c>
      <c r="M923" s="276">
        <f t="shared" si="1189"/>
        <v>0</v>
      </c>
      <c r="N923" s="341" t="str">
        <f t="shared" si="1185"/>
        <v>-</v>
      </c>
      <c r="O923" s="350" t="str">
        <f t="shared" si="1142"/>
        <v>-</v>
      </c>
    </row>
    <row r="924" spans="1:15" ht="24" thickBot="1" x14ac:dyDescent="0.35">
      <c r="A924" s="277" t="s">
        <v>108</v>
      </c>
      <c r="B924" s="977"/>
      <c r="C924" s="307"/>
      <c r="D924" s="308" t="s">
        <v>54</v>
      </c>
      <c r="E924" s="309">
        <f>SUM(E921)</f>
        <v>500000</v>
      </c>
      <c r="F924" s="310">
        <v>50000</v>
      </c>
      <c r="G924" s="369">
        <f>SUM(G921:G923)</f>
        <v>0</v>
      </c>
      <c r="H924" s="368">
        <f t="shared" ref="H924:I924" si="1190">SUM(H921:H923)</f>
        <v>0</v>
      </c>
      <c r="I924" s="368">
        <f t="shared" si="1190"/>
        <v>0</v>
      </c>
      <c r="J924" s="359">
        <f>+G924/F924</f>
        <v>0</v>
      </c>
      <c r="K924" s="369">
        <f t="shared" ref="K924:M924" si="1191">SUM(K921:K923)</f>
        <v>9638</v>
      </c>
      <c r="L924" s="368">
        <f t="shared" si="1191"/>
        <v>9360</v>
      </c>
      <c r="M924" s="370">
        <f t="shared" si="1191"/>
        <v>278</v>
      </c>
      <c r="N924" s="358">
        <f t="shared" si="1185"/>
        <v>1.9276000000000001E-2</v>
      </c>
      <c r="O924" s="359">
        <f t="shared" si="1142"/>
        <v>2.8844158539116E-2</v>
      </c>
    </row>
    <row r="925" spans="1:15" ht="24" thickBot="1" x14ac:dyDescent="0.35">
      <c r="A925" s="277" t="s">
        <v>108</v>
      </c>
      <c r="B925" s="978" t="s">
        <v>171</v>
      </c>
      <c r="C925" s="979"/>
      <c r="D925" s="980"/>
      <c r="E925" s="311">
        <f>+E924+E920</f>
        <v>500000</v>
      </c>
      <c r="F925" s="312">
        <v>50000</v>
      </c>
      <c r="G925" s="372">
        <f>+G920+G924</f>
        <v>0</v>
      </c>
      <c r="H925" s="371">
        <f t="shared" ref="H925:I925" si="1192">+H920+H924</f>
        <v>0</v>
      </c>
      <c r="I925" s="371">
        <f t="shared" si="1192"/>
        <v>0</v>
      </c>
      <c r="J925" s="361">
        <f>+G925/F925</f>
        <v>0</v>
      </c>
      <c r="K925" s="372">
        <f t="shared" ref="K925:M925" si="1193">+K920+K924</f>
        <v>179405</v>
      </c>
      <c r="L925" s="371">
        <f t="shared" si="1193"/>
        <v>174096</v>
      </c>
      <c r="M925" s="373">
        <f t="shared" si="1193"/>
        <v>5309</v>
      </c>
      <c r="N925" s="360">
        <f t="shared" si="1185"/>
        <v>0.35881000000000002</v>
      </c>
      <c r="O925" s="361">
        <f t="shared" si="1142"/>
        <v>2.9592263314846299E-2</v>
      </c>
    </row>
    <row r="926" spans="1:15" ht="24" thickBot="1" x14ac:dyDescent="0.35">
      <c r="A926" s="277" t="s">
        <v>108</v>
      </c>
      <c r="B926" s="608" t="s">
        <v>32</v>
      </c>
      <c r="C926" s="810"/>
      <c r="D926" s="313" t="s">
        <v>32</v>
      </c>
      <c r="E926" s="290">
        <v>0</v>
      </c>
      <c r="F926" s="291">
        <v>110000</v>
      </c>
      <c r="G926" s="338">
        <f t="shared" ref="G926" si="1194">+H926+I926</f>
        <v>0</v>
      </c>
      <c r="H926" s="292"/>
      <c r="I926" s="292"/>
      <c r="J926" s="357" t="str">
        <f>IFERROR(G926/#REF!,"-")</f>
        <v>-</v>
      </c>
      <c r="K926" s="338">
        <f>+L926+M926</f>
        <v>0</v>
      </c>
      <c r="L926" s="292">
        <f>+H926+L820</f>
        <v>0</v>
      </c>
      <c r="M926" s="293">
        <f>+I926+M820</f>
        <v>0</v>
      </c>
      <c r="N926" s="343" t="str">
        <f t="shared" si="1185"/>
        <v>-</v>
      </c>
      <c r="O926" s="351" t="str">
        <f t="shared" si="1142"/>
        <v>-</v>
      </c>
    </row>
    <row r="927" spans="1:15" ht="24" thickBot="1" x14ac:dyDescent="0.35">
      <c r="A927" s="277" t="s">
        <v>108</v>
      </c>
      <c r="B927" s="981" t="s">
        <v>21</v>
      </c>
      <c r="C927" s="982"/>
      <c r="D927" s="983"/>
      <c r="E927" s="329">
        <f>+E916+E925+E926</f>
        <v>3112056</v>
      </c>
      <c r="F927" s="330">
        <f>+F916+F925+F926</f>
        <v>400000</v>
      </c>
      <c r="G927" s="329">
        <f>+G916+G925+G926</f>
        <v>138115</v>
      </c>
      <c r="H927" s="327">
        <f>+H916+H925+H926</f>
        <v>135252</v>
      </c>
      <c r="I927" s="327">
        <f>+I916+I925+I926</f>
        <v>2863</v>
      </c>
      <c r="J927" s="352">
        <f>+G927/F927</f>
        <v>0.34528750000000002</v>
      </c>
      <c r="K927" s="329">
        <f>+K916+K925+K926</f>
        <v>1584656</v>
      </c>
      <c r="L927" s="327">
        <f>+L916+L925+L926</f>
        <v>1558134</v>
      </c>
      <c r="M927" s="328">
        <f>+M916+M925+M926</f>
        <v>26522</v>
      </c>
      <c r="N927" s="344">
        <f t="shared" si="1185"/>
        <v>0.50919906325593112</v>
      </c>
      <c r="O927" s="352">
        <f t="shared" si="1142"/>
        <v>1.6736755485102131E-2</v>
      </c>
    </row>
    <row r="928" spans="1:15" ht="24" thickBot="1" x14ac:dyDescent="0.35">
      <c r="A928" s="277" t="s">
        <v>108</v>
      </c>
      <c r="B928" s="984" t="s">
        <v>179</v>
      </c>
      <c r="C928" s="962"/>
      <c r="D928" s="963"/>
      <c r="E928" s="333">
        <f>+E927</f>
        <v>3112056</v>
      </c>
      <c r="F928" s="334">
        <f t="shared" ref="F928:I928" si="1195">+F927</f>
        <v>400000</v>
      </c>
      <c r="G928" s="333">
        <f t="shared" si="1195"/>
        <v>138115</v>
      </c>
      <c r="H928" s="331">
        <f t="shared" si="1195"/>
        <v>135252</v>
      </c>
      <c r="I928" s="331">
        <f t="shared" si="1195"/>
        <v>2863</v>
      </c>
      <c r="J928" s="353">
        <f>+J927</f>
        <v>0.34528750000000002</v>
      </c>
      <c r="K928" s="333">
        <f>+K927</f>
        <v>1584656</v>
      </c>
      <c r="L928" s="331">
        <f t="shared" ref="L928" si="1196">+L927</f>
        <v>1558134</v>
      </c>
      <c r="M928" s="332">
        <f>+M927</f>
        <v>26522</v>
      </c>
      <c r="N928" s="345">
        <f t="shared" ref="N928:O928" si="1197">+N927</f>
        <v>0.50919906325593112</v>
      </c>
      <c r="O928" s="353">
        <f t="shared" si="1197"/>
        <v>1.6736755485102131E-2</v>
      </c>
    </row>
    <row r="929" spans="1:15" ht="23.4" x14ac:dyDescent="0.3">
      <c r="A929" s="271" t="s">
        <v>109</v>
      </c>
      <c r="B929" s="970" t="s">
        <v>482</v>
      </c>
      <c r="C929" s="314" t="s">
        <v>120</v>
      </c>
      <c r="D929" s="314"/>
      <c r="E929" s="273">
        <v>34000</v>
      </c>
      <c r="F929" s="274"/>
      <c r="G929" s="335">
        <f t="shared" ref="G929:G931" si="1198">+H929+I929</f>
        <v>0</v>
      </c>
      <c r="H929" s="275"/>
      <c r="I929" s="275"/>
      <c r="J929" s="354" t="str">
        <f>IFERROR(G929/#REF!,"-")</f>
        <v>-</v>
      </c>
      <c r="K929" s="335">
        <f t="shared" ref="K929:K931" si="1199">+L929+M929</f>
        <v>0</v>
      </c>
      <c r="L929" s="275">
        <f t="shared" ref="L929:L931" si="1200">+H929+L823</f>
        <v>0</v>
      </c>
      <c r="M929" s="276">
        <f t="shared" ref="M929:M931" si="1201">+I929+M823</f>
        <v>0</v>
      </c>
      <c r="N929" s="339">
        <f t="shared" ref="N929:N936" si="1202">IFERROR(K929/E929,"-")</f>
        <v>0</v>
      </c>
      <c r="O929" s="349" t="str">
        <f t="shared" ref="O929:O954" si="1203">IFERROR(M929/K929,"-")</f>
        <v>-</v>
      </c>
    </row>
    <row r="930" spans="1:15" ht="23.4" x14ac:dyDescent="0.3">
      <c r="A930" s="277" t="s">
        <v>109</v>
      </c>
      <c r="B930" s="972"/>
      <c r="C930" s="315" t="s">
        <v>267</v>
      </c>
      <c r="D930" s="315"/>
      <c r="E930" s="279">
        <v>0</v>
      </c>
      <c r="F930" s="280"/>
      <c r="G930" s="336">
        <f t="shared" si="1198"/>
        <v>0</v>
      </c>
      <c r="H930" s="281"/>
      <c r="I930" s="281"/>
      <c r="J930" s="355" t="str">
        <f>IFERROR(G930/#REF!,"-")</f>
        <v>-</v>
      </c>
      <c r="K930" s="336">
        <f t="shared" si="1199"/>
        <v>12672</v>
      </c>
      <c r="L930" s="275">
        <f t="shared" si="1200"/>
        <v>12480</v>
      </c>
      <c r="M930" s="276">
        <f t="shared" si="1201"/>
        <v>192</v>
      </c>
      <c r="N930" s="340" t="str">
        <f t="shared" si="1202"/>
        <v>-</v>
      </c>
      <c r="O930" s="264">
        <f t="shared" si="1203"/>
        <v>1.5151515151515152E-2</v>
      </c>
    </row>
    <row r="931" spans="1:15" ht="24" thickBot="1" x14ac:dyDescent="0.35">
      <c r="A931" s="277" t="s">
        <v>109</v>
      </c>
      <c r="B931" s="971"/>
      <c r="C931" s="316" t="s">
        <v>34</v>
      </c>
      <c r="D931" s="316"/>
      <c r="E931" s="283">
        <v>0</v>
      </c>
      <c r="F931" s="284"/>
      <c r="G931" s="337">
        <f t="shared" si="1198"/>
        <v>0</v>
      </c>
      <c r="H931" s="285"/>
      <c r="I931" s="285"/>
      <c r="J931" s="356" t="str">
        <f>IFERROR(G931/#REF!,"-")</f>
        <v>-</v>
      </c>
      <c r="K931" s="337">
        <f t="shared" si="1199"/>
        <v>0</v>
      </c>
      <c r="L931" s="275">
        <f t="shared" si="1200"/>
        <v>0</v>
      </c>
      <c r="M931" s="276">
        <f t="shared" si="1201"/>
        <v>0</v>
      </c>
      <c r="N931" s="341" t="str">
        <f t="shared" si="1202"/>
        <v>-</v>
      </c>
      <c r="O931" s="350" t="str">
        <f t="shared" si="1203"/>
        <v>-</v>
      </c>
    </row>
    <row r="932" spans="1:15" ht="24" thickBot="1" x14ac:dyDescent="0.35">
      <c r="A932" s="277" t="s">
        <v>109</v>
      </c>
      <c r="B932" s="967" t="s">
        <v>35</v>
      </c>
      <c r="C932" s="968"/>
      <c r="D932" s="969"/>
      <c r="E932" s="287">
        <f>SUM(E929:E931)</f>
        <v>34000</v>
      </c>
      <c r="F932" s="288">
        <v>6500</v>
      </c>
      <c r="G932" s="323">
        <f>SUM(G929:G931)</f>
        <v>0</v>
      </c>
      <c r="H932" s="324">
        <f t="shared" ref="H932:I932" si="1204">SUM(H929:H931)</f>
        <v>0</v>
      </c>
      <c r="I932" s="324">
        <f t="shared" si="1204"/>
        <v>0</v>
      </c>
      <c r="J932" s="348" t="str">
        <f>IFERROR(G932/#REF!,"-")</f>
        <v>-</v>
      </c>
      <c r="K932" s="323">
        <f t="shared" ref="K932:M932" si="1205">SUM(K929:K931)</f>
        <v>12672</v>
      </c>
      <c r="L932" s="324">
        <f t="shared" si="1205"/>
        <v>12480</v>
      </c>
      <c r="M932" s="325">
        <f t="shared" si="1205"/>
        <v>192</v>
      </c>
      <c r="N932" s="342">
        <f t="shared" si="1202"/>
        <v>0.37270588235294116</v>
      </c>
      <c r="O932" s="348">
        <f t="shared" si="1203"/>
        <v>1.5151515151515152E-2</v>
      </c>
    </row>
    <row r="933" spans="1:15" ht="23.4" x14ac:dyDescent="0.3">
      <c r="A933" s="277" t="s">
        <v>109</v>
      </c>
      <c r="B933" s="970" t="s">
        <v>36</v>
      </c>
      <c r="C933" s="314" t="s">
        <v>120</v>
      </c>
      <c r="D933" s="314"/>
      <c r="E933" s="273">
        <v>64360</v>
      </c>
      <c r="F933" s="274"/>
      <c r="G933" s="335">
        <f t="shared" ref="G933:G936" si="1206">+H933+I933</f>
        <v>0</v>
      </c>
      <c r="H933" s="275"/>
      <c r="I933" s="275"/>
      <c r="J933" s="354" t="str">
        <f>IFERROR(G933/#REF!,"-")</f>
        <v>-</v>
      </c>
      <c r="K933" s="335">
        <f t="shared" ref="K933:K936" si="1207">+L933+M933</f>
        <v>0</v>
      </c>
      <c r="L933" s="275">
        <f t="shared" ref="L933:L936" si="1208">+H933+L827</f>
        <v>0</v>
      </c>
      <c r="M933" s="276">
        <f t="shared" ref="M933:M936" si="1209">+I933+M827</f>
        <v>0</v>
      </c>
      <c r="N933" s="339">
        <f t="shared" si="1202"/>
        <v>0</v>
      </c>
      <c r="O933" s="349" t="str">
        <f t="shared" si="1203"/>
        <v>-</v>
      </c>
    </row>
    <row r="934" spans="1:15" ht="23.4" x14ac:dyDescent="0.3">
      <c r="A934" s="277" t="s">
        <v>109</v>
      </c>
      <c r="B934" s="972"/>
      <c r="C934" s="315" t="s">
        <v>267</v>
      </c>
      <c r="D934" s="315"/>
      <c r="E934" s="279">
        <v>0</v>
      </c>
      <c r="F934" s="280"/>
      <c r="G934" s="336">
        <f t="shared" si="1206"/>
        <v>2500</v>
      </c>
      <c r="H934" s="281">
        <v>2440</v>
      </c>
      <c r="I934" s="281">
        <v>60</v>
      </c>
      <c r="J934" s="355" t="str">
        <f>IFERROR(G934/#REF!,"-")</f>
        <v>-</v>
      </c>
      <c r="K934" s="336">
        <f t="shared" si="1207"/>
        <v>6445</v>
      </c>
      <c r="L934" s="275">
        <f t="shared" si="1208"/>
        <v>6280</v>
      </c>
      <c r="M934" s="276">
        <f t="shared" si="1209"/>
        <v>165</v>
      </c>
      <c r="N934" s="340" t="str">
        <f t="shared" si="1202"/>
        <v>-</v>
      </c>
      <c r="O934" s="264">
        <f t="shared" si="1203"/>
        <v>2.560124127230411E-2</v>
      </c>
    </row>
    <row r="935" spans="1:15" ht="23.4" x14ac:dyDescent="0.3">
      <c r="A935" s="277" t="s">
        <v>109</v>
      </c>
      <c r="B935" s="972"/>
      <c r="C935" s="315" t="s">
        <v>198</v>
      </c>
      <c r="D935" s="315"/>
      <c r="E935" s="279">
        <v>0</v>
      </c>
      <c r="F935" s="280"/>
      <c r="G935" s="336">
        <f t="shared" si="1206"/>
        <v>0</v>
      </c>
      <c r="H935" s="281"/>
      <c r="I935" s="281"/>
      <c r="J935" s="355" t="str">
        <f>IFERROR(G935/#REF!,"-")</f>
        <v>-</v>
      </c>
      <c r="K935" s="336">
        <f t="shared" si="1207"/>
        <v>0</v>
      </c>
      <c r="L935" s="275">
        <f t="shared" si="1208"/>
        <v>0</v>
      </c>
      <c r="M935" s="276">
        <f t="shared" si="1209"/>
        <v>0</v>
      </c>
      <c r="N935" s="340" t="str">
        <f t="shared" si="1202"/>
        <v>-</v>
      </c>
      <c r="O935" s="264" t="str">
        <f t="shared" si="1203"/>
        <v>-</v>
      </c>
    </row>
    <row r="936" spans="1:15" ht="24" thickBot="1" x14ac:dyDescent="0.35">
      <c r="A936" s="277" t="s">
        <v>109</v>
      </c>
      <c r="B936" s="971"/>
      <c r="C936" s="316" t="s">
        <v>37</v>
      </c>
      <c r="D936" s="316"/>
      <c r="E936" s="283">
        <v>0</v>
      </c>
      <c r="F936" s="284"/>
      <c r="G936" s="337">
        <f t="shared" si="1206"/>
        <v>0</v>
      </c>
      <c r="H936" s="285"/>
      <c r="I936" s="285"/>
      <c r="J936" s="356" t="str">
        <f>IFERROR(G936/#REF!,"-")</f>
        <v>-</v>
      </c>
      <c r="K936" s="337">
        <f t="shared" si="1207"/>
        <v>0</v>
      </c>
      <c r="L936" s="275">
        <f t="shared" si="1208"/>
        <v>0</v>
      </c>
      <c r="M936" s="276">
        <f t="shared" si="1209"/>
        <v>0</v>
      </c>
      <c r="N936" s="341" t="str">
        <f t="shared" si="1202"/>
        <v>-</v>
      </c>
      <c r="O936" s="350" t="str">
        <f t="shared" si="1203"/>
        <v>-</v>
      </c>
    </row>
    <row r="937" spans="1:15" ht="24" thickBot="1" x14ac:dyDescent="0.35">
      <c r="A937" s="277" t="s">
        <v>109</v>
      </c>
      <c r="B937" s="967" t="s">
        <v>38</v>
      </c>
      <c r="C937" s="968"/>
      <c r="D937" s="969"/>
      <c r="E937" s="287">
        <f>SUM(E933:E936)</f>
        <v>64360</v>
      </c>
      <c r="F937" s="288">
        <v>6500</v>
      </c>
      <c r="G937" s="323">
        <f>SUM(G933:G936)</f>
        <v>2500</v>
      </c>
      <c r="H937" s="324">
        <f t="shared" ref="H937:I937" si="1210">SUM(H933:H936)</f>
        <v>2440</v>
      </c>
      <c r="I937" s="324">
        <f t="shared" si="1210"/>
        <v>60</v>
      </c>
      <c r="J937" s="348" t="str">
        <f>IFERROR(G937/#REF!,"-")</f>
        <v>-</v>
      </c>
      <c r="K937" s="323">
        <f t="shared" ref="K937:M937" si="1211">SUM(K933:K936)</f>
        <v>6445</v>
      </c>
      <c r="L937" s="324">
        <f t="shared" si="1211"/>
        <v>6280</v>
      </c>
      <c r="M937" s="325">
        <f t="shared" si="1211"/>
        <v>165</v>
      </c>
      <c r="N937" s="342">
        <f>IFERROR(K937/E937,"-")</f>
        <v>0.10013983840894966</v>
      </c>
      <c r="O937" s="348">
        <f t="shared" si="1203"/>
        <v>2.560124127230411E-2</v>
      </c>
    </row>
    <row r="938" spans="1:15" ht="23.4" x14ac:dyDescent="0.3">
      <c r="A938" s="277" t="s">
        <v>109</v>
      </c>
      <c r="B938" s="970" t="s">
        <v>483</v>
      </c>
      <c r="C938" s="317" t="s">
        <v>123</v>
      </c>
      <c r="D938" s="317"/>
      <c r="E938" s="273">
        <v>39800</v>
      </c>
      <c r="F938" s="274"/>
      <c r="G938" s="335">
        <f t="shared" ref="G938:G939" si="1212">+H938+I938</f>
        <v>0</v>
      </c>
      <c r="H938" s="275"/>
      <c r="I938" s="275"/>
      <c r="J938" s="354" t="str">
        <f>IFERROR(G938/#REF!,"-")</f>
        <v>-</v>
      </c>
      <c r="K938" s="335">
        <f t="shared" ref="K938:K939" si="1213">+L938+M938</f>
        <v>144</v>
      </c>
      <c r="L938" s="275">
        <f>+H938+L832</f>
        <v>144</v>
      </c>
      <c r="M938" s="276">
        <f>+I938+M832</f>
        <v>0</v>
      </c>
      <c r="N938" s="339">
        <f t="shared" ref="N938:N954" si="1214">IFERROR(K938/E938,"-")</f>
        <v>3.6180904522613066E-3</v>
      </c>
      <c r="O938" s="349">
        <f t="shared" si="1203"/>
        <v>0</v>
      </c>
    </row>
    <row r="939" spans="1:15" ht="24" thickBot="1" x14ac:dyDescent="0.35">
      <c r="A939" s="277" t="s">
        <v>109</v>
      </c>
      <c r="B939" s="971"/>
      <c r="C939" s="289" t="s">
        <v>139</v>
      </c>
      <c r="D939" s="289"/>
      <c r="E939" s="283">
        <v>0</v>
      </c>
      <c r="F939" s="284"/>
      <c r="G939" s="337">
        <f t="shared" si="1212"/>
        <v>0</v>
      </c>
      <c r="H939" s="285"/>
      <c r="I939" s="285"/>
      <c r="J939" s="356" t="str">
        <f>IFERROR(G939/#REF!,"-")</f>
        <v>-</v>
      </c>
      <c r="K939" s="337">
        <f t="shared" si="1213"/>
        <v>240</v>
      </c>
      <c r="L939" s="275">
        <f>+H939+L833</f>
        <v>240</v>
      </c>
      <c r="M939" s="276">
        <f>+I939+M833</f>
        <v>0</v>
      </c>
      <c r="N939" s="341" t="str">
        <f t="shared" si="1214"/>
        <v>-</v>
      </c>
      <c r="O939" s="350">
        <f t="shared" si="1203"/>
        <v>0</v>
      </c>
    </row>
    <row r="940" spans="1:15" ht="24" thickBot="1" x14ac:dyDescent="0.35">
      <c r="A940" s="814" t="s">
        <v>109</v>
      </c>
      <c r="B940" s="967" t="s">
        <v>40</v>
      </c>
      <c r="C940" s="968"/>
      <c r="D940" s="969"/>
      <c r="E940" s="287">
        <f>SUM(E938:E939)</f>
        <v>39800</v>
      </c>
      <c r="F940" s="288">
        <v>2800</v>
      </c>
      <c r="G940" s="323">
        <f>SUM(G938:G939)</f>
        <v>0</v>
      </c>
      <c r="H940" s="324">
        <f t="shared" ref="H940:I940" si="1215">SUM(H938:H939)</f>
        <v>0</v>
      </c>
      <c r="I940" s="324">
        <f t="shared" si="1215"/>
        <v>0</v>
      </c>
      <c r="J940" s="348" t="str">
        <f>IFERROR(G940/#REF!,"-")</f>
        <v>-</v>
      </c>
      <c r="K940" s="323">
        <f t="shared" ref="K940:M940" si="1216">SUM(K938:K939)</f>
        <v>384</v>
      </c>
      <c r="L940" s="324">
        <f t="shared" si="1216"/>
        <v>384</v>
      </c>
      <c r="M940" s="325">
        <f t="shared" si="1216"/>
        <v>0</v>
      </c>
      <c r="N940" s="342">
        <f t="shared" si="1214"/>
        <v>9.6482412060301514E-3</v>
      </c>
      <c r="O940" s="348">
        <f t="shared" si="1203"/>
        <v>0</v>
      </c>
    </row>
    <row r="941" spans="1:15" ht="23.4" x14ac:dyDescent="0.3">
      <c r="A941" s="277" t="s">
        <v>109</v>
      </c>
      <c r="B941" s="970" t="s">
        <v>484</v>
      </c>
      <c r="C941" s="272" t="s">
        <v>335</v>
      </c>
      <c r="D941" s="272"/>
      <c r="E941" s="273">
        <v>916640</v>
      </c>
      <c r="F941" s="318"/>
      <c r="G941" s="335">
        <f t="shared" ref="G941:G945" si="1217">+H941+I941</f>
        <v>23801</v>
      </c>
      <c r="H941" s="275">
        <v>23520</v>
      </c>
      <c r="I941" s="275">
        <v>281</v>
      </c>
      <c r="J941" s="374" t="str">
        <f>IFERROR(G941/#REF!,"-")</f>
        <v>-</v>
      </c>
      <c r="K941" s="335">
        <f t="shared" ref="K941:K945" si="1218">+L941+M941</f>
        <v>181330</v>
      </c>
      <c r="L941" s="275">
        <f t="shared" ref="L941:L945" si="1219">+H941+L835</f>
        <v>178812</v>
      </c>
      <c r="M941" s="275">
        <f t="shared" ref="M941:M945" si="1220">+I941+M835</f>
        <v>2518</v>
      </c>
      <c r="N941" s="362">
        <f t="shared" si="1214"/>
        <v>0.19782030022691569</v>
      </c>
      <c r="O941" s="363">
        <f t="shared" si="1203"/>
        <v>1.3886284674350631E-2</v>
      </c>
    </row>
    <row r="942" spans="1:15" ht="23.4" x14ac:dyDescent="0.3">
      <c r="A942" s="277" t="s">
        <v>109</v>
      </c>
      <c r="B942" s="972"/>
      <c r="C942" s="272" t="s">
        <v>336</v>
      </c>
      <c r="D942" s="278"/>
      <c r="E942" s="279">
        <v>0</v>
      </c>
      <c r="F942" s="319"/>
      <c r="G942" s="336">
        <f t="shared" si="1217"/>
        <v>0</v>
      </c>
      <c r="H942" s="281"/>
      <c r="I942" s="281"/>
      <c r="J942" s="375" t="str">
        <f>IFERROR(G942/#REF!,"-")</f>
        <v>-</v>
      </c>
      <c r="K942" s="336">
        <f t="shared" si="1218"/>
        <v>0</v>
      </c>
      <c r="L942" s="275">
        <f t="shared" si="1219"/>
        <v>0</v>
      </c>
      <c r="M942" s="276">
        <f t="shared" si="1220"/>
        <v>0</v>
      </c>
      <c r="N942" s="364" t="str">
        <f t="shared" si="1214"/>
        <v>-</v>
      </c>
      <c r="O942" s="365" t="str">
        <f t="shared" si="1203"/>
        <v>-</v>
      </c>
    </row>
    <row r="943" spans="1:15" ht="23.4" x14ac:dyDescent="0.3">
      <c r="A943" s="277" t="s">
        <v>109</v>
      </c>
      <c r="B943" s="972"/>
      <c r="C943" s="278" t="s">
        <v>383</v>
      </c>
      <c r="D943" s="278"/>
      <c r="E943" s="279">
        <v>40000</v>
      </c>
      <c r="F943" s="319"/>
      <c r="G943" s="336">
        <f t="shared" si="1217"/>
        <v>0</v>
      </c>
      <c r="H943" s="281"/>
      <c r="I943" s="281"/>
      <c r="J943" s="375" t="str">
        <f>IFERROR(G943/#REF!,"-")</f>
        <v>-</v>
      </c>
      <c r="K943" s="336">
        <f t="shared" si="1218"/>
        <v>0</v>
      </c>
      <c r="L943" s="275">
        <f t="shared" si="1219"/>
        <v>0</v>
      </c>
      <c r="M943" s="276">
        <f t="shared" si="1220"/>
        <v>0</v>
      </c>
      <c r="N943" s="364">
        <f t="shared" si="1214"/>
        <v>0</v>
      </c>
      <c r="O943" s="365" t="str">
        <f t="shared" si="1203"/>
        <v>-</v>
      </c>
    </row>
    <row r="944" spans="1:15" ht="23.4" x14ac:dyDescent="0.3">
      <c r="A944" s="277" t="s">
        <v>109</v>
      </c>
      <c r="B944" s="972"/>
      <c r="C944" s="278" t="s">
        <v>165</v>
      </c>
      <c r="D944" s="278"/>
      <c r="E944" s="279">
        <v>0</v>
      </c>
      <c r="F944" s="319"/>
      <c r="G944" s="336">
        <f t="shared" si="1217"/>
        <v>0</v>
      </c>
      <c r="H944" s="281"/>
      <c r="I944" s="281"/>
      <c r="J944" s="375" t="str">
        <f>IFERROR(G944/#REF!,"-")</f>
        <v>-</v>
      </c>
      <c r="K944" s="336">
        <f t="shared" si="1218"/>
        <v>0</v>
      </c>
      <c r="L944" s="275">
        <f t="shared" si="1219"/>
        <v>0</v>
      </c>
      <c r="M944" s="276">
        <f t="shared" si="1220"/>
        <v>0</v>
      </c>
      <c r="N944" s="364" t="str">
        <f t="shared" si="1214"/>
        <v>-</v>
      </c>
      <c r="O944" s="365" t="str">
        <f t="shared" si="1203"/>
        <v>-</v>
      </c>
    </row>
    <row r="945" spans="1:15" ht="24" thickBot="1" x14ac:dyDescent="0.35">
      <c r="A945" s="277" t="s">
        <v>109</v>
      </c>
      <c r="B945" s="971"/>
      <c r="C945" s="282" t="s">
        <v>166</v>
      </c>
      <c r="D945" s="282"/>
      <c r="E945" s="283">
        <v>0</v>
      </c>
      <c r="F945" s="320"/>
      <c r="G945" s="337">
        <f t="shared" si="1217"/>
        <v>0</v>
      </c>
      <c r="H945" s="285"/>
      <c r="I945" s="285"/>
      <c r="J945" s="376" t="str">
        <f>IFERROR(G945/#REF!,"-")</f>
        <v>-</v>
      </c>
      <c r="K945" s="337">
        <f t="shared" si="1218"/>
        <v>0</v>
      </c>
      <c r="L945" s="275">
        <f t="shared" si="1219"/>
        <v>0</v>
      </c>
      <c r="M945" s="276">
        <f t="shared" si="1220"/>
        <v>0</v>
      </c>
      <c r="N945" s="366" t="str">
        <f t="shared" si="1214"/>
        <v>-</v>
      </c>
      <c r="O945" s="367" t="str">
        <f t="shared" si="1203"/>
        <v>-</v>
      </c>
    </row>
    <row r="946" spans="1:15" ht="24" thickBot="1" x14ac:dyDescent="0.35">
      <c r="A946" s="277" t="s">
        <v>109</v>
      </c>
      <c r="B946" s="967" t="s">
        <v>42</v>
      </c>
      <c r="C946" s="968"/>
      <c r="D946" s="969"/>
      <c r="E946" s="323">
        <f>SUM(E941:E945)</f>
        <v>956640</v>
      </c>
      <c r="F946" s="288">
        <v>25000</v>
      </c>
      <c r="G946" s="323">
        <f>SUM(G941:G945)</f>
        <v>23801</v>
      </c>
      <c r="H946" s="324">
        <f>SUM(H941:H945)</f>
        <v>23520</v>
      </c>
      <c r="I946" s="324">
        <f>SUM(I941:I945)</f>
        <v>281</v>
      </c>
      <c r="J946" s="348" t="str">
        <f>IFERROR(G946/#REF!,"-")</f>
        <v>-</v>
      </c>
      <c r="K946" s="323">
        <f>SUM(K941:K945)</f>
        <v>181330</v>
      </c>
      <c r="L946" s="324">
        <f>SUM(L941:L945)</f>
        <v>178812</v>
      </c>
      <c r="M946" s="325">
        <f>SUM(M941:M945)</f>
        <v>2518</v>
      </c>
      <c r="N946" s="342">
        <f t="shared" si="1214"/>
        <v>0.18954883759826058</v>
      </c>
      <c r="O946" s="348">
        <f t="shared" si="1203"/>
        <v>1.3886284674350631E-2</v>
      </c>
    </row>
    <row r="947" spans="1:15" ht="23.4" x14ac:dyDescent="0.3">
      <c r="A947" s="277" t="s">
        <v>109</v>
      </c>
      <c r="B947" s="970" t="s">
        <v>485</v>
      </c>
      <c r="C947" s="272" t="s">
        <v>200</v>
      </c>
      <c r="D947" s="272"/>
      <c r="E947" s="273">
        <v>0</v>
      </c>
      <c r="F947" s="274"/>
      <c r="G947" s="335">
        <f t="shared" ref="G947:G949" si="1221">+H947+I947</f>
        <v>0</v>
      </c>
      <c r="H947" s="275"/>
      <c r="I947" s="275"/>
      <c r="J947" s="354" t="str">
        <f>IFERROR(G947/#REF!,"-")</f>
        <v>-</v>
      </c>
      <c r="K947" s="335">
        <f t="shared" ref="K947:K949" si="1222">+L947+M947</f>
        <v>0</v>
      </c>
      <c r="L947" s="275">
        <f t="shared" ref="L947:L949" si="1223">+H947+L841</f>
        <v>0</v>
      </c>
      <c r="M947" s="276">
        <f t="shared" ref="M947:M949" si="1224">+I947+M841</f>
        <v>0</v>
      </c>
      <c r="N947" s="339" t="str">
        <f t="shared" si="1214"/>
        <v>-</v>
      </c>
      <c r="O947" s="349" t="str">
        <f t="shared" si="1203"/>
        <v>-</v>
      </c>
    </row>
    <row r="948" spans="1:15" ht="23.4" x14ac:dyDescent="0.3">
      <c r="A948" s="277" t="s">
        <v>109</v>
      </c>
      <c r="B948" s="972"/>
      <c r="C948" s="278" t="s">
        <v>167</v>
      </c>
      <c r="D948" s="278"/>
      <c r="E948" s="279">
        <v>50000</v>
      </c>
      <c r="F948" s="280"/>
      <c r="G948" s="336">
        <f t="shared" si="1221"/>
        <v>14948</v>
      </c>
      <c r="H948" s="281">
        <v>14400</v>
      </c>
      <c r="I948" s="281">
        <v>548</v>
      </c>
      <c r="J948" s="375" t="str">
        <f>IFERROR(G948/#REF!,"-")</f>
        <v>-</v>
      </c>
      <c r="K948" s="336">
        <f t="shared" si="1222"/>
        <v>105821</v>
      </c>
      <c r="L948" s="794">
        <f t="shared" si="1223"/>
        <v>103056</v>
      </c>
      <c r="M948" s="276">
        <f t="shared" si="1224"/>
        <v>2765</v>
      </c>
      <c r="N948" s="364">
        <f t="shared" si="1214"/>
        <v>2.1164200000000002</v>
      </c>
      <c r="O948" s="365">
        <f t="shared" si="1203"/>
        <v>2.6129029209703176E-2</v>
      </c>
    </row>
    <row r="949" spans="1:15" ht="24" thickBot="1" x14ac:dyDescent="0.35">
      <c r="A949" s="277" t="s">
        <v>109</v>
      </c>
      <c r="B949" s="971"/>
      <c r="C949" s="282" t="s">
        <v>200</v>
      </c>
      <c r="D949" s="282"/>
      <c r="E949" s="283">
        <v>0</v>
      </c>
      <c r="F949" s="284"/>
      <c r="G949" s="337">
        <f t="shared" si="1221"/>
        <v>0</v>
      </c>
      <c r="H949" s="285"/>
      <c r="I949" s="285"/>
      <c r="J949" s="376" t="str">
        <f>IFERROR(G949/#REF!,"-")</f>
        <v>-</v>
      </c>
      <c r="K949" s="337">
        <f t="shared" si="1222"/>
        <v>0</v>
      </c>
      <c r="L949" s="275">
        <f t="shared" si="1223"/>
        <v>0</v>
      </c>
      <c r="M949" s="276">
        <f t="shared" si="1224"/>
        <v>0</v>
      </c>
      <c r="N949" s="366" t="str">
        <f t="shared" si="1214"/>
        <v>-</v>
      </c>
      <c r="O949" s="367" t="str">
        <f t="shared" si="1203"/>
        <v>-</v>
      </c>
    </row>
    <row r="950" spans="1:15" ht="24" thickBot="1" x14ac:dyDescent="0.35">
      <c r="A950" s="277" t="s">
        <v>109</v>
      </c>
      <c r="B950" s="973" t="s">
        <v>44</v>
      </c>
      <c r="C950" s="974"/>
      <c r="D950" s="975"/>
      <c r="E950" s="323">
        <f>SUM(E947:E949)</f>
        <v>50000</v>
      </c>
      <c r="F950" s="288"/>
      <c r="G950" s="323">
        <f>SUM(G947:G949)</f>
        <v>14948</v>
      </c>
      <c r="H950" s="324">
        <f t="shared" ref="H950:I950" si="1225">SUM(H947:H949)</f>
        <v>14400</v>
      </c>
      <c r="I950" s="324">
        <f t="shared" si="1225"/>
        <v>548</v>
      </c>
      <c r="J950" s="348" t="str">
        <f>IFERROR(G950/#REF!,"-")</f>
        <v>-</v>
      </c>
      <c r="K950" s="323">
        <f t="shared" ref="K950:M950" si="1226">SUM(K947:K949)</f>
        <v>105821</v>
      </c>
      <c r="L950" s="368">
        <f t="shared" si="1226"/>
        <v>103056</v>
      </c>
      <c r="M950" s="370">
        <f t="shared" si="1226"/>
        <v>2765</v>
      </c>
      <c r="N950" s="342">
        <f t="shared" si="1214"/>
        <v>2.1164200000000002</v>
      </c>
      <c r="O950" s="348">
        <f t="shared" si="1203"/>
        <v>2.6129029209703176E-2</v>
      </c>
    </row>
    <row r="951" spans="1:15" ht="23.4" x14ac:dyDescent="0.3">
      <c r="A951" s="277" t="s">
        <v>109</v>
      </c>
      <c r="B951" s="970" t="s">
        <v>45</v>
      </c>
      <c r="C951" s="272" t="s">
        <v>168</v>
      </c>
      <c r="D951" s="272"/>
      <c r="E951" s="273">
        <v>0</v>
      </c>
      <c r="F951" s="274"/>
      <c r="G951" s="335">
        <f t="shared" ref="G951:G952" si="1227">+H951+I951</f>
        <v>0</v>
      </c>
      <c r="H951" s="275"/>
      <c r="I951" s="275"/>
      <c r="J951" s="374" t="str">
        <f>IFERROR(G951/#REF!,"-")</f>
        <v>-</v>
      </c>
      <c r="K951" s="739">
        <f t="shared" ref="K951:K952" si="1228">+L951+M951</f>
        <v>0</v>
      </c>
      <c r="L951" s="532">
        <f>+H951+L845</f>
        <v>0</v>
      </c>
      <c r="M951" s="247">
        <f>+I951+M845</f>
        <v>0</v>
      </c>
      <c r="N951" s="362" t="str">
        <f t="shared" si="1214"/>
        <v>-</v>
      </c>
      <c r="O951" s="363" t="str">
        <f t="shared" si="1203"/>
        <v>-</v>
      </c>
    </row>
    <row r="952" spans="1:15" ht="24" thickBot="1" x14ac:dyDescent="0.35">
      <c r="A952" s="277" t="s">
        <v>109</v>
      </c>
      <c r="B952" s="971"/>
      <c r="C952" s="282" t="s">
        <v>169</v>
      </c>
      <c r="D952" s="282"/>
      <c r="E952" s="283">
        <v>0</v>
      </c>
      <c r="F952" s="284"/>
      <c r="G952" s="337">
        <f t="shared" si="1227"/>
        <v>0</v>
      </c>
      <c r="H952" s="285"/>
      <c r="I952" s="285"/>
      <c r="J952" s="376" t="str">
        <f>IFERROR(G952/#REF!,"-")</f>
        <v>-</v>
      </c>
      <c r="K952" s="740">
        <f t="shared" si="1228"/>
        <v>0</v>
      </c>
      <c r="L952" s="535">
        <f>+H952+L846</f>
        <v>0</v>
      </c>
      <c r="M952" s="258">
        <f>+I952+M846</f>
        <v>0</v>
      </c>
      <c r="N952" s="366" t="str">
        <f t="shared" si="1214"/>
        <v>-</v>
      </c>
      <c r="O952" s="367" t="str">
        <f t="shared" si="1203"/>
        <v>-</v>
      </c>
    </row>
    <row r="953" spans="1:15" ht="24" thickBot="1" x14ac:dyDescent="0.35">
      <c r="A953" s="277" t="s">
        <v>109</v>
      </c>
      <c r="B953" s="973" t="s">
        <v>46</v>
      </c>
      <c r="C953" s="974"/>
      <c r="D953" s="975"/>
      <c r="E953" s="287">
        <v>0</v>
      </c>
      <c r="F953" s="288">
        <v>25000</v>
      </c>
      <c r="G953" s="323">
        <f>SUM(G951:G952)</f>
        <v>0</v>
      </c>
      <c r="H953" s="324">
        <f t="shared" ref="H953:I953" si="1229">SUM(H951:H952)</f>
        <v>0</v>
      </c>
      <c r="I953" s="324">
        <f t="shared" si="1229"/>
        <v>0</v>
      </c>
      <c r="J953" s="348" t="str">
        <f>IFERROR(G953/#REF!,"-")</f>
        <v>-</v>
      </c>
      <c r="K953" s="323">
        <f t="shared" ref="K953:M953" si="1230">SUM(K951:K952)</f>
        <v>0</v>
      </c>
      <c r="L953" s="524">
        <f t="shared" si="1230"/>
        <v>0</v>
      </c>
      <c r="M953" s="733">
        <f t="shared" si="1230"/>
        <v>0</v>
      </c>
      <c r="N953" s="342" t="str">
        <f t="shared" si="1214"/>
        <v>-</v>
      </c>
      <c r="O953" s="348" t="str">
        <f t="shared" si="1203"/>
        <v>-</v>
      </c>
    </row>
    <row r="954" spans="1:15" ht="24" thickBot="1" x14ac:dyDescent="0.35">
      <c r="A954" s="277" t="s">
        <v>109</v>
      </c>
      <c r="B954" s="959" t="s">
        <v>25</v>
      </c>
      <c r="C954" s="960"/>
      <c r="D954" s="961"/>
      <c r="E954" s="329">
        <f t="shared" ref="E954:F954" si="1231">+E932+E937+E940+E946+E950+E953</f>
        <v>1144800</v>
      </c>
      <c r="F954" s="330">
        <f t="shared" si="1231"/>
        <v>65800</v>
      </c>
      <c r="G954" s="329">
        <f>+G932+G937+G940+G946+G950+G953</f>
        <v>41249</v>
      </c>
      <c r="H954" s="327">
        <f>+H932+H937+H940+H946+H950+H953</f>
        <v>40360</v>
      </c>
      <c r="I954" s="327">
        <f t="shared" ref="I954" si="1232">+I932+I937+I940+I946+I950+I953</f>
        <v>889</v>
      </c>
      <c r="J954" s="352" t="str">
        <f>IFERROR(G954/#REF!,"-")</f>
        <v>-</v>
      </c>
      <c r="K954" s="329">
        <f>+K932+K937+K940+K946+K950+K953</f>
        <v>306652</v>
      </c>
      <c r="L954" s="327">
        <f t="shared" ref="L954:M954" si="1233">+L932+L937+L940+L946+L950+L953</f>
        <v>301012</v>
      </c>
      <c r="M954" s="328">
        <f t="shared" si="1233"/>
        <v>5640</v>
      </c>
      <c r="N954" s="344">
        <f t="shared" si="1214"/>
        <v>0.2678651292802236</v>
      </c>
      <c r="O954" s="352">
        <f t="shared" si="1203"/>
        <v>1.8392183974016148E-2</v>
      </c>
    </row>
    <row r="955" spans="1:15" ht="24" thickBot="1" x14ac:dyDescent="0.35">
      <c r="A955" s="321" t="s">
        <v>109</v>
      </c>
      <c r="B955" s="962" t="s">
        <v>181</v>
      </c>
      <c r="C955" s="962"/>
      <c r="D955" s="963"/>
      <c r="E955" s="333">
        <f>+E954</f>
        <v>1144800</v>
      </c>
      <c r="F955" s="334">
        <f t="shared" ref="F955:O955" si="1234">+F954</f>
        <v>65800</v>
      </c>
      <c r="G955" s="333">
        <f t="shared" si="1234"/>
        <v>41249</v>
      </c>
      <c r="H955" s="331">
        <f t="shared" si="1234"/>
        <v>40360</v>
      </c>
      <c r="I955" s="331">
        <f t="shared" si="1234"/>
        <v>889</v>
      </c>
      <c r="J955" s="353" t="str">
        <f t="shared" si="1234"/>
        <v>-</v>
      </c>
      <c r="K955" s="333">
        <f t="shared" si="1234"/>
        <v>306652</v>
      </c>
      <c r="L955" s="331">
        <f t="shared" si="1234"/>
        <v>301012</v>
      </c>
      <c r="M955" s="332">
        <f t="shared" si="1234"/>
        <v>5640</v>
      </c>
      <c r="N955" s="345">
        <f t="shared" si="1234"/>
        <v>0.2678651292802236</v>
      </c>
      <c r="O955" s="353">
        <f t="shared" si="1234"/>
        <v>1.8392183974016148E-2</v>
      </c>
    </row>
    <row r="956" spans="1:15" ht="24.6" thickBot="1" x14ac:dyDescent="0.35">
      <c r="A956" s="322"/>
      <c r="B956" s="964" t="s">
        <v>182</v>
      </c>
      <c r="C956" s="965"/>
      <c r="D956" s="966"/>
      <c r="E956" s="377">
        <f>+E899+E928+E955</f>
        <v>10258981</v>
      </c>
      <c r="F956" s="377">
        <f>+F899+F928+F955</f>
        <v>1014800</v>
      </c>
      <c r="G956" s="377">
        <f>+G899+G928+G955</f>
        <v>305581</v>
      </c>
      <c r="H956" s="377">
        <f>+H899+H928+H955</f>
        <v>301164</v>
      </c>
      <c r="I956" s="377">
        <f>+I899+I928+I955</f>
        <v>4417</v>
      </c>
      <c r="J956" s="378" t="str">
        <f>IFERROR(G956/#REF!,"-")</f>
        <v>-</v>
      </c>
      <c r="K956" s="377">
        <f>+K899+K928+K955</f>
        <v>3530944</v>
      </c>
      <c r="L956" s="377">
        <f>+L899+L928+L955</f>
        <v>3491536</v>
      </c>
      <c r="M956" s="377">
        <f>+M899+M928+M955</f>
        <v>39408</v>
      </c>
      <c r="N956" s="378">
        <f>IFERROR(K956/E956,"-")</f>
        <v>0.34418077194996266</v>
      </c>
      <c r="O956" s="378">
        <f>IFERROR(M956/K956,"-")</f>
        <v>1.1160754744340324E-2</v>
      </c>
    </row>
    <row r="957" spans="1:15" ht="23.4" x14ac:dyDescent="0.3">
      <c r="A957" s="991" t="s">
        <v>1</v>
      </c>
      <c r="B957" s="994" t="s">
        <v>2</v>
      </c>
      <c r="C957" s="997" t="s">
        <v>477</v>
      </c>
      <c r="D957" s="997" t="s">
        <v>478</v>
      </c>
      <c r="E957" s="1000" t="s">
        <v>4</v>
      </c>
      <c r="F957" s="1001"/>
      <c r="G957" s="1001"/>
      <c r="H957" s="1001"/>
      <c r="I957" s="1001"/>
      <c r="J957" s="1001"/>
      <c r="K957" s="1001"/>
      <c r="L957" s="1001"/>
      <c r="M957" s="1001"/>
      <c r="N957" s="1001"/>
      <c r="O957" s="1002"/>
    </row>
    <row r="958" spans="1:15" ht="23.4" x14ac:dyDescent="0.3">
      <c r="A958" s="992"/>
      <c r="B958" s="995"/>
      <c r="C958" s="998"/>
      <c r="D958" s="998"/>
      <c r="E958" s="1003" t="s">
        <v>7</v>
      </c>
      <c r="F958" s="1005" t="s">
        <v>115</v>
      </c>
      <c r="G958" s="1007">
        <v>44544</v>
      </c>
      <c r="H958" s="1008"/>
      <c r="I958" s="1008"/>
      <c r="J958" s="1009"/>
      <c r="K958" s="1010" t="s">
        <v>479</v>
      </c>
      <c r="L958" s="1011"/>
      <c r="M958" s="1012"/>
      <c r="N958" s="1013" t="s">
        <v>480</v>
      </c>
      <c r="O958" s="1015" t="s">
        <v>172</v>
      </c>
    </row>
    <row r="959" spans="1:15" ht="41.4" thickBot="1" x14ac:dyDescent="0.35">
      <c r="A959" s="993"/>
      <c r="B959" s="996"/>
      <c r="C959" s="999"/>
      <c r="D959" s="999"/>
      <c r="E959" s="1004"/>
      <c r="F959" s="1006"/>
      <c r="G959" s="455" t="s">
        <v>13</v>
      </c>
      <c r="H959" s="456" t="s">
        <v>14</v>
      </c>
      <c r="I959" s="456" t="s">
        <v>15</v>
      </c>
      <c r="J959" s="457" t="s">
        <v>174</v>
      </c>
      <c r="K959" s="712" t="s">
        <v>13</v>
      </c>
      <c r="L959" s="710" t="s">
        <v>14</v>
      </c>
      <c r="M959" s="711" t="s">
        <v>15</v>
      </c>
      <c r="N959" s="1014"/>
      <c r="O959" s="1016"/>
    </row>
    <row r="960" spans="1:15" ht="24" thickBot="1" x14ac:dyDescent="0.35">
      <c r="A960" s="271" t="s">
        <v>110</v>
      </c>
      <c r="B960" s="956" t="s">
        <v>16</v>
      </c>
      <c r="C960" s="272" t="s">
        <v>424</v>
      </c>
      <c r="D960" s="272" t="s">
        <v>425</v>
      </c>
      <c r="E960" s="273">
        <v>20000</v>
      </c>
      <c r="F960" s="274"/>
      <c r="G960" s="335">
        <f>+H960+I960</f>
        <v>0</v>
      </c>
      <c r="H960" s="275"/>
      <c r="I960" s="275"/>
      <c r="J960" s="354"/>
      <c r="K960" s="461">
        <f>+L960+M960</f>
        <v>20432</v>
      </c>
      <c r="L960" s="732">
        <f>+H960+L854</f>
        <v>19840</v>
      </c>
      <c r="M960" s="732">
        <f>+I960+M854</f>
        <v>592</v>
      </c>
      <c r="N960" s="339">
        <f>IFERROR(K960/E960,"-")</f>
        <v>1.0216000000000001</v>
      </c>
      <c r="O960" s="346">
        <f t="shared" ref="O960:O961" si="1235">IFERROR(M960/K960,"-")</f>
        <v>2.8974158183241974E-2</v>
      </c>
    </row>
    <row r="961" spans="1:15" ht="23.4" x14ac:dyDescent="0.3">
      <c r="A961" s="277" t="s">
        <v>110</v>
      </c>
      <c r="B961" s="957"/>
      <c r="C961" s="278" t="s">
        <v>438</v>
      </c>
      <c r="D961" s="278" t="s">
        <v>437</v>
      </c>
      <c r="E961" s="279">
        <v>50000</v>
      </c>
      <c r="F961" s="280"/>
      <c r="G961" s="336">
        <f t="shared" ref="G961:G963" si="1236">+H961+I961</f>
        <v>0</v>
      </c>
      <c r="H961" s="281"/>
      <c r="I961" s="281"/>
      <c r="J961" s="355" t="str">
        <f>IFERROR(G961/#REF!,"-")</f>
        <v>-</v>
      </c>
      <c r="K961" s="734">
        <f t="shared" ref="K961:K963" si="1237">+L961+M961</f>
        <v>48806</v>
      </c>
      <c r="L961" s="532">
        <f t="shared" ref="L961:L963" si="1238">+H961+L855</f>
        <v>48381</v>
      </c>
      <c r="M961" s="463">
        <f t="shared" ref="M961:M963" si="1239">+I961+M855</f>
        <v>425</v>
      </c>
      <c r="N961" s="340">
        <f t="shared" ref="N961:N963" si="1240">IFERROR(K961/E961,"-")</f>
        <v>0.97611999999999999</v>
      </c>
      <c r="O961" s="268">
        <f t="shared" si="1235"/>
        <v>8.7079457443756912E-3</v>
      </c>
    </row>
    <row r="962" spans="1:15" ht="23.4" x14ac:dyDescent="0.3">
      <c r="A962" s="277" t="s">
        <v>110</v>
      </c>
      <c r="B962" s="957"/>
      <c r="C962" s="278" t="s">
        <v>186</v>
      </c>
      <c r="D962" s="278" t="s">
        <v>184</v>
      </c>
      <c r="E962" s="279">
        <v>0</v>
      </c>
      <c r="F962" s="280"/>
      <c r="G962" s="336">
        <f t="shared" si="1236"/>
        <v>0</v>
      </c>
      <c r="H962" s="281"/>
      <c r="I962" s="281"/>
      <c r="J962" s="355" t="str">
        <f>IFERROR(G962/#REF!,"-")</f>
        <v>-</v>
      </c>
      <c r="K962" s="734">
        <f t="shared" si="1237"/>
        <v>0</v>
      </c>
      <c r="L962" s="279">
        <f t="shared" si="1238"/>
        <v>0</v>
      </c>
      <c r="M962" s="439">
        <f t="shared" si="1239"/>
        <v>0</v>
      </c>
      <c r="N962" s="340" t="str">
        <f t="shared" si="1240"/>
        <v>-</v>
      </c>
      <c r="O962" s="268" t="str">
        <f>IFERROR(M962/K962,"-")</f>
        <v>-</v>
      </c>
    </row>
    <row r="963" spans="1:15" ht="24" thickBot="1" x14ac:dyDescent="0.35">
      <c r="A963" s="277" t="s">
        <v>110</v>
      </c>
      <c r="B963" s="958"/>
      <c r="C963" s="282" t="s">
        <v>250</v>
      </c>
      <c r="D963" s="282" t="s">
        <v>436</v>
      </c>
      <c r="E963" s="283">
        <v>30000</v>
      </c>
      <c r="F963" s="284"/>
      <c r="G963" s="337">
        <f t="shared" si="1236"/>
        <v>0</v>
      </c>
      <c r="H963" s="285"/>
      <c r="I963" s="285"/>
      <c r="J963" s="356" t="str">
        <f>IFERROR(G963/#REF!,"-")</f>
        <v>-</v>
      </c>
      <c r="K963" s="735">
        <f t="shared" si="1237"/>
        <v>0</v>
      </c>
      <c r="L963" s="535">
        <f t="shared" si="1238"/>
        <v>0</v>
      </c>
      <c r="M963" s="466">
        <f t="shared" si="1239"/>
        <v>0</v>
      </c>
      <c r="N963" s="341">
        <f t="shared" si="1240"/>
        <v>0</v>
      </c>
      <c r="O963" s="347" t="str">
        <f t="shared" ref="O963:O981" si="1241">IFERROR(M963/K963,"-")</f>
        <v>-</v>
      </c>
    </row>
    <row r="964" spans="1:15" ht="24" thickBot="1" x14ac:dyDescent="0.35">
      <c r="A964" s="277" t="s">
        <v>110</v>
      </c>
      <c r="B964" s="967" t="s">
        <v>47</v>
      </c>
      <c r="C964" s="968"/>
      <c r="D964" s="969"/>
      <c r="E964" s="323">
        <f>SUM(E960:E963)</f>
        <v>100000</v>
      </c>
      <c r="F964" s="288">
        <v>15000</v>
      </c>
      <c r="G964" s="323">
        <f>SUM(G960:G963)</f>
        <v>0</v>
      </c>
      <c r="H964" s="324">
        <f t="shared" ref="H964:I964" si="1242">SUM(H960:H963)</f>
        <v>0</v>
      </c>
      <c r="I964" s="324">
        <f t="shared" si="1242"/>
        <v>0</v>
      </c>
      <c r="J964" s="348">
        <f>+G964/F964</f>
        <v>0</v>
      </c>
      <c r="K964" s="323">
        <f t="shared" ref="K964:M964" si="1243">SUM(K960:K963)</f>
        <v>69238</v>
      </c>
      <c r="L964" s="736">
        <f t="shared" si="1243"/>
        <v>68221</v>
      </c>
      <c r="M964" s="737">
        <f t="shared" si="1243"/>
        <v>1017</v>
      </c>
      <c r="N964" s="342">
        <f>IFERROR(K964/E964,"-")</f>
        <v>0.69238</v>
      </c>
      <c r="O964" s="348">
        <f t="shared" si="1241"/>
        <v>1.4688465871342326E-2</v>
      </c>
    </row>
    <row r="965" spans="1:15" ht="23.4" x14ac:dyDescent="0.3">
      <c r="A965" s="277" t="s">
        <v>110</v>
      </c>
      <c r="B965" s="956" t="s">
        <v>17</v>
      </c>
      <c r="C965" s="272" t="s">
        <v>320</v>
      </c>
      <c r="D965" s="272"/>
      <c r="E965" s="273">
        <v>0</v>
      </c>
      <c r="F965" s="274"/>
      <c r="G965" s="335">
        <f t="shared" ref="G965:G971" si="1244">+H965+I965</f>
        <v>0</v>
      </c>
      <c r="H965" s="275"/>
      <c r="I965" s="275"/>
      <c r="J965" s="354" t="str">
        <f>IFERROR(G965/#REF!,"-")</f>
        <v>-</v>
      </c>
      <c r="K965" s="738">
        <f t="shared" ref="K965:K971" si="1245">+L965+M965</f>
        <v>0</v>
      </c>
      <c r="L965" s="532">
        <f t="shared" ref="L965:L971" si="1246">+H965+L859</f>
        <v>0</v>
      </c>
      <c r="M965" s="463">
        <f t="shared" ref="M965:M971" si="1247">+I965+M859</f>
        <v>0</v>
      </c>
      <c r="N965" s="339" t="str">
        <f t="shared" ref="N965:N971" si="1248">IFERROR(K965/E965,"-")</f>
        <v>-</v>
      </c>
      <c r="O965" s="349" t="str">
        <f t="shared" si="1241"/>
        <v>-</v>
      </c>
    </row>
    <row r="966" spans="1:15" ht="23.4" x14ac:dyDescent="0.3">
      <c r="A966" s="277" t="s">
        <v>110</v>
      </c>
      <c r="B966" s="957"/>
      <c r="C966" s="278" t="s">
        <v>382</v>
      </c>
      <c r="D966" s="278" t="s">
        <v>252</v>
      </c>
      <c r="E966" s="279">
        <v>2000000</v>
      </c>
      <c r="F966" s="280"/>
      <c r="G966" s="336">
        <f t="shared" si="1244"/>
        <v>6120</v>
      </c>
      <c r="H966" s="281">
        <v>6120</v>
      </c>
      <c r="I966" s="281"/>
      <c r="J966" s="355" t="str">
        <f>IFERROR(G966/#REF!,"-")</f>
        <v>-</v>
      </c>
      <c r="K966" s="734">
        <f t="shared" si="1245"/>
        <v>599251</v>
      </c>
      <c r="L966" s="279">
        <f t="shared" si="1246"/>
        <v>596623</v>
      </c>
      <c r="M966" s="439">
        <f t="shared" si="1247"/>
        <v>2628</v>
      </c>
      <c r="N966" s="340">
        <f t="shared" si="1248"/>
        <v>0.29962549999999999</v>
      </c>
      <c r="O966" s="264">
        <f t="shared" si="1241"/>
        <v>4.3854745340433307E-3</v>
      </c>
    </row>
    <row r="967" spans="1:15" ht="23.4" x14ac:dyDescent="0.3">
      <c r="A967" s="277" t="s">
        <v>110</v>
      </c>
      <c r="B967" s="957"/>
      <c r="C967" s="278" t="s">
        <v>422</v>
      </c>
      <c r="D967" s="278" t="s">
        <v>201</v>
      </c>
      <c r="E967" s="279">
        <v>1000000</v>
      </c>
      <c r="F967" s="280"/>
      <c r="G967" s="336">
        <f t="shared" si="1244"/>
        <v>0</v>
      </c>
      <c r="H967" s="281"/>
      <c r="I967" s="281"/>
      <c r="J967" s="355" t="str">
        <f>IFERROR(G967/#REF!,"-")</f>
        <v>-</v>
      </c>
      <c r="K967" s="734">
        <f t="shared" si="1245"/>
        <v>453213</v>
      </c>
      <c r="L967" s="279">
        <f t="shared" si="1246"/>
        <v>451656</v>
      </c>
      <c r="M967" s="439">
        <f t="shared" si="1247"/>
        <v>1557</v>
      </c>
      <c r="N967" s="340">
        <f t="shared" si="1248"/>
        <v>0.45321299999999998</v>
      </c>
      <c r="O967" s="264">
        <f t="shared" si="1241"/>
        <v>3.435470738924082E-3</v>
      </c>
    </row>
    <row r="968" spans="1:15" ht="23.4" x14ac:dyDescent="0.3">
      <c r="A968" s="277" t="s">
        <v>110</v>
      </c>
      <c r="B968" s="957"/>
      <c r="C968" s="278" t="s">
        <v>319</v>
      </c>
      <c r="D968" s="278" t="s">
        <v>202</v>
      </c>
      <c r="E968" s="279">
        <v>0</v>
      </c>
      <c r="F968" s="280"/>
      <c r="G968" s="336">
        <f t="shared" si="1244"/>
        <v>0</v>
      </c>
      <c r="H968" s="281"/>
      <c r="I968" s="281"/>
      <c r="J968" s="355" t="str">
        <f>IFERROR(G968/#REF!,"-")</f>
        <v>-</v>
      </c>
      <c r="K968" s="734">
        <f t="shared" si="1245"/>
        <v>0</v>
      </c>
      <c r="L968" s="279">
        <f t="shared" si="1246"/>
        <v>0</v>
      </c>
      <c r="M968" s="439">
        <f t="shared" si="1247"/>
        <v>0</v>
      </c>
      <c r="N968" s="340" t="str">
        <f t="shared" si="1248"/>
        <v>-</v>
      </c>
      <c r="O968" s="264" t="str">
        <f t="shared" si="1241"/>
        <v>-</v>
      </c>
    </row>
    <row r="969" spans="1:15" ht="23.4" x14ac:dyDescent="0.3">
      <c r="A969" s="277" t="s">
        <v>110</v>
      </c>
      <c r="B969" s="957"/>
      <c r="C969" s="278" t="s">
        <v>358</v>
      </c>
      <c r="D969" s="278" t="s">
        <v>352</v>
      </c>
      <c r="E969" s="279">
        <v>500000</v>
      </c>
      <c r="F969" s="280"/>
      <c r="G969" s="336">
        <f t="shared" si="1244"/>
        <v>140760</v>
      </c>
      <c r="H969" s="281">
        <v>140760</v>
      </c>
      <c r="I969" s="281"/>
      <c r="J969" s="355" t="str">
        <f>IFERROR(G969/#REF!,"-")</f>
        <v>-</v>
      </c>
      <c r="K969" s="734">
        <f t="shared" si="1245"/>
        <v>245060</v>
      </c>
      <c r="L969" s="279">
        <f t="shared" si="1246"/>
        <v>244800</v>
      </c>
      <c r="M969" s="439">
        <f t="shared" si="1247"/>
        <v>260</v>
      </c>
      <c r="N969" s="340">
        <f t="shared" si="1248"/>
        <v>0.49012</v>
      </c>
      <c r="O969" s="264">
        <f t="shared" si="1241"/>
        <v>1.0609646617154983E-3</v>
      </c>
    </row>
    <row r="970" spans="1:15" ht="23.4" x14ac:dyDescent="0.3">
      <c r="A970" s="277" t="s">
        <v>110</v>
      </c>
      <c r="B970" s="957"/>
      <c r="C970" s="278" t="s">
        <v>392</v>
      </c>
      <c r="D970" s="278" t="s">
        <v>203</v>
      </c>
      <c r="E970" s="279">
        <v>0</v>
      </c>
      <c r="F970" s="280"/>
      <c r="G970" s="336">
        <f t="shared" si="1244"/>
        <v>0</v>
      </c>
      <c r="H970" s="281"/>
      <c r="I970" s="281"/>
      <c r="J970" s="355" t="str">
        <f>IFERROR(G970/#REF!,"-")</f>
        <v>-</v>
      </c>
      <c r="K970" s="734">
        <f t="shared" si="1245"/>
        <v>0</v>
      </c>
      <c r="L970" s="279">
        <f t="shared" si="1246"/>
        <v>0</v>
      </c>
      <c r="M970" s="439">
        <f t="shared" si="1247"/>
        <v>0</v>
      </c>
      <c r="N970" s="340" t="str">
        <f t="shared" si="1248"/>
        <v>-</v>
      </c>
      <c r="O970" s="264" t="str">
        <f t="shared" si="1241"/>
        <v>-</v>
      </c>
    </row>
    <row r="971" spans="1:15" ht="24" thickBot="1" x14ac:dyDescent="0.35">
      <c r="A971" s="277" t="s">
        <v>110</v>
      </c>
      <c r="B971" s="958"/>
      <c r="C971" s="282" t="s">
        <v>379</v>
      </c>
      <c r="D971" s="282" t="s">
        <v>252</v>
      </c>
      <c r="E971" s="283">
        <v>0</v>
      </c>
      <c r="F971" s="284"/>
      <c r="G971" s="337">
        <f t="shared" si="1244"/>
        <v>0</v>
      </c>
      <c r="H971" s="285"/>
      <c r="I971" s="285"/>
      <c r="J971" s="356" t="str">
        <f>IFERROR(G971/#REF!,"-")</f>
        <v>-</v>
      </c>
      <c r="K971" s="735">
        <f t="shared" si="1245"/>
        <v>0</v>
      </c>
      <c r="L971" s="535">
        <f t="shared" si="1246"/>
        <v>0</v>
      </c>
      <c r="M971" s="466">
        <f t="shared" si="1247"/>
        <v>0</v>
      </c>
      <c r="N971" s="341" t="str">
        <f t="shared" si="1248"/>
        <v>-</v>
      </c>
      <c r="O971" s="350" t="str">
        <f t="shared" si="1241"/>
        <v>-</v>
      </c>
    </row>
    <row r="972" spans="1:15" ht="24" thickBot="1" x14ac:dyDescent="0.35">
      <c r="A972" s="277" t="s">
        <v>110</v>
      </c>
      <c r="B972" s="967" t="s">
        <v>48</v>
      </c>
      <c r="C972" s="968"/>
      <c r="D972" s="969"/>
      <c r="E972" s="323">
        <f>SUM(E965:E971)</f>
        <v>3500000</v>
      </c>
      <c r="F972" s="288">
        <v>200000</v>
      </c>
      <c r="G972" s="323">
        <f>SUM(G965:G971)</f>
        <v>146880</v>
      </c>
      <c r="H972" s="324">
        <f t="shared" ref="H972:I972" si="1249">SUM(H965:H971)</f>
        <v>146880</v>
      </c>
      <c r="I972" s="324">
        <f t="shared" si="1249"/>
        <v>0</v>
      </c>
      <c r="J972" s="348">
        <f>+G972/F972</f>
        <v>0.73440000000000005</v>
      </c>
      <c r="K972" s="323">
        <f>SUM(K965:K971)</f>
        <v>1297524</v>
      </c>
      <c r="L972" s="524">
        <f>SUM(L965:L971)</f>
        <v>1293079</v>
      </c>
      <c r="M972" s="733">
        <f t="shared" ref="M972" si="1250">SUM(M965:M971)</f>
        <v>4445</v>
      </c>
      <c r="N972" s="342">
        <f>IFERROR(K972/E972,"-")</f>
        <v>0.37072114285714286</v>
      </c>
      <c r="O972" s="348">
        <f t="shared" si="1241"/>
        <v>3.4257555158902649E-3</v>
      </c>
    </row>
    <row r="973" spans="1:15" ht="23.4" x14ac:dyDescent="0.3">
      <c r="A973" s="277" t="s">
        <v>110</v>
      </c>
      <c r="B973" s="956" t="s">
        <v>18</v>
      </c>
      <c r="C973" s="272" t="s">
        <v>344</v>
      </c>
      <c r="D973" s="272" t="s">
        <v>99</v>
      </c>
      <c r="E973" s="273">
        <v>0</v>
      </c>
      <c r="F973" s="274"/>
      <c r="G973" s="335">
        <f t="shared" ref="G973:G979" si="1251">+H973+I973</f>
        <v>0</v>
      </c>
      <c r="H973" s="275"/>
      <c r="I973" s="275"/>
      <c r="J973" s="354" t="str">
        <f>IFERROR(G973/#REF!,"-")</f>
        <v>-</v>
      </c>
      <c r="K973" s="335">
        <f t="shared" ref="K973:K979" si="1252">+L973+M973</f>
        <v>0</v>
      </c>
      <c r="L973" s="275">
        <f t="shared" ref="L973:L979" si="1253">+H973+L867</f>
        <v>0</v>
      </c>
      <c r="M973" s="276">
        <f t="shared" ref="M973:M979" si="1254">+I973+M867</f>
        <v>0</v>
      </c>
      <c r="N973" s="339" t="str">
        <f t="shared" ref="N973:N980" si="1255">IFERROR(K973/E973,"-")</f>
        <v>-</v>
      </c>
      <c r="O973" s="349" t="str">
        <f t="shared" si="1241"/>
        <v>-</v>
      </c>
    </row>
    <row r="974" spans="1:15" ht="23.4" x14ac:dyDescent="0.3">
      <c r="A974" s="277" t="s">
        <v>110</v>
      </c>
      <c r="B974" s="957"/>
      <c r="C974" s="278" t="s">
        <v>253</v>
      </c>
      <c r="D974" s="278" t="s">
        <v>254</v>
      </c>
      <c r="E974" s="279">
        <v>0</v>
      </c>
      <c r="F974" s="280"/>
      <c r="G974" s="336">
        <f t="shared" si="1251"/>
        <v>0</v>
      </c>
      <c r="H974" s="281"/>
      <c r="I974" s="281"/>
      <c r="J974" s="355" t="str">
        <f>IFERROR(G974/#REF!,"-")</f>
        <v>-</v>
      </c>
      <c r="K974" s="336">
        <f t="shared" si="1252"/>
        <v>0</v>
      </c>
      <c r="L974" s="275">
        <f t="shared" si="1253"/>
        <v>0</v>
      </c>
      <c r="M974" s="276">
        <f t="shared" si="1254"/>
        <v>0</v>
      </c>
      <c r="N974" s="340" t="str">
        <f t="shared" si="1255"/>
        <v>-</v>
      </c>
      <c r="O974" s="264" t="str">
        <f t="shared" si="1241"/>
        <v>-</v>
      </c>
    </row>
    <row r="975" spans="1:15" ht="23.4" x14ac:dyDescent="0.3">
      <c r="A975" s="277" t="s">
        <v>110</v>
      </c>
      <c r="B975" s="957"/>
      <c r="C975" s="278" t="s">
        <v>122</v>
      </c>
      <c r="D975" s="278"/>
      <c r="E975" s="279">
        <v>0</v>
      </c>
      <c r="F975" s="280"/>
      <c r="G975" s="336">
        <f t="shared" si="1251"/>
        <v>0</v>
      </c>
      <c r="H975" s="281"/>
      <c r="I975" s="281"/>
      <c r="J975" s="355" t="str">
        <f>IFERROR(G975/#REF!,"-")</f>
        <v>-</v>
      </c>
      <c r="K975" s="336">
        <f t="shared" si="1252"/>
        <v>0</v>
      </c>
      <c r="L975" s="275">
        <f t="shared" si="1253"/>
        <v>0</v>
      </c>
      <c r="M975" s="276">
        <f t="shared" si="1254"/>
        <v>0</v>
      </c>
      <c r="N975" s="340" t="str">
        <f t="shared" si="1255"/>
        <v>-</v>
      </c>
      <c r="O975" s="264" t="str">
        <f t="shared" si="1241"/>
        <v>-</v>
      </c>
    </row>
    <row r="976" spans="1:15" ht="23.4" x14ac:dyDescent="0.3">
      <c r="A976" s="277" t="s">
        <v>110</v>
      </c>
      <c r="B976" s="957"/>
      <c r="C976" s="278" t="s">
        <v>129</v>
      </c>
      <c r="D976" s="278"/>
      <c r="E976" s="279">
        <v>0</v>
      </c>
      <c r="F976" s="280"/>
      <c r="G976" s="336">
        <f t="shared" si="1251"/>
        <v>0</v>
      </c>
      <c r="H976" s="281"/>
      <c r="I976" s="281"/>
      <c r="J976" s="355" t="str">
        <f>IFERROR(G976/#REF!,"-")</f>
        <v>-</v>
      </c>
      <c r="K976" s="336">
        <f t="shared" si="1252"/>
        <v>0</v>
      </c>
      <c r="L976" s="275">
        <f t="shared" si="1253"/>
        <v>0</v>
      </c>
      <c r="M976" s="276">
        <f t="shared" si="1254"/>
        <v>0</v>
      </c>
      <c r="N976" s="340" t="str">
        <f t="shared" si="1255"/>
        <v>-</v>
      </c>
      <c r="O976" s="264" t="str">
        <f t="shared" si="1241"/>
        <v>-</v>
      </c>
    </row>
    <row r="977" spans="1:15" ht="23.4" x14ac:dyDescent="0.3">
      <c r="A977" s="277" t="s">
        <v>110</v>
      </c>
      <c r="B977" s="957"/>
      <c r="C977" s="278" t="s">
        <v>189</v>
      </c>
      <c r="D977" s="278" t="s">
        <v>190</v>
      </c>
      <c r="E977" s="279">
        <v>0</v>
      </c>
      <c r="F977" s="280"/>
      <c r="G977" s="336">
        <f t="shared" si="1251"/>
        <v>0</v>
      </c>
      <c r="H977" s="281"/>
      <c r="I977" s="281"/>
      <c r="J977" s="355" t="str">
        <f>IFERROR(G977/#REF!,"-")</f>
        <v>-</v>
      </c>
      <c r="K977" s="336">
        <f t="shared" si="1252"/>
        <v>0</v>
      </c>
      <c r="L977" s="275">
        <f t="shared" si="1253"/>
        <v>0</v>
      </c>
      <c r="M977" s="276">
        <f t="shared" si="1254"/>
        <v>0</v>
      </c>
      <c r="N977" s="340" t="str">
        <f t="shared" si="1255"/>
        <v>-</v>
      </c>
      <c r="O977" s="264" t="str">
        <f t="shared" si="1241"/>
        <v>-</v>
      </c>
    </row>
    <row r="978" spans="1:15" ht="23.4" x14ac:dyDescent="0.3">
      <c r="A978" s="277" t="s">
        <v>110</v>
      </c>
      <c r="B978" s="957"/>
      <c r="C978" s="278" t="s">
        <v>192</v>
      </c>
      <c r="D978" s="278" t="s">
        <v>191</v>
      </c>
      <c r="E978" s="279">
        <v>0</v>
      </c>
      <c r="F978" s="280"/>
      <c r="G978" s="336">
        <f t="shared" si="1251"/>
        <v>0</v>
      </c>
      <c r="H978" s="281"/>
      <c r="I978" s="281"/>
      <c r="J978" s="355" t="str">
        <f>IFERROR(G978/#REF!,"-")</f>
        <v>-</v>
      </c>
      <c r="K978" s="336">
        <f t="shared" si="1252"/>
        <v>0</v>
      </c>
      <c r="L978" s="275">
        <f t="shared" si="1253"/>
        <v>0</v>
      </c>
      <c r="M978" s="276">
        <f t="shared" si="1254"/>
        <v>0</v>
      </c>
      <c r="N978" s="340" t="str">
        <f t="shared" si="1255"/>
        <v>-</v>
      </c>
      <c r="O978" s="264" t="str">
        <f t="shared" si="1241"/>
        <v>-</v>
      </c>
    </row>
    <row r="979" spans="1:15" ht="24" thickBot="1" x14ac:dyDescent="0.35">
      <c r="A979" s="277" t="s">
        <v>110</v>
      </c>
      <c r="B979" s="958"/>
      <c r="C979" s="289" t="s">
        <v>193</v>
      </c>
      <c r="D979" s="289" t="s">
        <v>114</v>
      </c>
      <c r="E979" s="283">
        <v>0</v>
      </c>
      <c r="F979" s="284"/>
      <c r="G979" s="337">
        <f t="shared" si="1251"/>
        <v>0</v>
      </c>
      <c r="H979" s="285"/>
      <c r="I979" s="285"/>
      <c r="J979" s="356" t="str">
        <f>IFERROR(G979/#REF!,"-")</f>
        <v>-</v>
      </c>
      <c r="K979" s="337">
        <f t="shared" si="1252"/>
        <v>0</v>
      </c>
      <c r="L979" s="275">
        <f t="shared" si="1253"/>
        <v>0</v>
      </c>
      <c r="M979" s="276">
        <f t="shared" si="1254"/>
        <v>0</v>
      </c>
      <c r="N979" s="341" t="str">
        <f t="shared" si="1255"/>
        <v>-</v>
      </c>
      <c r="O979" s="350" t="str">
        <f t="shared" si="1241"/>
        <v>-</v>
      </c>
    </row>
    <row r="980" spans="1:15" ht="24" thickBot="1" x14ac:dyDescent="0.35">
      <c r="A980" s="277" t="s">
        <v>110</v>
      </c>
      <c r="B980" s="967" t="s">
        <v>29</v>
      </c>
      <c r="C980" s="968"/>
      <c r="D980" s="969"/>
      <c r="E980" s="323">
        <f t="shared" ref="E980" si="1256">SUM(E973:E979)</f>
        <v>0</v>
      </c>
      <c r="F980" s="288">
        <v>80000</v>
      </c>
      <c r="G980" s="323">
        <f>SUM(G973:G979)</f>
        <v>0</v>
      </c>
      <c r="H980" s="324">
        <f t="shared" ref="H980:I980" si="1257">SUM(H973:H979)</f>
        <v>0</v>
      </c>
      <c r="I980" s="324">
        <f t="shared" si="1257"/>
        <v>0</v>
      </c>
      <c r="J980" s="348">
        <f>+G980/F980</f>
        <v>0</v>
      </c>
      <c r="K980" s="323">
        <f t="shared" ref="K980:M980" si="1258">SUM(K973:K979)</f>
        <v>0</v>
      </c>
      <c r="L980" s="324">
        <f t="shared" si="1258"/>
        <v>0</v>
      </c>
      <c r="M980" s="325">
        <f t="shared" si="1258"/>
        <v>0</v>
      </c>
      <c r="N980" s="342" t="str">
        <f t="shared" si="1255"/>
        <v>-</v>
      </c>
      <c r="O980" s="348" t="str">
        <f t="shared" si="1241"/>
        <v>-</v>
      </c>
    </row>
    <row r="981" spans="1:15" ht="24" thickBot="1" x14ac:dyDescent="0.35">
      <c r="A981" s="252" t="s">
        <v>110</v>
      </c>
      <c r="B981" s="985" t="s">
        <v>19</v>
      </c>
      <c r="C981" s="653" t="s">
        <v>255</v>
      </c>
      <c r="D981" s="690" t="s">
        <v>190</v>
      </c>
      <c r="E981" s="695">
        <v>0</v>
      </c>
      <c r="F981" s="692">
        <v>110000</v>
      </c>
      <c r="G981" s="656">
        <f t="shared" ref="G981:G983" si="1259">+H981+I981</f>
        <v>0</v>
      </c>
      <c r="H981" s="462"/>
      <c r="I981" s="462"/>
      <c r="J981" s="536" t="str">
        <f>IFERROR(G981/#REF!,"-")</f>
        <v>-</v>
      </c>
      <c r="K981" s="461">
        <f>+L981+M981</f>
        <v>0</v>
      </c>
      <c r="L981" s="462">
        <f t="shared" ref="L981:L983" si="1260">+H981+L875</f>
        <v>0</v>
      </c>
      <c r="M981" s="463">
        <f t="shared" ref="M981:M983" si="1261">+I981+M875</f>
        <v>0</v>
      </c>
      <c r="N981" s="658" t="str">
        <f>IFERROR(K981/E981,"-")</f>
        <v>-</v>
      </c>
      <c r="O981" s="659" t="str">
        <f t="shared" si="1241"/>
        <v>-</v>
      </c>
    </row>
    <row r="982" spans="1:15" ht="24" thickBot="1" x14ac:dyDescent="0.35">
      <c r="A982" s="252"/>
      <c r="B982" s="986"/>
      <c r="C982" s="299" t="s">
        <v>440</v>
      </c>
      <c r="D982" s="657" t="s">
        <v>515</v>
      </c>
      <c r="E982" s="696">
        <v>1000000</v>
      </c>
      <c r="F982" s="693">
        <v>110000</v>
      </c>
      <c r="G982" s="652">
        <f t="shared" si="1259"/>
        <v>11088</v>
      </c>
      <c r="H982" s="275">
        <v>11088</v>
      </c>
      <c r="I982" s="275"/>
      <c r="J982" s="354" t="str">
        <f>IFERROR(G982/#REF!,"-")</f>
        <v>-</v>
      </c>
      <c r="K982" s="338">
        <f>+L982+M982</f>
        <v>19773</v>
      </c>
      <c r="L982" s="462">
        <f t="shared" si="1260"/>
        <v>19536</v>
      </c>
      <c r="M982" s="463">
        <f t="shared" si="1261"/>
        <v>237</v>
      </c>
      <c r="N982" s="343">
        <f t="shared" ref="N982:N983" si="1262">IFERROR(K982/E982,"-")</f>
        <v>1.9772999999999999E-2</v>
      </c>
      <c r="O982" s="651">
        <f>IFERROR(M982/K982,"-")</f>
        <v>1.1986041571840389E-2</v>
      </c>
    </row>
    <row r="983" spans="1:15" ht="24" thickBot="1" x14ac:dyDescent="0.35">
      <c r="A983" s="252"/>
      <c r="B983" s="987"/>
      <c r="C983" s="647" t="s">
        <v>380</v>
      </c>
      <c r="D983" s="691"/>
      <c r="E983" s="697">
        <v>150000</v>
      </c>
      <c r="F983" s="694">
        <v>110000</v>
      </c>
      <c r="G983" s="599">
        <f t="shared" si="1259"/>
        <v>0</v>
      </c>
      <c r="H983" s="285"/>
      <c r="I983" s="285"/>
      <c r="J983" s="356"/>
      <c r="K983" s="464">
        <f>+L983+M983</f>
        <v>0</v>
      </c>
      <c r="L983" s="462">
        <f t="shared" si="1260"/>
        <v>0</v>
      </c>
      <c r="M983" s="463">
        <f t="shared" si="1261"/>
        <v>0</v>
      </c>
      <c r="N983" s="341">
        <f t="shared" si="1262"/>
        <v>0</v>
      </c>
      <c r="O983" s="648" t="str">
        <f t="shared" ref="O983:O1033" si="1263">IFERROR(M983/K983,"-")</f>
        <v>-</v>
      </c>
    </row>
    <row r="984" spans="1:15" ht="24" thickBot="1" x14ac:dyDescent="0.35">
      <c r="A984" s="277" t="s">
        <v>110</v>
      </c>
      <c r="B984" s="988" t="s">
        <v>49</v>
      </c>
      <c r="C984" s="968"/>
      <c r="D984" s="969"/>
      <c r="E984" s="323">
        <f>SUM(E981:E983)</f>
        <v>1150000</v>
      </c>
      <c r="F984" s="326">
        <f t="shared" ref="F984" si="1264">SUM(F981)</f>
        <v>110000</v>
      </c>
      <c r="G984" s="323">
        <f>SUM(G981)</f>
        <v>0</v>
      </c>
      <c r="H984" s="324">
        <f>SUM(H981:H983)</f>
        <v>11088</v>
      </c>
      <c r="I984" s="324">
        <f>SUM(I981:I983)</f>
        <v>0</v>
      </c>
      <c r="J984" s="348">
        <f>+G984/F984</f>
        <v>0</v>
      </c>
      <c r="K984" s="649">
        <f>SUM(K981:K982)</f>
        <v>19773</v>
      </c>
      <c r="L984" s="324">
        <f>SUM(L981:L982)</f>
        <v>19536</v>
      </c>
      <c r="M984" s="325">
        <f>SUM(M981:M982)</f>
        <v>237</v>
      </c>
      <c r="N984" s="342">
        <f>IFERROR(K984/E984,"-")</f>
        <v>1.7193913043478261E-2</v>
      </c>
      <c r="O984" s="348">
        <f t="shared" si="1263"/>
        <v>1.1986041571840389E-2</v>
      </c>
    </row>
    <row r="985" spans="1:15" ht="23.4" x14ac:dyDescent="0.3">
      <c r="A985" s="277" t="s">
        <v>110</v>
      </c>
      <c r="B985" s="956" t="s">
        <v>20</v>
      </c>
      <c r="C985" s="294" t="s">
        <v>351</v>
      </c>
      <c r="D985" s="294" t="s">
        <v>313</v>
      </c>
      <c r="E985" s="273">
        <v>0</v>
      </c>
      <c r="F985" s="274"/>
      <c r="G985" s="335">
        <f t="shared" ref="G985:G987" si="1265">+H985+I985</f>
        <v>0</v>
      </c>
      <c r="H985" s="275"/>
      <c r="I985" s="275"/>
      <c r="J985" s="354" t="str">
        <f>IFERROR(G985/#REF!,"-")</f>
        <v>-</v>
      </c>
      <c r="K985" s="335">
        <f t="shared" ref="K985:K987" si="1266">+L985+M985</f>
        <v>0</v>
      </c>
      <c r="L985" s="275">
        <f t="shared" ref="L985:L987" si="1267">+H985+L879</f>
        <v>0</v>
      </c>
      <c r="M985" s="276">
        <f t="shared" ref="M985:M987" si="1268">+I985+M879</f>
        <v>0</v>
      </c>
      <c r="N985" s="339" t="str">
        <f t="shared" ref="N985:N988" si="1269">IFERROR(K985/E985,"-")</f>
        <v>-</v>
      </c>
      <c r="O985" s="349" t="str">
        <f t="shared" si="1263"/>
        <v>-</v>
      </c>
    </row>
    <row r="986" spans="1:15" ht="23.4" x14ac:dyDescent="0.3">
      <c r="A986" s="277" t="s">
        <v>110</v>
      </c>
      <c r="B986" s="957"/>
      <c r="C986" s="295" t="s">
        <v>121</v>
      </c>
      <c r="D986" s="295"/>
      <c r="E986" s="279">
        <v>0</v>
      </c>
      <c r="F986" s="280"/>
      <c r="G986" s="336">
        <f t="shared" si="1265"/>
        <v>0</v>
      </c>
      <c r="H986" s="281"/>
      <c r="I986" s="281"/>
      <c r="J986" s="355" t="str">
        <f>IFERROR(G986/#REF!,"-")</f>
        <v>-</v>
      </c>
      <c r="K986" s="336">
        <f t="shared" si="1266"/>
        <v>0</v>
      </c>
      <c r="L986" s="275">
        <f t="shared" si="1267"/>
        <v>0</v>
      </c>
      <c r="M986" s="276">
        <f t="shared" si="1268"/>
        <v>0</v>
      </c>
      <c r="N986" s="340" t="str">
        <f t="shared" si="1269"/>
        <v>-</v>
      </c>
      <c r="O986" s="264" t="str">
        <f t="shared" si="1263"/>
        <v>-</v>
      </c>
    </row>
    <row r="987" spans="1:15" ht="24" thickBot="1" x14ac:dyDescent="0.35">
      <c r="A987" s="277" t="s">
        <v>110</v>
      </c>
      <c r="B987" s="958"/>
      <c r="C987" s="296" t="s">
        <v>127</v>
      </c>
      <c r="D987" s="296"/>
      <c r="E987" s="283">
        <v>0</v>
      </c>
      <c r="F987" s="284"/>
      <c r="G987" s="337">
        <f t="shared" si="1265"/>
        <v>0</v>
      </c>
      <c r="H987" s="285"/>
      <c r="I987" s="285"/>
      <c r="J987" s="356" t="str">
        <f>IFERROR(G987/#REF!,"-")</f>
        <v>-</v>
      </c>
      <c r="K987" s="337">
        <f t="shared" si="1266"/>
        <v>0</v>
      </c>
      <c r="L987" s="275">
        <f t="shared" si="1267"/>
        <v>0</v>
      </c>
      <c r="M987" s="276">
        <f t="shared" si="1268"/>
        <v>0</v>
      </c>
      <c r="N987" s="341" t="str">
        <f t="shared" si="1269"/>
        <v>-</v>
      </c>
      <c r="O987" s="350" t="str">
        <f t="shared" si="1263"/>
        <v>-</v>
      </c>
    </row>
    <row r="988" spans="1:15" ht="24" thickBot="1" x14ac:dyDescent="0.35">
      <c r="A988" s="277" t="s">
        <v>110</v>
      </c>
      <c r="B988" s="968" t="s">
        <v>50</v>
      </c>
      <c r="C988" s="968"/>
      <c r="D988" s="989"/>
      <c r="E988" s="323">
        <f t="shared" ref="E988" si="1270">SUM(E985:E987)</f>
        <v>0</v>
      </c>
      <c r="F988" s="288">
        <v>50000</v>
      </c>
      <c r="G988" s="323">
        <f>SUM(G985:G987)</f>
        <v>0</v>
      </c>
      <c r="H988" s="324">
        <f t="shared" ref="H988:I988" si="1271">SUM(H985:H987)</f>
        <v>0</v>
      </c>
      <c r="I988" s="324">
        <f t="shared" si="1271"/>
        <v>0</v>
      </c>
      <c r="J988" s="348">
        <f>+G988/F988</f>
        <v>0</v>
      </c>
      <c r="K988" s="323">
        <f t="shared" ref="K988:M988" si="1272">SUM(K985:K987)</f>
        <v>0</v>
      </c>
      <c r="L988" s="324">
        <f t="shared" si="1272"/>
        <v>0</v>
      </c>
      <c r="M988" s="325">
        <f t="shared" si="1272"/>
        <v>0</v>
      </c>
      <c r="N988" s="342" t="str">
        <f t="shared" si="1269"/>
        <v>-</v>
      </c>
      <c r="O988" s="348" t="str">
        <f t="shared" si="1263"/>
        <v>-</v>
      </c>
    </row>
    <row r="989" spans="1:15" ht="24" thickBot="1" x14ac:dyDescent="0.35">
      <c r="A989" s="277" t="s">
        <v>110</v>
      </c>
      <c r="B989" s="981" t="s">
        <v>21</v>
      </c>
      <c r="C989" s="982"/>
      <c r="D989" s="983"/>
      <c r="E989" s="329">
        <f>+E964+E972+E980+E984+E988</f>
        <v>4750000</v>
      </c>
      <c r="F989" s="330">
        <f>+F964+F972+F980+F984+F988</f>
        <v>455000</v>
      </c>
      <c r="G989" s="329">
        <f>+G964+G972+G980+G984+G988</f>
        <v>146880</v>
      </c>
      <c r="H989" s="327">
        <f>+H964+H972+H980+H984+H988</f>
        <v>157968</v>
      </c>
      <c r="I989" s="327">
        <f>+I964+I972+I980+I984+I988</f>
        <v>0</v>
      </c>
      <c r="J989" s="352">
        <f>+G989/F989</f>
        <v>0.32281318681318683</v>
      </c>
      <c r="K989" s="329">
        <f>+K964+K972+K980+K984+K988</f>
        <v>1386535</v>
      </c>
      <c r="L989" s="327">
        <f>+L964+L972+L980+L984+L988</f>
        <v>1380836</v>
      </c>
      <c r="M989" s="328">
        <f>+M964+M972+M980+M984+M988</f>
        <v>5699</v>
      </c>
      <c r="N989" s="344">
        <f>IFERROR(K989/E989,"-")</f>
        <v>0.29190210526315791</v>
      </c>
      <c r="O989" s="352">
        <f t="shared" si="1263"/>
        <v>4.1102460449970613E-3</v>
      </c>
    </row>
    <row r="990" spans="1:15" ht="23.4" x14ac:dyDescent="0.3">
      <c r="A990" s="277" t="s">
        <v>110</v>
      </c>
      <c r="B990" s="956" t="s">
        <v>481</v>
      </c>
      <c r="C990" s="272" t="s">
        <v>132</v>
      </c>
      <c r="D990" s="272"/>
      <c r="E990" s="273">
        <v>0</v>
      </c>
      <c r="F990" s="274"/>
      <c r="G990" s="335">
        <f t="shared" ref="G990:G993" si="1273">+H990+I990</f>
        <v>0</v>
      </c>
      <c r="H990" s="275"/>
      <c r="I990" s="275"/>
      <c r="J990" s="354" t="str">
        <f>IFERROR(G990/#REF!,"-")</f>
        <v>-</v>
      </c>
      <c r="K990" s="335">
        <f t="shared" ref="K990:K993" si="1274">+L990+M990</f>
        <v>0</v>
      </c>
      <c r="L990" s="275">
        <f t="shared" ref="L990:L993" si="1275">+H990+L884</f>
        <v>0</v>
      </c>
      <c r="M990" s="276">
        <f t="shared" ref="M990:M993" si="1276">+I990+M884</f>
        <v>0</v>
      </c>
      <c r="N990" s="339" t="str">
        <f t="shared" ref="N990:N1004" si="1277">IFERROR(K990/E990,"-")</f>
        <v>-</v>
      </c>
      <c r="O990" s="349" t="str">
        <f t="shared" si="1263"/>
        <v>-</v>
      </c>
    </row>
    <row r="991" spans="1:15" ht="23.4" x14ac:dyDescent="0.3">
      <c r="A991" s="277" t="s">
        <v>110</v>
      </c>
      <c r="B991" s="957"/>
      <c r="C991" s="298" t="s">
        <v>283</v>
      </c>
      <c r="D991" s="298" t="s">
        <v>194</v>
      </c>
      <c r="E991" s="279">
        <v>0</v>
      </c>
      <c r="F991" s="280"/>
      <c r="G991" s="336">
        <f t="shared" si="1273"/>
        <v>0</v>
      </c>
      <c r="H991" s="281"/>
      <c r="I991" s="281"/>
      <c r="J991" s="355" t="str">
        <f>IFERROR(G991/#REF!,"-")</f>
        <v>-</v>
      </c>
      <c r="K991" s="336">
        <f t="shared" si="1274"/>
        <v>0</v>
      </c>
      <c r="L991" s="275">
        <f t="shared" si="1275"/>
        <v>0</v>
      </c>
      <c r="M991" s="276">
        <f t="shared" si="1276"/>
        <v>0</v>
      </c>
      <c r="N991" s="340" t="str">
        <f t="shared" si="1277"/>
        <v>-</v>
      </c>
      <c r="O991" s="264" t="str">
        <f t="shared" si="1263"/>
        <v>-</v>
      </c>
    </row>
    <row r="992" spans="1:15" ht="23.4" x14ac:dyDescent="0.3">
      <c r="A992" s="277" t="s">
        <v>110</v>
      </c>
      <c r="B992" s="957"/>
      <c r="C992" s="298" t="s">
        <v>405</v>
      </c>
      <c r="D992" s="298" t="s">
        <v>194</v>
      </c>
      <c r="E992" s="279">
        <v>1000000</v>
      </c>
      <c r="F992" s="280"/>
      <c r="G992" s="336">
        <f t="shared" si="1273"/>
        <v>4167</v>
      </c>
      <c r="H992" s="281">
        <v>3960</v>
      </c>
      <c r="I992" s="281">
        <v>207</v>
      </c>
      <c r="J992" s="355" t="str">
        <f>IFERROR(G992/#REF!,"-")</f>
        <v>-</v>
      </c>
      <c r="K992" s="336">
        <f t="shared" si="1274"/>
        <v>342098</v>
      </c>
      <c r="L992" s="275">
        <f t="shared" si="1275"/>
        <v>340560</v>
      </c>
      <c r="M992" s="276">
        <f t="shared" si="1276"/>
        <v>1538</v>
      </c>
      <c r="N992" s="340">
        <f t="shared" si="1277"/>
        <v>0.34209800000000001</v>
      </c>
      <c r="O992" s="264">
        <f t="shared" si="1263"/>
        <v>4.4957877567246814E-3</v>
      </c>
    </row>
    <row r="993" spans="1:15" ht="24" thickBot="1" x14ac:dyDescent="0.35">
      <c r="A993" s="277" t="s">
        <v>110</v>
      </c>
      <c r="B993" s="958"/>
      <c r="C993" s="282" t="s">
        <v>195</v>
      </c>
      <c r="D993" s="282" t="s">
        <v>100</v>
      </c>
      <c r="E993" s="283">
        <v>0</v>
      </c>
      <c r="F993" s="284"/>
      <c r="G993" s="337">
        <f t="shared" si="1273"/>
        <v>0</v>
      </c>
      <c r="H993" s="285"/>
      <c r="I993" s="285"/>
      <c r="J993" s="356" t="str">
        <f>IFERROR(G993/#REF!,"-")</f>
        <v>-</v>
      </c>
      <c r="K993" s="337">
        <f t="shared" si="1274"/>
        <v>0</v>
      </c>
      <c r="L993" s="275">
        <f t="shared" si="1275"/>
        <v>0</v>
      </c>
      <c r="M993" s="276">
        <f t="shared" si="1276"/>
        <v>0</v>
      </c>
      <c r="N993" s="341" t="str">
        <f t="shared" si="1277"/>
        <v>-</v>
      </c>
      <c r="O993" s="350" t="str">
        <f t="shared" si="1263"/>
        <v>-</v>
      </c>
    </row>
    <row r="994" spans="1:15" ht="24" thickBot="1" x14ac:dyDescent="0.35">
      <c r="A994" s="277" t="s">
        <v>110</v>
      </c>
      <c r="B994" s="967" t="s">
        <v>51</v>
      </c>
      <c r="C994" s="968"/>
      <c r="D994" s="969"/>
      <c r="E994" s="287">
        <f>SUM(E990:E993)</f>
        <v>1000000</v>
      </c>
      <c r="F994" s="288">
        <v>80000</v>
      </c>
      <c r="G994" s="323">
        <f>SUM(G990:G993)</f>
        <v>4167</v>
      </c>
      <c r="H994" s="324">
        <f t="shared" ref="H994:I994" si="1278">SUM(H990:H993)</f>
        <v>3960</v>
      </c>
      <c r="I994" s="324">
        <f t="shared" si="1278"/>
        <v>207</v>
      </c>
      <c r="J994" s="348">
        <f>+G994/F994</f>
        <v>5.2087500000000002E-2</v>
      </c>
      <c r="K994" s="323">
        <f t="shared" ref="K994:M994" si="1279">SUM(K990:K993)</f>
        <v>342098</v>
      </c>
      <c r="L994" s="324">
        <f t="shared" si="1279"/>
        <v>340560</v>
      </c>
      <c r="M994" s="325">
        <f t="shared" si="1279"/>
        <v>1538</v>
      </c>
      <c r="N994" s="342">
        <f t="shared" si="1277"/>
        <v>0.34209800000000001</v>
      </c>
      <c r="O994" s="348">
        <f t="shared" si="1263"/>
        <v>4.4957877567246814E-3</v>
      </c>
    </row>
    <row r="995" spans="1:15" ht="23.4" x14ac:dyDescent="0.3">
      <c r="A995" s="277" t="s">
        <v>110</v>
      </c>
      <c r="B995" s="956" t="s">
        <v>23</v>
      </c>
      <c r="C995" s="299" t="s">
        <v>337</v>
      </c>
      <c r="D995" s="299" t="s">
        <v>258</v>
      </c>
      <c r="E995" s="273">
        <f>25000+10875+6000</f>
        <v>41875</v>
      </c>
      <c r="F995" s="274"/>
      <c r="G995" s="335">
        <f t="shared" ref="G995:G1002" si="1280">+H995+I995</f>
        <v>0</v>
      </c>
      <c r="H995" s="275"/>
      <c r="I995" s="275"/>
      <c r="J995" s="354" t="str">
        <f>IFERROR(G995/#REF!,"-")</f>
        <v>-</v>
      </c>
      <c r="K995" s="335">
        <f t="shared" ref="K995:K1002" si="1281">+L995+M995</f>
        <v>0</v>
      </c>
      <c r="L995" s="275">
        <f t="shared" ref="L995:L1002" si="1282">+H995+L889</f>
        <v>0</v>
      </c>
      <c r="M995" s="276">
        <f t="shared" ref="M995:M1002" si="1283">+I995+M889</f>
        <v>0</v>
      </c>
      <c r="N995" s="339">
        <f t="shared" si="1277"/>
        <v>0</v>
      </c>
      <c r="O995" s="349" t="str">
        <f t="shared" si="1263"/>
        <v>-</v>
      </c>
    </row>
    <row r="996" spans="1:15" ht="23.4" x14ac:dyDescent="0.3">
      <c r="A996" s="277" t="s">
        <v>110</v>
      </c>
      <c r="B996" s="957"/>
      <c r="C996" s="278" t="s">
        <v>24</v>
      </c>
      <c r="D996" s="278" t="s">
        <v>258</v>
      </c>
      <c r="E996" s="279">
        <v>97500</v>
      </c>
      <c r="F996" s="280"/>
      <c r="G996" s="336">
        <f t="shared" si="1280"/>
        <v>0</v>
      </c>
      <c r="H996" s="281"/>
      <c r="I996" s="281"/>
      <c r="J996" s="355" t="str">
        <f>IFERROR(G996/#REF!,"-")</f>
        <v>-</v>
      </c>
      <c r="K996" s="336">
        <f t="shared" si="1281"/>
        <v>0</v>
      </c>
      <c r="L996" s="275">
        <f t="shared" si="1282"/>
        <v>0</v>
      </c>
      <c r="M996" s="276">
        <f t="shared" si="1283"/>
        <v>0</v>
      </c>
      <c r="N996" s="340">
        <f t="shared" si="1277"/>
        <v>0</v>
      </c>
      <c r="O996" s="264" t="str">
        <f t="shared" si="1263"/>
        <v>-</v>
      </c>
    </row>
    <row r="997" spans="1:15" ht="23.4" x14ac:dyDescent="0.3">
      <c r="A997" s="277" t="s">
        <v>110</v>
      </c>
      <c r="B997" s="957"/>
      <c r="C997" s="278" t="s">
        <v>256</v>
      </c>
      <c r="D997" s="278" t="s">
        <v>258</v>
      </c>
      <c r="E997" s="279">
        <v>17750</v>
      </c>
      <c r="F997" s="280"/>
      <c r="G997" s="336">
        <f t="shared" si="1280"/>
        <v>0</v>
      </c>
      <c r="H997" s="281"/>
      <c r="I997" s="281"/>
      <c r="J997" s="355" t="str">
        <f>IFERROR(G997/#REF!,"-")</f>
        <v>-</v>
      </c>
      <c r="K997" s="336">
        <f t="shared" si="1281"/>
        <v>0</v>
      </c>
      <c r="L997" s="275">
        <f t="shared" si="1282"/>
        <v>0</v>
      </c>
      <c r="M997" s="276">
        <f t="shared" si="1283"/>
        <v>0</v>
      </c>
      <c r="N997" s="340">
        <f t="shared" si="1277"/>
        <v>0</v>
      </c>
      <c r="O997" s="264" t="str">
        <f t="shared" si="1263"/>
        <v>-</v>
      </c>
    </row>
    <row r="998" spans="1:15" ht="23.4" x14ac:dyDescent="0.3">
      <c r="A998" s="277" t="s">
        <v>110</v>
      </c>
      <c r="B998" s="957"/>
      <c r="C998" s="278" t="s">
        <v>257</v>
      </c>
      <c r="D998" s="278" t="s">
        <v>258</v>
      </c>
      <c r="E998" s="279">
        <v>20000</v>
      </c>
      <c r="F998" s="280"/>
      <c r="G998" s="336">
        <f t="shared" si="1280"/>
        <v>0</v>
      </c>
      <c r="H998" s="281"/>
      <c r="I998" s="281"/>
      <c r="J998" s="355" t="str">
        <f>IFERROR(G998/#REF!,"-")</f>
        <v>-</v>
      </c>
      <c r="K998" s="336">
        <f t="shared" si="1281"/>
        <v>0</v>
      </c>
      <c r="L998" s="275">
        <f t="shared" si="1282"/>
        <v>0</v>
      </c>
      <c r="M998" s="276">
        <f t="shared" si="1283"/>
        <v>0</v>
      </c>
      <c r="N998" s="340">
        <f t="shared" si="1277"/>
        <v>0</v>
      </c>
      <c r="O998" s="264" t="str">
        <f t="shared" si="1263"/>
        <v>-</v>
      </c>
    </row>
    <row r="999" spans="1:15" ht="23.4" x14ac:dyDescent="0.3">
      <c r="A999" s="277" t="s">
        <v>110</v>
      </c>
      <c r="B999" s="957"/>
      <c r="C999" s="298" t="s">
        <v>475</v>
      </c>
      <c r="D999" s="278" t="s">
        <v>258</v>
      </c>
      <c r="E999" s="279">
        <v>10000</v>
      </c>
      <c r="F999" s="280"/>
      <c r="G999" s="336">
        <f t="shared" si="1280"/>
        <v>0</v>
      </c>
      <c r="H999" s="281"/>
      <c r="I999" s="281"/>
      <c r="J999" s="355" t="str">
        <f>IFERROR(G999/#REF!,"-")</f>
        <v>-</v>
      </c>
      <c r="K999" s="336">
        <f t="shared" si="1281"/>
        <v>12327</v>
      </c>
      <c r="L999" s="275">
        <f t="shared" si="1282"/>
        <v>12307</v>
      </c>
      <c r="M999" s="276">
        <f t="shared" si="1283"/>
        <v>20</v>
      </c>
      <c r="N999" s="340">
        <f t="shared" si="1277"/>
        <v>1.2326999999999999</v>
      </c>
      <c r="O999" s="264">
        <f t="shared" si="1263"/>
        <v>1.6224547740731727E-3</v>
      </c>
    </row>
    <row r="1000" spans="1:15" ht="23.4" x14ac:dyDescent="0.3">
      <c r="A1000" s="277" t="s">
        <v>110</v>
      </c>
      <c r="B1000" s="957"/>
      <c r="C1000" s="298" t="s">
        <v>506</v>
      </c>
      <c r="D1000" s="278" t="s">
        <v>258</v>
      </c>
      <c r="E1000" s="279">
        <v>9000</v>
      </c>
      <c r="F1000" s="280"/>
      <c r="G1000" s="336">
        <f t="shared" si="1280"/>
        <v>7900</v>
      </c>
      <c r="H1000" s="281">
        <v>7875</v>
      </c>
      <c r="I1000" s="281">
        <v>25</v>
      </c>
      <c r="J1000" s="355" t="str">
        <f>IFERROR(G1000/#REF!,"-")</f>
        <v>-</v>
      </c>
      <c r="K1000" s="336">
        <f t="shared" si="1281"/>
        <v>16660</v>
      </c>
      <c r="L1000" s="275">
        <f t="shared" si="1282"/>
        <v>16625</v>
      </c>
      <c r="M1000" s="276">
        <f t="shared" si="1283"/>
        <v>35</v>
      </c>
      <c r="N1000" s="340">
        <f t="shared" si="1277"/>
        <v>1.8511111111111112</v>
      </c>
      <c r="O1000" s="264">
        <f t="shared" si="1263"/>
        <v>2.1008403361344537E-3</v>
      </c>
    </row>
    <row r="1001" spans="1:15" ht="23.4" x14ac:dyDescent="0.3">
      <c r="A1001" s="277" t="s">
        <v>110</v>
      </c>
      <c r="B1001" s="957"/>
      <c r="C1001" s="298" t="s">
        <v>261</v>
      </c>
      <c r="D1001" s="278" t="s">
        <v>263</v>
      </c>
      <c r="E1001" s="279">
        <v>22500</v>
      </c>
      <c r="F1001" s="280"/>
      <c r="G1001" s="336">
        <f t="shared" si="1280"/>
        <v>0</v>
      </c>
      <c r="H1001" s="281"/>
      <c r="I1001" s="281"/>
      <c r="J1001" s="355" t="str">
        <f>IFERROR(G1001/#REF!,"-")</f>
        <v>-</v>
      </c>
      <c r="K1001" s="336">
        <f t="shared" si="1281"/>
        <v>23536</v>
      </c>
      <c r="L1001" s="275">
        <f t="shared" si="1282"/>
        <v>23490</v>
      </c>
      <c r="M1001" s="276">
        <f t="shared" si="1283"/>
        <v>46</v>
      </c>
      <c r="N1001" s="340">
        <f t="shared" si="1277"/>
        <v>1.0460444444444446</v>
      </c>
      <c r="O1001" s="264">
        <f t="shared" si="1263"/>
        <v>1.954452753229096E-3</v>
      </c>
    </row>
    <row r="1002" spans="1:15" ht="24" thickBot="1" x14ac:dyDescent="0.35">
      <c r="A1002" s="277" t="s">
        <v>110</v>
      </c>
      <c r="B1002" s="958"/>
      <c r="C1002" s="298" t="s">
        <v>262</v>
      </c>
      <c r="D1002" s="278" t="s">
        <v>258</v>
      </c>
      <c r="E1002" s="283">
        <v>33500</v>
      </c>
      <c r="F1002" s="284"/>
      <c r="G1002" s="337">
        <f t="shared" si="1280"/>
        <v>0</v>
      </c>
      <c r="H1002" s="285"/>
      <c r="I1002" s="285"/>
      <c r="J1002" s="356" t="str">
        <f>IFERROR(G1002/#REF!,"-")</f>
        <v>-</v>
      </c>
      <c r="K1002" s="337">
        <f t="shared" si="1281"/>
        <v>28515</v>
      </c>
      <c r="L1002" s="275">
        <f t="shared" si="1282"/>
        <v>28375</v>
      </c>
      <c r="M1002" s="276">
        <f t="shared" si="1283"/>
        <v>140</v>
      </c>
      <c r="N1002" s="341">
        <f t="shared" si="1277"/>
        <v>0.85119402985074621</v>
      </c>
      <c r="O1002" s="350">
        <f t="shared" si="1263"/>
        <v>4.909696650885499E-3</v>
      </c>
    </row>
    <row r="1003" spans="1:15" ht="24" thickBot="1" x14ac:dyDescent="0.35">
      <c r="A1003" s="277" t="s">
        <v>110</v>
      </c>
      <c r="B1003" s="967" t="s">
        <v>52</v>
      </c>
      <c r="C1003" s="968"/>
      <c r="D1003" s="969"/>
      <c r="E1003" s="287">
        <f>SUM(E995:E1002)</f>
        <v>252125</v>
      </c>
      <c r="F1003" s="288">
        <v>14000</v>
      </c>
      <c r="G1003" s="323">
        <f>SUM(G995:G1002)</f>
        <v>7900</v>
      </c>
      <c r="H1003" s="324">
        <f t="shared" ref="H1003:I1003" si="1284">SUM(H995:H1002)</f>
        <v>7875</v>
      </c>
      <c r="I1003" s="324">
        <f t="shared" si="1284"/>
        <v>25</v>
      </c>
      <c r="J1003" s="348">
        <f>+G1004/F1004</f>
        <v>0.12837234042553192</v>
      </c>
      <c r="K1003" s="323">
        <f>SUM(K995:K1002)</f>
        <v>81038</v>
      </c>
      <c r="L1003" s="324">
        <f t="shared" ref="L1003:M1003" si="1285">SUM(L995:L1002)</f>
        <v>80797</v>
      </c>
      <c r="M1003" s="325">
        <f t="shared" si="1285"/>
        <v>241</v>
      </c>
      <c r="N1003" s="342">
        <f t="shared" si="1277"/>
        <v>0.32141993058998514</v>
      </c>
      <c r="O1003" s="348">
        <f t="shared" si="1263"/>
        <v>2.9739134726918235E-3</v>
      </c>
    </row>
    <row r="1004" spans="1:15" ht="24" thickBot="1" x14ac:dyDescent="0.35">
      <c r="A1004" s="277" t="s">
        <v>110</v>
      </c>
      <c r="B1004" s="981" t="s">
        <v>25</v>
      </c>
      <c r="C1004" s="982"/>
      <c r="D1004" s="983"/>
      <c r="E1004" s="329">
        <f t="shared" ref="E1004:F1004" si="1286">+E994+E1003</f>
        <v>1252125</v>
      </c>
      <c r="F1004" s="330">
        <f t="shared" si="1286"/>
        <v>94000</v>
      </c>
      <c r="G1004" s="329">
        <f>+G994+G1003</f>
        <v>12067</v>
      </c>
      <c r="H1004" s="327">
        <f t="shared" ref="H1004:I1004" si="1287">+H994+H1003</f>
        <v>11835</v>
      </c>
      <c r="I1004" s="327">
        <f t="shared" si="1287"/>
        <v>232</v>
      </c>
      <c r="J1004" s="352" t="str">
        <f>IFERROR(G1004/#REF!,"-")</f>
        <v>-</v>
      </c>
      <c r="K1004" s="329">
        <f t="shared" ref="K1004" si="1288">+K994+K1003</f>
        <v>423136</v>
      </c>
      <c r="L1004" s="327">
        <f>+L994+L1003</f>
        <v>421357</v>
      </c>
      <c r="M1004" s="328">
        <f t="shared" ref="M1004" si="1289">+M994+M1003</f>
        <v>1779</v>
      </c>
      <c r="N1004" s="344">
        <f t="shared" si="1277"/>
        <v>0.33793431167016075</v>
      </c>
      <c r="O1004" s="352">
        <f t="shared" si="1263"/>
        <v>4.2043220146714055E-3</v>
      </c>
    </row>
    <row r="1005" spans="1:15" ht="24" thickBot="1" x14ac:dyDescent="0.35">
      <c r="A1005" s="277" t="s">
        <v>110</v>
      </c>
      <c r="B1005" s="984" t="s">
        <v>180</v>
      </c>
      <c r="C1005" s="962"/>
      <c r="D1005" s="963"/>
      <c r="E1005" s="333">
        <f>+E989+E1004</f>
        <v>6002125</v>
      </c>
      <c r="F1005" s="334">
        <f t="shared" ref="F1005:I1005" si="1290">+F989+F1004</f>
        <v>549000</v>
      </c>
      <c r="G1005" s="333">
        <f t="shared" si="1290"/>
        <v>158947</v>
      </c>
      <c r="H1005" s="331">
        <f t="shared" si="1290"/>
        <v>169803</v>
      </c>
      <c r="I1005" s="331">
        <f t="shared" si="1290"/>
        <v>232</v>
      </c>
      <c r="J1005" s="353">
        <f>+G1005/F1005</f>
        <v>0.28952094717668486</v>
      </c>
      <c r="K1005" s="333">
        <f>+K989+K1004</f>
        <v>1809671</v>
      </c>
      <c r="L1005" s="331">
        <f t="shared" ref="L1005:M1005" si="1291">+L989+L1004</f>
        <v>1802193</v>
      </c>
      <c r="M1005" s="332">
        <f t="shared" si="1291"/>
        <v>7478</v>
      </c>
      <c r="N1005" s="345">
        <f>IFERROR(K1005/E1005,"-")</f>
        <v>0.30150505029468727</v>
      </c>
      <c r="O1005" s="353">
        <f t="shared" si="1263"/>
        <v>4.1322428220378175E-3</v>
      </c>
    </row>
    <row r="1006" spans="1:15" ht="23.4" x14ac:dyDescent="0.3">
      <c r="A1006" s="271" t="s">
        <v>108</v>
      </c>
      <c r="B1006" s="977" t="s">
        <v>26</v>
      </c>
      <c r="C1006" s="300" t="s">
        <v>323</v>
      </c>
      <c r="D1006" s="300" t="s">
        <v>190</v>
      </c>
      <c r="E1006" s="273">
        <v>0</v>
      </c>
      <c r="F1006" s="274"/>
      <c r="G1006" s="335">
        <f t="shared" ref="G1006:G1014" si="1292">+H1006+I1006</f>
        <v>0</v>
      </c>
      <c r="H1006" s="275"/>
      <c r="I1006" s="275"/>
      <c r="J1006" s="354" t="str">
        <f>IFERROR(G1006/#REF!,"-")</f>
        <v>-</v>
      </c>
      <c r="K1006" s="335">
        <f t="shared" ref="K1006:K1014" si="1293">+L1006+M1006</f>
        <v>0</v>
      </c>
      <c r="L1006" s="275">
        <f t="shared" ref="L1006:L1014" si="1294">+H1006+L900</f>
        <v>0</v>
      </c>
      <c r="M1006" s="276">
        <f t="shared" ref="M1006:M1014" si="1295">+I1006+M900</f>
        <v>0</v>
      </c>
      <c r="N1006" s="339" t="str">
        <f t="shared" ref="N1006:N1007" si="1296">IFERROR(K1006/E1006,"-")</f>
        <v>-</v>
      </c>
      <c r="O1006" s="349" t="str">
        <f t="shared" si="1263"/>
        <v>-</v>
      </c>
    </row>
    <row r="1007" spans="1:15" ht="23.4" x14ac:dyDescent="0.3">
      <c r="A1007" s="277" t="s">
        <v>108</v>
      </c>
      <c r="B1007" s="977"/>
      <c r="C1007" s="301" t="s">
        <v>508</v>
      </c>
      <c r="D1007" s="301" t="s">
        <v>507</v>
      </c>
      <c r="E1007" s="279">
        <v>0</v>
      </c>
      <c r="F1007" s="280"/>
      <c r="G1007" s="336">
        <f t="shared" si="1292"/>
        <v>12634</v>
      </c>
      <c r="H1007" s="281">
        <v>11934</v>
      </c>
      <c r="I1007" s="281">
        <v>700</v>
      </c>
      <c r="J1007" s="355" t="str">
        <f>IFERROR(G1007/#REF!,"-")</f>
        <v>-</v>
      </c>
      <c r="K1007" s="336">
        <f t="shared" si="1293"/>
        <v>21170</v>
      </c>
      <c r="L1007" s="275">
        <f t="shared" si="1294"/>
        <v>19890</v>
      </c>
      <c r="M1007" s="276">
        <f t="shared" si="1295"/>
        <v>1280</v>
      </c>
      <c r="N1007" s="340" t="str">
        <f t="shared" si="1296"/>
        <v>-</v>
      </c>
      <c r="O1007" s="264">
        <f t="shared" si="1263"/>
        <v>6.0462919225318851E-2</v>
      </c>
    </row>
    <row r="1008" spans="1:15" ht="23.4" x14ac:dyDescent="0.3">
      <c r="A1008" s="277" t="s">
        <v>108</v>
      </c>
      <c r="B1008" s="977"/>
      <c r="C1008" s="302" t="s">
        <v>27</v>
      </c>
      <c r="D1008" s="302" t="s">
        <v>370</v>
      </c>
      <c r="E1008" s="283">
        <v>0</v>
      </c>
      <c r="F1008" s="284"/>
      <c r="G1008" s="336">
        <f t="shared" si="1292"/>
        <v>0</v>
      </c>
      <c r="H1008" s="285"/>
      <c r="I1008" s="285"/>
      <c r="J1008" s="356" t="str">
        <f>IFERROR(G1008/#REF!,"-")</f>
        <v>-</v>
      </c>
      <c r="K1008" s="336">
        <f t="shared" si="1293"/>
        <v>12534</v>
      </c>
      <c r="L1008" s="275">
        <f t="shared" si="1294"/>
        <v>11934</v>
      </c>
      <c r="M1008" s="276">
        <f t="shared" si="1295"/>
        <v>600</v>
      </c>
      <c r="N1008" s="286"/>
      <c r="O1008" s="264">
        <f t="shared" si="1263"/>
        <v>4.7869794159885112E-2</v>
      </c>
    </row>
    <row r="1009" spans="1:15" ht="23.4" x14ac:dyDescent="0.3">
      <c r="A1009" s="277" t="s">
        <v>108</v>
      </c>
      <c r="B1009" s="977"/>
      <c r="C1009" s="302" t="s">
        <v>27</v>
      </c>
      <c r="D1009" s="302" t="s">
        <v>254</v>
      </c>
      <c r="E1009" s="283">
        <v>0</v>
      </c>
      <c r="F1009" s="284"/>
      <c r="G1009" s="336">
        <f t="shared" si="1292"/>
        <v>0</v>
      </c>
      <c r="H1009" s="285"/>
      <c r="I1009" s="285"/>
      <c r="J1009" s="356" t="str">
        <f>IFERROR(G1009/#REF!,"-")</f>
        <v>-</v>
      </c>
      <c r="K1009" s="336">
        <f t="shared" si="1293"/>
        <v>33014</v>
      </c>
      <c r="L1009" s="275">
        <f t="shared" si="1294"/>
        <v>31824</v>
      </c>
      <c r="M1009" s="276">
        <f t="shared" si="1295"/>
        <v>1190</v>
      </c>
      <c r="N1009" s="286"/>
      <c r="O1009" s="264">
        <f t="shared" si="1263"/>
        <v>3.604531410916581E-2</v>
      </c>
    </row>
    <row r="1010" spans="1:15" ht="23.4" x14ac:dyDescent="0.3">
      <c r="A1010" s="277" t="s">
        <v>108</v>
      </c>
      <c r="B1010" s="977"/>
      <c r="C1010" s="302" t="s">
        <v>27</v>
      </c>
      <c r="D1010" s="302" t="s">
        <v>302</v>
      </c>
      <c r="E1010" s="283">
        <v>0</v>
      </c>
      <c r="F1010" s="284"/>
      <c r="G1010" s="336">
        <f t="shared" si="1292"/>
        <v>0</v>
      </c>
      <c r="H1010" s="285"/>
      <c r="I1010" s="285"/>
      <c r="J1010" s="356" t="str">
        <f>IFERROR(G1010/#REF!,"-")</f>
        <v>-</v>
      </c>
      <c r="K1010" s="336">
        <f t="shared" si="1293"/>
        <v>0</v>
      </c>
      <c r="L1010" s="275">
        <f t="shared" si="1294"/>
        <v>0</v>
      </c>
      <c r="M1010" s="276">
        <f t="shared" si="1295"/>
        <v>0</v>
      </c>
      <c r="N1010" s="286"/>
      <c r="O1010" s="264" t="str">
        <f t="shared" si="1263"/>
        <v>-</v>
      </c>
    </row>
    <row r="1011" spans="1:15" ht="23.4" x14ac:dyDescent="0.3">
      <c r="A1011" s="277"/>
      <c r="B1011" s="977"/>
      <c r="C1011" s="302" t="s">
        <v>369</v>
      </c>
      <c r="D1011" s="302" t="s">
        <v>190</v>
      </c>
      <c r="E1011" s="283">
        <v>0</v>
      </c>
      <c r="F1011" s="284"/>
      <c r="G1011" s="337">
        <f t="shared" si="1292"/>
        <v>0</v>
      </c>
      <c r="H1011" s="285"/>
      <c r="I1011" s="285"/>
      <c r="J1011" s="356" t="str">
        <f>IFERROR(G1011/#REF!,"-")</f>
        <v>-</v>
      </c>
      <c r="K1011" s="337">
        <f t="shared" si="1293"/>
        <v>0</v>
      </c>
      <c r="L1011" s="275">
        <f t="shared" si="1294"/>
        <v>0</v>
      </c>
      <c r="M1011" s="276">
        <f t="shared" si="1295"/>
        <v>0</v>
      </c>
      <c r="N1011" s="286"/>
      <c r="O1011" s="264" t="str">
        <f t="shared" si="1263"/>
        <v>-</v>
      </c>
    </row>
    <row r="1012" spans="1:15" ht="23.4" x14ac:dyDescent="0.3">
      <c r="A1012" s="277"/>
      <c r="B1012" s="977"/>
      <c r="C1012" s="302" t="s">
        <v>314</v>
      </c>
      <c r="D1012" s="302" t="s">
        <v>101</v>
      </c>
      <c r="E1012" s="283">
        <v>0</v>
      </c>
      <c r="F1012" s="284"/>
      <c r="G1012" s="337">
        <f t="shared" si="1292"/>
        <v>0</v>
      </c>
      <c r="H1012" s="285"/>
      <c r="I1012" s="285"/>
      <c r="J1012" s="356" t="str">
        <f>IFERROR(G1012/#REF!,"-")</f>
        <v>-</v>
      </c>
      <c r="K1012" s="337">
        <f t="shared" si="1293"/>
        <v>0</v>
      </c>
      <c r="L1012" s="275">
        <f t="shared" si="1294"/>
        <v>0</v>
      </c>
      <c r="M1012" s="276">
        <f t="shared" si="1295"/>
        <v>0</v>
      </c>
      <c r="N1012" s="286"/>
      <c r="O1012" s="264" t="str">
        <f t="shared" si="1263"/>
        <v>-</v>
      </c>
    </row>
    <row r="1013" spans="1:15" ht="23.4" x14ac:dyDescent="0.3">
      <c r="A1013" s="277"/>
      <c r="B1013" s="977"/>
      <c r="C1013" s="302" t="s">
        <v>452</v>
      </c>
      <c r="D1013" s="302" t="s">
        <v>410</v>
      </c>
      <c r="E1013" s="283">
        <v>0</v>
      </c>
      <c r="F1013" s="284"/>
      <c r="G1013" s="337">
        <f t="shared" si="1292"/>
        <v>0</v>
      </c>
      <c r="H1013" s="285"/>
      <c r="I1013" s="285"/>
      <c r="J1013" s="356" t="str">
        <f>IFERROR(G1013/#REF!,"-")</f>
        <v>-</v>
      </c>
      <c r="K1013" s="337">
        <f t="shared" si="1293"/>
        <v>36855</v>
      </c>
      <c r="L1013" s="275">
        <f t="shared" si="1294"/>
        <v>35802</v>
      </c>
      <c r="M1013" s="276">
        <f t="shared" si="1295"/>
        <v>1053</v>
      </c>
      <c r="N1013" s="286"/>
      <c r="O1013" s="264">
        <f t="shared" si="1263"/>
        <v>2.8571428571428571E-2</v>
      </c>
    </row>
    <row r="1014" spans="1:15" ht="24" thickBot="1" x14ac:dyDescent="0.35">
      <c r="A1014" s="277" t="s">
        <v>108</v>
      </c>
      <c r="B1014" s="977"/>
      <c r="C1014" s="303" t="s">
        <v>315</v>
      </c>
      <c r="D1014" s="302" t="s">
        <v>313</v>
      </c>
      <c r="E1014" s="283">
        <v>0</v>
      </c>
      <c r="F1014" s="284"/>
      <c r="G1014" s="337">
        <f t="shared" si="1292"/>
        <v>0</v>
      </c>
      <c r="H1014" s="285"/>
      <c r="I1014" s="285"/>
      <c r="J1014" s="356" t="str">
        <f>IFERROR(G1014/#REF!,"-")</f>
        <v>-</v>
      </c>
      <c r="K1014" s="337">
        <f t="shared" si="1293"/>
        <v>8287</v>
      </c>
      <c r="L1014" s="275">
        <f t="shared" si="1294"/>
        <v>7956</v>
      </c>
      <c r="M1014" s="276">
        <f t="shared" si="1295"/>
        <v>331</v>
      </c>
      <c r="N1014" s="341" t="str">
        <f t="shared" ref="N1014:N1021" si="1297">IFERROR(K1014/E1014,"-")</f>
        <v>-</v>
      </c>
      <c r="O1014" s="350">
        <f t="shared" si="1263"/>
        <v>3.9942077953421022E-2</v>
      </c>
    </row>
    <row r="1015" spans="1:15" ht="24" thickBot="1" x14ac:dyDescent="0.35">
      <c r="A1015" s="277" t="s">
        <v>108</v>
      </c>
      <c r="B1015" s="990"/>
      <c r="C1015" s="304"/>
      <c r="D1015" s="305" t="s">
        <v>55</v>
      </c>
      <c r="E1015" s="287">
        <f>SUM(E1006:E1014)</f>
        <v>0</v>
      </c>
      <c r="F1015" s="288">
        <v>80000</v>
      </c>
      <c r="G1015" s="323">
        <f>SUM(G1006:G1014)</f>
        <v>12634</v>
      </c>
      <c r="H1015" s="324">
        <f>SUM(H1006:H1014)</f>
        <v>11934</v>
      </c>
      <c r="I1015" s="324">
        <f>SUM(I1006:I1014)</f>
        <v>700</v>
      </c>
      <c r="J1015" s="348">
        <f>+G1015/F1015</f>
        <v>0.15792500000000001</v>
      </c>
      <c r="K1015" s="323">
        <f>SUM(K1006:K1014)</f>
        <v>111860</v>
      </c>
      <c r="L1015" s="324">
        <f>SUM(L1006:L1014)</f>
        <v>107406</v>
      </c>
      <c r="M1015" s="325">
        <f>SUM(M1006:M1014)</f>
        <v>4454</v>
      </c>
      <c r="N1015" s="342" t="str">
        <f t="shared" si="1297"/>
        <v>-</v>
      </c>
      <c r="O1015" s="348">
        <f t="shared" si="1263"/>
        <v>3.9817629179331307E-2</v>
      </c>
    </row>
    <row r="1016" spans="1:15" ht="23.4" x14ac:dyDescent="0.3">
      <c r="A1016" s="277" t="s">
        <v>108</v>
      </c>
      <c r="B1016" s="976" t="s">
        <v>28</v>
      </c>
      <c r="C1016" s="302" t="s">
        <v>27</v>
      </c>
      <c r="D1016" s="300" t="s">
        <v>191</v>
      </c>
      <c r="E1016" s="273">
        <v>2612056</v>
      </c>
      <c r="F1016" s="274"/>
      <c r="G1016" s="335">
        <f t="shared" ref="G1016:G1020" si="1298">+H1016+I1016</f>
        <v>0</v>
      </c>
      <c r="H1016" s="275"/>
      <c r="I1016" s="275"/>
      <c r="J1016" s="354" t="str">
        <f>IFERROR(G1016/#REF!,"-")</f>
        <v>-</v>
      </c>
      <c r="K1016" s="335">
        <f t="shared" ref="K1016:K1020" si="1299">+L1016+M1016</f>
        <v>21742</v>
      </c>
      <c r="L1016" s="275">
        <f t="shared" ref="L1016:L1020" si="1300">+H1016+L910</f>
        <v>19890</v>
      </c>
      <c r="M1016" s="276">
        <f t="shared" ref="M1016:M1020" si="1301">+I1016+M910</f>
        <v>1852</v>
      </c>
      <c r="N1016" s="339">
        <f t="shared" si="1297"/>
        <v>8.3237112833721792E-3</v>
      </c>
      <c r="O1016" s="349">
        <f t="shared" si="1263"/>
        <v>8.5180756140189495E-2</v>
      </c>
    </row>
    <row r="1017" spans="1:15" ht="23.4" x14ac:dyDescent="0.3">
      <c r="A1017" s="277" t="s">
        <v>108</v>
      </c>
      <c r="B1017" s="977"/>
      <c r="C1017" s="302" t="s">
        <v>455</v>
      </c>
      <c r="D1017" s="302" t="s">
        <v>370</v>
      </c>
      <c r="E1017" s="279">
        <v>0</v>
      </c>
      <c r="F1017" s="280"/>
      <c r="G1017" s="336">
        <f t="shared" si="1298"/>
        <v>164972</v>
      </c>
      <c r="H1017" s="281">
        <v>163098</v>
      </c>
      <c r="I1017" s="281">
        <v>1874</v>
      </c>
      <c r="J1017" s="355" t="str">
        <f>IFERROR(G1017/#REF!,"-")</f>
        <v>-</v>
      </c>
      <c r="K1017" s="336">
        <f t="shared" si="1299"/>
        <v>369629</v>
      </c>
      <c r="L1017" s="275">
        <f t="shared" si="1300"/>
        <v>365670</v>
      </c>
      <c r="M1017" s="276">
        <f t="shared" si="1301"/>
        <v>3959</v>
      </c>
      <c r="N1017" s="340" t="str">
        <f t="shared" si="1297"/>
        <v>-</v>
      </c>
      <c r="O1017" s="264">
        <f t="shared" si="1263"/>
        <v>1.0710739687632734E-2</v>
      </c>
    </row>
    <row r="1018" spans="1:15" ht="23.4" x14ac:dyDescent="0.3">
      <c r="A1018" s="277" t="s">
        <v>108</v>
      </c>
      <c r="B1018" s="977"/>
      <c r="C1018" s="302" t="s">
        <v>27</v>
      </c>
      <c r="D1018" s="302" t="s">
        <v>370</v>
      </c>
      <c r="E1018" s="279">
        <v>0</v>
      </c>
      <c r="F1018" s="280"/>
      <c r="G1018" s="336">
        <f t="shared" si="1298"/>
        <v>0</v>
      </c>
      <c r="H1018" s="281"/>
      <c r="I1018" s="281"/>
      <c r="J1018" s="355" t="str">
        <f>IFERROR(G1018/#REF!,"-")</f>
        <v>-</v>
      </c>
      <c r="K1018" s="336">
        <f t="shared" si="1299"/>
        <v>65158</v>
      </c>
      <c r="L1018" s="275">
        <f t="shared" si="1300"/>
        <v>63648</v>
      </c>
      <c r="M1018" s="276">
        <f t="shared" si="1301"/>
        <v>1510</v>
      </c>
      <c r="N1018" s="340" t="str">
        <f t="shared" si="1297"/>
        <v>-</v>
      </c>
      <c r="O1018" s="264">
        <f t="shared" si="1263"/>
        <v>2.3174437521102549E-2</v>
      </c>
    </row>
    <row r="1019" spans="1:15" ht="23.4" x14ac:dyDescent="0.3">
      <c r="A1019" s="277" t="s">
        <v>108</v>
      </c>
      <c r="B1019" s="977"/>
      <c r="C1019" s="302" t="s">
        <v>452</v>
      </c>
      <c r="D1019" s="303" t="s">
        <v>410</v>
      </c>
      <c r="E1019" s="283">
        <v>0</v>
      </c>
      <c r="F1019" s="284"/>
      <c r="G1019" s="337">
        <f t="shared" si="1298"/>
        <v>0</v>
      </c>
      <c r="H1019" s="285"/>
      <c r="I1019" s="285"/>
      <c r="J1019" s="356" t="str">
        <f>IFERROR(G1019/#REF!,"-")</f>
        <v>-</v>
      </c>
      <c r="K1019" s="337">
        <f t="shared" si="1299"/>
        <v>249713</v>
      </c>
      <c r="L1019" s="275">
        <f t="shared" si="1300"/>
        <v>246636</v>
      </c>
      <c r="M1019" s="755">
        <f t="shared" si="1301"/>
        <v>3077</v>
      </c>
      <c r="N1019" s="341" t="str">
        <f t="shared" si="1297"/>
        <v>-</v>
      </c>
      <c r="O1019" s="350">
        <f t="shared" si="1263"/>
        <v>1.2322145823405269E-2</v>
      </c>
    </row>
    <row r="1020" spans="1:15" ht="24" thickBot="1" x14ac:dyDescent="0.35">
      <c r="A1020" s="277" t="s">
        <v>108</v>
      </c>
      <c r="B1020" s="977"/>
      <c r="C1020" s="302" t="s">
        <v>27</v>
      </c>
      <c r="D1020" s="303" t="s">
        <v>254</v>
      </c>
      <c r="E1020" s="283">
        <v>0</v>
      </c>
      <c r="F1020" s="284"/>
      <c r="G1020" s="337">
        <f t="shared" si="1298"/>
        <v>0</v>
      </c>
      <c r="H1020" s="285"/>
      <c r="I1020" s="285"/>
      <c r="J1020" s="356" t="str">
        <f>IFERROR(G1020/#REF!,"-")</f>
        <v>-</v>
      </c>
      <c r="K1020" s="337">
        <f t="shared" si="1299"/>
        <v>764755</v>
      </c>
      <c r="L1020" s="275">
        <f t="shared" si="1300"/>
        <v>755820</v>
      </c>
      <c r="M1020" s="755">
        <f t="shared" si="1301"/>
        <v>8935</v>
      </c>
      <c r="N1020" s="341" t="str">
        <f t="shared" si="1297"/>
        <v>-</v>
      </c>
      <c r="O1020" s="350">
        <f t="shared" si="1263"/>
        <v>1.1683480330301862E-2</v>
      </c>
    </row>
    <row r="1021" spans="1:15" ht="24" thickBot="1" x14ac:dyDescent="0.35">
      <c r="A1021" s="277" t="s">
        <v>108</v>
      </c>
      <c r="B1021" s="977"/>
      <c r="C1021" s="307"/>
      <c r="D1021" s="308" t="s">
        <v>55</v>
      </c>
      <c r="E1021" s="309">
        <f>SUM(E1016:E1020)</f>
        <v>2612056</v>
      </c>
      <c r="F1021" s="310">
        <v>160000</v>
      </c>
      <c r="G1021" s="369">
        <f>SUM(G1016:G1020)</f>
        <v>164972</v>
      </c>
      <c r="H1021" s="368">
        <f>SUM(H1016:H1020)</f>
        <v>163098</v>
      </c>
      <c r="I1021" s="368">
        <f>SUM(I1016:I1020)</f>
        <v>1874</v>
      </c>
      <c r="J1021" s="359">
        <f>+G1021/F1021</f>
        <v>1.031075</v>
      </c>
      <c r="K1021" s="369">
        <f>SUM(K1016:K1020)</f>
        <v>1470997</v>
      </c>
      <c r="L1021" s="368">
        <f>SUM(L1016:L1020)</f>
        <v>1451664</v>
      </c>
      <c r="M1021" s="370">
        <f>SUM(M1016:M1020)</f>
        <v>19333</v>
      </c>
      <c r="N1021" s="358">
        <f t="shared" si="1297"/>
        <v>0.56315676233587642</v>
      </c>
      <c r="O1021" s="359">
        <f t="shared" si="1263"/>
        <v>1.3142786830972463E-2</v>
      </c>
    </row>
    <row r="1022" spans="1:15" ht="24" thickBot="1" x14ac:dyDescent="0.35">
      <c r="A1022" s="823" t="s">
        <v>108</v>
      </c>
      <c r="B1022" s="978" t="s">
        <v>170</v>
      </c>
      <c r="C1022" s="979"/>
      <c r="D1022" s="980"/>
      <c r="E1022" s="311">
        <f>+E1021+E1015</f>
        <v>2612056</v>
      </c>
      <c r="F1022" s="312">
        <v>240000</v>
      </c>
      <c r="G1022" s="372">
        <f>+G1015+G1021</f>
        <v>177606</v>
      </c>
      <c r="H1022" s="371">
        <f>+H1015+H1021</f>
        <v>175032</v>
      </c>
      <c r="I1022" s="371">
        <f>+I1015+I1021</f>
        <v>2574</v>
      </c>
      <c r="J1022" s="361">
        <f>+G1022/F1022</f>
        <v>0.74002500000000004</v>
      </c>
      <c r="K1022" s="372">
        <f>+K1015+K1021</f>
        <v>1582857</v>
      </c>
      <c r="L1022" s="371">
        <f>+L1015+L1021</f>
        <v>1559070</v>
      </c>
      <c r="M1022" s="373">
        <f>+M1015+M1021</f>
        <v>23787</v>
      </c>
      <c r="N1022" s="360">
        <f>IFERROR(K1022/E1022,"-")</f>
        <v>0.60598126533274932</v>
      </c>
      <c r="O1022" s="361">
        <f t="shared" si="1263"/>
        <v>1.5027889442950311E-2</v>
      </c>
    </row>
    <row r="1023" spans="1:15" ht="23.4" x14ac:dyDescent="0.3">
      <c r="A1023" s="277" t="s">
        <v>108</v>
      </c>
      <c r="B1023" s="977" t="s">
        <v>30</v>
      </c>
      <c r="C1023" s="306" t="s">
        <v>372</v>
      </c>
      <c r="D1023" s="300" t="s">
        <v>191</v>
      </c>
      <c r="E1023" s="273">
        <v>0</v>
      </c>
      <c r="F1023" s="274"/>
      <c r="G1023" s="335">
        <f t="shared" ref="G1023:G1025" si="1302">+H1023+I1023</f>
        <v>0</v>
      </c>
      <c r="H1023" s="275"/>
      <c r="I1023" s="275"/>
      <c r="J1023" s="354" t="str">
        <f>IFERROR(G1023/#REF!,"-")</f>
        <v>-</v>
      </c>
      <c r="K1023" s="335">
        <f t="shared" ref="K1023:K1025" si="1303">+L1023+M1023</f>
        <v>0</v>
      </c>
      <c r="L1023" s="275">
        <f t="shared" ref="L1023:L1025" si="1304">+H1023+L917</f>
        <v>0</v>
      </c>
      <c r="M1023" s="276">
        <f t="shared" ref="M1023:M1025" si="1305">+I1023+M917</f>
        <v>0</v>
      </c>
      <c r="N1023" s="339" t="str">
        <f t="shared" ref="N1023:N1033" si="1306">IFERROR(K1023/E1023,"-")</f>
        <v>-</v>
      </c>
      <c r="O1023" s="349" t="str">
        <f t="shared" si="1263"/>
        <v>-</v>
      </c>
    </row>
    <row r="1024" spans="1:15" ht="23.4" x14ac:dyDescent="0.3">
      <c r="A1024" s="277" t="s">
        <v>108</v>
      </c>
      <c r="B1024" s="977"/>
      <c r="C1024" s="306" t="s">
        <v>371</v>
      </c>
      <c r="D1024" s="306" t="s">
        <v>313</v>
      </c>
      <c r="E1024" s="279">
        <v>0</v>
      </c>
      <c r="F1024" s="280"/>
      <c r="G1024" s="336">
        <f t="shared" si="1302"/>
        <v>0</v>
      </c>
      <c r="H1024" s="281"/>
      <c r="I1024" s="281"/>
      <c r="J1024" s="355" t="str">
        <f>IFERROR(G1024/#REF!,"-")</f>
        <v>-</v>
      </c>
      <c r="K1024" s="336">
        <f t="shared" si="1303"/>
        <v>0</v>
      </c>
      <c r="L1024" s="275">
        <f t="shared" si="1304"/>
        <v>0</v>
      </c>
      <c r="M1024" s="276">
        <f t="shared" si="1305"/>
        <v>0</v>
      </c>
      <c r="N1024" s="340" t="str">
        <f t="shared" si="1306"/>
        <v>-</v>
      </c>
      <c r="O1024" s="264" t="str">
        <f t="shared" si="1263"/>
        <v>-</v>
      </c>
    </row>
    <row r="1025" spans="1:15" ht="24" thickBot="1" x14ac:dyDescent="0.35">
      <c r="A1025" s="277" t="s">
        <v>108</v>
      </c>
      <c r="B1025" s="977"/>
      <c r="C1025" s="303" t="s">
        <v>316</v>
      </c>
      <c r="D1025" s="303" t="s">
        <v>410</v>
      </c>
      <c r="E1025" s="283">
        <v>0</v>
      </c>
      <c r="F1025" s="284"/>
      <c r="G1025" s="337">
        <f t="shared" si="1302"/>
        <v>0</v>
      </c>
      <c r="H1025" s="285"/>
      <c r="I1025" s="285"/>
      <c r="J1025" s="356" t="str">
        <f>IFERROR(G1025/#REF!,"-")</f>
        <v>-</v>
      </c>
      <c r="K1025" s="337">
        <f t="shared" si="1303"/>
        <v>169767</v>
      </c>
      <c r="L1025" s="275">
        <f t="shared" si="1304"/>
        <v>164736</v>
      </c>
      <c r="M1025" s="276">
        <f t="shared" si="1305"/>
        <v>5031</v>
      </c>
      <c r="N1025" s="341" t="str">
        <f t="shared" si="1306"/>
        <v>-</v>
      </c>
      <c r="O1025" s="350">
        <f t="shared" si="1263"/>
        <v>2.9634734665747762E-2</v>
      </c>
    </row>
    <row r="1026" spans="1:15" ht="24" thickBot="1" x14ac:dyDescent="0.35">
      <c r="A1026" s="277" t="s">
        <v>108</v>
      </c>
      <c r="B1026" s="977"/>
      <c r="C1026" s="304"/>
      <c r="D1026" s="305" t="s">
        <v>53</v>
      </c>
      <c r="E1026" s="287">
        <v>0</v>
      </c>
      <c r="F1026" s="288">
        <v>50000</v>
      </c>
      <c r="G1026" s="323">
        <f>SUM(G1023:G1025)</f>
        <v>0</v>
      </c>
      <c r="H1026" s="324">
        <f>SUM(H1023:H1025)</f>
        <v>0</v>
      </c>
      <c r="I1026" s="324">
        <f>SUM(I1023:I1025)</f>
        <v>0</v>
      </c>
      <c r="J1026" s="348" t="e">
        <f>+H1026/G1026</f>
        <v>#DIV/0!</v>
      </c>
      <c r="K1026" s="323">
        <f>SUM(K1023:K1025)</f>
        <v>169767</v>
      </c>
      <c r="L1026" s="324">
        <f>SUM(L1023:L1025)</f>
        <v>164736</v>
      </c>
      <c r="M1026" s="325">
        <f>SUM(M1023:M1025)</f>
        <v>5031</v>
      </c>
      <c r="N1026" s="342" t="str">
        <f t="shared" si="1306"/>
        <v>-</v>
      </c>
      <c r="O1026" s="348">
        <f t="shared" si="1263"/>
        <v>2.9634734665747762E-2</v>
      </c>
    </row>
    <row r="1027" spans="1:15" ht="23.4" x14ac:dyDescent="0.3">
      <c r="A1027" s="277" t="s">
        <v>108</v>
      </c>
      <c r="B1027" s="977"/>
      <c r="C1027" s="300" t="s">
        <v>339</v>
      </c>
      <c r="D1027" s="300"/>
      <c r="E1027" s="273">
        <v>500000</v>
      </c>
      <c r="F1027" s="274"/>
      <c r="G1027" s="335">
        <f t="shared" ref="G1027:G1029" si="1307">+H1027+I1027</f>
        <v>0</v>
      </c>
      <c r="H1027" s="275"/>
      <c r="I1027" s="275"/>
      <c r="J1027" s="354" t="str">
        <f>IFERROR(G1027/#REF!,"-")</f>
        <v>-</v>
      </c>
      <c r="K1027" s="335">
        <f t="shared" ref="K1027:K1029" si="1308">+L1027+M1027</f>
        <v>0</v>
      </c>
      <c r="L1027" s="275">
        <f t="shared" ref="L1027:L1029" si="1309">+H1027+L921</f>
        <v>0</v>
      </c>
      <c r="M1027" s="276">
        <f t="shared" ref="M1027:M1029" si="1310">+I1027+M921</f>
        <v>0</v>
      </c>
      <c r="N1027" s="339">
        <f t="shared" si="1306"/>
        <v>0</v>
      </c>
      <c r="O1027" s="349" t="str">
        <f t="shared" si="1263"/>
        <v>-</v>
      </c>
    </row>
    <row r="1028" spans="1:15" ht="23.4" x14ac:dyDescent="0.3">
      <c r="A1028" s="277" t="s">
        <v>108</v>
      </c>
      <c r="B1028" s="977"/>
      <c r="C1028" s="306" t="s">
        <v>373</v>
      </c>
      <c r="D1028" s="306" t="s">
        <v>254</v>
      </c>
      <c r="E1028" s="279">
        <v>0</v>
      </c>
      <c r="F1028" s="280"/>
      <c r="G1028" s="336">
        <f t="shared" si="1307"/>
        <v>0</v>
      </c>
      <c r="H1028" s="281"/>
      <c r="I1028" s="281"/>
      <c r="J1028" s="355" t="str">
        <f>IFERROR(G1028/#REF!,"-")</f>
        <v>-</v>
      </c>
      <c r="K1028" s="336">
        <f t="shared" si="1308"/>
        <v>9638</v>
      </c>
      <c r="L1028" s="275">
        <f t="shared" si="1309"/>
        <v>9360</v>
      </c>
      <c r="M1028" s="276">
        <f t="shared" si="1310"/>
        <v>278</v>
      </c>
      <c r="N1028" s="340" t="str">
        <f t="shared" si="1306"/>
        <v>-</v>
      </c>
      <c r="O1028" s="264">
        <f t="shared" si="1263"/>
        <v>2.8844158539116E-2</v>
      </c>
    </row>
    <row r="1029" spans="1:15" ht="24" thickBot="1" x14ac:dyDescent="0.35">
      <c r="A1029" s="277" t="s">
        <v>108</v>
      </c>
      <c r="B1029" s="977"/>
      <c r="C1029" s="303" t="s">
        <v>145</v>
      </c>
      <c r="D1029" s="303"/>
      <c r="E1029" s="283">
        <v>0</v>
      </c>
      <c r="F1029" s="284"/>
      <c r="G1029" s="337">
        <f t="shared" si="1307"/>
        <v>0</v>
      </c>
      <c r="H1029" s="285"/>
      <c r="I1029" s="285"/>
      <c r="J1029" s="356" t="str">
        <f>IFERROR(G1029/#REF!,"-")</f>
        <v>-</v>
      </c>
      <c r="K1029" s="337">
        <f t="shared" si="1308"/>
        <v>0</v>
      </c>
      <c r="L1029" s="275">
        <f t="shared" si="1309"/>
        <v>0</v>
      </c>
      <c r="M1029" s="276">
        <f t="shared" si="1310"/>
        <v>0</v>
      </c>
      <c r="N1029" s="341" t="str">
        <f t="shared" si="1306"/>
        <v>-</v>
      </c>
      <c r="O1029" s="350" t="str">
        <f t="shared" si="1263"/>
        <v>-</v>
      </c>
    </row>
    <row r="1030" spans="1:15" ht="24" thickBot="1" x14ac:dyDescent="0.35">
      <c r="A1030" s="277" t="s">
        <v>108</v>
      </c>
      <c r="B1030" s="977"/>
      <c r="C1030" s="307"/>
      <c r="D1030" s="308" t="s">
        <v>54</v>
      </c>
      <c r="E1030" s="309">
        <f>SUM(E1027)</f>
        <v>500000</v>
      </c>
      <c r="F1030" s="310">
        <v>50000</v>
      </c>
      <c r="G1030" s="369">
        <f>SUM(G1027:G1029)</f>
        <v>0</v>
      </c>
      <c r="H1030" s="368">
        <f t="shared" ref="H1030:I1030" si="1311">SUM(H1027:H1029)</f>
        <v>0</v>
      </c>
      <c r="I1030" s="368">
        <f t="shared" si="1311"/>
        <v>0</v>
      </c>
      <c r="J1030" s="359">
        <f>+G1030/F1030</f>
        <v>0</v>
      </c>
      <c r="K1030" s="369">
        <f t="shared" ref="K1030:M1030" si="1312">SUM(K1027:K1029)</f>
        <v>9638</v>
      </c>
      <c r="L1030" s="368">
        <f t="shared" si="1312"/>
        <v>9360</v>
      </c>
      <c r="M1030" s="370">
        <f t="shared" si="1312"/>
        <v>278</v>
      </c>
      <c r="N1030" s="358">
        <f t="shared" si="1306"/>
        <v>1.9276000000000001E-2</v>
      </c>
      <c r="O1030" s="359">
        <f t="shared" si="1263"/>
        <v>2.8844158539116E-2</v>
      </c>
    </row>
    <row r="1031" spans="1:15" ht="24" thickBot="1" x14ac:dyDescent="0.35">
      <c r="A1031" s="277" t="s">
        <v>108</v>
      </c>
      <c r="B1031" s="978" t="s">
        <v>171</v>
      </c>
      <c r="C1031" s="979"/>
      <c r="D1031" s="980"/>
      <c r="E1031" s="311">
        <f>+E1030+E1026</f>
        <v>500000</v>
      </c>
      <c r="F1031" s="312">
        <v>50000</v>
      </c>
      <c r="G1031" s="372">
        <f>+G1026+G1030</f>
        <v>0</v>
      </c>
      <c r="H1031" s="371">
        <f t="shared" ref="H1031:I1031" si="1313">+H1026+H1030</f>
        <v>0</v>
      </c>
      <c r="I1031" s="371">
        <f t="shared" si="1313"/>
        <v>0</v>
      </c>
      <c r="J1031" s="361">
        <f>+G1031/F1031</f>
        <v>0</v>
      </c>
      <c r="K1031" s="372">
        <f t="shared" ref="K1031:M1031" si="1314">+K1026+K1030</f>
        <v>179405</v>
      </c>
      <c r="L1031" s="371">
        <f t="shared" si="1314"/>
        <v>174096</v>
      </c>
      <c r="M1031" s="373">
        <f t="shared" si="1314"/>
        <v>5309</v>
      </c>
      <c r="N1031" s="360">
        <f t="shared" si="1306"/>
        <v>0.35881000000000002</v>
      </c>
      <c r="O1031" s="361">
        <f t="shared" si="1263"/>
        <v>2.9592263314846299E-2</v>
      </c>
    </row>
    <row r="1032" spans="1:15" ht="24" thickBot="1" x14ac:dyDescent="0.35">
      <c r="A1032" s="277" t="s">
        <v>108</v>
      </c>
      <c r="B1032" s="608" t="s">
        <v>32</v>
      </c>
      <c r="C1032" s="820"/>
      <c r="D1032" s="313" t="s">
        <v>32</v>
      </c>
      <c r="E1032" s="290">
        <v>0</v>
      </c>
      <c r="F1032" s="291">
        <v>110000</v>
      </c>
      <c r="G1032" s="338">
        <f t="shared" ref="G1032" si="1315">+H1032+I1032</f>
        <v>0</v>
      </c>
      <c r="H1032" s="292"/>
      <c r="I1032" s="292"/>
      <c r="J1032" s="357" t="str">
        <f>IFERROR(G1032/#REF!,"-")</f>
        <v>-</v>
      </c>
      <c r="K1032" s="338">
        <f>+L1032+M1032</f>
        <v>0</v>
      </c>
      <c r="L1032" s="292">
        <f>+H1032+L926</f>
        <v>0</v>
      </c>
      <c r="M1032" s="293">
        <f>+I1032+M926</f>
        <v>0</v>
      </c>
      <c r="N1032" s="343" t="str">
        <f t="shared" si="1306"/>
        <v>-</v>
      </c>
      <c r="O1032" s="351" t="str">
        <f t="shared" si="1263"/>
        <v>-</v>
      </c>
    </row>
    <row r="1033" spans="1:15" ht="24" thickBot="1" x14ac:dyDescent="0.35">
      <c r="A1033" s="277" t="s">
        <v>108</v>
      </c>
      <c r="B1033" s="981" t="s">
        <v>21</v>
      </c>
      <c r="C1033" s="982"/>
      <c r="D1033" s="983"/>
      <c r="E1033" s="329">
        <f>+E1022+E1031+E1032</f>
        <v>3112056</v>
      </c>
      <c r="F1033" s="330">
        <f>+F1022+F1031+F1032</f>
        <v>400000</v>
      </c>
      <c r="G1033" s="329">
        <f>+G1022+G1031+G1032</f>
        <v>177606</v>
      </c>
      <c r="H1033" s="327">
        <f>+H1022+H1031+H1032</f>
        <v>175032</v>
      </c>
      <c r="I1033" s="327">
        <f>+I1022+I1031+I1032</f>
        <v>2574</v>
      </c>
      <c r="J1033" s="352">
        <f>+G1033/F1033</f>
        <v>0.44401499999999999</v>
      </c>
      <c r="K1033" s="329">
        <f>+K1022+K1031+K1032</f>
        <v>1762262</v>
      </c>
      <c r="L1033" s="327">
        <f>+L1022+L1031+L1032</f>
        <v>1733166</v>
      </c>
      <c r="M1033" s="328">
        <f>+M1022+M1031+M1032</f>
        <v>29096</v>
      </c>
      <c r="N1033" s="344">
        <f t="shared" si="1306"/>
        <v>0.56626937304470104</v>
      </c>
      <c r="O1033" s="352">
        <f t="shared" si="1263"/>
        <v>1.6510598310580379E-2</v>
      </c>
    </row>
    <row r="1034" spans="1:15" ht="24" thickBot="1" x14ac:dyDescent="0.35">
      <c r="A1034" s="277" t="s">
        <v>108</v>
      </c>
      <c r="B1034" s="984" t="s">
        <v>179</v>
      </c>
      <c r="C1034" s="962"/>
      <c r="D1034" s="963"/>
      <c r="E1034" s="333">
        <f>+E1033</f>
        <v>3112056</v>
      </c>
      <c r="F1034" s="334">
        <f t="shared" ref="F1034:I1034" si="1316">+F1033</f>
        <v>400000</v>
      </c>
      <c r="G1034" s="333">
        <f t="shared" si="1316"/>
        <v>177606</v>
      </c>
      <c r="H1034" s="331">
        <f t="shared" si="1316"/>
        <v>175032</v>
      </c>
      <c r="I1034" s="331">
        <f t="shared" si="1316"/>
        <v>2574</v>
      </c>
      <c r="J1034" s="353">
        <f>+J1033</f>
        <v>0.44401499999999999</v>
      </c>
      <c r="K1034" s="333">
        <f>+K1033</f>
        <v>1762262</v>
      </c>
      <c r="L1034" s="331">
        <f t="shared" ref="L1034" si="1317">+L1033</f>
        <v>1733166</v>
      </c>
      <c r="M1034" s="332">
        <f>+M1033</f>
        <v>29096</v>
      </c>
      <c r="N1034" s="345">
        <f t="shared" ref="N1034:O1034" si="1318">+N1033</f>
        <v>0.56626937304470104</v>
      </c>
      <c r="O1034" s="353">
        <f t="shared" si="1318"/>
        <v>1.6510598310580379E-2</v>
      </c>
    </row>
    <row r="1035" spans="1:15" ht="23.4" x14ac:dyDescent="0.3">
      <c r="A1035" s="271" t="s">
        <v>109</v>
      </c>
      <c r="B1035" s="970" t="s">
        <v>482</v>
      </c>
      <c r="C1035" s="314" t="s">
        <v>120</v>
      </c>
      <c r="D1035" s="314"/>
      <c r="E1035" s="273">
        <v>34000</v>
      </c>
      <c r="F1035" s="274"/>
      <c r="G1035" s="335">
        <f t="shared" ref="G1035:G1037" si="1319">+H1035+I1035</f>
        <v>0</v>
      </c>
      <c r="H1035" s="275"/>
      <c r="I1035" s="275"/>
      <c r="J1035" s="354" t="str">
        <f>IFERROR(G1035/#REF!,"-")</f>
        <v>-</v>
      </c>
      <c r="K1035" s="335">
        <f t="shared" ref="K1035:K1037" si="1320">+L1035+M1035</f>
        <v>0</v>
      </c>
      <c r="L1035" s="275">
        <f t="shared" ref="L1035:L1037" si="1321">+H1035+L929</f>
        <v>0</v>
      </c>
      <c r="M1035" s="276">
        <f t="shared" ref="M1035:M1037" si="1322">+I1035+M929</f>
        <v>0</v>
      </c>
      <c r="N1035" s="339">
        <f t="shared" ref="N1035:N1042" si="1323">IFERROR(K1035/E1035,"-")</f>
        <v>0</v>
      </c>
      <c r="O1035" s="349" t="str">
        <f t="shared" ref="O1035:O1060" si="1324">IFERROR(M1035/K1035,"-")</f>
        <v>-</v>
      </c>
    </row>
    <row r="1036" spans="1:15" ht="23.4" x14ac:dyDescent="0.3">
      <c r="A1036" s="277" t="s">
        <v>109</v>
      </c>
      <c r="B1036" s="972"/>
      <c r="C1036" s="315" t="s">
        <v>267</v>
      </c>
      <c r="D1036" s="315"/>
      <c r="E1036" s="279">
        <v>0</v>
      </c>
      <c r="F1036" s="280"/>
      <c r="G1036" s="336">
        <f t="shared" si="1319"/>
        <v>0</v>
      </c>
      <c r="H1036" s="281"/>
      <c r="I1036" s="281"/>
      <c r="J1036" s="355" t="str">
        <f>IFERROR(G1036/#REF!,"-")</f>
        <v>-</v>
      </c>
      <c r="K1036" s="336">
        <f t="shared" si="1320"/>
        <v>12672</v>
      </c>
      <c r="L1036" s="275">
        <f t="shared" si="1321"/>
        <v>12480</v>
      </c>
      <c r="M1036" s="276">
        <f t="shared" si="1322"/>
        <v>192</v>
      </c>
      <c r="N1036" s="340" t="str">
        <f t="shared" si="1323"/>
        <v>-</v>
      </c>
      <c r="O1036" s="264">
        <f t="shared" si="1324"/>
        <v>1.5151515151515152E-2</v>
      </c>
    </row>
    <row r="1037" spans="1:15" ht="24" thickBot="1" x14ac:dyDescent="0.35">
      <c r="A1037" s="277" t="s">
        <v>109</v>
      </c>
      <c r="B1037" s="971"/>
      <c r="C1037" s="316" t="s">
        <v>34</v>
      </c>
      <c r="D1037" s="316"/>
      <c r="E1037" s="283">
        <v>0</v>
      </c>
      <c r="F1037" s="284"/>
      <c r="G1037" s="337">
        <f t="shared" si="1319"/>
        <v>0</v>
      </c>
      <c r="H1037" s="285"/>
      <c r="I1037" s="285"/>
      <c r="J1037" s="356" t="str">
        <f>IFERROR(G1037/#REF!,"-")</f>
        <v>-</v>
      </c>
      <c r="K1037" s="337">
        <f t="shared" si="1320"/>
        <v>0</v>
      </c>
      <c r="L1037" s="275">
        <f t="shared" si="1321"/>
        <v>0</v>
      </c>
      <c r="M1037" s="276">
        <f t="shared" si="1322"/>
        <v>0</v>
      </c>
      <c r="N1037" s="341" t="str">
        <f t="shared" si="1323"/>
        <v>-</v>
      </c>
      <c r="O1037" s="350" t="str">
        <f t="shared" si="1324"/>
        <v>-</v>
      </c>
    </row>
    <row r="1038" spans="1:15" ht="24" thickBot="1" x14ac:dyDescent="0.35">
      <c r="A1038" s="277" t="s">
        <v>109</v>
      </c>
      <c r="B1038" s="967" t="s">
        <v>35</v>
      </c>
      <c r="C1038" s="968"/>
      <c r="D1038" s="969"/>
      <c r="E1038" s="287">
        <f>SUM(E1035:E1037)</f>
        <v>34000</v>
      </c>
      <c r="F1038" s="288">
        <v>6500</v>
      </c>
      <c r="G1038" s="323">
        <f>SUM(G1035:G1037)</f>
        <v>0</v>
      </c>
      <c r="H1038" s="324">
        <f t="shared" ref="H1038:I1038" si="1325">SUM(H1035:H1037)</f>
        <v>0</v>
      </c>
      <c r="I1038" s="324">
        <f t="shared" si="1325"/>
        <v>0</v>
      </c>
      <c r="J1038" s="348" t="str">
        <f>IFERROR(G1038/#REF!,"-")</f>
        <v>-</v>
      </c>
      <c r="K1038" s="323">
        <f t="shared" ref="K1038:M1038" si="1326">SUM(K1035:K1037)</f>
        <v>12672</v>
      </c>
      <c r="L1038" s="324">
        <f t="shared" si="1326"/>
        <v>12480</v>
      </c>
      <c r="M1038" s="325">
        <f t="shared" si="1326"/>
        <v>192</v>
      </c>
      <c r="N1038" s="342">
        <f t="shared" si="1323"/>
        <v>0.37270588235294116</v>
      </c>
      <c r="O1038" s="348">
        <f t="shared" si="1324"/>
        <v>1.5151515151515152E-2</v>
      </c>
    </row>
    <row r="1039" spans="1:15" ht="23.4" x14ac:dyDescent="0.3">
      <c r="A1039" s="277" t="s">
        <v>109</v>
      </c>
      <c r="B1039" s="970" t="s">
        <v>36</v>
      </c>
      <c r="C1039" s="314" t="s">
        <v>120</v>
      </c>
      <c r="D1039" s="314"/>
      <c r="E1039" s="273">
        <v>64360</v>
      </c>
      <c r="F1039" s="274"/>
      <c r="G1039" s="335">
        <f t="shared" ref="G1039:G1042" si="1327">+H1039+I1039</f>
        <v>0</v>
      </c>
      <c r="H1039" s="275"/>
      <c r="I1039" s="275"/>
      <c r="J1039" s="354" t="str">
        <f>IFERROR(G1039/#REF!,"-")</f>
        <v>-</v>
      </c>
      <c r="K1039" s="335">
        <f t="shared" ref="K1039:K1042" si="1328">+L1039+M1039</f>
        <v>0</v>
      </c>
      <c r="L1039" s="275">
        <f t="shared" ref="L1039:L1042" si="1329">+H1039+L933</f>
        <v>0</v>
      </c>
      <c r="M1039" s="276">
        <f t="shared" ref="M1039:M1042" si="1330">+I1039+M933</f>
        <v>0</v>
      </c>
      <c r="N1039" s="339">
        <f t="shared" si="1323"/>
        <v>0</v>
      </c>
      <c r="O1039" s="349" t="str">
        <f t="shared" si="1324"/>
        <v>-</v>
      </c>
    </row>
    <row r="1040" spans="1:15" ht="23.4" x14ac:dyDescent="0.3">
      <c r="A1040" s="277" t="s">
        <v>109</v>
      </c>
      <c r="B1040" s="972"/>
      <c r="C1040" s="315" t="s">
        <v>267</v>
      </c>
      <c r="D1040" s="315"/>
      <c r="E1040" s="279">
        <v>0</v>
      </c>
      <c r="F1040" s="280"/>
      <c r="G1040" s="336">
        <f t="shared" si="1327"/>
        <v>0</v>
      </c>
      <c r="H1040" s="281"/>
      <c r="I1040" s="281"/>
      <c r="J1040" s="355" t="str">
        <f>IFERROR(G1040/#REF!,"-")</f>
        <v>-</v>
      </c>
      <c r="K1040" s="336">
        <f t="shared" si="1328"/>
        <v>6445</v>
      </c>
      <c r="L1040" s="275">
        <f t="shared" si="1329"/>
        <v>6280</v>
      </c>
      <c r="M1040" s="276">
        <f t="shared" si="1330"/>
        <v>165</v>
      </c>
      <c r="N1040" s="340" t="str">
        <f t="shared" si="1323"/>
        <v>-</v>
      </c>
      <c r="O1040" s="264">
        <f t="shared" si="1324"/>
        <v>2.560124127230411E-2</v>
      </c>
    </row>
    <row r="1041" spans="1:15" ht="23.4" x14ac:dyDescent="0.3">
      <c r="A1041" s="277" t="s">
        <v>109</v>
      </c>
      <c r="B1041" s="972"/>
      <c r="C1041" s="315" t="s">
        <v>198</v>
      </c>
      <c r="D1041" s="315"/>
      <c r="E1041" s="279">
        <v>0</v>
      </c>
      <c r="F1041" s="280"/>
      <c r="G1041" s="336">
        <f t="shared" si="1327"/>
        <v>0</v>
      </c>
      <c r="H1041" s="281"/>
      <c r="I1041" s="281"/>
      <c r="J1041" s="355" t="str">
        <f>IFERROR(G1041/#REF!,"-")</f>
        <v>-</v>
      </c>
      <c r="K1041" s="336">
        <f t="shared" si="1328"/>
        <v>0</v>
      </c>
      <c r="L1041" s="275">
        <f t="shared" si="1329"/>
        <v>0</v>
      </c>
      <c r="M1041" s="276">
        <f t="shared" si="1330"/>
        <v>0</v>
      </c>
      <c r="N1041" s="340" t="str">
        <f t="shared" si="1323"/>
        <v>-</v>
      </c>
      <c r="O1041" s="264" t="str">
        <f t="shared" si="1324"/>
        <v>-</v>
      </c>
    </row>
    <row r="1042" spans="1:15" ht="24" thickBot="1" x14ac:dyDescent="0.35">
      <c r="A1042" s="277" t="s">
        <v>109</v>
      </c>
      <c r="B1042" s="971"/>
      <c r="C1042" s="316" t="s">
        <v>37</v>
      </c>
      <c r="D1042" s="316"/>
      <c r="E1042" s="283">
        <v>0</v>
      </c>
      <c r="F1042" s="284"/>
      <c r="G1042" s="337">
        <f t="shared" si="1327"/>
        <v>0</v>
      </c>
      <c r="H1042" s="285"/>
      <c r="I1042" s="285"/>
      <c r="J1042" s="356" t="str">
        <f>IFERROR(G1042/#REF!,"-")</f>
        <v>-</v>
      </c>
      <c r="K1042" s="337">
        <f t="shared" si="1328"/>
        <v>0</v>
      </c>
      <c r="L1042" s="275">
        <f t="shared" si="1329"/>
        <v>0</v>
      </c>
      <c r="M1042" s="276">
        <f t="shared" si="1330"/>
        <v>0</v>
      </c>
      <c r="N1042" s="341" t="str">
        <f t="shared" si="1323"/>
        <v>-</v>
      </c>
      <c r="O1042" s="350" t="str">
        <f t="shared" si="1324"/>
        <v>-</v>
      </c>
    </row>
    <row r="1043" spans="1:15" ht="24" thickBot="1" x14ac:dyDescent="0.35">
      <c r="A1043" s="277" t="s">
        <v>109</v>
      </c>
      <c r="B1043" s="967" t="s">
        <v>38</v>
      </c>
      <c r="C1043" s="968"/>
      <c r="D1043" s="969"/>
      <c r="E1043" s="287">
        <f>SUM(E1039:E1042)</f>
        <v>64360</v>
      </c>
      <c r="F1043" s="288">
        <v>6500</v>
      </c>
      <c r="G1043" s="323">
        <f>SUM(G1039:G1042)</f>
        <v>0</v>
      </c>
      <c r="H1043" s="324">
        <f t="shared" ref="H1043:I1043" si="1331">SUM(H1039:H1042)</f>
        <v>0</v>
      </c>
      <c r="I1043" s="324">
        <f t="shared" si="1331"/>
        <v>0</v>
      </c>
      <c r="J1043" s="348" t="str">
        <f>IFERROR(G1043/#REF!,"-")</f>
        <v>-</v>
      </c>
      <c r="K1043" s="323">
        <f t="shared" ref="K1043:M1043" si="1332">SUM(K1039:K1042)</f>
        <v>6445</v>
      </c>
      <c r="L1043" s="324">
        <f t="shared" si="1332"/>
        <v>6280</v>
      </c>
      <c r="M1043" s="325">
        <f t="shared" si="1332"/>
        <v>165</v>
      </c>
      <c r="N1043" s="342">
        <f>IFERROR(K1043/E1043,"-")</f>
        <v>0.10013983840894966</v>
      </c>
      <c r="O1043" s="348">
        <f t="shared" si="1324"/>
        <v>2.560124127230411E-2</v>
      </c>
    </row>
    <row r="1044" spans="1:15" ht="23.4" x14ac:dyDescent="0.3">
      <c r="A1044" s="277" t="s">
        <v>109</v>
      </c>
      <c r="B1044" s="970" t="s">
        <v>483</v>
      </c>
      <c r="C1044" s="317" t="s">
        <v>123</v>
      </c>
      <c r="D1044" s="317"/>
      <c r="E1044" s="273">
        <v>39800</v>
      </c>
      <c r="F1044" s="274"/>
      <c r="G1044" s="335">
        <f t="shared" ref="G1044:G1045" si="1333">+H1044+I1044</f>
        <v>0</v>
      </c>
      <c r="H1044" s="275"/>
      <c r="I1044" s="275"/>
      <c r="J1044" s="354" t="str">
        <f>IFERROR(G1044/#REF!,"-")</f>
        <v>-</v>
      </c>
      <c r="K1044" s="335">
        <f t="shared" ref="K1044:K1045" si="1334">+L1044+M1044</f>
        <v>144</v>
      </c>
      <c r="L1044" s="275">
        <f>+H1044+L938</f>
        <v>144</v>
      </c>
      <c r="M1044" s="276">
        <f>+I1044+M938</f>
        <v>0</v>
      </c>
      <c r="N1044" s="339">
        <f t="shared" ref="N1044:N1060" si="1335">IFERROR(K1044/E1044,"-")</f>
        <v>3.6180904522613066E-3</v>
      </c>
      <c r="O1044" s="349">
        <f t="shared" si="1324"/>
        <v>0</v>
      </c>
    </row>
    <row r="1045" spans="1:15" ht="24" thickBot="1" x14ac:dyDescent="0.35">
      <c r="A1045" s="277" t="s">
        <v>109</v>
      </c>
      <c r="B1045" s="971"/>
      <c r="C1045" s="289" t="s">
        <v>139</v>
      </c>
      <c r="D1045" s="289"/>
      <c r="E1045" s="283">
        <v>0</v>
      </c>
      <c r="F1045" s="284"/>
      <c r="G1045" s="337">
        <f t="shared" si="1333"/>
        <v>0</v>
      </c>
      <c r="H1045" s="285"/>
      <c r="I1045" s="285"/>
      <c r="J1045" s="356" t="str">
        <f>IFERROR(G1045/#REF!,"-")</f>
        <v>-</v>
      </c>
      <c r="K1045" s="337">
        <f t="shared" si="1334"/>
        <v>240</v>
      </c>
      <c r="L1045" s="275">
        <f>+H1045+L939</f>
        <v>240</v>
      </c>
      <c r="M1045" s="276">
        <f>+I1045+M939</f>
        <v>0</v>
      </c>
      <c r="N1045" s="341" t="str">
        <f t="shared" si="1335"/>
        <v>-</v>
      </c>
      <c r="O1045" s="350">
        <f t="shared" si="1324"/>
        <v>0</v>
      </c>
    </row>
    <row r="1046" spans="1:15" ht="24" thickBot="1" x14ac:dyDescent="0.35">
      <c r="A1046" s="823" t="s">
        <v>109</v>
      </c>
      <c r="B1046" s="967" t="s">
        <v>40</v>
      </c>
      <c r="C1046" s="968"/>
      <c r="D1046" s="969"/>
      <c r="E1046" s="287">
        <f>SUM(E1044:E1045)</f>
        <v>39800</v>
      </c>
      <c r="F1046" s="288">
        <v>2800</v>
      </c>
      <c r="G1046" s="323">
        <f>SUM(G1044:G1045)</f>
        <v>0</v>
      </c>
      <c r="H1046" s="324">
        <f t="shared" ref="H1046:I1046" si="1336">SUM(H1044:H1045)</f>
        <v>0</v>
      </c>
      <c r="I1046" s="324">
        <f t="shared" si="1336"/>
        <v>0</v>
      </c>
      <c r="J1046" s="348" t="str">
        <f>IFERROR(G1046/#REF!,"-")</f>
        <v>-</v>
      </c>
      <c r="K1046" s="323">
        <f t="shared" ref="K1046:M1046" si="1337">SUM(K1044:K1045)</f>
        <v>384</v>
      </c>
      <c r="L1046" s="324">
        <f t="shared" si="1337"/>
        <v>384</v>
      </c>
      <c r="M1046" s="325">
        <f t="shared" si="1337"/>
        <v>0</v>
      </c>
      <c r="N1046" s="342">
        <f t="shared" si="1335"/>
        <v>9.6482412060301514E-3</v>
      </c>
      <c r="O1046" s="348">
        <f t="shared" si="1324"/>
        <v>0</v>
      </c>
    </row>
    <row r="1047" spans="1:15" ht="23.4" x14ac:dyDescent="0.3">
      <c r="A1047" s="277" t="s">
        <v>109</v>
      </c>
      <c r="B1047" s="970" t="s">
        <v>484</v>
      </c>
      <c r="C1047" s="272" t="s">
        <v>335</v>
      </c>
      <c r="D1047" s="272"/>
      <c r="E1047" s="273">
        <v>916640</v>
      </c>
      <c r="F1047" s="318"/>
      <c r="G1047" s="335">
        <f t="shared" ref="G1047:G1051" si="1338">+H1047+I1047</f>
        <v>15850</v>
      </c>
      <c r="H1047" s="275">
        <v>15480</v>
      </c>
      <c r="I1047" s="275">
        <v>370</v>
      </c>
      <c r="J1047" s="374" t="str">
        <f>IFERROR(G1047/#REF!,"-")</f>
        <v>-</v>
      </c>
      <c r="K1047" s="335">
        <f t="shared" ref="K1047:K1051" si="1339">+L1047+M1047</f>
        <v>197180</v>
      </c>
      <c r="L1047" s="275">
        <f t="shared" ref="L1047:L1051" si="1340">+H1047+L941</f>
        <v>194292</v>
      </c>
      <c r="M1047" s="275">
        <f t="shared" ref="M1047:M1051" si="1341">+I1047+M941</f>
        <v>2888</v>
      </c>
      <c r="N1047" s="362">
        <f t="shared" si="1335"/>
        <v>0.21511171234072263</v>
      </c>
      <c r="O1047" s="363">
        <f t="shared" si="1324"/>
        <v>1.4646515873820874E-2</v>
      </c>
    </row>
    <row r="1048" spans="1:15" ht="23.4" x14ac:dyDescent="0.3">
      <c r="A1048" s="277" t="s">
        <v>109</v>
      </c>
      <c r="B1048" s="972"/>
      <c r="C1048" s="272" t="s">
        <v>336</v>
      </c>
      <c r="D1048" s="278"/>
      <c r="E1048" s="279">
        <v>0</v>
      </c>
      <c r="F1048" s="319"/>
      <c r="G1048" s="336">
        <f t="shared" si="1338"/>
        <v>0</v>
      </c>
      <c r="H1048" s="281"/>
      <c r="I1048" s="281"/>
      <c r="J1048" s="375" t="str">
        <f>IFERROR(G1048/#REF!,"-")</f>
        <v>-</v>
      </c>
      <c r="K1048" s="336">
        <f t="shared" si="1339"/>
        <v>0</v>
      </c>
      <c r="L1048" s="275">
        <f t="shared" si="1340"/>
        <v>0</v>
      </c>
      <c r="M1048" s="276">
        <f t="shared" si="1341"/>
        <v>0</v>
      </c>
      <c r="N1048" s="364" t="str">
        <f t="shared" si="1335"/>
        <v>-</v>
      </c>
      <c r="O1048" s="365" t="str">
        <f t="shared" si="1324"/>
        <v>-</v>
      </c>
    </row>
    <row r="1049" spans="1:15" ht="23.4" x14ac:dyDescent="0.3">
      <c r="A1049" s="277" t="s">
        <v>109</v>
      </c>
      <c r="B1049" s="972"/>
      <c r="C1049" s="278" t="s">
        <v>383</v>
      </c>
      <c r="D1049" s="278"/>
      <c r="E1049" s="279">
        <v>40000</v>
      </c>
      <c r="F1049" s="319"/>
      <c r="G1049" s="336">
        <f t="shared" si="1338"/>
        <v>0</v>
      </c>
      <c r="H1049" s="281"/>
      <c r="I1049" s="281"/>
      <c r="J1049" s="375" t="str">
        <f>IFERROR(G1049/#REF!,"-")</f>
        <v>-</v>
      </c>
      <c r="K1049" s="336">
        <f t="shared" si="1339"/>
        <v>0</v>
      </c>
      <c r="L1049" s="275">
        <f t="shared" si="1340"/>
        <v>0</v>
      </c>
      <c r="M1049" s="276">
        <f t="shared" si="1341"/>
        <v>0</v>
      </c>
      <c r="N1049" s="364">
        <f t="shared" si="1335"/>
        <v>0</v>
      </c>
      <c r="O1049" s="365" t="str">
        <f t="shared" si="1324"/>
        <v>-</v>
      </c>
    </row>
    <row r="1050" spans="1:15" ht="23.4" x14ac:dyDescent="0.3">
      <c r="A1050" s="277" t="s">
        <v>109</v>
      </c>
      <c r="B1050" s="972"/>
      <c r="C1050" s="278" t="s">
        <v>165</v>
      </c>
      <c r="D1050" s="278"/>
      <c r="E1050" s="279">
        <v>0</v>
      </c>
      <c r="F1050" s="319"/>
      <c r="G1050" s="336">
        <f t="shared" si="1338"/>
        <v>0</v>
      </c>
      <c r="H1050" s="281"/>
      <c r="I1050" s="281"/>
      <c r="J1050" s="375" t="str">
        <f>IFERROR(G1050/#REF!,"-")</f>
        <v>-</v>
      </c>
      <c r="K1050" s="336">
        <f t="shared" si="1339"/>
        <v>0</v>
      </c>
      <c r="L1050" s="275">
        <f t="shared" si="1340"/>
        <v>0</v>
      </c>
      <c r="M1050" s="276">
        <f t="shared" si="1341"/>
        <v>0</v>
      </c>
      <c r="N1050" s="364" t="str">
        <f t="shared" si="1335"/>
        <v>-</v>
      </c>
      <c r="O1050" s="365" t="str">
        <f t="shared" si="1324"/>
        <v>-</v>
      </c>
    </row>
    <row r="1051" spans="1:15" ht="24" thickBot="1" x14ac:dyDescent="0.35">
      <c r="A1051" s="277" t="s">
        <v>109</v>
      </c>
      <c r="B1051" s="971"/>
      <c r="C1051" s="282" t="s">
        <v>166</v>
      </c>
      <c r="D1051" s="282"/>
      <c r="E1051" s="283">
        <v>0</v>
      </c>
      <c r="F1051" s="320"/>
      <c r="G1051" s="337">
        <f t="shared" si="1338"/>
        <v>0</v>
      </c>
      <c r="H1051" s="285"/>
      <c r="I1051" s="285"/>
      <c r="J1051" s="376" t="str">
        <f>IFERROR(G1051/#REF!,"-")</f>
        <v>-</v>
      </c>
      <c r="K1051" s="337">
        <f t="shared" si="1339"/>
        <v>0</v>
      </c>
      <c r="L1051" s="275">
        <f t="shared" si="1340"/>
        <v>0</v>
      </c>
      <c r="M1051" s="276">
        <f t="shared" si="1341"/>
        <v>0</v>
      </c>
      <c r="N1051" s="366" t="str">
        <f t="shared" si="1335"/>
        <v>-</v>
      </c>
      <c r="O1051" s="367" t="str">
        <f t="shared" si="1324"/>
        <v>-</v>
      </c>
    </row>
    <row r="1052" spans="1:15" ht="24" thickBot="1" x14ac:dyDescent="0.35">
      <c r="A1052" s="277" t="s">
        <v>109</v>
      </c>
      <c r="B1052" s="967" t="s">
        <v>42</v>
      </c>
      <c r="C1052" s="968"/>
      <c r="D1052" s="969"/>
      <c r="E1052" s="323">
        <f>SUM(E1047:E1051)</f>
        <v>956640</v>
      </c>
      <c r="F1052" s="288">
        <v>25000</v>
      </c>
      <c r="G1052" s="323">
        <f>SUM(G1047:G1051)</f>
        <v>15850</v>
      </c>
      <c r="H1052" s="324">
        <f>SUM(H1047:H1051)</f>
        <v>15480</v>
      </c>
      <c r="I1052" s="324">
        <f>SUM(I1047:I1051)</f>
        <v>370</v>
      </c>
      <c r="J1052" s="348" t="str">
        <f>IFERROR(G1052/#REF!,"-")</f>
        <v>-</v>
      </c>
      <c r="K1052" s="323">
        <f>SUM(K1047:K1051)</f>
        <v>197180</v>
      </c>
      <c r="L1052" s="324">
        <f>SUM(L1047:L1051)</f>
        <v>194292</v>
      </c>
      <c r="M1052" s="325">
        <f>SUM(M1047:M1051)</f>
        <v>2888</v>
      </c>
      <c r="N1052" s="342">
        <f t="shared" si="1335"/>
        <v>0.20611724368623516</v>
      </c>
      <c r="O1052" s="348">
        <f t="shared" si="1324"/>
        <v>1.4646515873820874E-2</v>
      </c>
    </row>
    <row r="1053" spans="1:15" ht="23.4" x14ac:dyDescent="0.3">
      <c r="A1053" s="277" t="s">
        <v>109</v>
      </c>
      <c r="B1053" s="970" t="s">
        <v>485</v>
      </c>
      <c r="C1053" s="272" t="s">
        <v>200</v>
      </c>
      <c r="D1053" s="272"/>
      <c r="E1053" s="273">
        <v>0</v>
      </c>
      <c r="F1053" s="274"/>
      <c r="G1053" s="335">
        <f t="shared" ref="G1053:G1055" si="1342">+H1053+I1053</f>
        <v>0</v>
      </c>
      <c r="H1053" s="275"/>
      <c r="I1053" s="275"/>
      <c r="J1053" s="354" t="str">
        <f>IFERROR(G1053/#REF!,"-")</f>
        <v>-</v>
      </c>
      <c r="K1053" s="335">
        <f t="shared" ref="K1053:K1055" si="1343">+L1053+M1053</f>
        <v>0</v>
      </c>
      <c r="L1053" s="275">
        <f t="shared" ref="L1053:L1055" si="1344">+H1053+L947</f>
        <v>0</v>
      </c>
      <c r="M1053" s="276">
        <f t="shared" ref="M1053:M1055" si="1345">+I1053+M947</f>
        <v>0</v>
      </c>
      <c r="N1053" s="339" t="str">
        <f t="shared" si="1335"/>
        <v>-</v>
      </c>
      <c r="O1053" s="349" t="str">
        <f t="shared" si="1324"/>
        <v>-</v>
      </c>
    </row>
    <row r="1054" spans="1:15" ht="23.4" x14ac:dyDescent="0.3">
      <c r="A1054" s="277" t="s">
        <v>109</v>
      </c>
      <c r="B1054" s="972"/>
      <c r="C1054" s="278" t="s">
        <v>167</v>
      </c>
      <c r="D1054" s="278"/>
      <c r="E1054" s="279">
        <v>50000</v>
      </c>
      <c r="F1054" s="280"/>
      <c r="G1054" s="336">
        <f t="shared" si="1342"/>
        <v>6054</v>
      </c>
      <c r="H1054" s="281">
        <v>5760</v>
      </c>
      <c r="I1054" s="281">
        <v>294</v>
      </c>
      <c r="J1054" s="375" t="str">
        <f>IFERROR(G1054/#REF!,"-")</f>
        <v>-</v>
      </c>
      <c r="K1054" s="336">
        <f t="shared" si="1343"/>
        <v>111875</v>
      </c>
      <c r="L1054" s="794">
        <f t="shared" si="1344"/>
        <v>108816</v>
      </c>
      <c r="M1054" s="276">
        <f t="shared" si="1345"/>
        <v>3059</v>
      </c>
      <c r="N1054" s="364">
        <f t="shared" si="1335"/>
        <v>2.2374999999999998</v>
      </c>
      <c r="O1054" s="365">
        <f t="shared" si="1324"/>
        <v>2.7343016759776535E-2</v>
      </c>
    </row>
    <row r="1055" spans="1:15" ht="24" thickBot="1" x14ac:dyDescent="0.35">
      <c r="A1055" s="277" t="s">
        <v>109</v>
      </c>
      <c r="B1055" s="971"/>
      <c r="C1055" s="282" t="s">
        <v>200</v>
      </c>
      <c r="D1055" s="282"/>
      <c r="E1055" s="283">
        <v>0</v>
      </c>
      <c r="F1055" s="284"/>
      <c r="G1055" s="337">
        <f t="shared" si="1342"/>
        <v>0</v>
      </c>
      <c r="H1055" s="285"/>
      <c r="I1055" s="285"/>
      <c r="J1055" s="376" t="str">
        <f>IFERROR(G1055/#REF!,"-")</f>
        <v>-</v>
      </c>
      <c r="K1055" s="337">
        <f t="shared" si="1343"/>
        <v>0</v>
      </c>
      <c r="L1055" s="275">
        <f t="shared" si="1344"/>
        <v>0</v>
      </c>
      <c r="M1055" s="276">
        <f t="shared" si="1345"/>
        <v>0</v>
      </c>
      <c r="N1055" s="366" t="str">
        <f t="shared" si="1335"/>
        <v>-</v>
      </c>
      <c r="O1055" s="367" t="str">
        <f t="shared" si="1324"/>
        <v>-</v>
      </c>
    </row>
    <row r="1056" spans="1:15" ht="24" thickBot="1" x14ac:dyDescent="0.35">
      <c r="A1056" s="277" t="s">
        <v>109</v>
      </c>
      <c r="B1056" s="973" t="s">
        <v>44</v>
      </c>
      <c r="C1056" s="974"/>
      <c r="D1056" s="975"/>
      <c r="E1056" s="323">
        <f>SUM(E1053:E1055)</f>
        <v>50000</v>
      </c>
      <c r="F1056" s="288"/>
      <c r="G1056" s="323">
        <f>SUM(G1053:G1055)</f>
        <v>6054</v>
      </c>
      <c r="H1056" s="324">
        <f t="shared" ref="H1056:I1056" si="1346">SUM(H1053:H1055)</f>
        <v>5760</v>
      </c>
      <c r="I1056" s="324">
        <f t="shared" si="1346"/>
        <v>294</v>
      </c>
      <c r="J1056" s="348" t="str">
        <f>IFERROR(G1056/#REF!,"-")</f>
        <v>-</v>
      </c>
      <c r="K1056" s="323">
        <f t="shared" ref="K1056:M1056" si="1347">SUM(K1053:K1055)</f>
        <v>111875</v>
      </c>
      <c r="L1056" s="368">
        <f t="shared" si="1347"/>
        <v>108816</v>
      </c>
      <c r="M1056" s="370">
        <f t="shared" si="1347"/>
        <v>3059</v>
      </c>
      <c r="N1056" s="342">
        <f t="shared" si="1335"/>
        <v>2.2374999999999998</v>
      </c>
      <c r="O1056" s="348">
        <f t="shared" si="1324"/>
        <v>2.7343016759776535E-2</v>
      </c>
    </row>
    <row r="1057" spans="1:15" ht="23.4" x14ac:dyDescent="0.3">
      <c r="A1057" s="277" t="s">
        <v>109</v>
      </c>
      <c r="B1057" s="970" t="s">
        <v>45</v>
      </c>
      <c r="C1057" s="272" t="s">
        <v>168</v>
      </c>
      <c r="D1057" s="272"/>
      <c r="E1057" s="273">
        <v>0</v>
      </c>
      <c r="F1057" s="274"/>
      <c r="G1057" s="335">
        <f t="shared" ref="G1057:G1058" si="1348">+H1057+I1057</f>
        <v>0</v>
      </c>
      <c r="H1057" s="275"/>
      <c r="I1057" s="275"/>
      <c r="J1057" s="374" t="str">
        <f>IFERROR(G1057/#REF!,"-")</f>
        <v>-</v>
      </c>
      <c r="K1057" s="739">
        <f t="shared" ref="K1057:K1058" si="1349">+L1057+M1057</f>
        <v>0</v>
      </c>
      <c r="L1057" s="532">
        <f>+H1057+L951</f>
        <v>0</v>
      </c>
      <c r="M1057" s="247">
        <f>+I1057+M951</f>
        <v>0</v>
      </c>
      <c r="N1057" s="362" t="str">
        <f t="shared" si="1335"/>
        <v>-</v>
      </c>
      <c r="O1057" s="363" t="str">
        <f t="shared" si="1324"/>
        <v>-</v>
      </c>
    </row>
    <row r="1058" spans="1:15" ht="24" thickBot="1" x14ac:dyDescent="0.35">
      <c r="A1058" s="277" t="s">
        <v>109</v>
      </c>
      <c r="B1058" s="971"/>
      <c r="C1058" s="282" t="s">
        <v>169</v>
      </c>
      <c r="D1058" s="282"/>
      <c r="E1058" s="283">
        <v>0</v>
      </c>
      <c r="F1058" s="284"/>
      <c r="G1058" s="337">
        <f t="shared" si="1348"/>
        <v>0</v>
      </c>
      <c r="H1058" s="285"/>
      <c r="I1058" s="285"/>
      <c r="J1058" s="376" t="str">
        <f>IFERROR(G1058/#REF!,"-")</f>
        <v>-</v>
      </c>
      <c r="K1058" s="740">
        <f t="shared" si="1349"/>
        <v>0</v>
      </c>
      <c r="L1058" s="535">
        <f>+H1058+L952</f>
        <v>0</v>
      </c>
      <c r="M1058" s="258">
        <f>+I1058+M952</f>
        <v>0</v>
      </c>
      <c r="N1058" s="366" t="str">
        <f t="shared" si="1335"/>
        <v>-</v>
      </c>
      <c r="O1058" s="367" t="str">
        <f t="shared" si="1324"/>
        <v>-</v>
      </c>
    </row>
    <row r="1059" spans="1:15" ht="24" thickBot="1" x14ac:dyDescent="0.35">
      <c r="A1059" s="277" t="s">
        <v>109</v>
      </c>
      <c r="B1059" s="973" t="s">
        <v>46</v>
      </c>
      <c r="C1059" s="974"/>
      <c r="D1059" s="975"/>
      <c r="E1059" s="287">
        <v>0</v>
      </c>
      <c r="F1059" s="288">
        <v>25000</v>
      </c>
      <c r="G1059" s="323">
        <f>SUM(G1057:G1058)</f>
        <v>0</v>
      </c>
      <c r="H1059" s="324">
        <f t="shared" ref="H1059:I1059" si="1350">SUM(H1057:H1058)</f>
        <v>0</v>
      </c>
      <c r="I1059" s="324">
        <f t="shared" si="1350"/>
        <v>0</v>
      </c>
      <c r="J1059" s="348" t="str">
        <f>IFERROR(G1059/#REF!,"-")</f>
        <v>-</v>
      </c>
      <c r="K1059" s="323">
        <f t="shared" ref="K1059:M1059" si="1351">SUM(K1057:K1058)</f>
        <v>0</v>
      </c>
      <c r="L1059" s="524">
        <f t="shared" si="1351"/>
        <v>0</v>
      </c>
      <c r="M1059" s="733">
        <f t="shared" si="1351"/>
        <v>0</v>
      </c>
      <c r="N1059" s="342" t="str">
        <f t="shared" si="1335"/>
        <v>-</v>
      </c>
      <c r="O1059" s="348" t="str">
        <f t="shared" si="1324"/>
        <v>-</v>
      </c>
    </row>
    <row r="1060" spans="1:15" ht="24" thickBot="1" x14ac:dyDescent="0.35">
      <c r="A1060" s="277" t="s">
        <v>109</v>
      </c>
      <c r="B1060" s="959" t="s">
        <v>25</v>
      </c>
      <c r="C1060" s="960"/>
      <c r="D1060" s="961"/>
      <c r="E1060" s="329">
        <f t="shared" ref="E1060:F1060" si="1352">+E1038+E1043+E1046+E1052+E1056+E1059</f>
        <v>1144800</v>
      </c>
      <c r="F1060" s="330">
        <f t="shared" si="1352"/>
        <v>65800</v>
      </c>
      <c r="G1060" s="329">
        <f>+G1038+G1043+G1046+G1052+G1056+G1059</f>
        <v>21904</v>
      </c>
      <c r="H1060" s="327">
        <f>+H1038+H1043+H1046+H1052+H1056+H1059</f>
        <v>21240</v>
      </c>
      <c r="I1060" s="327">
        <f t="shared" ref="I1060" si="1353">+I1038+I1043+I1046+I1052+I1056+I1059</f>
        <v>664</v>
      </c>
      <c r="J1060" s="352" t="str">
        <f>IFERROR(G1060/#REF!,"-")</f>
        <v>-</v>
      </c>
      <c r="K1060" s="329">
        <f>+K1038+K1043+K1046+K1052+K1056+K1059</f>
        <v>328556</v>
      </c>
      <c r="L1060" s="327">
        <f t="shared" ref="L1060:M1060" si="1354">+L1038+L1043+L1046+L1052+L1056+L1059</f>
        <v>322252</v>
      </c>
      <c r="M1060" s="328">
        <f t="shared" si="1354"/>
        <v>6304</v>
      </c>
      <c r="N1060" s="344">
        <f t="shared" si="1335"/>
        <v>0.28699860237596087</v>
      </c>
      <c r="O1060" s="352">
        <f t="shared" si="1324"/>
        <v>1.918698791073668E-2</v>
      </c>
    </row>
    <row r="1061" spans="1:15" ht="24" thickBot="1" x14ac:dyDescent="0.35">
      <c r="A1061" s="321" t="s">
        <v>109</v>
      </c>
      <c r="B1061" s="962" t="s">
        <v>181</v>
      </c>
      <c r="C1061" s="962"/>
      <c r="D1061" s="963"/>
      <c r="E1061" s="333">
        <f>+E1060</f>
        <v>1144800</v>
      </c>
      <c r="F1061" s="334">
        <f t="shared" ref="F1061:O1061" si="1355">+F1060</f>
        <v>65800</v>
      </c>
      <c r="G1061" s="333">
        <f t="shared" si="1355"/>
        <v>21904</v>
      </c>
      <c r="H1061" s="331">
        <f t="shared" si="1355"/>
        <v>21240</v>
      </c>
      <c r="I1061" s="331">
        <f t="shared" si="1355"/>
        <v>664</v>
      </c>
      <c r="J1061" s="353" t="str">
        <f t="shared" si="1355"/>
        <v>-</v>
      </c>
      <c r="K1061" s="333">
        <f t="shared" si="1355"/>
        <v>328556</v>
      </c>
      <c r="L1061" s="331">
        <f t="shared" si="1355"/>
        <v>322252</v>
      </c>
      <c r="M1061" s="332">
        <f t="shared" si="1355"/>
        <v>6304</v>
      </c>
      <c r="N1061" s="345">
        <f t="shared" si="1355"/>
        <v>0.28699860237596087</v>
      </c>
      <c r="O1061" s="353">
        <f t="shared" si="1355"/>
        <v>1.918698791073668E-2</v>
      </c>
    </row>
    <row r="1062" spans="1:15" ht="24.6" thickBot="1" x14ac:dyDescent="0.35">
      <c r="A1062" s="322"/>
      <c r="B1062" s="964" t="s">
        <v>182</v>
      </c>
      <c r="C1062" s="965"/>
      <c r="D1062" s="966"/>
      <c r="E1062" s="377">
        <f>+E1005+E1034+E1061</f>
        <v>10258981</v>
      </c>
      <c r="F1062" s="377">
        <f>+F1005+F1034+F1061</f>
        <v>1014800</v>
      </c>
      <c r="G1062" s="377">
        <f>+G1005+G1034+G1061</f>
        <v>358457</v>
      </c>
      <c r="H1062" s="377">
        <f>+H1005+H1034+H1061</f>
        <v>366075</v>
      </c>
      <c r="I1062" s="377">
        <f>+I1005+I1034+I1061</f>
        <v>3470</v>
      </c>
      <c r="J1062" s="378" t="str">
        <f>IFERROR(G1062/#REF!,"-")</f>
        <v>-</v>
      </c>
      <c r="K1062" s="377">
        <f>+K1005+K1034+K1061</f>
        <v>3900489</v>
      </c>
      <c r="L1062" s="377">
        <f>+L1005+L1034+L1061</f>
        <v>3857611</v>
      </c>
      <c r="M1062" s="377">
        <f>+M1005+M1034+M1061</f>
        <v>42878</v>
      </c>
      <c r="N1062" s="378">
        <f>IFERROR(K1062/E1062,"-")</f>
        <v>0.38020238072377754</v>
      </c>
      <c r="O1062" s="378">
        <f>IFERROR(M1062/K1062,"-")</f>
        <v>1.099298062371154E-2</v>
      </c>
    </row>
    <row r="1063" spans="1:15" ht="23.4" x14ac:dyDescent="0.3">
      <c r="A1063" s="991" t="s">
        <v>1</v>
      </c>
      <c r="B1063" s="994" t="s">
        <v>2</v>
      </c>
      <c r="C1063" s="997" t="s">
        <v>477</v>
      </c>
      <c r="D1063" s="997" t="s">
        <v>478</v>
      </c>
      <c r="E1063" s="1000" t="s">
        <v>4</v>
      </c>
      <c r="F1063" s="1001"/>
      <c r="G1063" s="1001"/>
      <c r="H1063" s="1001"/>
      <c r="I1063" s="1001"/>
      <c r="J1063" s="1001"/>
      <c r="K1063" s="1001"/>
      <c r="L1063" s="1001"/>
      <c r="M1063" s="1001"/>
      <c r="N1063" s="1001"/>
      <c r="O1063" s="1002"/>
    </row>
    <row r="1064" spans="1:15" ht="23.4" x14ac:dyDescent="0.3">
      <c r="A1064" s="992"/>
      <c r="B1064" s="995"/>
      <c r="C1064" s="998"/>
      <c r="D1064" s="998"/>
      <c r="E1064" s="1003" t="s">
        <v>7</v>
      </c>
      <c r="F1064" s="1005" t="s">
        <v>115</v>
      </c>
      <c r="G1064" s="1007">
        <v>44545</v>
      </c>
      <c r="H1064" s="1008"/>
      <c r="I1064" s="1008"/>
      <c r="J1064" s="1009"/>
      <c r="K1064" s="1010" t="s">
        <v>479</v>
      </c>
      <c r="L1064" s="1011"/>
      <c r="M1064" s="1012"/>
      <c r="N1064" s="1013" t="s">
        <v>480</v>
      </c>
      <c r="O1064" s="1015" t="s">
        <v>172</v>
      </c>
    </row>
    <row r="1065" spans="1:15" ht="41.4" thickBot="1" x14ac:dyDescent="0.35">
      <c r="A1065" s="993"/>
      <c r="B1065" s="996"/>
      <c r="C1065" s="999"/>
      <c r="D1065" s="999"/>
      <c r="E1065" s="1004"/>
      <c r="F1065" s="1006"/>
      <c r="G1065" s="455" t="s">
        <v>13</v>
      </c>
      <c r="H1065" s="456" t="s">
        <v>14</v>
      </c>
      <c r="I1065" s="456" t="s">
        <v>15</v>
      </c>
      <c r="J1065" s="457" t="s">
        <v>174</v>
      </c>
      <c r="K1065" s="712" t="s">
        <v>13</v>
      </c>
      <c r="L1065" s="710" t="s">
        <v>14</v>
      </c>
      <c r="M1065" s="711" t="s">
        <v>15</v>
      </c>
      <c r="N1065" s="1014"/>
      <c r="O1065" s="1016"/>
    </row>
    <row r="1066" spans="1:15" ht="24" thickBot="1" x14ac:dyDescent="0.35">
      <c r="A1066" s="271" t="s">
        <v>110</v>
      </c>
      <c r="B1066" s="956" t="s">
        <v>16</v>
      </c>
      <c r="C1066" s="272" t="s">
        <v>424</v>
      </c>
      <c r="D1066" s="272" t="s">
        <v>425</v>
      </c>
      <c r="E1066" s="273">
        <v>20000</v>
      </c>
      <c r="F1066" s="274"/>
      <c r="G1066" s="335">
        <f>+H1066+I1066</f>
        <v>0</v>
      </c>
      <c r="H1066" s="275"/>
      <c r="I1066" s="275"/>
      <c r="J1066" s="354"/>
      <c r="K1066" s="461">
        <f>+L1066+M1066</f>
        <v>20432</v>
      </c>
      <c r="L1066" s="732">
        <f>+H1066+L960</f>
        <v>19840</v>
      </c>
      <c r="M1066" s="732">
        <f>+I1066+M960</f>
        <v>592</v>
      </c>
      <c r="N1066" s="339">
        <f>IFERROR(K1066/E1066,"-")</f>
        <v>1.0216000000000001</v>
      </c>
      <c r="O1066" s="346">
        <f t="shared" ref="O1066:O1067" si="1356">IFERROR(M1066/K1066,"-")</f>
        <v>2.8974158183241974E-2</v>
      </c>
    </row>
    <row r="1067" spans="1:15" ht="23.4" x14ac:dyDescent="0.3">
      <c r="A1067" s="277" t="s">
        <v>110</v>
      </c>
      <c r="B1067" s="957"/>
      <c r="C1067" s="278" t="s">
        <v>438</v>
      </c>
      <c r="D1067" s="278" t="s">
        <v>437</v>
      </c>
      <c r="E1067" s="279">
        <v>50000</v>
      </c>
      <c r="F1067" s="280"/>
      <c r="G1067" s="336">
        <f t="shared" ref="G1067:G1069" si="1357">+H1067+I1067</f>
        <v>0</v>
      </c>
      <c r="H1067" s="281"/>
      <c r="I1067" s="281"/>
      <c r="J1067" s="355" t="str">
        <f>IFERROR(G1067/#REF!,"-")</f>
        <v>-</v>
      </c>
      <c r="K1067" s="734">
        <f t="shared" ref="K1067:K1069" si="1358">+L1067+M1067</f>
        <v>48806</v>
      </c>
      <c r="L1067" s="532">
        <f t="shared" ref="L1067:L1069" si="1359">+H1067+L961</f>
        <v>48381</v>
      </c>
      <c r="M1067" s="463">
        <f t="shared" ref="M1067:M1069" si="1360">+I1067+M961</f>
        <v>425</v>
      </c>
      <c r="N1067" s="340">
        <f t="shared" ref="N1067:N1069" si="1361">IFERROR(K1067/E1067,"-")</f>
        <v>0.97611999999999999</v>
      </c>
      <c r="O1067" s="268">
        <f t="shared" si="1356"/>
        <v>8.7079457443756912E-3</v>
      </c>
    </row>
    <row r="1068" spans="1:15" ht="23.4" x14ac:dyDescent="0.3">
      <c r="A1068" s="277" t="s">
        <v>110</v>
      </c>
      <c r="B1068" s="957"/>
      <c r="C1068" s="278" t="s">
        <v>186</v>
      </c>
      <c r="D1068" s="278" t="s">
        <v>184</v>
      </c>
      <c r="E1068" s="279">
        <v>0</v>
      </c>
      <c r="F1068" s="280"/>
      <c r="G1068" s="336">
        <f t="shared" si="1357"/>
        <v>0</v>
      </c>
      <c r="H1068" s="281"/>
      <c r="I1068" s="281"/>
      <c r="J1068" s="355" t="str">
        <f>IFERROR(G1068/#REF!,"-")</f>
        <v>-</v>
      </c>
      <c r="K1068" s="734">
        <f t="shared" si="1358"/>
        <v>0</v>
      </c>
      <c r="L1068" s="279">
        <f t="shared" si="1359"/>
        <v>0</v>
      </c>
      <c r="M1068" s="439">
        <f t="shared" si="1360"/>
        <v>0</v>
      </c>
      <c r="N1068" s="340" t="str">
        <f t="shared" si="1361"/>
        <v>-</v>
      </c>
      <c r="O1068" s="268" t="str">
        <f>IFERROR(M1068/K1068,"-")</f>
        <v>-</v>
      </c>
    </row>
    <row r="1069" spans="1:15" ht="24" thickBot="1" x14ac:dyDescent="0.35">
      <c r="A1069" s="277" t="s">
        <v>110</v>
      </c>
      <c r="B1069" s="958"/>
      <c r="C1069" s="282" t="s">
        <v>250</v>
      </c>
      <c r="D1069" s="282" t="s">
        <v>436</v>
      </c>
      <c r="E1069" s="283">
        <v>30000</v>
      </c>
      <c r="F1069" s="284"/>
      <c r="G1069" s="337">
        <f t="shared" si="1357"/>
        <v>0</v>
      </c>
      <c r="H1069" s="285"/>
      <c r="I1069" s="285"/>
      <c r="J1069" s="356" t="str">
        <f>IFERROR(G1069/#REF!,"-")</f>
        <v>-</v>
      </c>
      <c r="K1069" s="735">
        <f t="shared" si="1358"/>
        <v>0</v>
      </c>
      <c r="L1069" s="535">
        <f t="shared" si="1359"/>
        <v>0</v>
      </c>
      <c r="M1069" s="466">
        <f t="shared" si="1360"/>
        <v>0</v>
      </c>
      <c r="N1069" s="341">
        <f t="shared" si="1361"/>
        <v>0</v>
      </c>
      <c r="O1069" s="347" t="str">
        <f t="shared" ref="O1069:O1087" si="1362">IFERROR(M1069/K1069,"-")</f>
        <v>-</v>
      </c>
    </row>
    <row r="1070" spans="1:15" ht="24" thickBot="1" x14ac:dyDescent="0.35">
      <c r="A1070" s="277" t="s">
        <v>110</v>
      </c>
      <c r="B1070" s="967" t="s">
        <v>47</v>
      </c>
      <c r="C1070" s="968"/>
      <c r="D1070" s="969"/>
      <c r="E1070" s="323">
        <f>SUM(E1066:E1069)</f>
        <v>100000</v>
      </c>
      <c r="F1070" s="288">
        <v>15000</v>
      </c>
      <c r="G1070" s="323">
        <f>SUM(G1066:G1069)</f>
        <v>0</v>
      </c>
      <c r="H1070" s="324">
        <f t="shared" ref="H1070:I1070" si="1363">SUM(H1066:H1069)</f>
        <v>0</v>
      </c>
      <c r="I1070" s="324">
        <f t="shared" si="1363"/>
        <v>0</v>
      </c>
      <c r="J1070" s="348">
        <f>+G1070/F1070</f>
        <v>0</v>
      </c>
      <c r="K1070" s="323">
        <f t="shared" ref="K1070:M1070" si="1364">SUM(K1066:K1069)</f>
        <v>69238</v>
      </c>
      <c r="L1070" s="736">
        <f t="shared" si="1364"/>
        <v>68221</v>
      </c>
      <c r="M1070" s="737">
        <f t="shared" si="1364"/>
        <v>1017</v>
      </c>
      <c r="N1070" s="342">
        <f>IFERROR(K1070/E1070,"-")</f>
        <v>0.69238</v>
      </c>
      <c r="O1070" s="348">
        <f t="shared" si="1362"/>
        <v>1.4688465871342326E-2</v>
      </c>
    </row>
    <row r="1071" spans="1:15" ht="23.4" x14ac:dyDescent="0.3">
      <c r="A1071" s="277" t="s">
        <v>110</v>
      </c>
      <c r="B1071" s="956" t="s">
        <v>17</v>
      </c>
      <c r="C1071" s="272" t="s">
        <v>320</v>
      </c>
      <c r="D1071" s="272"/>
      <c r="E1071" s="273">
        <v>0</v>
      </c>
      <c r="F1071" s="274"/>
      <c r="G1071" s="335">
        <f t="shared" ref="G1071:G1077" si="1365">+H1071+I1071</f>
        <v>0</v>
      </c>
      <c r="H1071" s="275"/>
      <c r="I1071" s="275"/>
      <c r="J1071" s="354" t="str">
        <f>IFERROR(G1071/#REF!,"-")</f>
        <v>-</v>
      </c>
      <c r="K1071" s="738">
        <f t="shared" ref="K1071:K1077" si="1366">+L1071+M1071</f>
        <v>0</v>
      </c>
      <c r="L1071" s="532">
        <f t="shared" ref="L1071:L1077" si="1367">+H1071+L965</f>
        <v>0</v>
      </c>
      <c r="M1071" s="463">
        <f t="shared" ref="M1071:M1077" si="1368">+I1071+M965</f>
        <v>0</v>
      </c>
      <c r="N1071" s="339" t="str">
        <f t="shared" ref="N1071:N1077" si="1369">IFERROR(K1071/E1071,"-")</f>
        <v>-</v>
      </c>
      <c r="O1071" s="349" t="str">
        <f t="shared" si="1362"/>
        <v>-</v>
      </c>
    </row>
    <row r="1072" spans="1:15" ht="23.4" x14ac:dyDescent="0.3">
      <c r="A1072" s="277" t="s">
        <v>110</v>
      </c>
      <c r="B1072" s="957"/>
      <c r="C1072" s="278" t="s">
        <v>382</v>
      </c>
      <c r="D1072" s="278" t="s">
        <v>252</v>
      </c>
      <c r="E1072" s="279">
        <v>2000000</v>
      </c>
      <c r="F1072" s="280"/>
      <c r="G1072" s="336">
        <f t="shared" si="1365"/>
        <v>6120</v>
      </c>
      <c r="H1072" s="281">
        <f>141+5979</f>
        <v>6120</v>
      </c>
      <c r="I1072" s="281"/>
      <c r="J1072" s="355" t="str">
        <f>IFERROR(G1072/#REF!,"-")</f>
        <v>-</v>
      </c>
      <c r="K1072" s="734">
        <f t="shared" si="1366"/>
        <v>605371</v>
      </c>
      <c r="L1072" s="279">
        <f t="shared" si="1367"/>
        <v>602743</v>
      </c>
      <c r="M1072" s="439">
        <f t="shared" si="1368"/>
        <v>2628</v>
      </c>
      <c r="N1072" s="340">
        <f t="shared" si="1369"/>
        <v>0.3026855</v>
      </c>
      <c r="O1072" s="264">
        <f t="shared" si="1362"/>
        <v>4.3411395656547799E-3</v>
      </c>
    </row>
    <row r="1073" spans="1:15" ht="23.4" x14ac:dyDescent="0.3">
      <c r="A1073" s="277" t="s">
        <v>110</v>
      </c>
      <c r="B1073" s="957"/>
      <c r="C1073" s="278" t="s">
        <v>422</v>
      </c>
      <c r="D1073" s="278" t="s">
        <v>201</v>
      </c>
      <c r="E1073" s="279">
        <v>1000000</v>
      </c>
      <c r="F1073" s="280"/>
      <c r="G1073" s="336">
        <f t="shared" si="1365"/>
        <v>0</v>
      </c>
      <c r="H1073" s="281"/>
      <c r="I1073" s="281"/>
      <c r="J1073" s="355" t="str">
        <f>IFERROR(G1073/#REF!,"-")</f>
        <v>-</v>
      </c>
      <c r="K1073" s="734">
        <f t="shared" si="1366"/>
        <v>453213</v>
      </c>
      <c r="L1073" s="279">
        <f t="shared" si="1367"/>
        <v>451656</v>
      </c>
      <c r="M1073" s="439">
        <f t="shared" si="1368"/>
        <v>1557</v>
      </c>
      <c r="N1073" s="340">
        <f t="shared" si="1369"/>
        <v>0.45321299999999998</v>
      </c>
      <c r="O1073" s="264">
        <f t="shared" si="1362"/>
        <v>3.435470738924082E-3</v>
      </c>
    </row>
    <row r="1074" spans="1:15" ht="23.4" x14ac:dyDescent="0.3">
      <c r="A1074" s="277" t="s">
        <v>110</v>
      </c>
      <c r="B1074" s="957"/>
      <c r="C1074" s="278" t="s">
        <v>319</v>
      </c>
      <c r="D1074" s="278" t="s">
        <v>202</v>
      </c>
      <c r="E1074" s="279">
        <v>0</v>
      </c>
      <c r="F1074" s="280"/>
      <c r="G1074" s="336">
        <f t="shared" si="1365"/>
        <v>0</v>
      </c>
      <c r="H1074" s="281"/>
      <c r="I1074" s="281"/>
      <c r="J1074" s="355" t="str">
        <f>IFERROR(G1074/#REF!,"-")</f>
        <v>-</v>
      </c>
      <c r="K1074" s="734">
        <f t="shared" si="1366"/>
        <v>0</v>
      </c>
      <c r="L1074" s="279">
        <f t="shared" si="1367"/>
        <v>0</v>
      </c>
      <c r="M1074" s="439">
        <f t="shared" si="1368"/>
        <v>0</v>
      </c>
      <c r="N1074" s="340" t="str">
        <f t="shared" si="1369"/>
        <v>-</v>
      </c>
      <c r="O1074" s="264" t="str">
        <f t="shared" si="1362"/>
        <v>-</v>
      </c>
    </row>
    <row r="1075" spans="1:15" ht="23.4" x14ac:dyDescent="0.3">
      <c r="A1075" s="277" t="s">
        <v>110</v>
      </c>
      <c r="B1075" s="957"/>
      <c r="C1075" s="278" t="s">
        <v>358</v>
      </c>
      <c r="D1075" s="278" t="s">
        <v>352</v>
      </c>
      <c r="E1075" s="279">
        <v>500000</v>
      </c>
      <c r="F1075" s="280"/>
      <c r="G1075" s="336">
        <f t="shared" si="1365"/>
        <v>142611</v>
      </c>
      <c r="H1075" s="281">
        <f>73440+67320</f>
        <v>140760</v>
      </c>
      <c r="I1075" s="281">
        <f>425+1426</f>
        <v>1851</v>
      </c>
      <c r="J1075" s="355" t="str">
        <f>IFERROR(G1075/#REF!,"-")</f>
        <v>-</v>
      </c>
      <c r="K1075" s="734">
        <f t="shared" si="1366"/>
        <v>387671</v>
      </c>
      <c r="L1075" s="279">
        <f t="shared" si="1367"/>
        <v>385560</v>
      </c>
      <c r="M1075" s="439">
        <f t="shared" si="1368"/>
        <v>2111</v>
      </c>
      <c r="N1075" s="340">
        <f t="shared" si="1369"/>
        <v>0.77534199999999998</v>
      </c>
      <c r="O1075" s="264">
        <f t="shared" si="1362"/>
        <v>5.4453389600976083E-3</v>
      </c>
    </row>
    <row r="1076" spans="1:15" ht="23.4" x14ac:dyDescent="0.3">
      <c r="A1076" s="277" t="s">
        <v>110</v>
      </c>
      <c r="B1076" s="957"/>
      <c r="C1076" s="278" t="s">
        <v>392</v>
      </c>
      <c r="D1076" s="278" t="s">
        <v>203</v>
      </c>
      <c r="E1076" s="279">
        <v>0</v>
      </c>
      <c r="F1076" s="280"/>
      <c r="G1076" s="336">
        <f t="shared" si="1365"/>
        <v>0</v>
      </c>
      <c r="H1076" s="281"/>
      <c r="I1076" s="281"/>
      <c r="J1076" s="355" t="str">
        <f>IFERROR(G1076/#REF!,"-")</f>
        <v>-</v>
      </c>
      <c r="K1076" s="734">
        <f t="shared" si="1366"/>
        <v>0</v>
      </c>
      <c r="L1076" s="279">
        <f t="shared" si="1367"/>
        <v>0</v>
      </c>
      <c r="M1076" s="439">
        <f t="shared" si="1368"/>
        <v>0</v>
      </c>
      <c r="N1076" s="340" t="str">
        <f t="shared" si="1369"/>
        <v>-</v>
      </c>
      <c r="O1076" s="264" t="str">
        <f t="shared" si="1362"/>
        <v>-</v>
      </c>
    </row>
    <row r="1077" spans="1:15" ht="24" thickBot="1" x14ac:dyDescent="0.35">
      <c r="A1077" s="277" t="s">
        <v>110</v>
      </c>
      <c r="B1077" s="958"/>
      <c r="C1077" s="282" t="s">
        <v>379</v>
      </c>
      <c r="D1077" s="282" t="s">
        <v>252</v>
      </c>
      <c r="E1077" s="283">
        <v>0</v>
      </c>
      <c r="F1077" s="284"/>
      <c r="G1077" s="337">
        <f t="shared" si="1365"/>
        <v>0</v>
      </c>
      <c r="H1077" s="285"/>
      <c r="I1077" s="285"/>
      <c r="J1077" s="356" t="str">
        <f>IFERROR(G1077/#REF!,"-")</f>
        <v>-</v>
      </c>
      <c r="K1077" s="735">
        <f t="shared" si="1366"/>
        <v>0</v>
      </c>
      <c r="L1077" s="535">
        <f t="shared" si="1367"/>
        <v>0</v>
      </c>
      <c r="M1077" s="466">
        <f t="shared" si="1368"/>
        <v>0</v>
      </c>
      <c r="N1077" s="341" t="str">
        <f t="shared" si="1369"/>
        <v>-</v>
      </c>
      <c r="O1077" s="350" t="str">
        <f t="shared" si="1362"/>
        <v>-</v>
      </c>
    </row>
    <row r="1078" spans="1:15" ht="24" thickBot="1" x14ac:dyDescent="0.35">
      <c r="A1078" s="277" t="s">
        <v>110</v>
      </c>
      <c r="B1078" s="967" t="s">
        <v>48</v>
      </c>
      <c r="C1078" s="968"/>
      <c r="D1078" s="969"/>
      <c r="E1078" s="323">
        <f>SUM(E1071:E1077)</f>
        <v>3500000</v>
      </c>
      <c r="F1078" s="288">
        <v>200000</v>
      </c>
      <c r="G1078" s="323">
        <f>SUM(G1071:G1077)</f>
        <v>148731</v>
      </c>
      <c r="H1078" s="324">
        <f t="shared" ref="H1078:I1078" si="1370">SUM(H1071:H1077)</f>
        <v>146880</v>
      </c>
      <c r="I1078" s="324">
        <f t="shared" si="1370"/>
        <v>1851</v>
      </c>
      <c r="J1078" s="348">
        <f>+G1078/F1078</f>
        <v>0.74365499999999995</v>
      </c>
      <c r="K1078" s="323">
        <f>SUM(K1071:K1077)</f>
        <v>1446255</v>
      </c>
      <c r="L1078" s="524">
        <f>SUM(L1071:L1077)</f>
        <v>1439959</v>
      </c>
      <c r="M1078" s="733">
        <f t="shared" ref="M1078" si="1371">SUM(M1071:M1077)</f>
        <v>6296</v>
      </c>
      <c r="N1078" s="342">
        <f>IFERROR(K1078/E1078,"-")</f>
        <v>0.4132157142857143</v>
      </c>
      <c r="O1078" s="348">
        <f t="shared" si="1362"/>
        <v>4.353312520959305E-3</v>
      </c>
    </row>
    <row r="1079" spans="1:15" ht="23.4" x14ac:dyDescent="0.3">
      <c r="A1079" s="277" t="s">
        <v>110</v>
      </c>
      <c r="B1079" s="956" t="s">
        <v>18</v>
      </c>
      <c r="C1079" s="272" t="s">
        <v>344</v>
      </c>
      <c r="D1079" s="272" t="s">
        <v>99</v>
      </c>
      <c r="E1079" s="273">
        <v>0</v>
      </c>
      <c r="F1079" s="274"/>
      <c r="G1079" s="335">
        <f t="shared" ref="G1079:G1085" si="1372">+H1079+I1079</f>
        <v>0</v>
      </c>
      <c r="H1079" s="275"/>
      <c r="I1079" s="275"/>
      <c r="J1079" s="354" t="str">
        <f>IFERROR(G1079/#REF!,"-")</f>
        <v>-</v>
      </c>
      <c r="K1079" s="335">
        <f t="shared" ref="K1079:K1085" si="1373">+L1079+M1079</f>
        <v>0</v>
      </c>
      <c r="L1079" s="275">
        <f t="shared" ref="L1079:L1085" si="1374">+H1079+L973</f>
        <v>0</v>
      </c>
      <c r="M1079" s="276">
        <f t="shared" ref="M1079:M1085" si="1375">+I1079+M973</f>
        <v>0</v>
      </c>
      <c r="N1079" s="339" t="str">
        <f t="shared" ref="N1079:N1086" si="1376">IFERROR(K1079/E1079,"-")</f>
        <v>-</v>
      </c>
      <c r="O1079" s="349" t="str">
        <f t="shared" si="1362"/>
        <v>-</v>
      </c>
    </row>
    <row r="1080" spans="1:15" ht="23.4" x14ac:dyDescent="0.3">
      <c r="A1080" s="277" t="s">
        <v>110</v>
      </c>
      <c r="B1080" s="957"/>
      <c r="C1080" s="278" t="s">
        <v>253</v>
      </c>
      <c r="D1080" s="278" t="s">
        <v>254</v>
      </c>
      <c r="E1080" s="279">
        <v>0</v>
      </c>
      <c r="F1080" s="280"/>
      <c r="G1080" s="336">
        <f t="shared" si="1372"/>
        <v>0</v>
      </c>
      <c r="H1080" s="281"/>
      <c r="I1080" s="281"/>
      <c r="J1080" s="355" t="str">
        <f>IFERROR(G1080/#REF!,"-")</f>
        <v>-</v>
      </c>
      <c r="K1080" s="336">
        <f t="shared" si="1373"/>
        <v>0</v>
      </c>
      <c r="L1080" s="275">
        <f t="shared" si="1374"/>
        <v>0</v>
      </c>
      <c r="M1080" s="276">
        <f t="shared" si="1375"/>
        <v>0</v>
      </c>
      <c r="N1080" s="340" t="str">
        <f t="shared" si="1376"/>
        <v>-</v>
      </c>
      <c r="O1080" s="264" t="str">
        <f t="shared" si="1362"/>
        <v>-</v>
      </c>
    </row>
    <row r="1081" spans="1:15" ht="23.4" x14ac:dyDescent="0.3">
      <c r="A1081" s="277" t="s">
        <v>110</v>
      </c>
      <c r="B1081" s="957"/>
      <c r="C1081" s="278" t="s">
        <v>122</v>
      </c>
      <c r="D1081" s="278"/>
      <c r="E1081" s="279">
        <v>0</v>
      </c>
      <c r="F1081" s="280"/>
      <c r="G1081" s="336">
        <f t="shared" si="1372"/>
        <v>0</v>
      </c>
      <c r="H1081" s="281"/>
      <c r="I1081" s="281"/>
      <c r="J1081" s="355" t="str">
        <f>IFERROR(G1081/#REF!,"-")</f>
        <v>-</v>
      </c>
      <c r="K1081" s="336">
        <f t="shared" si="1373"/>
        <v>0</v>
      </c>
      <c r="L1081" s="275">
        <f t="shared" si="1374"/>
        <v>0</v>
      </c>
      <c r="M1081" s="276">
        <f t="shared" si="1375"/>
        <v>0</v>
      </c>
      <c r="N1081" s="340" t="str">
        <f t="shared" si="1376"/>
        <v>-</v>
      </c>
      <c r="O1081" s="264" t="str">
        <f t="shared" si="1362"/>
        <v>-</v>
      </c>
    </row>
    <row r="1082" spans="1:15" ht="23.4" x14ac:dyDescent="0.3">
      <c r="A1082" s="277" t="s">
        <v>110</v>
      </c>
      <c r="B1082" s="957"/>
      <c r="C1082" s="278" t="s">
        <v>129</v>
      </c>
      <c r="D1082" s="278"/>
      <c r="E1082" s="279">
        <v>0</v>
      </c>
      <c r="F1082" s="280"/>
      <c r="G1082" s="336">
        <f t="shared" si="1372"/>
        <v>0</v>
      </c>
      <c r="H1082" s="281"/>
      <c r="I1082" s="281"/>
      <c r="J1082" s="355" t="str">
        <f>IFERROR(G1082/#REF!,"-")</f>
        <v>-</v>
      </c>
      <c r="K1082" s="336">
        <f t="shared" si="1373"/>
        <v>0</v>
      </c>
      <c r="L1082" s="275">
        <f t="shared" si="1374"/>
        <v>0</v>
      </c>
      <c r="M1082" s="276">
        <f t="shared" si="1375"/>
        <v>0</v>
      </c>
      <c r="N1082" s="340" t="str">
        <f t="shared" si="1376"/>
        <v>-</v>
      </c>
      <c r="O1082" s="264" t="str">
        <f t="shared" si="1362"/>
        <v>-</v>
      </c>
    </row>
    <row r="1083" spans="1:15" ht="23.4" x14ac:dyDescent="0.3">
      <c r="A1083" s="277" t="s">
        <v>110</v>
      </c>
      <c r="B1083" s="957"/>
      <c r="C1083" s="278" t="s">
        <v>189</v>
      </c>
      <c r="D1083" s="278" t="s">
        <v>190</v>
      </c>
      <c r="E1083" s="279">
        <v>0</v>
      </c>
      <c r="F1083" s="280"/>
      <c r="G1083" s="336">
        <f t="shared" si="1372"/>
        <v>0</v>
      </c>
      <c r="H1083" s="281"/>
      <c r="I1083" s="281"/>
      <c r="J1083" s="355" t="str">
        <f>IFERROR(G1083/#REF!,"-")</f>
        <v>-</v>
      </c>
      <c r="K1083" s="336">
        <f t="shared" si="1373"/>
        <v>0</v>
      </c>
      <c r="L1083" s="275">
        <f t="shared" si="1374"/>
        <v>0</v>
      </c>
      <c r="M1083" s="276">
        <f t="shared" si="1375"/>
        <v>0</v>
      </c>
      <c r="N1083" s="340" t="str">
        <f t="shared" si="1376"/>
        <v>-</v>
      </c>
      <c r="O1083" s="264" t="str">
        <f t="shared" si="1362"/>
        <v>-</v>
      </c>
    </row>
    <row r="1084" spans="1:15" ht="23.4" x14ac:dyDescent="0.3">
      <c r="A1084" s="277" t="s">
        <v>110</v>
      </c>
      <c r="B1084" s="957"/>
      <c r="C1084" s="278" t="s">
        <v>192</v>
      </c>
      <c r="D1084" s="278" t="s">
        <v>191</v>
      </c>
      <c r="E1084" s="279">
        <v>0</v>
      </c>
      <c r="F1084" s="280"/>
      <c r="G1084" s="336">
        <f t="shared" si="1372"/>
        <v>0</v>
      </c>
      <c r="H1084" s="281"/>
      <c r="I1084" s="281"/>
      <c r="J1084" s="355" t="str">
        <f>IFERROR(G1084/#REF!,"-")</f>
        <v>-</v>
      </c>
      <c r="K1084" s="336">
        <f t="shared" si="1373"/>
        <v>0</v>
      </c>
      <c r="L1084" s="275">
        <f t="shared" si="1374"/>
        <v>0</v>
      </c>
      <c r="M1084" s="276">
        <f t="shared" si="1375"/>
        <v>0</v>
      </c>
      <c r="N1084" s="340" t="str">
        <f t="shared" si="1376"/>
        <v>-</v>
      </c>
      <c r="O1084" s="264" t="str">
        <f t="shared" si="1362"/>
        <v>-</v>
      </c>
    </row>
    <row r="1085" spans="1:15" ht="24" thickBot="1" x14ac:dyDescent="0.35">
      <c r="A1085" s="277" t="s">
        <v>110</v>
      </c>
      <c r="B1085" s="958"/>
      <c r="C1085" s="289" t="s">
        <v>193</v>
      </c>
      <c r="D1085" s="289" t="s">
        <v>114</v>
      </c>
      <c r="E1085" s="283">
        <v>0</v>
      </c>
      <c r="F1085" s="284"/>
      <c r="G1085" s="337">
        <f t="shared" si="1372"/>
        <v>0</v>
      </c>
      <c r="H1085" s="285"/>
      <c r="I1085" s="285"/>
      <c r="J1085" s="356" t="str">
        <f>IFERROR(G1085/#REF!,"-")</f>
        <v>-</v>
      </c>
      <c r="K1085" s="337">
        <f t="shared" si="1373"/>
        <v>0</v>
      </c>
      <c r="L1085" s="275">
        <f t="shared" si="1374"/>
        <v>0</v>
      </c>
      <c r="M1085" s="276">
        <f t="shared" si="1375"/>
        <v>0</v>
      </c>
      <c r="N1085" s="341" t="str">
        <f t="shared" si="1376"/>
        <v>-</v>
      </c>
      <c r="O1085" s="350" t="str">
        <f t="shared" si="1362"/>
        <v>-</v>
      </c>
    </row>
    <row r="1086" spans="1:15" ht="24" thickBot="1" x14ac:dyDescent="0.35">
      <c r="A1086" s="277" t="s">
        <v>110</v>
      </c>
      <c r="B1086" s="967" t="s">
        <v>29</v>
      </c>
      <c r="C1086" s="968"/>
      <c r="D1086" s="969"/>
      <c r="E1086" s="323">
        <f t="shared" ref="E1086" si="1377">SUM(E1079:E1085)</f>
        <v>0</v>
      </c>
      <c r="F1086" s="288">
        <v>80000</v>
      </c>
      <c r="G1086" s="323">
        <f>SUM(G1079:G1085)</f>
        <v>0</v>
      </c>
      <c r="H1086" s="324">
        <f t="shared" ref="H1086:I1086" si="1378">SUM(H1079:H1085)</f>
        <v>0</v>
      </c>
      <c r="I1086" s="324">
        <f t="shared" si="1378"/>
        <v>0</v>
      </c>
      <c r="J1086" s="348">
        <f>+G1086/F1086</f>
        <v>0</v>
      </c>
      <c r="K1086" s="323">
        <f t="shared" ref="K1086:M1086" si="1379">SUM(K1079:K1085)</f>
        <v>0</v>
      </c>
      <c r="L1086" s="324">
        <f t="shared" si="1379"/>
        <v>0</v>
      </c>
      <c r="M1086" s="325">
        <f t="shared" si="1379"/>
        <v>0</v>
      </c>
      <c r="N1086" s="342" t="str">
        <f t="shared" si="1376"/>
        <v>-</v>
      </c>
      <c r="O1086" s="348" t="str">
        <f t="shared" si="1362"/>
        <v>-</v>
      </c>
    </row>
    <row r="1087" spans="1:15" ht="24" thickBot="1" x14ac:dyDescent="0.35">
      <c r="A1087" s="252" t="s">
        <v>110</v>
      </c>
      <c r="B1087" s="985" t="s">
        <v>19</v>
      </c>
      <c r="C1087" s="653" t="s">
        <v>255</v>
      </c>
      <c r="D1087" s="690" t="s">
        <v>190</v>
      </c>
      <c r="E1087" s="695">
        <v>0</v>
      </c>
      <c r="F1087" s="692">
        <v>110000</v>
      </c>
      <c r="G1087" s="656">
        <f t="shared" ref="G1087:G1089" si="1380">+H1087+I1087</f>
        <v>0</v>
      </c>
      <c r="H1087" s="462"/>
      <c r="I1087" s="462"/>
      <c r="J1087" s="536" t="str">
        <f>IFERROR(G1087/#REF!,"-")</f>
        <v>-</v>
      </c>
      <c r="K1087" s="461">
        <f>+L1087+M1087</f>
        <v>0</v>
      </c>
      <c r="L1087" s="462">
        <f t="shared" ref="L1087:L1089" si="1381">+H1087+L981</f>
        <v>0</v>
      </c>
      <c r="M1087" s="463">
        <f t="shared" ref="M1087:M1089" si="1382">+I1087+M981</f>
        <v>0</v>
      </c>
      <c r="N1087" s="658" t="str">
        <f>IFERROR(K1087/E1087,"-")</f>
        <v>-</v>
      </c>
      <c r="O1087" s="659" t="str">
        <f t="shared" si="1362"/>
        <v>-</v>
      </c>
    </row>
    <row r="1088" spans="1:15" ht="24" thickBot="1" x14ac:dyDescent="0.35">
      <c r="A1088" s="252"/>
      <c r="B1088" s="986"/>
      <c r="C1088" s="299" t="s">
        <v>440</v>
      </c>
      <c r="D1088" s="657" t="s">
        <v>515</v>
      </c>
      <c r="E1088" s="696">
        <v>1000000</v>
      </c>
      <c r="F1088" s="693">
        <v>110000</v>
      </c>
      <c r="G1088" s="652">
        <f t="shared" si="1380"/>
        <v>0</v>
      </c>
      <c r="H1088" s="275"/>
      <c r="I1088" s="275"/>
      <c r="J1088" s="354" t="str">
        <f>IFERROR(G1088/#REF!,"-")</f>
        <v>-</v>
      </c>
      <c r="K1088" s="338">
        <f>+L1088+M1088</f>
        <v>19773</v>
      </c>
      <c r="L1088" s="462">
        <f t="shared" si="1381"/>
        <v>19536</v>
      </c>
      <c r="M1088" s="463">
        <f t="shared" si="1382"/>
        <v>237</v>
      </c>
      <c r="N1088" s="343">
        <f t="shared" ref="N1088:N1089" si="1383">IFERROR(K1088/E1088,"-")</f>
        <v>1.9772999999999999E-2</v>
      </c>
      <c r="O1088" s="651">
        <f>IFERROR(M1088/K1088,"-")</f>
        <v>1.1986041571840389E-2</v>
      </c>
    </row>
    <row r="1089" spans="1:15" ht="24" thickBot="1" x14ac:dyDescent="0.35">
      <c r="A1089" s="252"/>
      <c r="B1089" s="987"/>
      <c r="C1089" s="647" t="s">
        <v>380</v>
      </c>
      <c r="D1089" s="691"/>
      <c r="E1089" s="697">
        <v>150000</v>
      </c>
      <c r="F1089" s="694">
        <v>110000</v>
      </c>
      <c r="G1089" s="599">
        <f t="shared" si="1380"/>
        <v>0</v>
      </c>
      <c r="H1089" s="285"/>
      <c r="I1089" s="285"/>
      <c r="J1089" s="356"/>
      <c r="K1089" s="464">
        <f>+L1089+M1089</f>
        <v>0</v>
      </c>
      <c r="L1089" s="462">
        <f t="shared" si="1381"/>
        <v>0</v>
      </c>
      <c r="M1089" s="463">
        <f t="shared" si="1382"/>
        <v>0</v>
      </c>
      <c r="N1089" s="341">
        <f t="shared" si="1383"/>
        <v>0</v>
      </c>
      <c r="O1089" s="648" t="str">
        <f t="shared" ref="O1089:O1139" si="1384">IFERROR(M1089/K1089,"-")</f>
        <v>-</v>
      </c>
    </row>
    <row r="1090" spans="1:15" ht="24" thickBot="1" x14ac:dyDescent="0.35">
      <c r="A1090" s="277" t="s">
        <v>110</v>
      </c>
      <c r="B1090" s="988" t="s">
        <v>49</v>
      </c>
      <c r="C1090" s="968"/>
      <c r="D1090" s="969"/>
      <c r="E1090" s="323">
        <f>SUM(E1087:E1089)</f>
        <v>1150000</v>
      </c>
      <c r="F1090" s="326">
        <f t="shared" ref="F1090" si="1385">SUM(F1087)</f>
        <v>110000</v>
      </c>
      <c r="G1090" s="323">
        <f>SUM(G1087)</f>
        <v>0</v>
      </c>
      <c r="H1090" s="324">
        <f>SUM(H1087:H1089)</f>
        <v>0</v>
      </c>
      <c r="I1090" s="324">
        <f>SUM(I1087:I1089)</f>
        <v>0</v>
      </c>
      <c r="J1090" s="348">
        <f>+G1090/F1090</f>
        <v>0</v>
      </c>
      <c r="K1090" s="649">
        <f>SUM(K1087:K1088)</f>
        <v>19773</v>
      </c>
      <c r="L1090" s="324">
        <f>SUM(L1087:L1088)</f>
        <v>19536</v>
      </c>
      <c r="M1090" s="325">
        <f>SUM(M1087:M1088)</f>
        <v>237</v>
      </c>
      <c r="N1090" s="342">
        <f>IFERROR(K1090/E1090,"-")</f>
        <v>1.7193913043478261E-2</v>
      </c>
      <c r="O1090" s="348">
        <f t="shared" si="1384"/>
        <v>1.1986041571840389E-2</v>
      </c>
    </row>
    <row r="1091" spans="1:15" ht="23.4" x14ac:dyDescent="0.3">
      <c r="A1091" s="277" t="s">
        <v>110</v>
      </c>
      <c r="B1091" s="956" t="s">
        <v>20</v>
      </c>
      <c r="C1091" s="294" t="s">
        <v>351</v>
      </c>
      <c r="D1091" s="294" t="s">
        <v>313</v>
      </c>
      <c r="E1091" s="273">
        <v>0</v>
      </c>
      <c r="F1091" s="274"/>
      <c r="G1091" s="335">
        <f t="shared" ref="G1091:G1093" si="1386">+H1091+I1091</f>
        <v>0</v>
      </c>
      <c r="H1091" s="275"/>
      <c r="I1091" s="275"/>
      <c r="J1091" s="354" t="str">
        <f>IFERROR(G1091/#REF!,"-")</f>
        <v>-</v>
      </c>
      <c r="K1091" s="335">
        <f t="shared" ref="K1091:K1093" si="1387">+L1091+M1091</f>
        <v>0</v>
      </c>
      <c r="L1091" s="275">
        <f t="shared" ref="L1091:L1093" si="1388">+H1091+L985</f>
        <v>0</v>
      </c>
      <c r="M1091" s="276">
        <f t="shared" ref="M1091:M1093" si="1389">+I1091+M985</f>
        <v>0</v>
      </c>
      <c r="N1091" s="339" t="str">
        <f t="shared" ref="N1091:N1094" si="1390">IFERROR(K1091/E1091,"-")</f>
        <v>-</v>
      </c>
      <c r="O1091" s="349" t="str">
        <f t="shared" si="1384"/>
        <v>-</v>
      </c>
    </row>
    <row r="1092" spans="1:15" ht="23.4" x14ac:dyDescent="0.3">
      <c r="A1092" s="277" t="s">
        <v>110</v>
      </c>
      <c r="B1092" s="957"/>
      <c r="C1092" s="295" t="s">
        <v>121</v>
      </c>
      <c r="D1092" s="295"/>
      <c r="E1092" s="279">
        <v>0</v>
      </c>
      <c r="F1092" s="280"/>
      <c r="G1092" s="336">
        <f t="shared" si="1386"/>
        <v>0</v>
      </c>
      <c r="H1092" s="281"/>
      <c r="I1092" s="281"/>
      <c r="J1092" s="355" t="str">
        <f>IFERROR(G1092/#REF!,"-")</f>
        <v>-</v>
      </c>
      <c r="K1092" s="336">
        <f t="shared" si="1387"/>
        <v>0</v>
      </c>
      <c r="L1092" s="275">
        <f t="shared" si="1388"/>
        <v>0</v>
      </c>
      <c r="M1092" s="276">
        <f t="shared" si="1389"/>
        <v>0</v>
      </c>
      <c r="N1092" s="340" t="str">
        <f t="shared" si="1390"/>
        <v>-</v>
      </c>
      <c r="O1092" s="264" t="str">
        <f t="shared" si="1384"/>
        <v>-</v>
      </c>
    </row>
    <row r="1093" spans="1:15" ht="24" thickBot="1" x14ac:dyDescent="0.35">
      <c r="A1093" s="277" t="s">
        <v>110</v>
      </c>
      <c r="B1093" s="958"/>
      <c r="C1093" s="296" t="s">
        <v>127</v>
      </c>
      <c r="D1093" s="296"/>
      <c r="E1093" s="283">
        <v>0</v>
      </c>
      <c r="F1093" s="284"/>
      <c r="G1093" s="337">
        <f t="shared" si="1386"/>
        <v>0</v>
      </c>
      <c r="H1093" s="285"/>
      <c r="I1093" s="285"/>
      <c r="J1093" s="356" t="str">
        <f>IFERROR(G1093/#REF!,"-")</f>
        <v>-</v>
      </c>
      <c r="K1093" s="337">
        <f t="shared" si="1387"/>
        <v>0</v>
      </c>
      <c r="L1093" s="275">
        <f t="shared" si="1388"/>
        <v>0</v>
      </c>
      <c r="M1093" s="276">
        <f t="shared" si="1389"/>
        <v>0</v>
      </c>
      <c r="N1093" s="341" t="str">
        <f t="shared" si="1390"/>
        <v>-</v>
      </c>
      <c r="O1093" s="350" t="str">
        <f t="shared" si="1384"/>
        <v>-</v>
      </c>
    </row>
    <row r="1094" spans="1:15" ht="24" thickBot="1" x14ac:dyDescent="0.35">
      <c r="A1094" s="277" t="s">
        <v>110</v>
      </c>
      <c r="B1094" s="968" t="s">
        <v>50</v>
      </c>
      <c r="C1094" s="968"/>
      <c r="D1094" s="989"/>
      <c r="E1094" s="323">
        <f t="shared" ref="E1094" si="1391">SUM(E1091:E1093)</f>
        <v>0</v>
      </c>
      <c r="F1094" s="288">
        <v>50000</v>
      </c>
      <c r="G1094" s="323">
        <f>SUM(G1091:G1093)</f>
        <v>0</v>
      </c>
      <c r="H1094" s="324">
        <f t="shared" ref="H1094:I1094" si="1392">SUM(H1091:H1093)</f>
        <v>0</v>
      </c>
      <c r="I1094" s="324">
        <f t="shared" si="1392"/>
        <v>0</v>
      </c>
      <c r="J1094" s="348">
        <f>+G1094/F1094</f>
        <v>0</v>
      </c>
      <c r="K1094" s="323">
        <f t="shared" ref="K1094:M1094" si="1393">SUM(K1091:K1093)</f>
        <v>0</v>
      </c>
      <c r="L1094" s="324">
        <f t="shared" si="1393"/>
        <v>0</v>
      </c>
      <c r="M1094" s="325">
        <f t="shared" si="1393"/>
        <v>0</v>
      </c>
      <c r="N1094" s="342" t="str">
        <f t="shared" si="1390"/>
        <v>-</v>
      </c>
      <c r="O1094" s="348" t="str">
        <f t="shared" si="1384"/>
        <v>-</v>
      </c>
    </row>
    <row r="1095" spans="1:15" ht="24" thickBot="1" x14ac:dyDescent="0.35">
      <c r="A1095" s="277" t="s">
        <v>110</v>
      </c>
      <c r="B1095" s="981" t="s">
        <v>21</v>
      </c>
      <c r="C1095" s="982"/>
      <c r="D1095" s="983"/>
      <c r="E1095" s="329">
        <f>+E1070+E1078+E1086+E1090+E1094</f>
        <v>4750000</v>
      </c>
      <c r="F1095" s="330">
        <f>+F1070+F1078+F1086+F1090+F1094</f>
        <v>455000</v>
      </c>
      <c r="G1095" s="329">
        <f>+G1070+G1078+G1086+G1090+G1094</f>
        <v>148731</v>
      </c>
      <c r="H1095" s="327">
        <f>+H1070+H1078+H1086+H1090+H1094</f>
        <v>146880</v>
      </c>
      <c r="I1095" s="327">
        <f>+I1070+I1078+I1086+I1090+I1094</f>
        <v>1851</v>
      </c>
      <c r="J1095" s="352">
        <f>+G1095/F1095</f>
        <v>0.3268813186813187</v>
      </c>
      <c r="K1095" s="329">
        <f>+K1070+K1078+K1086+K1090+K1094</f>
        <v>1535266</v>
      </c>
      <c r="L1095" s="327">
        <f>+L1070+L1078+L1086+L1090+L1094</f>
        <v>1527716</v>
      </c>
      <c r="M1095" s="328">
        <f>+M1070+M1078+M1086+M1090+M1094</f>
        <v>7550</v>
      </c>
      <c r="N1095" s="344">
        <f>IFERROR(K1095/E1095,"-")</f>
        <v>0.32321389473684209</v>
      </c>
      <c r="O1095" s="352">
        <f t="shared" si="1384"/>
        <v>4.9177145849644294E-3</v>
      </c>
    </row>
    <row r="1096" spans="1:15" ht="23.4" x14ac:dyDescent="0.3">
      <c r="A1096" s="277" t="s">
        <v>110</v>
      </c>
      <c r="B1096" s="956" t="s">
        <v>481</v>
      </c>
      <c r="C1096" s="272" t="s">
        <v>132</v>
      </c>
      <c r="D1096" s="272"/>
      <c r="E1096" s="273">
        <v>0</v>
      </c>
      <c r="F1096" s="274"/>
      <c r="G1096" s="335">
        <f t="shared" ref="G1096:G1099" si="1394">+H1096+I1096</f>
        <v>0</v>
      </c>
      <c r="H1096" s="275"/>
      <c r="I1096" s="275"/>
      <c r="J1096" s="354" t="str">
        <f>IFERROR(G1096/#REF!,"-")</f>
        <v>-</v>
      </c>
      <c r="K1096" s="335">
        <f t="shared" ref="K1096:K1099" si="1395">+L1096+M1096</f>
        <v>0</v>
      </c>
      <c r="L1096" s="275">
        <f t="shared" ref="L1096:L1099" si="1396">+H1096+L990</f>
        <v>0</v>
      </c>
      <c r="M1096" s="276">
        <f t="shared" ref="M1096:M1099" si="1397">+I1096+M990</f>
        <v>0</v>
      </c>
      <c r="N1096" s="339" t="str">
        <f t="shared" ref="N1096:N1110" si="1398">IFERROR(K1096/E1096,"-")</f>
        <v>-</v>
      </c>
      <c r="O1096" s="349" t="str">
        <f t="shared" si="1384"/>
        <v>-</v>
      </c>
    </row>
    <row r="1097" spans="1:15" ht="23.4" x14ac:dyDescent="0.3">
      <c r="A1097" s="277" t="s">
        <v>110</v>
      </c>
      <c r="B1097" s="957"/>
      <c r="C1097" s="298" t="s">
        <v>283</v>
      </c>
      <c r="D1097" s="298" t="s">
        <v>194</v>
      </c>
      <c r="E1097" s="279">
        <v>0</v>
      </c>
      <c r="F1097" s="280"/>
      <c r="G1097" s="336">
        <f t="shared" si="1394"/>
        <v>0</v>
      </c>
      <c r="H1097" s="281"/>
      <c r="I1097" s="281"/>
      <c r="J1097" s="355" t="str">
        <f>IFERROR(G1097/#REF!,"-")</f>
        <v>-</v>
      </c>
      <c r="K1097" s="336">
        <f t="shared" si="1395"/>
        <v>0</v>
      </c>
      <c r="L1097" s="275">
        <f t="shared" si="1396"/>
        <v>0</v>
      </c>
      <c r="M1097" s="276">
        <f t="shared" si="1397"/>
        <v>0</v>
      </c>
      <c r="N1097" s="340" t="str">
        <f t="shared" si="1398"/>
        <v>-</v>
      </c>
      <c r="O1097" s="264" t="str">
        <f t="shared" si="1384"/>
        <v>-</v>
      </c>
    </row>
    <row r="1098" spans="1:15" ht="23.4" x14ac:dyDescent="0.3">
      <c r="A1098" s="277" t="s">
        <v>110</v>
      </c>
      <c r="B1098" s="957"/>
      <c r="C1098" s="298" t="s">
        <v>405</v>
      </c>
      <c r="D1098" s="298" t="s">
        <v>194</v>
      </c>
      <c r="E1098" s="279">
        <v>1000000</v>
      </c>
      <c r="F1098" s="280"/>
      <c r="G1098" s="336">
        <f t="shared" si="1394"/>
        <v>6320</v>
      </c>
      <c r="H1098" s="281">
        <v>5940</v>
      </c>
      <c r="I1098" s="281">
        <v>380</v>
      </c>
      <c r="J1098" s="355" t="str">
        <f>IFERROR(G1098/#REF!,"-")</f>
        <v>-</v>
      </c>
      <c r="K1098" s="336">
        <f t="shared" si="1395"/>
        <v>348418</v>
      </c>
      <c r="L1098" s="275">
        <f t="shared" si="1396"/>
        <v>346500</v>
      </c>
      <c r="M1098" s="276">
        <f t="shared" si="1397"/>
        <v>1918</v>
      </c>
      <c r="N1098" s="340">
        <f t="shared" si="1398"/>
        <v>0.34841800000000001</v>
      </c>
      <c r="O1098" s="264">
        <f t="shared" si="1384"/>
        <v>5.5048820669425808E-3</v>
      </c>
    </row>
    <row r="1099" spans="1:15" ht="24" thickBot="1" x14ac:dyDescent="0.35">
      <c r="A1099" s="277" t="s">
        <v>110</v>
      </c>
      <c r="B1099" s="958"/>
      <c r="C1099" s="282" t="s">
        <v>195</v>
      </c>
      <c r="D1099" s="282" t="s">
        <v>100</v>
      </c>
      <c r="E1099" s="283">
        <v>0</v>
      </c>
      <c r="F1099" s="284"/>
      <c r="G1099" s="337">
        <f t="shared" si="1394"/>
        <v>0</v>
      </c>
      <c r="H1099" s="285"/>
      <c r="I1099" s="285"/>
      <c r="J1099" s="356" t="str">
        <f>IFERROR(G1099/#REF!,"-")</f>
        <v>-</v>
      </c>
      <c r="K1099" s="337">
        <f t="shared" si="1395"/>
        <v>0</v>
      </c>
      <c r="L1099" s="275">
        <f t="shared" si="1396"/>
        <v>0</v>
      </c>
      <c r="M1099" s="276">
        <f t="shared" si="1397"/>
        <v>0</v>
      </c>
      <c r="N1099" s="341" t="str">
        <f t="shared" si="1398"/>
        <v>-</v>
      </c>
      <c r="O1099" s="350" t="str">
        <f t="shared" si="1384"/>
        <v>-</v>
      </c>
    </row>
    <row r="1100" spans="1:15" ht="24" thickBot="1" x14ac:dyDescent="0.35">
      <c r="A1100" s="277" t="s">
        <v>110</v>
      </c>
      <c r="B1100" s="967" t="s">
        <v>51</v>
      </c>
      <c r="C1100" s="968"/>
      <c r="D1100" s="969"/>
      <c r="E1100" s="287">
        <f>SUM(E1096:E1099)</f>
        <v>1000000</v>
      </c>
      <c r="F1100" s="288">
        <v>80000</v>
      </c>
      <c r="G1100" s="323">
        <f>SUM(G1096:G1099)</f>
        <v>6320</v>
      </c>
      <c r="H1100" s="324">
        <f t="shared" ref="H1100:I1100" si="1399">SUM(H1096:H1099)</f>
        <v>5940</v>
      </c>
      <c r="I1100" s="324">
        <f t="shared" si="1399"/>
        <v>380</v>
      </c>
      <c r="J1100" s="348">
        <f>+G1100/F1100</f>
        <v>7.9000000000000001E-2</v>
      </c>
      <c r="K1100" s="323">
        <f t="shared" ref="K1100:M1100" si="1400">SUM(K1096:K1099)</f>
        <v>348418</v>
      </c>
      <c r="L1100" s="324">
        <f t="shared" si="1400"/>
        <v>346500</v>
      </c>
      <c r="M1100" s="325">
        <f t="shared" si="1400"/>
        <v>1918</v>
      </c>
      <c r="N1100" s="342">
        <f t="shared" si="1398"/>
        <v>0.34841800000000001</v>
      </c>
      <c r="O1100" s="348">
        <f t="shared" si="1384"/>
        <v>5.5048820669425808E-3</v>
      </c>
    </row>
    <row r="1101" spans="1:15" ht="23.4" x14ac:dyDescent="0.3">
      <c r="A1101" s="277" t="s">
        <v>110</v>
      </c>
      <c r="B1101" s="956" t="s">
        <v>23</v>
      </c>
      <c r="C1101" s="299" t="s">
        <v>337</v>
      </c>
      <c r="D1101" s="299" t="s">
        <v>258</v>
      </c>
      <c r="E1101" s="273">
        <f>25000+10875+6000</f>
        <v>41875</v>
      </c>
      <c r="F1101" s="274"/>
      <c r="G1101" s="335">
        <f t="shared" ref="G1101:G1108" si="1401">+H1101+I1101</f>
        <v>0</v>
      </c>
      <c r="H1101" s="275"/>
      <c r="I1101" s="275"/>
      <c r="J1101" s="354" t="str">
        <f>IFERROR(G1101/#REF!,"-")</f>
        <v>-</v>
      </c>
      <c r="K1101" s="335">
        <f t="shared" ref="K1101:K1108" si="1402">+L1101+M1101</f>
        <v>0</v>
      </c>
      <c r="L1101" s="275">
        <f t="shared" ref="L1101:L1108" si="1403">+H1101+L995</f>
        <v>0</v>
      </c>
      <c r="M1101" s="276">
        <f t="shared" ref="M1101:M1108" si="1404">+I1101+M995</f>
        <v>0</v>
      </c>
      <c r="N1101" s="339">
        <f t="shared" si="1398"/>
        <v>0</v>
      </c>
      <c r="O1101" s="349" t="str">
        <f t="shared" si="1384"/>
        <v>-</v>
      </c>
    </row>
    <row r="1102" spans="1:15" ht="23.4" x14ac:dyDescent="0.3">
      <c r="A1102" s="277" t="s">
        <v>110</v>
      </c>
      <c r="B1102" s="957"/>
      <c r="C1102" s="278" t="s">
        <v>24</v>
      </c>
      <c r="D1102" s="278" t="s">
        <v>258</v>
      </c>
      <c r="E1102" s="279">
        <v>97500</v>
      </c>
      <c r="F1102" s="280"/>
      <c r="G1102" s="336">
        <f t="shared" si="1401"/>
        <v>0</v>
      </c>
      <c r="H1102" s="281"/>
      <c r="I1102" s="281"/>
      <c r="J1102" s="355" t="str">
        <f>IFERROR(G1102/#REF!,"-")</f>
        <v>-</v>
      </c>
      <c r="K1102" s="336">
        <f t="shared" si="1402"/>
        <v>0</v>
      </c>
      <c r="L1102" s="275">
        <f t="shared" si="1403"/>
        <v>0</v>
      </c>
      <c r="M1102" s="276">
        <f t="shared" si="1404"/>
        <v>0</v>
      </c>
      <c r="N1102" s="340">
        <f t="shared" si="1398"/>
        <v>0</v>
      </c>
      <c r="O1102" s="264" t="str">
        <f t="shared" si="1384"/>
        <v>-</v>
      </c>
    </row>
    <row r="1103" spans="1:15" ht="23.4" x14ac:dyDescent="0.3">
      <c r="A1103" s="277" t="s">
        <v>110</v>
      </c>
      <c r="B1103" s="957"/>
      <c r="C1103" s="278" t="s">
        <v>256</v>
      </c>
      <c r="D1103" s="278" t="s">
        <v>258</v>
      </c>
      <c r="E1103" s="279">
        <v>17750</v>
      </c>
      <c r="F1103" s="280"/>
      <c r="G1103" s="336">
        <f t="shared" si="1401"/>
        <v>3500</v>
      </c>
      <c r="H1103" s="281">
        <v>3500</v>
      </c>
      <c r="I1103" s="281"/>
      <c r="J1103" s="355" t="str">
        <f>IFERROR(G1103/#REF!,"-")</f>
        <v>-</v>
      </c>
      <c r="K1103" s="336">
        <f t="shared" si="1402"/>
        <v>3500</v>
      </c>
      <c r="L1103" s="275">
        <f t="shared" si="1403"/>
        <v>3500</v>
      </c>
      <c r="M1103" s="276">
        <f t="shared" si="1404"/>
        <v>0</v>
      </c>
      <c r="N1103" s="340">
        <f t="shared" si="1398"/>
        <v>0.19718309859154928</v>
      </c>
      <c r="O1103" s="264">
        <f t="shared" si="1384"/>
        <v>0</v>
      </c>
    </row>
    <row r="1104" spans="1:15" ht="23.4" x14ac:dyDescent="0.3">
      <c r="A1104" s="277" t="s">
        <v>110</v>
      </c>
      <c r="B1104" s="957"/>
      <c r="C1104" s="278" t="s">
        <v>257</v>
      </c>
      <c r="D1104" s="278" t="s">
        <v>258</v>
      </c>
      <c r="E1104" s="279">
        <v>20000</v>
      </c>
      <c r="F1104" s="280"/>
      <c r="G1104" s="336">
        <f t="shared" si="1401"/>
        <v>0</v>
      </c>
      <c r="H1104" s="281"/>
      <c r="I1104" s="281"/>
      <c r="J1104" s="355" t="str">
        <f>IFERROR(G1104/#REF!,"-")</f>
        <v>-</v>
      </c>
      <c r="K1104" s="336">
        <f t="shared" si="1402"/>
        <v>0</v>
      </c>
      <c r="L1104" s="275">
        <f t="shared" si="1403"/>
        <v>0</v>
      </c>
      <c r="M1104" s="276">
        <f t="shared" si="1404"/>
        <v>0</v>
      </c>
      <c r="N1104" s="340">
        <f t="shared" si="1398"/>
        <v>0</v>
      </c>
      <c r="O1104" s="264" t="str">
        <f t="shared" si="1384"/>
        <v>-</v>
      </c>
    </row>
    <row r="1105" spans="1:15" ht="23.4" x14ac:dyDescent="0.3">
      <c r="A1105" s="277" t="s">
        <v>110</v>
      </c>
      <c r="B1105" s="957"/>
      <c r="C1105" s="298" t="s">
        <v>475</v>
      </c>
      <c r="D1105" s="278" t="s">
        <v>258</v>
      </c>
      <c r="E1105" s="279">
        <v>10000</v>
      </c>
      <c r="F1105" s="280"/>
      <c r="G1105" s="336">
        <f t="shared" si="1401"/>
        <v>0</v>
      </c>
      <c r="H1105" s="281"/>
      <c r="I1105" s="281"/>
      <c r="J1105" s="355" t="str">
        <f>IFERROR(G1105/#REF!,"-")</f>
        <v>-</v>
      </c>
      <c r="K1105" s="336">
        <f t="shared" si="1402"/>
        <v>12327</v>
      </c>
      <c r="L1105" s="275">
        <f t="shared" si="1403"/>
        <v>12307</v>
      </c>
      <c r="M1105" s="276">
        <f t="shared" si="1404"/>
        <v>20</v>
      </c>
      <c r="N1105" s="340">
        <f t="shared" si="1398"/>
        <v>1.2326999999999999</v>
      </c>
      <c r="O1105" s="264">
        <f t="shared" si="1384"/>
        <v>1.6224547740731727E-3</v>
      </c>
    </row>
    <row r="1106" spans="1:15" ht="23.4" x14ac:dyDescent="0.3">
      <c r="A1106" s="277" t="s">
        <v>110</v>
      </c>
      <c r="B1106" s="957"/>
      <c r="C1106" s="298" t="s">
        <v>506</v>
      </c>
      <c r="D1106" s="278" t="s">
        <v>258</v>
      </c>
      <c r="E1106" s="279">
        <v>9000</v>
      </c>
      <c r="F1106" s="280"/>
      <c r="G1106" s="336">
        <f t="shared" si="1401"/>
        <v>10090</v>
      </c>
      <c r="H1106" s="281">
        <v>10057</v>
      </c>
      <c r="I1106" s="281">
        <v>33</v>
      </c>
      <c r="J1106" s="355" t="str">
        <f>IFERROR(G1106/#REF!,"-")</f>
        <v>-</v>
      </c>
      <c r="K1106" s="336">
        <f t="shared" si="1402"/>
        <v>26750</v>
      </c>
      <c r="L1106" s="275">
        <f t="shared" si="1403"/>
        <v>26682</v>
      </c>
      <c r="M1106" s="276">
        <f t="shared" si="1404"/>
        <v>68</v>
      </c>
      <c r="N1106" s="340">
        <f t="shared" si="1398"/>
        <v>2.9722222222222223</v>
      </c>
      <c r="O1106" s="264">
        <f t="shared" si="1384"/>
        <v>2.542056074766355E-3</v>
      </c>
    </row>
    <row r="1107" spans="1:15" ht="23.4" x14ac:dyDescent="0.3">
      <c r="A1107" s="277" t="s">
        <v>110</v>
      </c>
      <c r="B1107" s="957"/>
      <c r="C1107" s="298" t="s">
        <v>261</v>
      </c>
      <c r="D1107" s="278" t="s">
        <v>263</v>
      </c>
      <c r="E1107" s="279">
        <v>22500</v>
      </c>
      <c r="F1107" s="280"/>
      <c r="G1107" s="336">
        <f t="shared" si="1401"/>
        <v>0</v>
      </c>
      <c r="H1107" s="281"/>
      <c r="I1107" s="281"/>
      <c r="J1107" s="355" t="str">
        <f>IFERROR(G1107/#REF!,"-")</f>
        <v>-</v>
      </c>
      <c r="K1107" s="336">
        <f t="shared" si="1402"/>
        <v>23536</v>
      </c>
      <c r="L1107" s="275">
        <f t="shared" si="1403"/>
        <v>23490</v>
      </c>
      <c r="M1107" s="276">
        <f t="shared" si="1404"/>
        <v>46</v>
      </c>
      <c r="N1107" s="340">
        <f t="shared" si="1398"/>
        <v>1.0460444444444446</v>
      </c>
      <c r="O1107" s="264">
        <f t="shared" si="1384"/>
        <v>1.954452753229096E-3</v>
      </c>
    </row>
    <row r="1108" spans="1:15" ht="24" thickBot="1" x14ac:dyDescent="0.35">
      <c r="A1108" s="277" t="s">
        <v>110</v>
      </c>
      <c r="B1108" s="958"/>
      <c r="C1108" s="298" t="s">
        <v>262</v>
      </c>
      <c r="D1108" s="278" t="s">
        <v>258</v>
      </c>
      <c r="E1108" s="283">
        <v>33500</v>
      </c>
      <c r="F1108" s="284"/>
      <c r="G1108" s="337">
        <f t="shared" si="1401"/>
        <v>0</v>
      </c>
      <c r="H1108" s="285"/>
      <c r="I1108" s="285"/>
      <c r="J1108" s="356" t="str">
        <f>IFERROR(G1108/#REF!,"-")</f>
        <v>-</v>
      </c>
      <c r="K1108" s="337">
        <f t="shared" si="1402"/>
        <v>28515</v>
      </c>
      <c r="L1108" s="275">
        <f t="shared" si="1403"/>
        <v>28375</v>
      </c>
      <c r="M1108" s="276">
        <f t="shared" si="1404"/>
        <v>140</v>
      </c>
      <c r="N1108" s="341">
        <f t="shared" si="1398"/>
        <v>0.85119402985074621</v>
      </c>
      <c r="O1108" s="350">
        <f t="shared" si="1384"/>
        <v>4.909696650885499E-3</v>
      </c>
    </row>
    <row r="1109" spans="1:15" ht="24" thickBot="1" x14ac:dyDescent="0.35">
      <c r="A1109" s="277" t="s">
        <v>110</v>
      </c>
      <c r="B1109" s="967" t="s">
        <v>52</v>
      </c>
      <c r="C1109" s="968"/>
      <c r="D1109" s="969"/>
      <c r="E1109" s="287">
        <f>SUM(E1101:E1108)</f>
        <v>252125</v>
      </c>
      <c r="F1109" s="288">
        <v>14000</v>
      </c>
      <c r="G1109" s="323">
        <f>SUM(G1101:G1108)</f>
        <v>13590</v>
      </c>
      <c r="H1109" s="324">
        <f t="shared" ref="H1109:I1109" si="1405">SUM(H1101:H1108)</f>
        <v>13557</v>
      </c>
      <c r="I1109" s="324">
        <f t="shared" si="1405"/>
        <v>33</v>
      </c>
      <c r="J1109" s="348">
        <f>+G1110/F1110</f>
        <v>0.21180851063829786</v>
      </c>
      <c r="K1109" s="323">
        <f>SUM(K1101:K1108)</f>
        <v>94628</v>
      </c>
      <c r="L1109" s="324">
        <f t="shared" ref="L1109:M1109" si="1406">SUM(L1101:L1108)</f>
        <v>94354</v>
      </c>
      <c r="M1109" s="325">
        <f t="shared" si="1406"/>
        <v>274</v>
      </c>
      <c r="N1109" s="342">
        <f t="shared" si="1398"/>
        <v>0.37532176499752107</v>
      </c>
      <c r="O1109" s="348">
        <f t="shared" si="1384"/>
        <v>2.8955488861647717E-3</v>
      </c>
    </row>
    <row r="1110" spans="1:15" ht="24" thickBot="1" x14ac:dyDescent="0.35">
      <c r="A1110" s="277" t="s">
        <v>110</v>
      </c>
      <c r="B1110" s="981" t="s">
        <v>25</v>
      </c>
      <c r="C1110" s="982"/>
      <c r="D1110" s="983"/>
      <c r="E1110" s="329">
        <f t="shared" ref="E1110:F1110" si="1407">+E1100+E1109</f>
        <v>1252125</v>
      </c>
      <c r="F1110" s="330">
        <f t="shared" si="1407"/>
        <v>94000</v>
      </c>
      <c r="G1110" s="329">
        <f>+G1100+G1109</f>
        <v>19910</v>
      </c>
      <c r="H1110" s="327">
        <f t="shared" ref="H1110:I1110" si="1408">+H1100+H1109</f>
        <v>19497</v>
      </c>
      <c r="I1110" s="327">
        <f t="shared" si="1408"/>
        <v>413</v>
      </c>
      <c r="J1110" s="352" t="str">
        <f>IFERROR(G1110/#REF!,"-")</f>
        <v>-</v>
      </c>
      <c r="K1110" s="329">
        <f t="shared" ref="K1110" si="1409">+K1100+K1109</f>
        <v>443046</v>
      </c>
      <c r="L1110" s="327">
        <f>+L1100+L1109</f>
        <v>440854</v>
      </c>
      <c r="M1110" s="328">
        <f t="shared" ref="M1110" si="1410">+M1100+M1109</f>
        <v>2192</v>
      </c>
      <c r="N1110" s="344">
        <f t="shared" si="1398"/>
        <v>0.35383528002395925</v>
      </c>
      <c r="O1110" s="352">
        <f t="shared" si="1384"/>
        <v>4.9475675212054728E-3</v>
      </c>
    </row>
    <row r="1111" spans="1:15" ht="24" thickBot="1" x14ac:dyDescent="0.35">
      <c r="A1111" s="277" t="s">
        <v>110</v>
      </c>
      <c r="B1111" s="984" t="s">
        <v>180</v>
      </c>
      <c r="C1111" s="962"/>
      <c r="D1111" s="963"/>
      <c r="E1111" s="333">
        <f>+E1095+E1110</f>
        <v>6002125</v>
      </c>
      <c r="F1111" s="334">
        <f t="shared" ref="F1111:I1111" si="1411">+F1095+F1110</f>
        <v>549000</v>
      </c>
      <c r="G1111" s="333">
        <f t="shared" si="1411"/>
        <v>168641</v>
      </c>
      <c r="H1111" s="331">
        <f t="shared" si="1411"/>
        <v>166377</v>
      </c>
      <c r="I1111" s="331">
        <f t="shared" si="1411"/>
        <v>2264</v>
      </c>
      <c r="J1111" s="353">
        <f>+G1111/F1111</f>
        <v>0.3071785063752277</v>
      </c>
      <c r="K1111" s="333">
        <f>+K1095+K1110</f>
        <v>1978312</v>
      </c>
      <c r="L1111" s="331">
        <f t="shared" ref="L1111:M1111" si="1412">+L1095+L1110</f>
        <v>1968570</v>
      </c>
      <c r="M1111" s="332">
        <f t="shared" si="1412"/>
        <v>9742</v>
      </c>
      <c r="N1111" s="345">
        <f>IFERROR(K1111/E1111,"-")</f>
        <v>0.32960193264885351</v>
      </c>
      <c r="O1111" s="353">
        <f t="shared" si="1384"/>
        <v>4.9244001957224138E-3</v>
      </c>
    </row>
    <row r="1112" spans="1:15" ht="23.4" x14ac:dyDescent="0.3">
      <c r="A1112" s="271" t="s">
        <v>108</v>
      </c>
      <c r="B1112" s="977" t="s">
        <v>26</v>
      </c>
      <c r="C1112" s="300" t="s">
        <v>323</v>
      </c>
      <c r="D1112" s="300" t="s">
        <v>190</v>
      </c>
      <c r="E1112" s="273">
        <v>0</v>
      </c>
      <c r="F1112" s="274"/>
      <c r="G1112" s="335">
        <f t="shared" ref="G1112:G1120" si="1413">+H1112+I1112</f>
        <v>0</v>
      </c>
      <c r="H1112" s="275"/>
      <c r="I1112" s="275"/>
      <c r="J1112" s="354" t="str">
        <f>IFERROR(G1112/#REF!,"-")</f>
        <v>-</v>
      </c>
      <c r="K1112" s="335">
        <f t="shared" ref="K1112:K1120" si="1414">+L1112+M1112</f>
        <v>0</v>
      </c>
      <c r="L1112" s="275">
        <f t="shared" ref="L1112:L1120" si="1415">+H1112+L1006</f>
        <v>0</v>
      </c>
      <c r="M1112" s="276">
        <f t="shared" ref="M1112:M1120" si="1416">+I1112+M1006</f>
        <v>0</v>
      </c>
      <c r="N1112" s="339" t="str">
        <f t="shared" ref="N1112:N1113" si="1417">IFERROR(K1112/E1112,"-")</f>
        <v>-</v>
      </c>
      <c r="O1112" s="349" t="str">
        <f t="shared" si="1384"/>
        <v>-</v>
      </c>
    </row>
    <row r="1113" spans="1:15" ht="23.4" x14ac:dyDescent="0.3">
      <c r="A1113" s="277" t="s">
        <v>108</v>
      </c>
      <c r="B1113" s="977"/>
      <c r="C1113" s="301" t="s">
        <v>508</v>
      </c>
      <c r="D1113" s="301" t="s">
        <v>507</v>
      </c>
      <c r="E1113" s="279">
        <v>0</v>
      </c>
      <c r="F1113" s="280"/>
      <c r="G1113" s="336">
        <f t="shared" si="1413"/>
        <v>40317</v>
      </c>
      <c r="H1113" s="281">
        <v>39780</v>
      </c>
      <c r="I1113" s="281">
        <v>537</v>
      </c>
      <c r="J1113" s="355" t="str">
        <f>IFERROR(G1113/#REF!,"-")</f>
        <v>-</v>
      </c>
      <c r="K1113" s="336">
        <f t="shared" si="1414"/>
        <v>61487</v>
      </c>
      <c r="L1113" s="275">
        <f t="shared" si="1415"/>
        <v>59670</v>
      </c>
      <c r="M1113" s="276">
        <f t="shared" si="1416"/>
        <v>1817</v>
      </c>
      <c r="N1113" s="340" t="str">
        <f t="shared" si="1417"/>
        <v>-</v>
      </c>
      <c r="O1113" s="264">
        <f t="shared" si="1384"/>
        <v>2.9550961991965781E-2</v>
      </c>
    </row>
    <row r="1114" spans="1:15" ht="23.4" x14ac:dyDescent="0.3">
      <c r="A1114" s="277" t="s">
        <v>108</v>
      </c>
      <c r="B1114" s="977"/>
      <c r="C1114" s="302" t="s">
        <v>27</v>
      </c>
      <c r="D1114" s="302" t="s">
        <v>370</v>
      </c>
      <c r="E1114" s="283">
        <v>0</v>
      </c>
      <c r="F1114" s="284"/>
      <c r="G1114" s="336">
        <f t="shared" si="1413"/>
        <v>0</v>
      </c>
      <c r="H1114" s="285"/>
      <c r="I1114" s="285"/>
      <c r="J1114" s="356" t="str">
        <f>IFERROR(G1114/#REF!,"-")</f>
        <v>-</v>
      </c>
      <c r="K1114" s="336">
        <f t="shared" si="1414"/>
        <v>12534</v>
      </c>
      <c r="L1114" s="275">
        <f t="shared" si="1415"/>
        <v>11934</v>
      </c>
      <c r="M1114" s="276">
        <f t="shared" si="1416"/>
        <v>600</v>
      </c>
      <c r="N1114" s="286"/>
      <c r="O1114" s="264">
        <f t="shared" si="1384"/>
        <v>4.7869794159885112E-2</v>
      </c>
    </row>
    <row r="1115" spans="1:15" ht="23.4" x14ac:dyDescent="0.3">
      <c r="A1115" s="277" t="s">
        <v>108</v>
      </c>
      <c r="B1115" s="977"/>
      <c r="C1115" s="302" t="s">
        <v>27</v>
      </c>
      <c r="D1115" s="302" t="s">
        <v>254</v>
      </c>
      <c r="E1115" s="283">
        <v>0</v>
      </c>
      <c r="F1115" s="284"/>
      <c r="G1115" s="336">
        <f t="shared" si="1413"/>
        <v>0</v>
      </c>
      <c r="H1115" s="285"/>
      <c r="I1115" s="285"/>
      <c r="J1115" s="356" t="str">
        <f>IFERROR(G1115/#REF!,"-")</f>
        <v>-</v>
      </c>
      <c r="K1115" s="336">
        <f t="shared" si="1414"/>
        <v>33014</v>
      </c>
      <c r="L1115" s="275">
        <f t="shared" si="1415"/>
        <v>31824</v>
      </c>
      <c r="M1115" s="276">
        <f t="shared" si="1416"/>
        <v>1190</v>
      </c>
      <c r="N1115" s="286"/>
      <c r="O1115" s="264">
        <f t="shared" si="1384"/>
        <v>3.604531410916581E-2</v>
      </c>
    </row>
    <row r="1116" spans="1:15" ht="23.4" x14ac:dyDescent="0.3">
      <c r="A1116" s="277" t="s">
        <v>108</v>
      </c>
      <c r="B1116" s="977"/>
      <c r="C1116" s="302" t="s">
        <v>27</v>
      </c>
      <c r="D1116" s="302" t="s">
        <v>302</v>
      </c>
      <c r="E1116" s="283">
        <v>0</v>
      </c>
      <c r="F1116" s="284"/>
      <c r="G1116" s="336">
        <f t="shared" si="1413"/>
        <v>0</v>
      </c>
      <c r="H1116" s="285"/>
      <c r="I1116" s="285"/>
      <c r="J1116" s="356" t="str">
        <f>IFERROR(G1116/#REF!,"-")</f>
        <v>-</v>
      </c>
      <c r="K1116" s="336">
        <f t="shared" si="1414"/>
        <v>0</v>
      </c>
      <c r="L1116" s="275">
        <f t="shared" si="1415"/>
        <v>0</v>
      </c>
      <c r="M1116" s="276">
        <f t="shared" si="1416"/>
        <v>0</v>
      </c>
      <c r="N1116" s="286"/>
      <c r="O1116" s="264" t="str">
        <f t="shared" si="1384"/>
        <v>-</v>
      </c>
    </row>
    <row r="1117" spans="1:15" ht="23.4" x14ac:dyDescent="0.3">
      <c r="A1117" s="277"/>
      <c r="B1117" s="977"/>
      <c r="C1117" s="302" t="s">
        <v>369</v>
      </c>
      <c r="D1117" s="302" t="s">
        <v>190</v>
      </c>
      <c r="E1117" s="283">
        <v>0</v>
      </c>
      <c r="F1117" s="284"/>
      <c r="G1117" s="337">
        <f t="shared" si="1413"/>
        <v>0</v>
      </c>
      <c r="H1117" s="285"/>
      <c r="I1117" s="285"/>
      <c r="J1117" s="356" t="str">
        <f>IFERROR(G1117/#REF!,"-")</f>
        <v>-</v>
      </c>
      <c r="K1117" s="337">
        <f t="shared" si="1414"/>
        <v>0</v>
      </c>
      <c r="L1117" s="275">
        <f t="shared" si="1415"/>
        <v>0</v>
      </c>
      <c r="M1117" s="276">
        <f t="shared" si="1416"/>
        <v>0</v>
      </c>
      <c r="N1117" s="286"/>
      <c r="O1117" s="264" t="str">
        <f t="shared" si="1384"/>
        <v>-</v>
      </c>
    </row>
    <row r="1118" spans="1:15" ht="23.4" x14ac:dyDescent="0.3">
      <c r="A1118" s="277"/>
      <c r="B1118" s="977"/>
      <c r="C1118" s="302" t="s">
        <v>314</v>
      </c>
      <c r="D1118" s="302" t="s">
        <v>101</v>
      </c>
      <c r="E1118" s="283">
        <v>0</v>
      </c>
      <c r="F1118" s="284"/>
      <c r="G1118" s="337">
        <f t="shared" si="1413"/>
        <v>0</v>
      </c>
      <c r="H1118" s="285"/>
      <c r="I1118" s="285"/>
      <c r="J1118" s="356" t="str">
        <f>IFERROR(G1118/#REF!,"-")</f>
        <v>-</v>
      </c>
      <c r="K1118" s="337">
        <f t="shared" si="1414"/>
        <v>0</v>
      </c>
      <c r="L1118" s="275">
        <f t="shared" si="1415"/>
        <v>0</v>
      </c>
      <c r="M1118" s="276">
        <f t="shared" si="1416"/>
        <v>0</v>
      </c>
      <c r="N1118" s="286"/>
      <c r="O1118" s="264" t="str">
        <f t="shared" si="1384"/>
        <v>-</v>
      </c>
    </row>
    <row r="1119" spans="1:15" ht="23.4" x14ac:dyDescent="0.3">
      <c r="A1119" s="277"/>
      <c r="B1119" s="977"/>
      <c r="C1119" s="302" t="s">
        <v>452</v>
      </c>
      <c r="D1119" s="302" t="s">
        <v>410</v>
      </c>
      <c r="E1119" s="283">
        <v>0</v>
      </c>
      <c r="F1119" s="284"/>
      <c r="G1119" s="337">
        <f t="shared" si="1413"/>
        <v>0</v>
      </c>
      <c r="H1119" s="285"/>
      <c r="I1119" s="285"/>
      <c r="J1119" s="356" t="str">
        <f>IFERROR(G1119/#REF!,"-")</f>
        <v>-</v>
      </c>
      <c r="K1119" s="337">
        <f t="shared" si="1414"/>
        <v>36855</v>
      </c>
      <c r="L1119" s="275">
        <f t="shared" si="1415"/>
        <v>35802</v>
      </c>
      <c r="M1119" s="276">
        <f t="shared" si="1416"/>
        <v>1053</v>
      </c>
      <c r="N1119" s="286"/>
      <c r="O1119" s="264">
        <f t="shared" si="1384"/>
        <v>2.8571428571428571E-2</v>
      </c>
    </row>
    <row r="1120" spans="1:15" ht="24" thickBot="1" x14ac:dyDescent="0.35">
      <c r="A1120" s="277" t="s">
        <v>108</v>
      </c>
      <c r="B1120" s="977"/>
      <c r="C1120" s="303" t="s">
        <v>315</v>
      </c>
      <c r="D1120" s="302" t="s">
        <v>313</v>
      </c>
      <c r="E1120" s="283">
        <v>0</v>
      </c>
      <c r="F1120" s="284"/>
      <c r="G1120" s="337">
        <f t="shared" si="1413"/>
        <v>0</v>
      </c>
      <c r="H1120" s="285"/>
      <c r="I1120" s="285"/>
      <c r="J1120" s="356" t="str">
        <f>IFERROR(G1120/#REF!,"-")</f>
        <v>-</v>
      </c>
      <c r="K1120" s="337">
        <f t="shared" si="1414"/>
        <v>8287</v>
      </c>
      <c r="L1120" s="275">
        <f t="shared" si="1415"/>
        <v>7956</v>
      </c>
      <c r="M1120" s="276">
        <f t="shared" si="1416"/>
        <v>331</v>
      </c>
      <c r="N1120" s="341" t="str">
        <f t="shared" ref="N1120:N1127" si="1418">IFERROR(K1120/E1120,"-")</f>
        <v>-</v>
      </c>
      <c r="O1120" s="350">
        <f t="shared" si="1384"/>
        <v>3.9942077953421022E-2</v>
      </c>
    </row>
    <row r="1121" spans="1:15" ht="24" thickBot="1" x14ac:dyDescent="0.35">
      <c r="A1121" s="277" t="s">
        <v>108</v>
      </c>
      <c r="B1121" s="990"/>
      <c r="C1121" s="304"/>
      <c r="D1121" s="305" t="s">
        <v>55</v>
      </c>
      <c r="E1121" s="287">
        <f>SUM(E1112:E1120)</f>
        <v>0</v>
      </c>
      <c r="F1121" s="288">
        <v>80000</v>
      </c>
      <c r="G1121" s="323">
        <f>SUM(G1112:G1120)</f>
        <v>40317</v>
      </c>
      <c r="H1121" s="324">
        <f>SUM(H1112:H1120)</f>
        <v>39780</v>
      </c>
      <c r="I1121" s="324">
        <f>SUM(I1112:I1120)</f>
        <v>537</v>
      </c>
      <c r="J1121" s="348">
        <f>+G1121/F1121</f>
        <v>0.50396249999999998</v>
      </c>
      <c r="K1121" s="323">
        <f>SUM(K1112:K1120)</f>
        <v>152177</v>
      </c>
      <c r="L1121" s="324">
        <f>SUM(L1112:L1120)</f>
        <v>147186</v>
      </c>
      <c r="M1121" s="325">
        <f>SUM(M1112:M1120)</f>
        <v>4991</v>
      </c>
      <c r="N1121" s="342" t="str">
        <f t="shared" si="1418"/>
        <v>-</v>
      </c>
      <c r="O1121" s="348">
        <f t="shared" si="1384"/>
        <v>3.2797334682639297E-2</v>
      </c>
    </row>
    <row r="1122" spans="1:15" ht="23.4" x14ac:dyDescent="0.3">
      <c r="A1122" s="277" t="s">
        <v>108</v>
      </c>
      <c r="B1122" s="976" t="s">
        <v>28</v>
      </c>
      <c r="C1122" s="302" t="s">
        <v>27</v>
      </c>
      <c r="D1122" s="300" t="s">
        <v>191</v>
      </c>
      <c r="E1122" s="273">
        <v>2612056</v>
      </c>
      <c r="F1122" s="274"/>
      <c r="G1122" s="335">
        <f t="shared" ref="G1122:G1126" si="1419">+H1122+I1122</f>
        <v>0</v>
      </c>
      <c r="H1122" s="275"/>
      <c r="I1122" s="275"/>
      <c r="J1122" s="354" t="str">
        <f>IFERROR(G1122/#REF!,"-")</f>
        <v>-</v>
      </c>
      <c r="K1122" s="335">
        <f t="shared" ref="K1122:K1126" si="1420">+L1122+M1122</f>
        <v>21742</v>
      </c>
      <c r="L1122" s="275">
        <f t="shared" ref="L1122:L1126" si="1421">+H1122+L1016</f>
        <v>19890</v>
      </c>
      <c r="M1122" s="276">
        <f t="shared" ref="M1122:M1126" si="1422">+I1122+M1016</f>
        <v>1852</v>
      </c>
      <c r="N1122" s="339">
        <f t="shared" si="1418"/>
        <v>8.3237112833721792E-3</v>
      </c>
      <c r="O1122" s="349">
        <f t="shared" si="1384"/>
        <v>8.5180756140189495E-2</v>
      </c>
    </row>
    <row r="1123" spans="1:15" ht="23.4" x14ac:dyDescent="0.3">
      <c r="A1123" s="277" t="s">
        <v>108</v>
      </c>
      <c r="B1123" s="977"/>
      <c r="C1123" s="302" t="s">
        <v>455</v>
      </c>
      <c r="D1123" s="302" t="s">
        <v>370</v>
      </c>
      <c r="E1123" s="279">
        <v>0</v>
      </c>
      <c r="F1123" s="280"/>
      <c r="G1123" s="336">
        <f t="shared" si="1419"/>
        <v>124236</v>
      </c>
      <c r="H1123" s="281">
        <v>123318</v>
      </c>
      <c r="I1123" s="281">
        <v>918</v>
      </c>
      <c r="J1123" s="355" t="str">
        <f>IFERROR(G1123/#REF!,"-")</f>
        <v>-</v>
      </c>
      <c r="K1123" s="336">
        <f t="shared" si="1420"/>
        <v>493865</v>
      </c>
      <c r="L1123" s="275">
        <f t="shared" si="1421"/>
        <v>488988</v>
      </c>
      <c r="M1123" s="276">
        <f t="shared" si="1422"/>
        <v>4877</v>
      </c>
      <c r="N1123" s="340" t="str">
        <f t="shared" si="1418"/>
        <v>-</v>
      </c>
      <c r="O1123" s="264">
        <f t="shared" si="1384"/>
        <v>9.8751683152278457E-3</v>
      </c>
    </row>
    <row r="1124" spans="1:15" ht="23.4" x14ac:dyDescent="0.3">
      <c r="A1124" s="277" t="s">
        <v>108</v>
      </c>
      <c r="B1124" s="977"/>
      <c r="C1124" s="302" t="s">
        <v>27</v>
      </c>
      <c r="D1124" s="302" t="s">
        <v>370</v>
      </c>
      <c r="E1124" s="279">
        <v>0</v>
      </c>
      <c r="F1124" s="280"/>
      <c r="G1124" s="336">
        <f t="shared" si="1419"/>
        <v>0</v>
      </c>
      <c r="H1124" s="281"/>
      <c r="I1124" s="281"/>
      <c r="J1124" s="355" t="str">
        <f>IFERROR(G1124/#REF!,"-")</f>
        <v>-</v>
      </c>
      <c r="K1124" s="336">
        <f t="shared" si="1420"/>
        <v>65158</v>
      </c>
      <c r="L1124" s="275">
        <f t="shared" si="1421"/>
        <v>63648</v>
      </c>
      <c r="M1124" s="276">
        <f t="shared" si="1422"/>
        <v>1510</v>
      </c>
      <c r="N1124" s="340" t="str">
        <f t="shared" si="1418"/>
        <v>-</v>
      </c>
      <c r="O1124" s="264">
        <f t="shared" si="1384"/>
        <v>2.3174437521102549E-2</v>
      </c>
    </row>
    <row r="1125" spans="1:15" ht="23.4" x14ac:dyDescent="0.3">
      <c r="A1125" s="277" t="s">
        <v>108</v>
      </c>
      <c r="B1125" s="977"/>
      <c r="C1125" s="302" t="s">
        <v>452</v>
      </c>
      <c r="D1125" s="303" t="s">
        <v>410</v>
      </c>
      <c r="E1125" s="283">
        <v>0</v>
      </c>
      <c r="F1125" s="284"/>
      <c r="G1125" s="337">
        <f t="shared" si="1419"/>
        <v>0</v>
      </c>
      <c r="H1125" s="285"/>
      <c r="I1125" s="285"/>
      <c r="J1125" s="356" t="str">
        <f>IFERROR(G1125/#REF!,"-")</f>
        <v>-</v>
      </c>
      <c r="K1125" s="337">
        <f t="shared" si="1420"/>
        <v>249713</v>
      </c>
      <c r="L1125" s="275">
        <f t="shared" si="1421"/>
        <v>246636</v>
      </c>
      <c r="M1125" s="755">
        <f t="shared" si="1422"/>
        <v>3077</v>
      </c>
      <c r="N1125" s="341" t="str">
        <f t="shared" si="1418"/>
        <v>-</v>
      </c>
      <c r="O1125" s="350">
        <f t="shared" si="1384"/>
        <v>1.2322145823405269E-2</v>
      </c>
    </row>
    <row r="1126" spans="1:15" ht="24" thickBot="1" x14ac:dyDescent="0.35">
      <c r="A1126" s="277" t="s">
        <v>108</v>
      </c>
      <c r="B1126" s="977"/>
      <c r="C1126" s="302" t="s">
        <v>27</v>
      </c>
      <c r="D1126" s="303" t="s">
        <v>254</v>
      </c>
      <c r="E1126" s="283">
        <v>0</v>
      </c>
      <c r="F1126" s="284"/>
      <c r="G1126" s="337">
        <f t="shared" si="1419"/>
        <v>0</v>
      </c>
      <c r="H1126" s="285"/>
      <c r="I1126" s="285"/>
      <c r="J1126" s="356" t="str">
        <f>IFERROR(G1126/#REF!,"-")</f>
        <v>-</v>
      </c>
      <c r="K1126" s="337">
        <f t="shared" si="1420"/>
        <v>764755</v>
      </c>
      <c r="L1126" s="275">
        <f t="shared" si="1421"/>
        <v>755820</v>
      </c>
      <c r="M1126" s="755">
        <f t="shared" si="1422"/>
        <v>8935</v>
      </c>
      <c r="N1126" s="341" t="str">
        <f t="shared" si="1418"/>
        <v>-</v>
      </c>
      <c r="O1126" s="350">
        <f t="shared" si="1384"/>
        <v>1.1683480330301862E-2</v>
      </c>
    </row>
    <row r="1127" spans="1:15" ht="24" thickBot="1" x14ac:dyDescent="0.35">
      <c r="A1127" s="277" t="s">
        <v>108</v>
      </c>
      <c r="B1127" s="977"/>
      <c r="C1127" s="307"/>
      <c r="D1127" s="308" t="s">
        <v>55</v>
      </c>
      <c r="E1127" s="309">
        <f>SUM(E1122:E1126)</f>
        <v>2612056</v>
      </c>
      <c r="F1127" s="310">
        <v>160000</v>
      </c>
      <c r="G1127" s="369">
        <f>SUM(G1122:G1126)</f>
        <v>124236</v>
      </c>
      <c r="H1127" s="368">
        <f>SUM(H1122:H1126)</f>
        <v>123318</v>
      </c>
      <c r="I1127" s="368">
        <f>SUM(I1122:I1126)</f>
        <v>918</v>
      </c>
      <c r="J1127" s="359">
        <f>+G1127/F1127</f>
        <v>0.77647500000000003</v>
      </c>
      <c r="K1127" s="369">
        <f>SUM(K1122:K1126)</f>
        <v>1595233</v>
      </c>
      <c r="L1127" s="368">
        <f>SUM(L1122:L1126)</f>
        <v>1574982</v>
      </c>
      <c r="M1127" s="370">
        <f>SUM(M1122:M1126)</f>
        <v>20251</v>
      </c>
      <c r="N1127" s="358">
        <f t="shared" si="1418"/>
        <v>0.61071929545155235</v>
      </c>
      <c r="O1127" s="359">
        <f t="shared" si="1384"/>
        <v>1.2694697263659916E-2</v>
      </c>
    </row>
    <row r="1128" spans="1:15" ht="24" thickBot="1" x14ac:dyDescent="0.35">
      <c r="A1128" s="832" t="s">
        <v>108</v>
      </c>
      <c r="B1128" s="978" t="s">
        <v>170</v>
      </c>
      <c r="C1128" s="979"/>
      <c r="D1128" s="980"/>
      <c r="E1128" s="311">
        <f>+E1127+E1121</f>
        <v>2612056</v>
      </c>
      <c r="F1128" s="312">
        <v>240000</v>
      </c>
      <c r="G1128" s="372">
        <f>+G1121+G1127</f>
        <v>164553</v>
      </c>
      <c r="H1128" s="371">
        <f>+H1121+H1127</f>
        <v>163098</v>
      </c>
      <c r="I1128" s="371">
        <f>+I1121+I1127</f>
        <v>1455</v>
      </c>
      <c r="J1128" s="361">
        <f>+G1128/F1128</f>
        <v>0.68563750000000001</v>
      </c>
      <c r="K1128" s="372">
        <f>+K1121+K1127</f>
        <v>1747410</v>
      </c>
      <c r="L1128" s="371">
        <f>+L1121+L1127</f>
        <v>1722168</v>
      </c>
      <c r="M1128" s="373">
        <f>+M1121+M1127</f>
        <v>25242</v>
      </c>
      <c r="N1128" s="360">
        <f>IFERROR(K1128/E1128,"-")</f>
        <v>0.66897876615202734</v>
      </c>
      <c r="O1128" s="361">
        <f t="shared" si="1384"/>
        <v>1.4445379161158515E-2</v>
      </c>
    </row>
    <row r="1129" spans="1:15" ht="23.4" x14ac:dyDescent="0.3">
      <c r="A1129" s="277" t="s">
        <v>108</v>
      </c>
      <c r="B1129" s="977" t="s">
        <v>30</v>
      </c>
      <c r="C1129" s="306" t="s">
        <v>372</v>
      </c>
      <c r="D1129" s="300" t="s">
        <v>191</v>
      </c>
      <c r="E1129" s="273">
        <v>0</v>
      </c>
      <c r="F1129" s="274"/>
      <c r="G1129" s="335">
        <f t="shared" ref="G1129:G1131" si="1423">+H1129+I1129</f>
        <v>0</v>
      </c>
      <c r="H1129" s="275"/>
      <c r="I1129" s="275"/>
      <c r="J1129" s="354" t="str">
        <f>IFERROR(G1129/#REF!,"-")</f>
        <v>-</v>
      </c>
      <c r="K1129" s="335">
        <f t="shared" ref="K1129:K1131" si="1424">+L1129+M1129</f>
        <v>0</v>
      </c>
      <c r="L1129" s="275">
        <f t="shared" ref="L1129:L1131" si="1425">+H1129+L1023</f>
        <v>0</v>
      </c>
      <c r="M1129" s="276">
        <f t="shared" ref="M1129:M1131" si="1426">+I1129+M1023</f>
        <v>0</v>
      </c>
      <c r="N1129" s="339" t="str">
        <f t="shared" ref="N1129:N1139" si="1427">IFERROR(K1129/E1129,"-")</f>
        <v>-</v>
      </c>
      <c r="O1129" s="349" t="str">
        <f t="shared" si="1384"/>
        <v>-</v>
      </c>
    </row>
    <row r="1130" spans="1:15" ht="23.4" x14ac:dyDescent="0.3">
      <c r="A1130" s="277" t="s">
        <v>108</v>
      </c>
      <c r="B1130" s="977"/>
      <c r="C1130" s="306" t="s">
        <v>371</v>
      </c>
      <c r="D1130" s="306" t="s">
        <v>313</v>
      </c>
      <c r="E1130" s="279">
        <v>0</v>
      </c>
      <c r="F1130" s="280"/>
      <c r="G1130" s="336">
        <f t="shared" si="1423"/>
        <v>0</v>
      </c>
      <c r="H1130" s="281"/>
      <c r="I1130" s="281"/>
      <c r="J1130" s="355" t="str">
        <f>IFERROR(G1130/#REF!,"-")</f>
        <v>-</v>
      </c>
      <c r="K1130" s="336">
        <f t="shared" si="1424"/>
        <v>0</v>
      </c>
      <c r="L1130" s="275">
        <f t="shared" si="1425"/>
        <v>0</v>
      </c>
      <c r="M1130" s="276">
        <f t="shared" si="1426"/>
        <v>0</v>
      </c>
      <c r="N1130" s="340" t="str">
        <f t="shared" si="1427"/>
        <v>-</v>
      </c>
      <c r="O1130" s="264" t="str">
        <f t="shared" si="1384"/>
        <v>-</v>
      </c>
    </row>
    <row r="1131" spans="1:15" ht="24" thickBot="1" x14ac:dyDescent="0.35">
      <c r="A1131" s="277" t="s">
        <v>108</v>
      </c>
      <c r="B1131" s="977"/>
      <c r="C1131" s="303" t="s">
        <v>316</v>
      </c>
      <c r="D1131" s="303" t="s">
        <v>410</v>
      </c>
      <c r="E1131" s="283">
        <v>0</v>
      </c>
      <c r="F1131" s="284"/>
      <c r="G1131" s="337">
        <f t="shared" si="1423"/>
        <v>0</v>
      </c>
      <c r="H1131" s="285"/>
      <c r="I1131" s="285"/>
      <c r="J1131" s="356" t="str">
        <f>IFERROR(G1131/#REF!,"-")</f>
        <v>-</v>
      </c>
      <c r="K1131" s="337">
        <f t="shared" si="1424"/>
        <v>169767</v>
      </c>
      <c r="L1131" s="275">
        <f t="shared" si="1425"/>
        <v>164736</v>
      </c>
      <c r="M1131" s="276">
        <f t="shared" si="1426"/>
        <v>5031</v>
      </c>
      <c r="N1131" s="341" t="str">
        <f t="shared" si="1427"/>
        <v>-</v>
      </c>
      <c r="O1131" s="350">
        <f t="shared" si="1384"/>
        <v>2.9634734665747762E-2</v>
      </c>
    </row>
    <row r="1132" spans="1:15" ht="24" thickBot="1" x14ac:dyDescent="0.35">
      <c r="A1132" s="277" t="s">
        <v>108</v>
      </c>
      <c r="B1132" s="977"/>
      <c r="C1132" s="304"/>
      <c r="D1132" s="305" t="s">
        <v>53</v>
      </c>
      <c r="E1132" s="287">
        <v>0</v>
      </c>
      <c r="F1132" s="288">
        <v>50000</v>
      </c>
      <c r="G1132" s="323">
        <f>SUM(G1129:G1131)</f>
        <v>0</v>
      </c>
      <c r="H1132" s="324">
        <f>SUM(H1129:H1131)</f>
        <v>0</v>
      </c>
      <c r="I1132" s="324">
        <f>SUM(I1129:I1131)</f>
        <v>0</v>
      </c>
      <c r="J1132" s="348" t="e">
        <f>+H1132/G1132</f>
        <v>#DIV/0!</v>
      </c>
      <c r="K1132" s="323">
        <f>SUM(K1129:K1131)</f>
        <v>169767</v>
      </c>
      <c r="L1132" s="324">
        <f>SUM(L1129:L1131)</f>
        <v>164736</v>
      </c>
      <c r="M1132" s="325">
        <f>SUM(M1129:M1131)</f>
        <v>5031</v>
      </c>
      <c r="N1132" s="342" t="str">
        <f t="shared" si="1427"/>
        <v>-</v>
      </c>
      <c r="O1132" s="348">
        <f t="shared" si="1384"/>
        <v>2.9634734665747762E-2</v>
      </c>
    </row>
    <row r="1133" spans="1:15" ht="23.4" x14ac:dyDescent="0.3">
      <c r="A1133" s="277" t="s">
        <v>108</v>
      </c>
      <c r="B1133" s="977"/>
      <c r="C1133" s="300" t="s">
        <v>339</v>
      </c>
      <c r="D1133" s="300"/>
      <c r="E1133" s="273">
        <v>500000</v>
      </c>
      <c r="F1133" s="274"/>
      <c r="G1133" s="335">
        <f t="shared" ref="G1133:G1135" si="1428">+H1133+I1133</f>
        <v>0</v>
      </c>
      <c r="H1133" s="275"/>
      <c r="I1133" s="275"/>
      <c r="J1133" s="354" t="str">
        <f>IFERROR(G1133/#REF!,"-")</f>
        <v>-</v>
      </c>
      <c r="K1133" s="335">
        <f t="shared" ref="K1133:K1135" si="1429">+L1133+M1133</f>
        <v>0</v>
      </c>
      <c r="L1133" s="275">
        <f t="shared" ref="L1133:L1135" si="1430">+H1133+L1027</f>
        <v>0</v>
      </c>
      <c r="M1133" s="276">
        <f t="shared" ref="M1133:M1135" si="1431">+I1133+M1027</f>
        <v>0</v>
      </c>
      <c r="N1133" s="339">
        <f t="shared" si="1427"/>
        <v>0</v>
      </c>
      <c r="O1133" s="349" t="str">
        <f t="shared" si="1384"/>
        <v>-</v>
      </c>
    </row>
    <row r="1134" spans="1:15" ht="23.4" x14ac:dyDescent="0.3">
      <c r="A1134" s="277" t="s">
        <v>108</v>
      </c>
      <c r="B1134" s="977"/>
      <c r="C1134" s="306" t="s">
        <v>373</v>
      </c>
      <c r="D1134" s="306" t="s">
        <v>254</v>
      </c>
      <c r="E1134" s="279">
        <v>0</v>
      </c>
      <c r="F1134" s="280"/>
      <c r="G1134" s="336">
        <f t="shared" si="1428"/>
        <v>0</v>
      </c>
      <c r="H1134" s="281"/>
      <c r="I1134" s="281"/>
      <c r="J1134" s="355" t="str">
        <f>IFERROR(G1134/#REF!,"-")</f>
        <v>-</v>
      </c>
      <c r="K1134" s="336">
        <f t="shared" si="1429"/>
        <v>9638</v>
      </c>
      <c r="L1134" s="275">
        <f t="shared" si="1430"/>
        <v>9360</v>
      </c>
      <c r="M1134" s="276">
        <f t="shared" si="1431"/>
        <v>278</v>
      </c>
      <c r="N1134" s="340" t="str">
        <f t="shared" si="1427"/>
        <v>-</v>
      </c>
      <c r="O1134" s="264">
        <f t="shared" si="1384"/>
        <v>2.8844158539116E-2</v>
      </c>
    </row>
    <row r="1135" spans="1:15" ht="24" thickBot="1" x14ac:dyDescent="0.35">
      <c r="A1135" s="277" t="s">
        <v>108</v>
      </c>
      <c r="B1135" s="977"/>
      <c r="C1135" s="303" t="s">
        <v>145</v>
      </c>
      <c r="D1135" s="303"/>
      <c r="E1135" s="283">
        <v>0</v>
      </c>
      <c r="F1135" s="284"/>
      <c r="G1135" s="337">
        <f t="shared" si="1428"/>
        <v>0</v>
      </c>
      <c r="H1135" s="285"/>
      <c r="I1135" s="285"/>
      <c r="J1135" s="356" t="str">
        <f>IFERROR(G1135/#REF!,"-")</f>
        <v>-</v>
      </c>
      <c r="K1135" s="337">
        <f t="shared" si="1429"/>
        <v>0</v>
      </c>
      <c r="L1135" s="275">
        <f t="shared" si="1430"/>
        <v>0</v>
      </c>
      <c r="M1135" s="276">
        <f t="shared" si="1431"/>
        <v>0</v>
      </c>
      <c r="N1135" s="341" t="str">
        <f t="shared" si="1427"/>
        <v>-</v>
      </c>
      <c r="O1135" s="350" t="str">
        <f t="shared" si="1384"/>
        <v>-</v>
      </c>
    </row>
    <row r="1136" spans="1:15" ht="24" thickBot="1" x14ac:dyDescent="0.35">
      <c r="A1136" s="277" t="s">
        <v>108</v>
      </c>
      <c r="B1136" s="977"/>
      <c r="C1136" s="307"/>
      <c r="D1136" s="308" t="s">
        <v>54</v>
      </c>
      <c r="E1136" s="309">
        <f>SUM(E1133)</f>
        <v>500000</v>
      </c>
      <c r="F1136" s="310">
        <v>50000</v>
      </c>
      <c r="G1136" s="369">
        <f>SUM(G1133:G1135)</f>
        <v>0</v>
      </c>
      <c r="H1136" s="368">
        <f t="shared" ref="H1136:I1136" si="1432">SUM(H1133:H1135)</f>
        <v>0</v>
      </c>
      <c r="I1136" s="368">
        <f t="shared" si="1432"/>
        <v>0</v>
      </c>
      <c r="J1136" s="359">
        <f>+G1136/F1136</f>
        <v>0</v>
      </c>
      <c r="K1136" s="369">
        <f t="shared" ref="K1136:M1136" si="1433">SUM(K1133:K1135)</f>
        <v>9638</v>
      </c>
      <c r="L1136" s="368">
        <f t="shared" si="1433"/>
        <v>9360</v>
      </c>
      <c r="M1136" s="370">
        <f t="shared" si="1433"/>
        <v>278</v>
      </c>
      <c r="N1136" s="358">
        <f t="shared" si="1427"/>
        <v>1.9276000000000001E-2</v>
      </c>
      <c r="O1136" s="359">
        <f t="shared" si="1384"/>
        <v>2.8844158539116E-2</v>
      </c>
    </row>
    <row r="1137" spans="1:15" ht="24" thickBot="1" x14ac:dyDescent="0.35">
      <c r="A1137" s="277" t="s">
        <v>108</v>
      </c>
      <c r="B1137" s="978" t="s">
        <v>171</v>
      </c>
      <c r="C1137" s="979"/>
      <c r="D1137" s="980"/>
      <c r="E1137" s="311">
        <f>+E1136+E1132</f>
        <v>500000</v>
      </c>
      <c r="F1137" s="312">
        <v>50000</v>
      </c>
      <c r="G1137" s="372">
        <f>+G1132+G1136</f>
        <v>0</v>
      </c>
      <c r="H1137" s="371">
        <f t="shared" ref="H1137:I1137" si="1434">+H1132+H1136</f>
        <v>0</v>
      </c>
      <c r="I1137" s="371">
        <f t="shared" si="1434"/>
        <v>0</v>
      </c>
      <c r="J1137" s="361">
        <f>+G1137/F1137</f>
        <v>0</v>
      </c>
      <c r="K1137" s="372">
        <f t="shared" ref="K1137:M1137" si="1435">+K1132+K1136</f>
        <v>179405</v>
      </c>
      <c r="L1137" s="371">
        <f t="shared" si="1435"/>
        <v>174096</v>
      </c>
      <c r="M1137" s="373">
        <f t="shared" si="1435"/>
        <v>5309</v>
      </c>
      <c r="N1137" s="360">
        <f t="shared" si="1427"/>
        <v>0.35881000000000002</v>
      </c>
      <c r="O1137" s="361">
        <f t="shared" si="1384"/>
        <v>2.9592263314846299E-2</v>
      </c>
    </row>
    <row r="1138" spans="1:15" ht="24" thickBot="1" x14ac:dyDescent="0.35">
      <c r="A1138" s="277" t="s">
        <v>108</v>
      </c>
      <c r="B1138" s="608" t="s">
        <v>32</v>
      </c>
      <c r="C1138" s="828"/>
      <c r="D1138" s="313" t="s">
        <v>32</v>
      </c>
      <c r="E1138" s="290">
        <v>0</v>
      </c>
      <c r="F1138" s="291">
        <v>110000</v>
      </c>
      <c r="G1138" s="338">
        <f t="shared" ref="G1138" si="1436">+H1138+I1138</f>
        <v>0</v>
      </c>
      <c r="H1138" s="292"/>
      <c r="I1138" s="292"/>
      <c r="J1138" s="357" t="str">
        <f>IFERROR(G1138/#REF!,"-")</f>
        <v>-</v>
      </c>
      <c r="K1138" s="338">
        <f>+L1138+M1138</f>
        <v>0</v>
      </c>
      <c r="L1138" s="292">
        <f>+H1138+L1032</f>
        <v>0</v>
      </c>
      <c r="M1138" s="293">
        <f>+I1138+M1032</f>
        <v>0</v>
      </c>
      <c r="N1138" s="343" t="str">
        <f t="shared" si="1427"/>
        <v>-</v>
      </c>
      <c r="O1138" s="351" t="str">
        <f t="shared" si="1384"/>
        <v>-</v>
      </c>
    </row>
    <row r="1139" spans="1:15" ht="24" thickBot="1" x14ac:dyDescent="0.35">
      <c r="A1139" s="277" t="s">
        <v>108</v>
      </c>
      <c r="B1139" s="981" t="s">
        <v>21</v>
      </c>
      <c r="C1139" s="982"/>
      <c r="D1139" s="983"/>
      <c r="E1139" s="329">
        <f>+E1128+E1137+E1138</f>
        <v>3112056</v>
      </c>
      <c r="F1139" s="330">
        <f>+F1128+F1137+F1138</f>
        <v>400000</v>
      </c>
      <c r="G1139" s="329">
        <f>+G1128+G1137+G1138</f>
        <v>164553</v>
      </c>
      <c r="H1139" s="327">
        <f>+H1128+H1137+H1138</f>
        <v>163098</v>
      </c>
      <c r="I1139" s="327">
        <f>+I1128+I1137+I1138</f>
        <v>1455</v>
      </c>
      <c r="J1139" s="352">
        <f>+G1139/F1139</f>
        <v>0.41138249999999998</v>
      </c>
      <c r="K1139" s="329">
        <f>+K1128+K1137+K1138</f>
        <v>1926815</v>
      </c>
      <c r="L1139" s="327">
        <f>+L1128+L1137+L1138</f>
        <v>1896264</v>
      </c>
      <c r="M1139" s="328">
        <f>+M1128+M1137+M1138</f>
        <v>30551</v>
      </c>
      <c r="N1139" s="344">
        <f t="shared" si="1427"/>
        <v>0.61914534956954503</v>
      </c>
      <c r="O1139" s="352">
        <f t="shared" si="1384"/>
        <v>1.585569969094075E-2</v>
      </c>
    </row>
    <row r="1140" spans="1:15" ht="24" thickBot="1" x14ac:dyDescent="0.35">
      <c r="A1140" s="277" t="s">
        <v>108</v>
      </c>
      <c r="B1140" s="984" t="s">
        <v>179</v>
      </c>
      <c r="C1140" s="962"/>
      <c r="D1140" s="963"/>
      <c r="E1140" s="333">
        <f>+E1139</f>
        <v>3112056</v>
      </c>
      <c r="F1140" s="334">
        <f t="shared" ref="F1140:I1140" si="1437">+F1139</f>
        <v>400000</v>
      </c>
      <c r="G1140" s="333">
        <f t="shared" si="1437"/>
        <v>164553</v>
      </c>
      <c r="H1140" s="331">
        <f t="shared" si="1437"/>
        <v>163098</v>
      </c>
      <c r="I1140" s="331">
        <f t="shared" si="1437"/>
        <v>1455</v>
      </c>
      <c r="J1140" s="353">
        <f>+J1139</f>
        <v>0.41138249999999998</v>
      </c>
      <c r="K1140" s="333">
        <f>+K1139</f>
        <v>1926815</v>
      </c>
      <c r="L1140" s="331">
        <f t="shared" ref="L1140" si="1438">+L1139</f>
        <v>1896264</v>
      </c>
      <c r="M1140" s="332">
        <f>+M1139</f>
        <v>30551</v>
      </c>
      <c r="N1140" s="345">
        <f t="shared" ref="N1140:O1140" si="1439">+N1139</f>
        <v>0.61914534956954503</v>
      </c>
      <c r="O1140" s="353">
        <f t="shared" si="1439"/>
        <v>1.585569969094075E-2</v>
      </c>
    </row>
    <row r="1141" spans="1:15" ht="23.4" x14ac:dyDescent="0.3">
      <c r="A1141" s="271" t="s">
        <v>109</v>
      </c>
      <c r="B1141" s="970" t="s">
        <v>482</v>
      </c>
      <c r="C1141" s="314" t="s">
        <v>120</v>
      </c>
      <c r="D1141" s="314"/>
      <c r="E1141" s="273">
        <v>34000</v>
      </c>
      <c r="F1141" s="274"/>
      <c r="G1141" s="335">
        <f t="shared" ref="G1141:G1143" si="1440">+H1141+I1141</f>
        <v>0</v>
      </c>
      <c r="H1141" s="275"/>
      <c r="I1141" s="275"/>
      <c r="J1141" s="354" t="str">
        <f>IFERROR(G1141/#REF!,"-")</f>
        <v>-</v>
      </c>
      <c r="K1141" s="335">
        <f t="shared" ref="K1141:K1143" si="1441">+L1141+M1141</f>
        <v>0</v>
      </c>
      <c r="L1141" s="275">
        <f t="shared" ref="L1141:L1143" si="1442">+H1141+L1035</f>
        <v>0</v>
      </c>
      <c r="M1141" s="276">
        <f t="shared" ref="M1141:M1143" si="1443">+I1141+M1035</f>
        <v>0</v>
      </c>
      <c r="N1141" s="339">
        <f t="shared" ref="N1141:N1148" si="1444">IFERROR(K1141/E1141,"-")</f>
        <v>0</v>
      </c>
      <c r="O1141" s="349" t="str">
        <f t="shared" ref="O1141:O1166" si="1445">IFERROR(M1141/K1141,"-")</f>
        <v>-</v>
      </c>
    </row>
    <row r="1142" spans="1:15" ht="23.4" x14ac:dyDescent="0.3">
      <c r="A1142" s="277" t="s">
        <v>109</v>
      </c>
      <c r="B1142" s="972"/>
      <c r="C1142" s="315" t="s">
        <v>267</v>
      </c>
      <c r="D1142" s="315"/>
      <c r="E1142" s="279">
        <v>0</v>
      </c>
      <c r="F1142" s="280"/>
      <c r="G1142" s="336">
        <f t="shared" si="1440"/>
        <v>0</v>
      </c>
      <c r="H1142" s="281"/>
      <c r="I1142" s="281"/>
      <c r="J1142" s="355" t="str">
        <f>IFERROR(G1142/#REF!,"-")</f>
        <v>-</v>
      </c>
      <c r="K1142" s="336">
        <f t="shared" si="1441"/>
        <v>12672</v>
      </c>
      <c r="L1142" s="275">
        <f t="shared" si="1442"/>
        <v>12480</v>
      </c>
      <c r="M1142" s="276">
        <f t="shared" si="1443"/>
        <v>192</v>
      </c>
      <c r="N1142" s="340" t="str">
        <f t="shared" si="1444"/>
        <v>-</v>
      </c>
      <c r="O1142" s="264">
        <f t="shared" si="1445"/>
        <v>1.5151515151515152E-2</v>
      </c>
    </row>
    <row r="1143" spans="1:15" ht="24" thickBot="1" x14ac:dyDescent="0.35">
      <c r="A1143" s="277" t="s">
        <v>109</v>
      </c>
      <c r="B1143" s="971"/>
      <c r="C1143" s="316" t="s">
        <v>34</v>
      </c>
      <c r="D1143" s="316"/>
      <c r="E1143" s="283">
        <v>0</v>
      </c>
      <c r="F1143" s="284"/>
      <c r="G1143" s="337">
        <f t="shared" si="1440"/>
        <v>0</v>
      </c>
      <c r="H1143" s="285"/>
      <c r="I1143" s="285"/>
      <c r="J1143" s="356" t="str">
        <f>IFERROR(G1143/#REF!,"-")</f>
        <v>-</v>
      </c>
      <c r="K1143" s="337">
        <f t="shared" si="1441"/>
        <v>0</v>
      </c>
      <c r="L1143" s="275">
        <f t="shared" si="1442"/>
        <v>0</v>
      </c>
      <c r="M1143" s="276">
        <f t="shared" si="1443"/>
        <v>0</v>
      </c>
      <c r="N1143" s="341" t="str">
        <f t="shared" si="1444"/>
        <v>-</v>
      </c>
      <c r="O1143" s="350" t="str">
        <f t="shared" si="1445"/>
        <v>-</v>
      </c>
    </row>
    <row r="1144" spans="1:15" ht="24" thickBot="1" x14ac:dyDescent="0.35">
      <c r="A1144" s="277" t="s">
        <v>109</v>
      </c>
      <c r="B1144" s="967" t="s">
        <v>35</v>
      </c>
      <c r="C1144" s="968"/>
      <c r="D1144" s="969"/>
      <c r="E1144" s="287">
        <f>SUM(E1141:E1143)</f>
        <v>34000</v>
      </c>
      <c r="F1144" s="288">
        <v>6500</v>
      </c>
      <c r="G1144" s="323">
        <f>SUM(G1141:G1143)</f>
        <v>0</v>
      </c>
      <c r="H1144" s="324">
        <f t="shared" ref="H1144:I1144" si="1446">SUM(H1141:H1143)</f>
        <v>0</v>
      </c>
      <c r="I1144" s="324">
        <f t="shared" si="1446"/>
        <v>0</v>
      </c>
      <c r="J1144" s="348" t="str">
        <f>IFERROR(G1144/#REF!,"-")</f>
        <v>-</v>
      </c>
      <c r="K1144" s="323">
        <f t="shared" ref="K1144:M1144" si="1447">SUM(K1141:K1143)</f>
        <v>12672</v>
      </c>
      <c r="L1144" s="324">
        <f t="shared" si="1447"/>
        <v>12480</v>
      </c>
      <c r="M1144" s="325">
        <f t="shared" si="1447"/>
        <v>192</v>
      </c>
      <c r="N1144" s="342">
        <f t="shared" si="1444"/>
        <v>0.37270588235294116</v>
      </c>
      <c r="O1144" s="348">
        <f t="shared" si="1445"/>
        <v>1.5151515151515152E-2</v>
      </c>
    </row>
    <row r="1145" spans="1:15" ht="23.4" x14ac:dyDescent="0.3">
      <c r="A1145" s="277" t="s">
        <v>109</v>
      </c>
      <c r="B1145" s="970" t="s">
        <v>36</v>
      </c>
      <c r="C1145" s="314" t="s">
        <v>120</v>
      </c>
      <c r="D1145" s="314"/>
      <c r="E1145" s="273">
        <v>64360</v>
      </c>
      <c r="F1145" s="274"/>
      <c r="G1145" s="335">
        <f t="shared" ref="G1145:G1148" si="1448">+H1145+I1145</f>
        <v>0</v>
      </c>
      <c r="H1145" s="275"/>
      <c r="I1145" s="275"/>
      <c r="J1145" s="354" t="str">
        <f>IFERROR(G1145/#REF!,"-")</f>
        <v>-</v>
      </c>
      <c r="K1145" s="335">
        <f t="shared" ref="K1145:K1148" si="1449">+L1145+M1145</f>
        <v>0</v>
      </c>
      <c r="L1145" s="275">
        <f t="shared" ref="L1145:L1148" si="1450">+H1145+L1039</f>
        <v>0</v>
      </c>
      <c r="M1145" s="276">
        <f t="shared" ref="M1145:M1148" si="1451">+I1145+M1039</f>
        <v>0</v>
      </c>
      <c r="N1145" s="339">
        <f t="shared" si="1444"/>
        <v>0</v>
      </c>
      <c r="O1145" s="349" t="str">
        <f t="shared" si="1445"/>
        <v>-</v>
      </c>
    </row>
    <row r="1146" spans="1:15" ht="23.4" x14ac:dyDescent="0.3">
      <c r="A1146" s="277" t="s">
        <v>109</v>
      </c>
      <c r="B1146" s="972"/>
      <c r="C1146" s="315" t="s">
        <v>267</v>
      </c>
      <c r="D1146" s="315"/>
      <c r="E1146" s="279">
        <v>0</v>
      </c>
      <c r="F1146" s="280"/>
      <c r="G1146" s="336">
        <f t="shared" si="1448"/>
        <v>6222</v>
      </c>
      <c r="H1146" s="281">
        <v>6080</v>
      </c>
      <c r="I1146" s="281">
        <v>142</v>
      </c>
      <c r="J1146" s="355" t="str">
        <f>IFERROR(G1146/#REF!,"-")</f>
        <v>-</v>
      </c>
      <c r="K1146" s="336">
        <f t="shared" si="1449"/>
        <v>12667</v>
      </c>
      <c r="L1146" s="275">
        <f t="shared" si="1450"/>
        <v>12360</v>
      </c>
      <c r="M1146" s="276">
        <f t="shared" si="1451"/>
        <v>307</v>
      </c>
      <c r="N1146" s="340" t="str">
        <f t="shared" si="1444"/>
        <v>-</v>
      </c>
      <c r="O1146" s="264">
        <f t="shared" si="1445"/>
        <v>2.4236204310412884E-2</v>
      </c>
    </row>
    <row r="1147" spans="1:15" ht="23.4" x14ac:dyDescent="0.3">
      <c r="A1147" s="277" t="s">
        <v>109</v>
      </c>
      <c r="B1147" s="972"/>
      <c r="C1147" s="315" t="s">
        <v>198</v>
      </c>
      <c r="D1147" s="315"/>
      <c r="E1147" s="279">
        <v>0</v>
      </c>
      <c r="F1147" s="280"/>
      <c r="G1147" s="336">
        <f t="shared" si="1448"/>
        <v>0</v>
      </c>
      <c r="H1147" s="281"/>
      <c r="I1147" s="281"/>
      <c r="J1147" s="355" t="str">
        <f>IFERROR(G1147/#REF!,"-")</f>
        <v>-</v>
      </c>
      <c r="K1147" s="336">
        <f t="shared" si="1449"/>
        <v>0</v>
      </c>
      <c r="L1147" s="275">
        <f t="shared" si="1450"/>
        <v>0</v>
      </c>
      <c r="M1147" s="276">
        <f t="shared" si="1451"/>
        <v>0</v>
      </c>
      <c r="N1147" s="340" t="str">
        <f t="shared" si="1444"/>
        <v>-</v>
      </c>
      <c r="O1147" s="264" t="str">
        <f t="shared" si="1445"/>
        <v>-</v>
      </c>
    </row>
    <row r="1148" spans="1:15" ht="24" thickBot="1" x14ac:dyDescent="0.35">
      <c r="A1148" s="277" t="s">
        <v>109</v>
      </c>
      <c r="B1148" s="971"/>
      <c r="C1148" s="316" t="s">
        <v>37</v>
      </c>
      <c r="D1148" s="316"/>
      <c r="E1148" s="283">
        <v>0</v>
      </c>
      <c r="F1148" s="284"/>
      <c r="G1148" s="337">
        <f t="shared" si="1448"/>
        <v>0</v>
      </c>
      <c r="H1148" s="285"/>
      <c r="I1148" s="285"/>
      <c r="J1148" s="356" t="str">
        <f>IFERROR(G1148/#REF!,"-")</f>
        <v>-</v>
      </c>
      <c r="K1148" s="337">
        <f t="shared" si="1449"/>
        <v>0</v>
      </c>
      <c r="L1148" s="275">
        <f t="shared" si="1450"/>
        <v>0</v>
      </c>
      <c r="M1148" s="276">
        <f t="shared" si="1451"/>
        <v>0</v>
      </c>
      <c r="N1148" s="341" t="str">
        <f t="shared" si="1444"/>
        <v>-</v>
      </c>
      <c r="O1148" s="350" t="str">
        <f t="shared" si="1445"/>
        <v>-</v>
      </c>
    </row>
    <row r="1149" spans="1:15" ht="24" thickBot="1" x14ac:dyDescent="0.35">
      <c r="A1149" s="277" t="s">
        <v>109</v>
      </c>
      <c r="B1149" s="967" t="s">
        <v>38</v>
      </c>
      <c r="C1149" s="968"/>
      <c r="D1149" s="969"/>
      <c r="E1149" s="287">
        <f>SUM(E1145:E1148)</f>
        <v>64360</v>
      </c>
      <c r="F1149" s="288">
        <v>6500</v>
      </c>
      <c r="G1149" s="323">
        <f>SUM(G1145:G1148)</f>
        <v>6222</v>
      </c>
      <c r="H1149" s="324">
        <f t="shared" ref="H1149:I1149" si="1452">SUM(H1145:H1148)</f>
        <v>6080</v>
      </c>
      <c r="I1149" s="324">
        <f t="shared" si="1452"/>
        <v>142</v>
      </c>
      <c r="J1149" s="348" t="str">
        <f>IFERROR(G1149/#REF!,"-")</f>
        <v>-</v>
      </c>
      <c r="K1149" s="323">
        <f t="shared" ref="K1149:M1149" si="1453">SUM(K1145:K1148)</f>
        <v>12667</v>
      </c>
      <c r="L1149" s="324">
        <f t="shared" si="1453"/>
        <v>12360</v>
      </c>
      <c r="M1149" s="325">
        <f t="shared" si="1453"/>
        <v>307</v>
      </c>
      <c r="N1149" s="342">
        <f>IFERROR(K1149/E1149,"-")</f>
        <v>0.19681479179614667</v>
      </c>
      <c r="O1149" s="348">
        <f t="shared" si="1445"/>
        <v>2.4236204310412884E-2</v>
      </c>
    </row>
    <row r="1150" spans="1:15" ht="23.4" x14ac:dyDescent="0.3">
      <c r="A1150" s="277" t="s">
        <v>109</v>
      </c>
      <c r="B1150" s="970" t="s">
        <v>483</v>
      </c>
      <c r="C1150" s="317" t="s">
        <v>123</v>
      </c>
      <c r="D1150" s="317"/>
      <c r="E1150" s="273">
        <v>39800</v>
      </c>
      <c r="F1150" s="274"/>
      <c r="G1150" s="335">
        <f t="shared" ref="G1150:G1151" si="1454">+H1150+I1150</f>
        <v>0</v>
      </c>
      <c r="H1150" s="275"/>
      <c r="I1150" s="275"/>
      <c r="J1150" s="354" t="str">
        <f>IFERROR(G1150/#REF!,"-")</f>
        <v>-</v>
      </c>
      <c r="K1150" s="335">
        <f t="shared" ref="K1150:K1151" si="1455">+L1150+M1150</f>
        <v>144</v>
      </c>
      <c r="L1150" s="275">
        <f>+H1150+L1044</f>
        <v>144</v>
      </c>
      <c r="M1150" s="276">
        <f>+I1150+M1044</f>
        <v>0</v>
      </c>
      <c r="N1150" s="339">
        <f t="shared" ref="N1150:N1166" si="1456">IFERROR(K1150/E1150,"-")</f>
        <v>3.6180904522613066E-3</v>
      </c>
      <c r="O1150" s="349">
        <f t="shared" si="1445"/>
        <v>0</v>
      </c>
    </row>
    <row r="1151" spans="1:15" ht="24" thickBot="1" x14ac:dyDescent="0.35">
      <c r="A1151" s="277" t="s">
        <v>109</v>
      </c>
      <c r="B1151" s="971"/>
      <c r="C1151" s="289" t="s">
        <v>139</v>
      </c>
      <c r="D1151" s="289"/>
      <c r="E1151" s="283">
        <v>0</v>
      </c>
      <c r="F1151" s="284"/>
      <c r="G1151" s="337">
        <f t="shared" si="1454"/>
        <v>0</v>
      </c>
      <c r="H1151" s="285"/>
      <c r="I1151" s="285"/>
      <c r="J1151" s="356" t="str">
        <f>IFERROR(G1151/#REF!,"-")</f>
        <v>-</v>
      </c>
      <c r="K1151" s="337">
        <f t="shared" si="1455"/>
        <v>240</v>
      </c>
      <c r="L1151" s="275">
        <f>+H1151+L1045</f>
        <v>240</v>
      </c>
      <c r="M1151" s="276">
        <f>+I1151+M1045</f>
        <v>0</v>
      </c>
      <c r="N1151" s="341" t="str">
        <f t="shared" si="1456"/>
        <v>-</v>
      </c>
      <c r="O1151" s="350">
        <f t="shared" si="1445"/>
        <v>0</v>
      </c>
    </row>
    <row r="1152" spans="1:15" ht="24" thickBot="1" x14ac:dyDescent="0.35">
      <c r="A1152" s="832" t="s">
        <v>109</v>
      </c>
      <c r="B1152" s="967" t="s">
        <v>40</v>
      </c>
      <c r="C1152" s="968"/>
      <c r="D1152" s="969"/>
      <c r="E1152" s="287">
        <f>SUM(E1150:E1151)</f>
        <v>39800</v>
      </c>
      <c r="F1152" s="288">
        <v>2800</v>
      </c>
      <c r="G1152" s="323">
        <f>SUM(G1150:G1151)</f>
        <v>0</v>
      </c>
      <c r="H1152" s="324">
        <f t="shared" ref="H1152:I1152" si="1457">SUM(H1150:H1151)</f>
        <v>0</v>
      </c>
      <c r="I1152" s="324">
        <f t="shared" si="1457"/>
        <v>0</v>
      </c>
      <c r="J1152" s="348" t="str">
        <f>IFERROR(G1152/#REF!,"-")</f>
        <v>-</v>
      </c>
      <c r="K1152" s="323">
        <f t="shared" ref="K1152:M1152" si="1458">SUM(K1150:K1151)</f>
        <v>384</v>
      </c>
      <c r="L1152" s="324">
        <f t="shared" si="1458"/>
        <v>384</v>
      </c>
      <c r="M1152" s="325">
        <f t="shared" si="1458"/>
        <v>0</v>
      </c>
      <c r="N1152" s="342">
        <f t="shared" si="1456"/>
        <v>9.6482412060301514E-3</v>
      </c>
      <c r="O1152" s="348">
        <f t="shared" si="1445"/>
        <v>0</v>
      </c>
    </row>
    <row r="1153" spans="1:15" ht="23.4" x14ac:dyDescent="0.3">
      <c r="A1153" s="277" t="s">
        <v>109</v>
      </c>
      <c r="B1153" s="970" t="s">
        <v>484</v>
      </c>
      <c r="C1153" s="272" t="s">
        <v>335</v>
      </c>
      <c r="D1153" s="272"/>
      <c r="E1153" s="273">
        <v>916640</v>
      </c>
      <c r="F1153" s="318"/>
      <c r="G1153" s="335">
        <f t="shared" ref="G1153:G1157" si="1459">+H1153+I1153</f>
        <v>28107</v>
      </c>
      <c r="H1153" s="275">
        <v>27612</v>
      </c>
      <c r="I1153" s="275">
        <v>495</v>
      </c>
      <c r="J1153" s="374" t="str">
        <f>IFERROR(G1153/#REF!,"-")</f>
        <v>-</v>
      </c>
      <c r="K1153" s="335">
        <f t="shared" ref="K1153:K1157" si="1460">+L1153+M1153</f>
        <v>225287</v>
      </c>
      <c r="L1153" s="275">
        <f t="shared" ref="L1153:L1157" si="1461">+H1153+L1047</f>
        <v>221904</v>
      </c>
      <c r="M1153" s="275">
        <f t="shared" ref="M1153:M1157" si="1462">+I1153+M1047</f>
        <v>3383</v>
      </c>
      <c r="N1153" s="362">
        <f t="shared" si="1456"/>
        <v>0.24577478617559784</v>
      </c>
      <c r="O1153" s="363">
        <f t="shared" si="1445"/>
        <v>1.5016401301451038E-2</v>
      </c>
    </row>
    <row r="1154" spans="1:15" ht="23.4" x14ac:dyDescent="0.3">
      <c r="A1154" s="277" t="s">
        <v>109</v>
      </c>
      <c r="B1154" s="972"/>
      <c r="C1154" s="272" t="s">
        <v>336</v>
      </c>
      <c r="D1154" s="278"/>
      <c r="E1154" s="279">
        <v>0</v>
      </c>
      <c r="F1154" s="319"/>
      <c r="G1154" s="336">
        <f t="shared" si="1459"/>
        <v>0</v>
      </c>
      <c r="H1154" s="281"/>
      <c r="I1154" s="281"/>
      <c r="J1154" s="375" t="str">
        <f>IFERROR(G1154/#REF!,"-")</f>
        <v>-</v>
      </c>
      <c r="K1154" s="336">
        <f t="shared" si="1460"/>
        <v>0</v>
      </c>
      <c r="L1154" s="275">
        <f t="shared" si="1461"/>
        <v>0</v>
      </c>
      <c r="M1154" s="276">
        <f t="shared" si="1462"/>
        <v>0</v>
      </c>
      <c r="N1154" s="364" t="str">
        <f t="shared" si="1456"/>
        <v>-</v>
      </c>
      <c r="O1154" s="365" t="str">
        <f t="shared" si="1445"/>
        <v>-</v>
      </c>
    </row>
    <row r="1155" spans="1:15" ht="23.4" x14ac:dyDescent="0.3">
      <c r="A1155" s="277" t="s">
        <v>109</v>
      </c>
      <c r="B1155" s="972"/>
      <c r="C1155" s="278" t="s">
        <v>383</v>
      </c>
      <c r="D1155" s="278"/>
      <c r="E1155" s="279">
        <v>40000</v>
      </c>
      <c r="F1155" s="319"/>
      <c r="G1155" s="336">
        <f t="shared" si="1459"/>
        <v>0</v>
      </c>
      <c r="H1155" s="281"/>
      <c r="I1155" s="281"/>
      <c r="J1155" s="375" t="str">
        <f>IFERROR(G1155/#REF!,"-")</f>
        <v>-</v>
      </c>
      <c r="K1155" s="336">
        <f t="shared" si="1460"/>
        <v>0</v>
      </c>
      <c r="L1155" s="275">
        <f t="shared" si="1461"/>
        <v>0</v>
      </c>
      <c r="M1155" s="276">
        <f t="shared" si="1462"/>
        <v>0</v>
      </c>
      <c r="N1155" s="364">
        <f t="shared" si="1456"/>
        <v>0</v>
      </c>
      <c r="O1155" s="365" t="str">
        <f t="shared" si="1445"/>
        <v>-</v>
      </c>
    </row>
    <row r="1156" spans="1:15" ht="23.4" x14ac:dyDescent="0.3">
      <c r="A1156" s="277" t="s">
        <v>109</v>
      </c>
      <c r="B1156" s="972"/>
      <c r="C1156" s="278" t="s">
        <v>165</v>
      </c>
      <c r="D1156" s="278"/>
      <c r="E1156" s="279">
        <v>0</v>
      </c>
      <c r="F1156" s="319"/>
      <c r="G1156" s="336">
        <f t="shared" si="1459"/>
        <v>0</v>
      </c>
      <c r="H1156" s="281"/>
      <c r="I1156" s="281"/>
      <c r="J1156" s="375" t="str">
        <f>IFERROR(G1156/#REF!,"-")</f>
        <v>-</v>
      </c>
      <c r="K1156" s="336">
        <f t="shared" si="1460"/>
        <v>0</v>
      </c>
      <c r="L1156" s="275">
        <f t="shared" si="1461"/>
        <v>0</v>
      </c>
      <c r="M1156" s="276">
        <f t="shared" si="1462"/>
        <v>0</v>
      </c>
      <c r="N1156" s="364" t="str">
        <f t="shared" si="1456"/>
        <v>-</v>
      </c>
      <c r="O1156" s="365" t="str">
        <f t="shared" si="1445"/>
        <v>-</v>
      </c>
    </row>
    <row r="1157" spans="1:15" ht="24" thickBot="1" x14ac:dyDescent="0.35">
      <c r="A1157" s="277" t="s">
        <v>109</v>
      </c>
      <c r="B1157" s="971"/>
      <c r="C1157" s="282" t="s">
        <v>166</v>
      </c>
      <c r="D1157" s="282"/>
      <c r="E1157" s="283">
        <v>0</v>
      </c>
      <c r="F1157" s="320"/>
      <c r="G1157" s="337">
        <f t="shared" si="1459"/>
        <v>0</v>
      </c>
      <c r="H1157" s="285"/>
      <c r="I1157" s="285"/>
      <c r="J1157" s="376" t="str">
        <f>IFERROR(G1157/#REF!,"-")</f>
        <v>-</v>
      </c>
      <c r="K1157" s="337">
        <f t="shared" si="1460"/>
        <v>0</v>
      </c>
      <c r="L1157" s="275">
        <f t="shared" si="1461"/>
        <v>0</v>
      </c>
      <c r="M1157" s="276">
        <f t="shared" si="1462"/>
        <v>0</v>
      </c>
      <c r="N1157" s="366" t="str">
        <f t="shared" si="1456"/>
        <v>-</v>
      </c>
      <c r="O1157" s="367" t="str">
        <f t="shared" si="1445"/>
        <v>-</v>
      </c>
    </row>
    <row r="1158" spans="1:15" ht="24" thickBot="1" x14ac:dyDescent="0.35">
      <c r="A1158" s="277" t="s">
        <v>109</v>
      </c>
      <c r="B1158" s="967" t="s">
        <v>42</v>
      </c>
      <c r="C1158" s="968"/>
      <c r="D1158" s="969"/>
      <c r="E1158" s="323">
        <f>SUM(E1153:E1157)</f>
        <v>956640</v>
      </c>
      <c r="F1158" s="288">
        <v>25000</v>
      </c>
      <c r="G1158" s="323">
        <f>SUM(G1153:G1157)</f>
        <v>28107</v>
      </c>
      <c r="H1158" s="324">
        <f>SUM(H1153:H1157)</f>
        <v>27612</v>
      </c>
      <c r="I1158" s="324">
        <f>SUM(I1153:I1157)</f>
        <v>495</v>
      </c>
      <c r="J1158" s="348" t="str">
        <f>IFERROR(G1158/#REF!,"-")</f>
        <v>-</v>
      </c>
      <c r="K1158" s="323">
        <f>SUM(K1153:K1157)</f>
        <v>225287</v>
      </c>
      <c r="L1158" s="324">
        <f>SUM(L1153:L1157)</f>
        <v>221904</v>
      </c>
      <c r="M1158" s="325">
        <f>SUM(M1153:M1157)</f>
        <v>3383</v>
      </c>
      <c r="N1158" s="342">
        <f t="shared" si="1456"/>
        <v>0.235498202040475</v>
      </c>
      <c r="O1158" s="348">
        <f t="shared" si="1445"/>
        <v>1.5016401301451038E-2</v>
      </c>
    </row>
    <row r="1159" spans="1:15" ht="23.4" x14ac:dyDescent="0.3">
      <c r="A1159" s="277" t="s">
        <v>109</v>
      </c>
      <c r="B1159" s="970" t="s">
        <v>485</v>
      </c>
      <c r="C1159" s="272" t="s">
        <v>200</v>
      </c>
      <c r="D1159" s="272"/>
      <c r="E1159" s="273">
        <v>0</v>
      </c>
      <c r="F1159" s="274"/>
      <c r="G1159" s="335">
        <f t="shared" ref="G1159:G1161" si="1463">+H1159+I1159</f>
        <v>0</v>
      </c>
      <c r="H1159" s="275"/>
      <c r="I1159" s="275"/>
      <c r="J1159" s="354" t="str">
        <f>IFERROR(G1159/#REF!,"-")</f>
        <v>-</v>
      </c>
      <c r="K1159" s="335">
        <f t="shared" ref="K1159:K1161" si="1464">+L1159+M1159</f>
        <v>0</v>
      </c>
      <c r="L1159" s="275">
        <f t="shared" ref="L1159:L1161" si="1465">+H1159+L1053</f>
        <v>0</v>
      </c>
      <c r="M1159" s="276">
        <f t="shared" ref="M1159:M1161" si="1466">+I1159+M1053</f>
        <v>0</v>
      </c>
      <c r="N1159" s="339" t="str">
        <f t="shared" si="1456"/>
        <v>-</v>
      </c>
      <c r="O1159" s="349" t="str">
        <f t="shared" si="1445"/>
        <v>-</v>
      </c>
    </row>
    <row r="1160" spans="1:15" ht="23.4" x14ac:dyDescent="0.3">
      <c r="A1160" s="277" t="s">
        <v>109</v>
      </c>
      <c r="B1160" s="972"/>
      <c r="C1160" s="278" t="s">
        <v>167</v>
      </c>
      <c r="D1160" s="278"/>
      <c r="E1160" s="279">
        <v>50000</v>
      </c>
      <c r="F1160" s="280"/>
      <c r="G1160" s="336">
        <f t="shared" si="1463"/>
        <v>6235</v>
      </c>
      <c r="H1160" s="281">
        <v>5760</v>
      </c>
      <c r="I1160" s="281">
        <v>475</v>
      </c>
      <c r="J1160" s="375" t="str">
        <f>IFERROR(G1160/#REF!,"-")</f>
        <v>-</v>
      </c>
      <c r="K1160" s="336">
        <f t="shared" si="1464"/>
        <v>118110</v>
      </c>
      <c r="L1160" s="794">
        <f t="shared" si="1465"/>
        <v>114576</v>
      </c>
      <c r="M1160" s="276">
        <f t="shared" si="1466"/>
        <v>3534</v>
      </c>
      <c r="N1160" s="364">
        <f t="shared" si="1456"/>
        <v>2.3622000000000001</v>
      </c>
      <c r="O1160" s="365">
        <f t="shared" si="1445"/>
        <v>2.9921259842519685E-2</v>
      </c>
    </row>
    <row r="1161" spans="1:15" ht="24" thickBot="1" x14ac:dyDescent="0.35">
      <c r="A1161" s="277" t="s">
        <v>109</v>
      </c>
      <c r="B1161" s="971"/>
      <c r="C1161" s="282" t="s">
        <v>200</v>
      </c>
      <c r="D1161" s="282"/>
      <c r="E1161" s="283">
        <v>0</v>
      </c>
      <c r="F1161" s="284"/>
      <c r="G1161" s="337">
        <f t="shared" si="1463"/>
        <v>0</v>
      </c>
      <c r="H1161" s="285"/>
      <c r="I1161" s="285"/>
      <c r="J1161" s="376" t="str">
        <f>IFERROR(G1161/#REF!,"-")</f>
        <v>-</v>
      </c>
      <c r="K1161" s="337">
        <f t="shared" si="1464"/>
        <v>0</v>
      </c>
      <c r="L1161" s="275">
        <f t="shared" si="1465"/>
        <v>0</v>
      </c>
      <c r="M1161" s="276">
        <f t="shared" si="1466"/>
        <v>0</v>
      </c>
      <c r="N1161" s="366" t="str">
        <f t="shared" si="1456"/>
        <v>-</v>
      </c>
      <c r="O1161" s="367" t="str">
        <f t="shared" si="1445"/>
        <v>-</v>
      </c>
    </row>
    <row r="1162" spans="1:15" ht="24" thickBot="1" x14ac:dyDescent="0.35">
      <c r="A1162" s="277" t="s">
        <v>109</v>
      </c>
      <c r="B1162" s="973" t="s">
        <v>44</v>
      </c>
      <c r="C1162" s="974"/>
      <c r="D1162" s="975"/>
      <c r="E1162" s="323">
        <f>SUM(E1159:E1161)</f>
        <v>50000</v>
      </c>
      <c r="F1162" s="288"/>
      <c r="G1162" s="323">
        <f>SUM(G1159:G1161)</f>
        <v>6235</v>
      </c>
      <c r="H1162" s="324">
        <f t="shared" ref="H1162:I1162" si="1467">SUM(H1159:H1161)</f>
        <v>5760</v>
      </c>
      <c r="I1162" s="324">
        <f t="shared" si="1467"/>
        <v>475</v>
      </c>
      <c r="J1162" s="348" t="str">
        <f>IFERROR(G1162/#REF!,"-")</f>
        <v>-</v>
      </c>
      <c r="K1162" s="323">
        <f t="shared" ref="K1162:M1162" si="1468">SUM(K1159:K1161)</f>
        <v>118110</v>
      </c>
      <c r="L1162" s="368">
        <f t="shared" si="1468"/>
        <v>114576</v>
      </c>
      <c r="M1162" s="370">
        <f t="shared" si="1468"/>
        <v>3534</v>
      </c>
      <c r="N1162" s="342">
        <f t="shared" si="1456"/>
        <v>2.3622000000000001</v>
      </c>
      <c r="O1162" s="348">
        <f t="shared" si="1445"/>
        <v>2.9921259842519685E-2</v>
      </c>
    </row>
    <row r="1163" spans="1:15" ht="23.4" x14ac:dyDescent="0.3">
      <c r="A1163" s="277" t="s">
        <v>109</v>
      </c>
      <c r="B1163" s="970" t="s">
        <v>45</v>
      </c>
      <c r="C1163" s="272" t="s">
        <v>168</v>
      </c>
      <c r="D1163" s="272"/>
      <c r="E1163" s="273">
        <v>0</v>
      </c>
      <c r="F1163" s="274"/>
      <c r="G1163" s="335">
        <f t="shared" ref="G1163:G1164" si="1469">+H1163+I1163</f>
        <v>0</v>
      </c>
      <c r="H1163" s="275"/>
      <c r="I1163" s="275"/>
      <c r="J1163" s="374" t="str">
        <f>IFERROR(G1163/#REF!,"-")</f>
        <v>-</v>
      </c>
      <c r="K1163" s="739">
        <f t="shared" ref="K1163:K1164" si="1470">+L1163+M1163</f>
        <v>0</v>
      </c>
      <c r="L1163" s="532">
        <f>+H1163+L1057</f>
        <v>0</v>
      </c>
      <c r="M1163" s="247">
        <f>+I1163+M1057</f>
        <v>0</v>
      </c>
      <c r="N1163" s="362" t="str">
        <f t="shared" si="1456"/>
        <v>-</v>
      </c>
      <c r="O1163" s="363" t="str">
        <f t="shared" si="1445"/>
        <v>-</v>
      </c>
    </row>
    <row r="1164" spans="1:15" ht="24" thickBot="1" x14ac:dyDescent="0.35">
      <c r="A1164" s="277" t="s">
        <v>109</v>
      </c>
      <c r="B1164" s="971"/>
      <c r="C1164" s="282" t="s">
        <v>169</v>
      </c>
      <c r="D1164" s="282"/>
      <c r="E1164" s="283">
        <v>0</v>
      </c>
      <c r="F1164" s="284"/>
      <c r="G1164" s="337">
        <f t="shared" si="1469"/>
        <v>0</v>
      </c>
      <c r="H1164" s="285"/>
      <c r="I1164" s="285"/>
      <c r="J1164" s="376" t="str">
        <f>IFERROR(G1164/#REF!,"-")</f>
        <v>-</v>
      </c>
      <c r="K1164" s="740">
        <f t="shared" si="1470"/>
        <v>0</v>
      </c>
      <c r="L1164" s="535">
        <f>+H1164+L1058</f>
        <v>0</v>
      </c>
      <c r="M1164" s="258">
        <f>+I1164+M1058</f>
        <v>0</v>
      </c>
      <c r="N1164" s="366" t="str">
        <f t="shared" si="1456"/>
        <v>-</v>
      </c>
      <c r="O1164" s="367" t="str">
        <f t="shared" si="1445"/>
        <v>-</v>
      </c>
    </row>
    <row r="1165" spans="1:15" ht="24" thickBot="1" x14ac:dyDescent="0.35">
      <c r="A1165" s="277" t="s">
        <v>109</v>
      </c>
      <c r="B1165" s="973" t="s">
        <v>46</v>
      </c>
      <c r="C1165" s="974"/>
      <c r="D1165" s="975"/>
      <c r="E1165" s="287">
        <v>0</v>
      </c>
      <c r="F1165" s="288">
        <v>25000</v>
      </c>
      <c r="G1165" s="323">
        <f>SUM(G1163:G1164)</f>
        <v>0</v>
      </c>
      <c r="H1165" s="324">
        <f t="shared" ref="H1165:I1165" si="1471">SUM(H1163:H1164)</f>
        <v>0</v>
      </c>
      <c r="I1165" s="324">
        <f t="shared" si="1471"/>
        <v>0</v>
      </c>
      <c r="J1165" s="348" t="str">
        <f>IFERROR(G1165/#REF!,"-")</f>
        <v>-</v>
      </c>
      <c r="K1165" s="323">
        <f t="shared" ref="K1165:M1165" si="1472">SUM(K1163:K1164)</f>
        <v>0</v>
      </c>
      <c r="L1165" s="524">
        <f t="shared" si="1472"/>
        <v>0</v>
      </c>
      <c r="M1165" s="733">
        <f t="shared" si="1472"/>
        <v>0</v>
      </c>
      <c r="N1165" s="342" t="str">
        <f t="shared" si="1456"/>
        <v>-</v>
      </c>
      <c r="O1165" s="348" t="str">
        <f t="shared" si="1445"/>
        <v>-</v>
      </c>
    </row>
    <row r="1166" spans="1:15" ht="24" thickBot="1" x14ac:dyDescent="0.35">
      <c r="A1166" s="277" t="s">
        <v>109</v>
      </c>
      <c r="B1166" s="959" t="s">
        <v>25</v>
      </c>
      <c r="C1166" s="960"/>
      <c r="D1166" s="961"/>
      <c r="E1166" s="329">
        <f t="shared" ref="E1166:F1166" si="1473">+E1144+E1149+E1152+E1158+E1162+E1165</f>
        <v>1144800</v>
      </c>
      <c r="F1166" s="330">
        <f t="shared" si="1473"/>
        <v>65800</v>
      </c>
      <c r="G1166" s="329">
        <f>+G1144+G1149+G1152+G1158+G1162+G1165</f>
        <v>40564</v>
      </c>
      <c r="H1166" s="327">
        <f>+H1144+H1149+H1152+H1158+H1162+H1165</f>
        <v>39452</v>
      </c>
      <c r="I1166" s="327">
        <f t="shared" ref="I1166" si="1474">+I1144+I1149+I1152+I1158+I1162+I1165</f>
        <v>1112</v>
      </c>
      <c r="J1166" s="352" t="str">
        <f>IFERROR(G1166/#REF!,"-")</f>
        <v>-</v>
      </c>
      <c r="K1166" s="329">
        <f>+K1144+K1149+K1152+K1158+K1162+K1165</f>
        <v>369120</v>
      </c>
      <c r="L1166" s="327">
        <f t="shared" ref="L1166:M1166" si="1475">+L1144+L1149+L1152+L1158+L1162+L1165</f>
        <v>361704</v>
      </c>
      <c r="M1166" s="328">
        <f t="shared" si="1475"/>
        <v>7416</v>
      </c>
      <c r="N1166" s="344">
        <f t="shared" si="1456"/>
        <v>0.32243186582809225</v>
      </c>
      <c r="O1166" s="352">
        <f t="shared" si="1445"/>
        <v>2.0091027308192459E-2</v>
      </c>
    </row>
    <row r="1167" spans="1:15" ht="24" thickBot="1" x14ac:dyDescent="0.35">
      <c r="A1167" s="321" t="s">
        <v>109</v>
      </c>
      <c r="B1167" s="962" t="s">
        <v>181</v>
      </c>
      <c r="C1167" s="962"/>
      <c r="D1167" s="963"/>
      <c r="E1167" s="333">
        <f>+E1166</f>
        <v>1144800</v>
      </c>
      <c r="F1167" s="334">
        <f t="shared" ref="F1167:O1167" si="1476">+F1166</f>
        <v>65800</v>
      </c>
      <c r="G1167" s="333">
        <f t="shared" si="1476"/>
        <v>40564</v>
      </c>
      <c r="H1167" s="331">
        <f t="shared" si="1476"/>
        <v>39452</v>
      </c>
      <c r="I1167" s="331">
        <f t="shared" si="1476"/>
        <v>1112</v>
      </c>
      <c r="J1167" s="353" t="str">
        <f t="shared" si="1476"/>
        <v>-</v>
      </c>
      <c r="K1167" s="333">
        <f t="shared" si="1476"/>
        <v>369120</v>
      </c>
      <c r="L1167" s="331">
        <f t="shared" si="1476"/>
        <v>361704</v>
      </c>
      <c r="M1167" s="332">
        <f t="shared" si="1476"/>
        <v>7416</v>
      </c>
      <c r="N1167" s="345">
        <f t="shared" si="1476"/>
        <v>0.32243186582809225</v>
      </c>
      <c r="O1167" s="353">
        <f t="shared" si="1476"/>
        <v>2.0091027308192459E-2</v>
      </c>
    </row>
    <row r="1168" spans="1:15" ht="24.6" thickBot="1" x14ac:dyDescent="0.35">
      <c r="A1168" s="322"/>
      <c r="B1168" s="964" t="s">
        <v>182</v>
      </c>
      <c r="C1168" s="965"/>
      <c r="D1168" s="966"/>
      <c r="E1168" s="377">
        <f>+E1111+E1140+E1167</f>
        <v>10258981</v>
      </c>
      <c r="F1168" s="377">
        <f>+F1111+F1140+F1167</f>
        <v>1014800</v>
      </c>
      <c r="G1168" s="377">
        <f>+G1111+G1140+G1167</f>
        <v>373758</v>
      </c>
      <c r="H1168" s="377">
        <f>+H1111+H1140+H1167</f>
        <v>368927</v>
      </c>
      <c r="I1168" s="377">
        <f>+I1111+I1140+I1167</f>
        <v>4831</v>
      </c>
      <c r="J1168" s="378" t="str">
        <f>IFERROR(G1168/#REF!,"-")</f>
        <v>-</v>
      </c>
      <c r="K1168" s="377">
        <f>+K1111+K1140+K1167</f>
        <v>4274247</v>
      </c>
      <c r="L1168" s="377">
        <f>+L1111+L1140+L1167</f>
        <v>4226538</v>
      </c>
      <c r="M1168" s="377">
        <f>+M1111+M1140+M1167</f>
        <v>47709</v>
      </c>
      <c r="N1168" s="378">
        <f>IFERROR(K1168/E1168,"-")</f>
        <v>0.41663465406554512</v>
      </c>
      <c r="O1168" s="378">
        <f>IFERROR(M1168/K1168,"-")</f>
        <v>1.1161966072620511E-2</v>
      </c>
    </row>
    <row r="1169" spans="1:15" ht="23.4" x14ac:dyDescent="0.3">
      <c r="A1169" s="991" t="s">
        <v>1</v>
      </c>
      <c r="B1169" s="994" t="s">
        <v>2</v>
      </c>
      <c r="C1169" s="997" t="s">
        <v>477</v>
      </c>
      <c r="D1169" s="997" t="s">
        <v>478</v>
      </c>
      <c r="E1169" s="1000" t="s">
        <v>4</v>
      </c>
      <c r="F1169" s="1001"/>
      <c r="G1169" s="1001"/>
      <c r="H1169" s="1001"/>
      <c r="I1169" s="1001"/>
      <c r="J1169" s="1001"/>
      <c r="K1169" s="1001"/>
      <c r="L1169" s="1001"/>
      <c r="M1169" s="1001"/>
      <c r="N1169" s="1001"/>
      <c r="O1169" s="1002"/>
    </row>
    <row r="1170" spans="1:15" ht="23.4" x14ac:dyDescent="0.3">
      <c r="A1170" s="992"/>
      <c r="B1170" s="995"/>
      <c r="C1170" s="998"/>
      <c r="D1170" s="998"/>
      <c r="E1170" s="1003" t="s">
        <v>7</v>
      </c>
      <c r="F1170" s="1005" t="s">
        <v>115</v>
      </c>
      <c r="G1170" s="1007" t="s">
        <v>522</v>
      </c>
      <c r="H1170" s="1008"/>
      <c r="I1170" s="1008"/>
      <c r="J1170" s="1009"/>
      <c r="K1170" s="1010" t="s">
        <v>479</v>
      </c>
      <c r="L1170" s="1011"/>
      <c r="M1170" s="1012"/>
      <c r="N1170" s="1013" t="s">
        <v>480</v>
      </c>
      <c r="O1170" s="1015" t="s">
        <v>172</v>
      </c>
    </row>
    <row r="1171" spans="1:15" ht="41.4" thickBot="1" x14ac:dyDescent="0.35">
      <c r="A1171" s="993"/>
      <c r="B1171" s="996"/>
      <c r="C1171" s="999"/>
      <c r="D1171" s="999"/>
      <c r="E1171" s="1004"/>
      <c r="F1171" s="1006"/>
      <c r="G1171" s="455" t="s">
        <v>13</v>
      </c>
      <c r="H1171" s="456" t="s">
        <v>14</v>
      </c>
      <c r="I1171" s="456" t="s">
        <v>15</v>
      </c>
      <c r="J1171" s="457" t="s">
        <v>174</v>
      </c>
      <c r="K1171" s="712" t="s">
        <v>13</v>
      </c>
      <c r="L1171" s="710" t="s">
        <v>14</v>
      </c>
      <c r="M1171" s="711" t="s">
        <v>15</v>
      </c>
      <c r="N1171" s="1014"/>
      <c r="O1171" s="1016"/>
    </row>
    <row r="1172" spans="1:15" ht="24" thickBot="1" x14ac:dyDescent="0.35">
      <c r="A1172" s="271" t="s">
        <v>110</v>
      </c>
      <c r="B1172" s="956" t="s">
        <v>16</v>
      </c>
      <c r="C1172" s="272" t="s">
        <v>424</v>
      </c>
      <c r="D1172" s="272" t="s">
        <v>425</v>
      </c>
      <c r="E1172" s="273">
        <v>20000</v>
      </c>
      <c r="F1172" s="274"/>
      <c r="G1172" s="335">
        <f>+H1172+I1172</f>
        <v>0</v>
      </c>
      <c r="H1172" s="275"/>
      <c r="I1172" s="275"/>
      <c r="J1172" s="354"/>
      <c r="K1172" s="461">
        <f>+L1172+M1172</f>
        <v>20432</v>
      </c>
      <c r="L1172" s="732">
        <f>+H1172+L1066</f>
        <v>19840</v>
      </c>
      <c r="M1172" s="732">
        <f>+I1172+M1066</f>
        <v>592</v>
      </c>
      <c r="N1172" s="339">
        <f>IFERROR(K1172/E1172,"-")</f>
        <v>1.0216000000000001</v>
      </c>
      <c r="O1172" s="346">
        <f t="shared" ref="O1172:O1173" si="1477">IFERROR(M1172/K1172,"-")</f>
        <v>2.8974158183241974E-2</v>
      </c>
    </row>
    <row r="1173" spans="1:15" ht="23.4" x14ac:dyDescent="0.3">
      <c r="A1173" s="277" t="s">
        <v>110</v>
      </c>
      <c r="B1173" s="957"/>
      <c r="C1173" s="278" t="s">
        <v>438</v>
      </c>
      <c r="D1173" s="278" t="s">
        <v>437</v>
      </c>
      <c r="E1173" s="279">
        <v>50000</v>
      </c>
      <c r="F1173" s="280"/>
      <c r="G1173" s="336">
        <f t="shared" ref="G1173:G1175" si="1478">+H1173+I1173</f>
        <v>0</v>
      </c>
      <c r="H1173" s="281"/>
      <c r="I1173" s="281"/>
      <c r="J1173" s="355" t="str">
        <f>IFERROR(G1173/#REF!,"-")</f>
        <v>-</v>
      </c>
      <c r="K1173" s="734">
        <f t="shared" ref="K1173:K1175" si="1479">+L1173+M1173</f>
        <v>48806</v>
      </c>
      <c r="L1173" s="532">
        <f t="shared" ref="L1173:L1175" si="1480">+H1173+L1067</f>
        <v>48381</v>
      </c>
      <c r="M1173" s="463">
        <f t="shared" ref="M1173:M1175" si="1481">+I1173+M1067</f>
        <v>425</v>
      </c>
      <c r="N1173" s="340">
        <f t="shared" ref="N1173:N1175" si="1482">IFERROR(K1173/E1173,"-")</f>
        <v>0.97611999999999999</v>
      </c>
      <c r="O1173" s="268">
        <f t="shared" si="1477"/>
        <v>8.7079457443756912E-3</v>
      </c>
    </row>
    <row r="1174" spans="1:15" ht="23.4" x14ac:dyDescent="0.3">
      <c r="A1174" s="277" t="s">
        <v>110</v>
      </c>
      <c r="B1174" s="957"/>
      <c r="C1174" s="278" t="s">
        <v>186</v>
      </c>
      <c r="D1174" s="278" t="s">
        <v>184</v>
      </c>
      <c r="E1174" s="279">
        <v>0</v>
      </c>
      <c r="F1174" s="280"/>
      <c r="G1174" s="336">
        <f t="shared" si="1478"/>
        <v>0</v>
      </c>
      <c r="H1174" s="281"/>
      <c r="I1174" s="281"/>
      <c r="J1174" s="355" t="str">
        <f>IFERROR(G1174/#REF!,"-")</f>
        <v>-</v>
      </c>
      <c r="K1174" s="734">
        <f t="shared" si="1479"/>
        <v>0</v>
      </c>
      <c r="L1174" s="279">
        <f t="shared" si="1480"/>
        <v>0</v>
      </c>
      <c r="M1174" s="439">
        <f t="shared" si="1481"/>
        <v>0</v>
      </c>
      <c r="N1174" s="340" t="str">
        <f t="shared" si="1482"/>
        <v>-</v>
      </c>
      <c r="O1174" s="268" t="str">
        <f>IFERROR(M1174/K1174,"-")</f>
        <v>-</v>
      </c>
    </row>
    <row r="1175" spans="1:15" ht="24" thickBot="1" x14ac:dyDescent="0.35">
      <c r="A1175" s="277" t="s">
        <v>110</v>
      </c>
      <c r="B1175" s="958"/>
      <c r="C1175" s="282" t="s">
        <v>525</v>
      </c>
      <c r="D1175" s="282" t="s">
        <v>436</v>
      </c>
      <c r="E1175" s="283">
        <v>30000</v>
      </c>
      <c r="F1175" s="284"/>
      <c r="G1175" s="337">
        <f t="shared" si="1478"/>
        <v>12656</v>
      </c>
      <c r="H1175" s="275">
        <f>4608+7680</f>
        <v>12288</v>
      </c>
      <c r="I1175" s="275">
        <f>182+186</f>
        <v>368</v>
      </c>
      <c r="J1175" s="356" t="str">
        <f>IFERROR(G1175/#REF!,"-")</f>
        <v>-</v>
      </c>
      <c r="K1175" s="735">
        <f t="shared" si="1479"/>
        <v>12656</v>
      </c>
      <c r="L1175" s="535">
        <f t="shared" si="1480"/>
        <v>12288</v>
      </c>
      <c r="M1175" s="466">
        <f t="shared" si="1481"/>
        <v>368</v>
      </c>
      <c r="N1175" s="341">
        <f t="shared" si="1482"/>
        <v>0.42186666666666667</v>
      </c>
      <c r="O1175" s="347">
        <f t="shared" ref="O1175:O1193" si="1483">IFERROR(M1175/K1175,"-")</f>
        <v>2.9077117572692796E-2</v>
      </c>
    </row>
    <row r="1176" spans="1:15" ht="24" thickBot="1" x14ac:dyDescent="0.35">
      <c r="A1176" s="277" t="s">
        <v>110</v>
      </c>
      <c r="B1176" s="967" t="s">
        <v>47</v>
      </c>
      <c r="C1176" s="968"/>
      <c r="D1176" s="969"/>
      <c r="E1176" s="323">
        <f>SUM(E1172:E1175)</f>
        <v>100000</v>
      </c>
      <c r="F1176" s="288">
        <v>15000</v>
      </c>
      <c r="G1176" s="323">
        <f>SUM(G1172:G1175)</f>
        <v>12656</v>
      </c>
      <c r="H1176" s="324">
        <f t="shared" ref="H1176:I1176" si="1484">SUM(H1172:H1175)</f>
        <v>12288</v>
      </c>
      <c r="I1176" s="324">
        <f t="shared" si="1484"/>
        <v>368</v>
      </c>
      <c r="J1176" s="348">
        <f>+G1176/F1176</f>
        <v>0.84373333333333334</v>
      </c>
      <c r="K1176" s="323">
        <f t="shared" ref="K1176:M1176" si="1485">SUM(K1172:K1175)</f>
        <v>81894</v>
      </c>
      <c r="L1176" s="736">
        <f t="shared" si="1485"/>
        <v>80509</v>
      </c>
      <c r="M1176" s="737">
        <f t="shared" si="1485"/>
        <v>1385</v>
      </c>
      <c r="N1176" s="342">
        <f>IFERROR(K1176/E1176,"-")</f>
        <v>0.81894</v>
      </c>
      <c r="O1176" s="348">
        <f t="shared" si="1483"/>
        <v>1.6912105892983614E-2</v>
      </c>
    </row>
    <row r="1177" spans="1:15" ht="23.4" x14ac:dyDescent="0.3">
      <c r="A1177" s="277" t="s">
        <v>110</v>
      </c>
      <c r="B1177" s="956" t="s">
        <v>17</v>
      </c>
      <c r="C1177" s="272" t="s">
        <v>320</v>
      </c>
      <c r="D1177" s="272"/>
      <c r="E1177" s="273">
        <v>0</v>
      </c>
      <c r="F1177" s="274"/>
      <c r="G1177" s="335">
        <f t="shared" ref="G1177:G1183" si="1486">+H1177+I1177</f>
        <v>18465</v>
      </c>
      <c r="H1177" s="275">
        <v>18360</v>
      </c>
      <c r="I1177" s="275">
        <v>105</v>
      </c>
      <c r="J1177" s="354" t="str">
        <f>IFERROR(G1177/#REF!,"-")</f>
        <v>-</v>
      </c>
      <c r="K1177" s="738">
        <f t="shared" ref="K1177:K1183" si="1487">+L1177+M1177</f>
        <v>18465</v>
      </c>
      <c r="L1177" s="532">
        <f t="shared" ref="L1177:L1183" si="1488">+H1177+L1071</f>
        <v>18360</v>
      </c>
      <c r="M1177" s="463">
        <f t="shared" ref="M1177:M1183" si="1489">+I1177+M1071</f>
        <v>105</v>
      </c>
      <c r="N1177" s="339" t="str">
        <f t="shared" ref="N1177:N1183" si="1490">IFERROR(K1177/E1177,"-")</f>
        <v>-</v>
      </c>
      <c r="O1177" s="349">
        <f t="shared" si="1483"/>
        <v>5.686433793663688E-3</v>
      </c>
    </row>
    <row r="1178" spans="1:15" ht="23.4" x14ac:dyDescent="0.3">
      <c r="A1178" s="277" t="s">
        <v>110</v>
      </c>
      <c r="B1178" s="957"/>
      <c r="C1178" s="278" t="s">
        <v>382</v>
      </c>
      <c r="D1178" s="278" t="s">
        <v>252</v>
      </c>
      <c r="E1178" s="279">
        <v>2000000</v>
      </c>
      <c r="F1178" s="280"/>
      <c r="G1178" s="336">
        <f t="shared" si="1486"/>
        <v>0</v>
      </c>
      <c r="H1178" s="281"/>
      <c r="I1178" s="281"/>
      <c r="J1178" s="355" t="str">
        <f>IFERROR(G1178/#REF!,"-")</f>
        <v>-</v>
      </c>
      <c r="K1178" s="734">
        <f t="shared" si="1487"/>
        <v>605371</v>
      </c>
      <c r="L1178" s="279">
        <f t="shared" si="1488"/>
        <v>602743</v>
      </c>
      <c r="M1178" s="439">
        <f t="shared" si="1489"/>
        <v>2628</v>
      </c>
      <c r="N1178" s="340">
        <f t="shared" si="1490"/>
        <v>0.3026855</v>
      </c>
      <c r="O1178" s="264">
        <f t="shared" si="1483"/>
        <v>4.3411395656547799E-3</v>
      </c>
    </row>
    <row r="1179" spans="1:15" ht="23.4" x14ac:dyDescent="0.3">
      <c r="A1179" s="277" t="s">
        <v>110</v>
      </c>
      <c r="B1179" s="957"/>
      <c r="C1179" s="278" t="s">
        <v>422</v>
      </c>
      <c r="D1179" s="278" t="s">
        <v>201</v>
      </c>
      <c r="E1179" s="279">
        <v>1000000</v>
      </c>
      <c r="F1179" s="280"/>
      <c r="G1179" s="336">
        <f t="shared" si="1486"/>
        <v>3060</v>
      </c>
      <c r="H1179" s="281">
        <v>3060</v>
      </c>
      <c r="I1179" s="281"/>
      <c r="J1179" s="355" t="str">
        <f>IFERROR(G1179/#REF!,"-")</f>
        <v>-</v>
      </c>
      <c r="K1179" s="734">
        <f t="shared" si="1487"/>
        <v>456273</v>
      </c>
      <c r="L1179" s="279">
        <f t="shared" si="1488"/>
        <v>454716</v>
      </c>
      <c r="M1179" s="439">
        <f t="shared" si="1489"/>
        <v>1557</v>
      </c>
      <c r="N1179" s="340">
        <f t="shared" si="1490"/>
        <v>0.45627299999999998</v>
      </c>
      <c r="O1179" s="264">
        <f t="shared" si="1483"/>
        <v>3.4124307158214491E-3</v>
      </c>
    </row>
    <row r="1180" spans="1:15" ht="23.4" x14ac:dyDescent="0.3">
      <c r="A1180" s="277" t="s">
        <v>110</v>
      </c>
      <c r="B1180" s="957"/>
      <c r="C1180" s="278" t="s">
        <v>319</v>
      </c>
      <c r="D1180" s="278" t="s">
        <v>202</v>
      </c>
      <c r="E1180" s="279">
        <v>0</v>
      </c>
      <c r="F1180" s="280"/>
      <c r="G1180" s="336">
        <f t="shared" si="1486"/>
        <v>0</v>
      </c>
      <c r="H1180" s="281"/>
      <c r="I1180" s="281"/>
      <c r="J1180" s="355" t="str">
        <f>IFERROR(G1180/#REF!,"-")</f>
        <v>-</v>
      </c>
      <c r="K1180" s="734">
        <f t="shared" si="1487"/>
        <v>0</v>
      </c>
      <c r="L1180" s="279">
        <f t="shared" si="1488"/>
        <v>0</v>
      </c>
      <c r="M1180" s="439">
        <f t="shared" si="1489"/>
        <v>0</v>
      </c>
      <c r="N1180" s="340" t="str">
        <f t="shared" si="1490"/>
        <v>-</v>
      </c>
      <c r="O1180" s="264" t="str">
        <f t="shared" si="1483"/>
        <v>-</v>
      </c>
    </row>
    <row r="1181" spans="1:15" ht="23.4" x14ac:dyDescent="0.3">
      <c r="A1181" s="277" t="s">
        <v>110</v>
      </c>
      <c r="B1181" s="957"/>
      <c r="C1181" s="278" t="s">
        <v>358</v>
      </c>
      <c r="D1181" s="278" t="s">
        <v>352</v>
      </c>
      <c r="E1181" s="279">
        <v>500000</v>
      </c>
      <c r="F1181" s="280"/>
      <c r="G1181" s="336">
        <f t="shared" si="1486"/>
        <v>112295</v>
      </c>
      <c r="H1181" s="281">
        <f>55080+56916</f>
        <v>111996</v>
      </c>
      <c r="I1181" s="281">
        <f>210+89</f>
        <v>299</v>
      </c>
      <c r="J1181" s="355" t="str">
        <f>IFERROR(G1181/#REF!,"-")</f>
        <v>-</v>
      </c>
      <c r="K1181" s="734">
        <f t="shared" si="1487"/>
        <v>499966</v>
      </c>
      <c r="L1181" s="279">
        <f t="shared" si="1488"/>
        <v>497556</v>
      </c>
      <c r="M1181" s="439">
        <f t="shared" si="1489"/>
        <v>2410</v>
      </c>
      <c r="N1181" s="340">
        <f t="shared" si="1490"/>
        <v>0.99993200000000004</v>
      </c>
      <c r="O1181" s="264">
        <f t="shared" si="1483"/>
        <v>4.8203277822891953E-3</v>
      </c>
    </row>
    <row r="1182" spans="1:15" ht="23.4" x14ac:dyDescent="0.3">
      <c r="A1182" s="277" t="s">
        <v>110</v>
      </c>
      <c r="B1182" s="957"/>
      <c r="C1182" s="278" t="s">
        <v>392</v>
      </c>
      <c r="D1182" s="278" t="s">
        <v>203</v>
      </c>
      <c r="E1182" s="279">
        <v>0</v>
      </c>
      <c r="F1182" s="280"/>
      <c r="G1182" s="336">
        <f t="shared" si="1486"/>
        <v>0</v>
      </c>
      <c r="H1182" s="281"/>
      <c r="I1182" s="281"/>
      <c r="J1182" s="355" t="str">
        <f>IFERROR(G1182/#REF!,"-")</f>
        <v>-</v>
      </c>
      <c r="K1182" s="734">
        <f t="shared" si="1487"/>
        <v>0</v>
      </c>
      <c r="L1182" s="279">
        <f t="shared" si="1488"/>
        <v>0</v>
      </c>
      <c r="M1182" s="439">
        <f t="shared" si="1489"/>
        <v>0</v>
      </c>
      <c r="N1182" s="340" t="str">
        <f t="shared" si="1490"/>
        <v>-</v>
      </c>
      <c r="O1182" s="264" t="str">
        <f t="shared" si="1483"/>
        <v>-</v>
      </c>
    </row>
    <row r="1183" spans="1:15" ht="24" thickBot="1" x14ac:dyDescent="0.35">
      <c r="A1183" s="277" t="s">
        <v>110</v>
      </c>
      <c r="B1183" s="958"/>
      <c r="C1183" s="282" t="s">
        <v>379</v>
      </c>
      <c r="D1183" s="282" t="s">
        <v>252</v>
      </c>
      <c r="E1183" s="283">
        <v>0</v>
      </c>
      <c r="F1183" s="284"/>
      <c r="G1183" s="337">
        <f t="shared" si="1486"/>
        <v>0</v>
      </c>
      <c r="H1183" s="285"/>
      <c r="I1183" s="285"/>
      <c r="J1183" s="356" t="str">
        <f>IFERROR(G1183/#REF!,"-")</f>
        <v>-</v>
      </c>
      <c r="K1183" s="735">
        <f t="shared" si="1487"/>
        <v>0</v>
      </c>
      <c r="L1183" s="535">
        <f t="shared" si="1488"/>
        <v>0</v>
      </c>
      <c r="M1183" s="466">
        <f t="shared" si="1489"/>
        <v>0</v>
      </c>
      <c r="N1183" s="341" t="str">
        <f t="shared" si="1490"/>
        <v>-</v>
      </c>
      <c r="O1183" s="350" t="str">
        <f t="shared" si="1483"/>
        <v>-</v>
      </c>
    </row>
    <row r="1184" spans="1:15" ht="24" thickBot="1" x14ac:dyDescent="0.35">
      <c r="A1184" s="277" t="s">
        <v>110</v>
      </c>
      <c r="B1184" s="967" t="s">
        <v>48</v>
      </c>
      <c r="C1184" s="968"/>
      <c r="D1184" s="969"/>
      <c r="E1184" s="323">
        <f>SUM(E1177:E1183)</f>
        <v>3500000</v>
      </c>
      <c r="F1184" s="288">
        <v>200000</v>
      </c>
      <c r="G1184" s="323">
        <f>SUM(G1177:G1183)</f>
        <v>133820</v>
      </c>
      <c r="H1184" s="324">
        <f t="shared" ref="H1184:I1184" si="1491">SUM(H1177:H1183)</f>
        <v>133416</v>
      </c>
      <c r="I1184" s="324">
        <f t="shared" si="1491"/>
        <v>404</v>
      </c>
      <c r="J1184" s="348">
        <f>+G1184/F1184</f>
        <v>0.66910000000000003</v>
      </c>
      <c r="K1184" s="323">
        <f>SUM(K1177:K1183)</f>
        <v>1580075</v>
      </c>
      <c r="L1184" s="524">
        <f>SUM(L1177:L1183)</f>
        <v>1573375</v>
      </c>
      <c r="M1184" s="733">
        <f t="shared" ref="M1184" si="1492">SUM(M1177:M1183)</f>
        <v>6700</v>
      </c>
      <c r="N1184" s="342">
        <f>IFERROR(K1184/E1184,"-")</f>
        <v>0.45145000000000002</v>
      </c>
      <c r="O1184" s="348">
        <f t="shared" si="1483"/>
        <v>4.2403050488109741E-3</v>
      </c>
    </row>
    <row r="1185" spans="1:15" ht="23.4" x14ac:dyDescent="0.3">
      <c r="A1185" s="277" t="s">
        <v>110</v>
      </c>
      <c r="B1185" s="956" t="s">
        <v>18</v>
      </c>
      <c r="C1185" s="272" t="s">
        <v>344</v>
      </c>
      <c r="D1185" s="272" t="s">
        <v>99</v>
      </c>
      <c r="E1185" s="273">
        <v>0</v>
      </c>
      <c r="F1185" s="274"/>
      <c r="G1185" s="335">
        <f t="shared" ref="G1185:G1191" si="1493">+H1185+I1185</f>
        <v>0</v>
      </c>
      <c r="H1185" s="275"/>
      <c r="I1185" s="275"/>
      <c r="J1185" s="354" t="str">
        <f>IFERROR(G1185/#REF!,"-")</f>
        <v>-</v>
      </c>
      <c r="K1185" s="335">
        <f t="shared" ref="K1185:K1191" si="1494">+L1185+M1185</f>
        <v>0</v>
      </c>
      <c r="L1185" s="275">
        <f t="shared" ref="L1185:L1191" si="1495">+H1185+L1079</f>
        <v>0</v>
      </c>
      <c r="M1185" s="276">
        <f t="shared" ref="M1185:M1191" si="1496">+I1185+M1079</f>
        <v>0</v>
      </c>
      <c r="N1185" s="339" t="str">
        <f t="shared" ref="N1185:N1192" si="1497">IFERROR(K1185/E1185,"-")</f>
        <v>-</v>
      </c>
      <c r="O1185" s="349" t="str">
        <f t="shared" si="1483"/>
        <v>-</v>
      </c>
    </row>
    <row r="1186" spans="1:15" ht="23.4" x14ac:dyDescent="0.3">
      <c r="A1186" s="277" t="s">
        <v>110</v>
      </c>
      <c r="B1186" s="957"/>
      <c r="C1186" s="278" t="s">
        <v>253</v>
      </c>
      <c r="D1186" s="278" t="s">
        <v>254</v>
      </c>
      <c r="E1186" s="279">
        <v>0</v>
      </c>
      <c r="F1186" s="280"/>
      <c r="G1186" s="336">
        <f t="shared" si="1493"/>
        <v>0</v>
      </c>
      <c r="H1186" s="281"/>
      <c r="I1186" s="281"/>
      <c r="J1186" s="355" t="str">
        <f>IFERROR(G1186/#REF!,"-")</f>
        <v>-</v>
      </c>
      <c r="K1186" s="336">
        <f t="shared" si="1494"/>
        <v>0</v>
      </c>
      <c r="L1186" s="275">
        <f t="shared" si="1495"/>
        <v>0</v>
      </c>
      <c r="M1186" s="276">
        <f t="shared" si="1496"/>
        <v>0</v>
      </c>
      <c r="N1186" s="340" t="str">
        <f t="shared" si="1497"/>
        <v>-</v>
      </c>
      <c r="O1186" s="264" t="str">
        <f t="shared" si="1483"/>
        <v>-</v>
      </c>
    </row>
    <row r="1187" spans="1:15" ht="23.4" x14ac:dyDescent="0.3">
      <c r="A1187" s="277" t="s">
        <v>110</v>
      </c>
      <c r="B1187" s="957"/>
      <c r="C1187" s="278" t="s">
        <v>122</v>
      </c>
      <c r="D1187" s="278"/>
      <c r="E1187" s="279">
        <v>0</v>
      </c>
      <c r="F1187" s="280"/>
      <c r="G1187" s="336">
        <f t="shared" si="1493"/>
        <v>0</v>
      </c>
      <c r="H1187" s="281"/>
      <c r="I1187" s="281"/>
      <c r="J1187" s="355" t="str">
        <f>IFERROR(G1187/#REF!,"-")</f>
        <v>-</v>
      </c>
      <c r="K1187" s="336">
        <f t="shared" si="1494"/>
        <v>0</v>
      </c>
      <c r="L1187" s="275">
        <f t="shared" si="1495"/>
        <v>0</v>
      </c>
      <c r="M1187" s="276">
        <f t="shared" si="1496"/>
        <v>0</v>
      </c>
      <c r="N1187" s="340" t="str">
        <f t="shared" si="1497"/>
        <v>-</v>
      </c>
      <c r="O1187" s="264" t="str">
        <f t="shared" si="1483"/>
        <v>-</v>
      </c>
    </row>
    <row r="1188" spans="1:15" ht="23.4" x14ac:dyDescent="0.3">
      <c r="A1188" s="277" t="s">
        <v>110</v>
      </c>
      <c r="B1188" s="957"/>
      <c r="C1188" s="278" t="s">
        <v>129</v>
      </c>
      <c r="D1188" s="278"/>
      <c r="E1188" s="279">
        <v>0</v>
      </c>
      <c r="F1188" s="280"/>
      <c r="G1188" s="336">
        <f t="shared" si="1493"/>
        <v>0</v>
      </c>
      <c r="H1188" s="281"/>
      <c r="I1188" s="281"/>
      <c r="J1188" s="355" t="str">
        <f>IFERROR(G1188/#REF!,"-")</f>
        <v>-</v>
      </c>
      <c r="K1188" s="336">
        <f t="shared" si="1494"/>
        <v>0</v>
      </c>
      <c r="L1188" s="275">
        <f t="shared" si="1495"/>
        <v>0</v>
      </c>
      <c r="M1188" s="276">
        <f t="shared" si="1496"/>
        <v>0</v>
      </c>
      <c r="N1188" s="340" t="str">
        <f t="shared" si="1497"/>
        <v>-</v>
      </c>
      <c r="O1188" s="264" t="str">
        <f t="shared" si="1483"/>
        <v>-</v>
      </c>
    </row>
    <row r="1189" spans="1:15" ht="23.4" x14ac:dyDescent="0.3">
      <c r="A1189" s="277" t="s">
        <v>110</v>
      </c>
      <c r="B1189" s="957"/>
      <c r="C1189" s="278" t="s">
        <v>189</v>
      </c>
      <c r="D1189" s="278" t="s">
        <v>190</v>
      </c>
      <c r="E1189" s="279">
        <v>0</v>
      </c>
      <c r="F1189" s="280"/>
      <c r="G1189" s="336">
        <f t="shared" si="1493"/>
        <v>0</v>
      </c>
      <c r="H1189" s="281"/>
      <c r="I1189" s="281"/>
      <c r="J1189" s="355" t="str">
        <f>IFERROR(G1189/#REF!,"-")</f>
        <v>-</v>
      </c>
      <c r="K1189" s="336">
        <f t="shared" si="1494"/>
        <v>0</v>
      </c>
      <c r="L1189" s="275">
        <f t="shared" si="1495"/>
        <v>0</v>
      </c>
      <c r="M1189" s="276">
        <f t="shared" si="1496"/>
        <v>0</v>
      </c>
      <c r="N1189" s="340" t="str">
        <f t="shared" si="1497"/>
        <v>-</v>
      </c>
      <c r="O1189" s="264" t="str">
        <f t="shared" si="1483"/>
        <v>-</v>
      </c>
    </row>
    <row r="1190" spans="1:15" ht="23.4" x14ac:dyDescent="0.3">
      <c r="A1190" s="277" t="s">
        <v>110</v>
      </c>
      <c r="B1190" s="957"/>
      <c r="C1190" s="278" t="s">
        <v>192</v>
      </c>
      <c r="D1190" s="278" t="s">
        <v>191</v>
      </c>
      <c r="E1190" s="279">
        <v>0</v>
      </c>
      <c r="F1190" s="280"/>
      <c r="G1190" s="336">
        <f t="shared" si="1493"/>
        <v>0</v>
      </c>
      <c r="H1190" s="281"/>
      <c r="I1190" s="281"/>
      <c r="J1190" s="355" t="str">
        <f>IFERROR(G1190/#REF!,"-")</f>
        <v>-</v>
      </c>
      <c r="K1190" s="336">
        <f t="shared" si="1494"/>
        <v>0</v>
      </c>
      <c r="L1190" s="275">
        <f t="shared" si="1495"/>
        <v>0</v>
      </c>
      <c r="M1190" s="276">
        <f t="shared" si="1496"/>
        <v>0</v>
      </c>
      <c r="N1190" s="340" t="str">
        <f t="shared" si="1497"/>
        <v>-</v>
      </c>
      <c r="O1190" s="264" t="str">
        <f t="shared" si="1483"/>
        <v>-</v>
      </c>
    </row>
    <row r="1191" spans="1:15" ht="24" thickBot="1" x14ac:dyDescent="0.35">
      <c r="A1191" s="277" t="s">
        <v>110</v>
      </c>
      <c r="B1191" s="958"/>
      <c r="C1191" s="289" t="s">
        <v>193</v>
      </c>
      <c r="D1191" s="289" t="s">
        <v>114</v>
      </c>
      <c r="E1191" s="283">
        <v>0</v>
      </c>
      <c r="F1191" s="284"/>
      <c r="G1191" s="337">
        <f t="shared" si="1493"/>
        <v>0</v>
      </c>
      <c r="H1191" s="285"/>
      <c r="I1191" s="285"/>
      <c r="J1191" s="356" t="str">
        <f>IFERROR(G1191/#REF!,"-")</f>
        <v>-</v>
      </c>
      <c r="K1191" s="337">
        <f t="shared" si="1494"/>
        <v>0</v>
      </c>
      <c r="L1191" s="275">
        <f t="shared" si="1495"/>
        <v>0</v>
      </c>
      <c r="M1191" s="276">
        <f t="shared" si="1496"/>
        <v>0</v>
      </c>
      <c r="N1191" s="341" t="str">
        <f t="shared" si="1497"/>
        <v>-</v>
      </c>
      <c r="O1191" s="350" t="str">
        <f t="shared" si="1483"/>
        <v>-</v>
      </c>
    </row>
    <row r="1192" spans="1:15" ht="24" thickBot="1" x14ac:dyDescent="0.35">
      <c r="A1192" s="277" t="s">
        <v>110</v>
      </c>
      <c r="B1192" s="967" t="s">
        <v>29</v>
      </c>
      <c r="C1192" s="968"/>
      <c r="D1192" s="969"/>
      <c r="E1192" s="323">
        <f t="shared" ref="E1192" si="1498">SUM(E1185:E1191)</f>
        <v>0</v>
      </c>
      <c r="F1192" s="288">
        <v>80000</v>
      </c>
      <c r="G1192" s="323">
        <f>SUM(G1185:G1191)</f>
        <v>0</v>
      </c>
      <c r="H1192" s="324">
        <f t="shared" ref="H1192:I1192" si="1499">SUM(H1185:H1191)</f>
        <v>0</v>
      </c>
      <c r="I1192" s="324">
        <f t="shared" si="1499"/>
        <v>0</v>
      </c>
      <c r="J1192" s="348">
        <f>+G1192/F1192</f>
        <v>0</v>
      </c>
      <c r="K1192" s="323">
        <f t="shared" ref="K1192:M1192" si="1500">SUM(K1185:K1191)</f>
        <v>0</v>
      </c>
      <c r="L1192" s="324">
        <f t="shared" si="1500"/>
        <v>0</v>
      </c>
      <c r="M1192" s="325">
        <f t="shared" si="1500"/>
        <v>0</v>
      </c>
      <c r="N1192" s="342" t="str">
        <f t="shared" si="1497"/>
        <v>-</v>
      </c>
      <c r="O1192" s="348" t="str">
        <f t="shared" si="1483"/>
        <v>-</v>
      </c>
    </row>
    <row r="1193" spans="1:15" ht="24" thickBot="1" x14ac:dyDescent="0.35">
      <c r="A1193" s="252" t="s">
        <v>110</v>
      </c>
      <c r="B1193" s="985" t="s">
        <v>19</v>
      </c>
      <c r="C1193" s="653" t="s">
        <v>255</v>
      </c>
      <c r="D1193" s="690" t="s">
        <v>190</v>
      </c>
      <c r="E1193" s="695">
        <v>0</v>
      </c>
      <c r="F1193" s="692">
        <v>110000</v>
      </c>
      <c r="G1193" s="656">
        <f t="shared" ref="G1193:G1195" si="1501">+H1193+I1193</f>
        <v>0</v>
      </c>
      <c r="H1193" s="462"/>
      <c r="I1193" s="462"/>
      <c r="J1193" s="536" t="str">
        <f>IFERROR(G1193/#REF!,"-")</f>
        <v>-</v>
      </c>
      <c r="K1193" s="461">
        <f>+L1193+M1193</f>
        <v>0</v>
      </c>
      <c r="L1193" s="462">
        <f t="shared" ref="L1193:L1195" si="1502">+H1193+L1087</f>
        <v>0</v>
      </c>
      <c r="M1193" s="463">
        <f t="shared" ref="M1193:M1195" si="1503">+I1193+M1087</f>
        <v>0</v>
      </c>
      <c r="N1193" s="658" t="str">
        <f>IFERROR(K1193/E1193,"-")</f>
        <v>-</v>
      </c>
      <c r="O1193" s="659" t="str">
        <f t="shared" si="1483"/>
        <v>-</v>
      </c>
    </row>
    <row r="1194" spans="1:15" ht="24" thickBot="1" x14ac:dyDescent="0.35">
      <c r="A1194" s="252"/>
      <c r="B1194" s="986"/>
      <c r="C1194" s="299" t="s">
        <v>440</v>
      </c>
      <c r="D1194" s="657" t="s">
        <v>515</v>
      </c>
      <c r="E1194" s="696">
        <v>1000000</v>
      </c>
      <c r="F1194" s="693">
        <v>110000</v>
      </c>
      <c r="G1194" s="652">
        <f t="shared" si="1501"/>
        <v>0</v>
      </c>
      <c r="H1194" s="275"/>
      <c r="I1194" s="275"/>
      <c r="J1194" s="354" t="str">
        <f>IFERROR(G1194/#REF!,"-")</f>
        <v>-</v>
      </c>
      <c r="K1194" s="338">
        <f>+L1194+M1194</f>
        <v>19773</v>
      </c>
      <c r="L1194" s="462">
        <f t="shared" si="1502"/>
        <v>19536</v>
      </c>
      <c r="M1194" s="463">
        <f t="shared" si="1503"/>
        <v>237</v>
      </c>
      <c r="N1194" s="343">
        <f t="shared" ref="N1194:N1195" si="1504">IFERROR(K1194/E1194,"-")</f>
        <v>1.9772999999999999E-2</v>
      </c>
      <c r="O1194" s="651">
        <f>IFERROR(M1194/K1194,"-")</f>
        <v>1.1986041571840389E-2</v>
      </c>
    </row>
    <row r="1195" spans="1:15" ht="24" thickBot="1" x14ac:dyDescent="0.35">
      <c r="A1195" s="252"/>
      <c r="B1195" s="987"/>
      <c r="C1195" s="647" t="s">
        <v>380</v>
      </c>
      <c r="D1195" s="691"/>
      <c r="E1195" s="697">
        <v>150000</v>
      </c>
      <c r="F1195" s="694">
        <v>110000</v>
      </c>
      <c r="G1195" s="599">
        <f t="shared" si="1501"/>
        <v>0</v>
      </c>
      <c r="H1195" s="285"/>
      <c r="I1195" s="285"/>
      <c r="J1195" s="356"/>
      <c r="K1195" s="464">
        <f>+L1195+M1195</f>
        <v>0</v>
      </c>
      <c r="L1195" s="462">
        <f t="shared" si="1502"/>
        <v>0</v>
      </c>
      <c r="M1195" s="463">
        <f t="shared" si="1503"/>
        <v>0</v>
      </c>
      <c r="N1195" s="341">
        <f t="shared" si="1504"/>
        <v>0</v>
      </c>
      <c r="O1195" s="648" t="str">
        <f t="shared" ref="O1195:O1245" si="1505">IFERROR(M1195/K1195,"-")</f>
        <v>-</v>
      </c>
    </row>
    <row r="1196" spans="1:15" ht="24" thickBot="1" x14ac:dyDescent="0.35">
      <c r="A1196" s="277" t="s">
        <v>110</v>
      </c>
      <c r="B1196" s="988" t="s">
        <v>49</v>
      </c>
      <c r="C1196" s="968"/>
      <c r="D1196" s="969"/>
      <c r="E1196" s="323">
        <f>SUM(E1193:E1195)</f>
        <v>1150000</v>
      </c>
      <c r="F1196" s="326">
        <f t="shared" ref="F1196" si="1506">SUM(F1193)</f>
        <v>110000</v>
      </c>
      <c r="G1196" s="323">
        <f>SUM(G1193)</f>
        <v>0</v>
      </c>
      <c r="H1196" s="324">
        <f>SUM(H1193:H1195)</f>
        <v>0</v>
      </c>
      <c r="I1196" s="324">
        <f>SUM(I1193:I1195)</f>
        <v>0</v>
      </c>
      <c r="J1196" s="348">
        <f>+G1196/F1196</f>
        <v>0</v>
      </c>
      <c r="K1196" s="649">
        <f>SUM(K1193:K1194)</f>
        <v>19773</v>
      </c>
      <c r="L1196" s="324">
        <f>SUM(L1193:L1194)</f>
        <v>19536</v>
      </c>
      <c r="M1196" s="325">
        <f>SUM(M1193:M1194)</f>
        <v>237</v>
      </c>
      <c r="N1196" s="342">
        <f>IFERROR(K1196/E1196,"-")</f>
        <v>1.7193913043478261E-2</v>
      </c>
      <c r="O1196" s="348">
        <f t="shared" si="1505"/>
        <v>1.1986041571840389E-2</v>
      </c>
    </row>
    <row r="1197" spans="1:15" ht="23.4" x14ac:dyDescent="0.3">
      <c r="A1197" s="277" t="s">
        <v>110</v>
      </c>
      <c r="B1197" s="956" t="s">
        <v>20</v>
      </c>
      <c r="C1197" s="294" t="s">
        <v>351</v>
      </c>
      <c r="D1197" s="294" t="s">
        <v>313</v>
      </c>
      <c r="E1197" s="273">
        <v>0</v>
      </c>
      <c r="F1197" s="274"/>
      <c r="G1197" s="335">
        <f t="shared" ref="G1197:G1199" si="1507">+H1197+I1197</f>
        <v>0</v>
      </c>
      <c r="H1197" s="275"/>
      <c r="I1197" s="275"/>
      <c r="J1197" s="354" t="str">
        <f>IFERROR(G1197/#REF!,"-")</f>
        <v>-</v>
      </c>
      <c r="K1197" s="335">
        <f t="shared" ref="K1197:K1199" si="1508">+L1197+M1197</f>
        <v>0</v>
      </c>
      <c r="L1197" s="275">
        <f t="shared" ref="L1197:L1199" si="1509">+H1197+L1091</f>
        <v>0</v>
      </c>
      <c r="M1197" s="276">
        <f t="shared" ref="M1197:M1199" si="1510">+I1197+M1091</f>
        <v>0</v>
      </c>
      <c r="N1197" s="339" t="str">
        <f t="shared" ref="N1197:N1200" si="1511">IFERROR(K1197/E1197,"-")</f>
        <v>-</v>
      </c>
      <c r="O1197" s="349" t="str">
        <f t="shared" si="1505"/>
        <v>-</v>
      </c>
    </row>
    <row r="1198" spans="1:15" ht="23.4" x14ac:dyDescent="0.3">
      <c r="A1198" s="277" t="s">
        <v>110</v>
      </c>
      <c r="B1198" s="957"/>
      <c r="C1198" s="295" t="s">
        <v>121</v>
      </c>
      <c r="D1198" s="295"/>
      <c r="E1198" s="279">
        <v>0</v>
      </c>
      <c r="F1198" s="280"/>
      <c r="G1198" s="336">
        <f t="shared" si="1507"/>
        <v>0</v>
      </c>
      <c r="H1198" s="281"/>
      <c r="I1198" s="281"/>
      <c r="J1198" s="355" t="str">
        <f>IFERROR(G1198/#REF!,"-")</f>
        <v>-</v>
      </c>
      <c r="K1198" s="336">
        <f t="shared" si="1508"/>
        <v>0</v>
      </c>
      <c r="L1198" s="275">
        <f t="shared" si="1509"/>
        <v>0</v>
      </c>
      <c r="M1198" s="276">
        <f t="shared" si="1510"/>
        <v>0</v>
      </c>
      <c r="N1198" s="340" t="str">
        <f t="shared" si="1511"/>
        <v>-</v>
      </c>
      <c r="O1198" s="264" t="str">
        <f t="shared" si="1505"/>
        <v>-</v>
      </c>
    </row>
    <row r="1199" spans="1:15" ht="24" thickBot="1" x14ac:dyDescent="0.35">
      <c r="A1199" s="277" t="s">
        <v>110</v>
      </c>
      <c r="B1199" s="958"/>
      <c r="C1199" s="296" t="s">
        <v>127</v>
      </c>
      <c r="D1199" s="296"/>
      <c r="E1199" s="283">
        <v>0</v>
      </c>
      <c r="F1199" s="284"/>
      <c r="G1199" s="337">
        <f t="shared" si="1507"/>
        <v>0</v>
      </c>
      <c r="H1199" s="285"/>
      <c r="I1199" s="285"/>
      <c r="J1199" s="356" t="str">
        <f>IFERROR(G1199/#REF!,"-")</f>
        <v>-</v>
      </c>
      <c r="K1199" s="337">
        <f t="shared" si="1508"/>
        <v>0</v>
      </c>
      <c r="L1199" s="275">
        <f t="shared" si="1509"/>
        <v>0</v>
      </c>
      <c r="M1199" s="276">
        <f t="shared" si="1510"/>
        <v>0</v>
      </c>
      <c r="N1199" s="341" t="str">
        <f t="shared" si="1511"/>
        <v>-</v>
      </c>
      <c r="O1199" s="350" t="str">
        <f t="shared" si="1505"/>
        <v>-</v>
      </c>
    </row>
    <row r="1200" spans="1:15" ht="24" thickBot="1" x14ac:dyDescent="0.35">
      <c r="A1200" s="277" t="s">
        <v>110</v>
      </c>
      <c r="B1200" s="968" t="s">
        <v>50</v>
      </c>
      <c r="C1200" s="968"/>
      <c r="D1200" s="989"/>
      <c r="E1200" s="323">
        <f t="shared" ref="E1200" si="1512">SUM(E1197:E1199)</f>
        <v>0</v>
      </c>
      <c r="F1200" s="288">
        <v>50000</v>
      </c>
      <c r="G1200" s="323">
        <f>SUM(G1197:G1199)</f>
        <v>0</v>
      </c>
      <c r="H1200" s="324">
        <f t="shared" ref="H1200:I1200" si="1513">SUM(H1197:H1199)</f>
        <v>0</v>
      </c>
      <c r="I1200" s="324">
        <f t="shared" si="1513"/>
        <v>0</v>
      </c>
      <c r="J1200" s="348">
        <f>+G1200/F1200</f>
        <v>0</v>
      </c>
      <c r="K1200" s="323">
        <f t="shared" ref="K1200:M1200" si="1514">SUM(K1197:K1199)</f>
        <v>0</v>
      </c>
      <c r="L1200" s="324">
        <f t="shared" si="1514"/>
        <v>0</v>
      </c>
      <c r="M1200" s="325">
        <f t="shared" si="1514"/>
        <v>0</v>
      </c>
      <c r="N1200" s="342" t="str">
        <f t="shared" si="1511"/>
        <v>-</v>
      </c>
      <c r="O1200" s="348" t="str">
        <f t="shared" si="1505"/>
        <v>-</v>
      </c>
    </row>
    <row r="1201" spans="1:15" ht="24" thickBot="1" x14ac:dyDescent="0.35">
      <c r="A1201" s="277" t="s">
        <v>110</v>
      </c>
      <c r="B1201" s="981" t="s">
        <v>21</v>
      </c>
      <c r="C1201" s="982"/>
      <c r="D1201" s="983"/>
      <c r="E1201" s="329">
        <f>+E1176+E1184+E1192+E1196+E1200</f>
        <v>4750000</v>
      </c>
      <c r="F1201" s="330">
        <f>+F1176+F1184+F1192+F1196+F1200</f>
        <v>455000</v>
      </c>
      <c r="G1201" s="329">
        <f>+G1176+G1184+G1192+G1196+G1200</f>
        <v>146476</v>
      </c>
      <c r="H1201" s="327">
        <f>+H1176+H1184+H1192+H1196+H1200</f>
        <v>145704</v>
      </c>
      <c r="I1201" s="327">
        <f>+I1176+I1184+I1192+I1196+I1200</f>
        <v>772</v>
      </c>
      <c r="J1201" s="352">
        <f>+G1201/F1201</f>
        <v>0.32192527472527471</v>
      </c>
      <c r="K1201" s="329">
        <f>+K1176+K1184+K1192+K1196+K1200</f>
        <v>1681742</v>
      </c>
      <c r="L1201" s="327">
        <f>+L1176+L1184+L1192+L1196+L1200</f>
        <v>1673420</v>
      </c>
      <c r="M1201" s="328">
        <f>+M1176+M1184+M1192+M1196+M1200</f>
        <v>8322</v>
      </c>
      <c r="N1201" s="344">
        <f>IFERROR(K1201/E1201,"-")</f>
        <v>0.35405094736842108</v>
      </c>
      <c r="O1201" s="352">
        <f t="shared" si="1505"/>
        <v>4.9484403671906868E-3</v>
      </c>
    </row>
    <row r="1202" spans="1:15" ht="23.4" x14ac:dyDescent="0.3">
      <c r="A1202" s="277" t="s">
        <v>110</v>
      </c>
      <c r="B1202" s="956" t="s">
        <v>481</v>
      </c>
      <c r="C1202" s="272" t="s">
        <v>132</v>
      </c>
      <c r="D1202" s="272"/>
      <c r="E1202" s="273">
        <v>0</v>
      </c>
      <c r="F1202" s="274"/>
      <c r="G1202" s="335">
        <f t="shared" ref="G1202:G1205" si="1515">+H1202+I1202</f>
        <v>0</v>
      </c>
      <c r="H1202" s="275"/>
      <c r="I1202" s="275"/>
      <c r="J1202" s="354" t="str">
        <f>IFERROR(G1202/#REF!,"-")</f>
        <v>-</v>
      </c>
      <c r="K1202" s="335">
        <f t="shared" ref="K1202:K1205" si="1516">+L1202+M1202</f>
        <v>0</v>
      </c>
      <c r="L1202" s="275">
        <f t="shared" ref="L1202:L1205" si="1517">+H1202+L1096</f>
        <v>0</v>
      </c>
      <c r="M1202" s="276">
        <f t="shared" ref="M1202:M1205" si="1518">+I1202+M1096</f>
        <v>0</v>
      </c>
      <c r="N1202" s="339" t="str">
        <f t="shared" ref="N1202:N1216" si="1519">IFERROR(K1202/E1202,"-")</f>
        <v>-</v>
      </c>
      <c r="O1202" s="349" t="str">
        <f t="shared" si="1505"/>
        <v>-</v>
      </c>
    </row>
    <row r="1203" spans="1:15" ht="23.4" x14ac:dyDescent="0.3">
      <c r="A1203" s="277" t="s">
        <v>110</v>
      </c>
      <c r="B1203" s="957"/>
      <c r="C1203" s="298" t="s">
        <v>283</v>
      </c>
      <c r="D1203" s="298" t="s">
        <v>194</v>
      </c>
      <c r="E1203" s="279">
        <v>0</v>
      </c>
      <c r="F1203" s="280"/>
      <c r="G1203" s="336">
        <f t="shared" si="1515"/>
        <v>0</v>
      </c>
      <c r="H1203" s="281"/>
      <c r="I1203" s="281"/>
      <c r="J1203" s="355" t="str">
        <f>IFERROR(G1203/#REF!,"-")</f>
        <v>-</v>
      </c>
      <c r="K1203" s="336">
        <f t="shared" si="1516"/>
        <v>0</v>
      </c>
      <c r="L1203" s="275">
        <f t="shared" si="1517"/>
        <v>0</v>
      </c>
      <c r="M1203" s="276">
        <f t="shared" si="1518"/>
        <v>0</v>
      </c>
      <c r="N1203" s="340" t="str">
        <f t="shared" si="1519"/>
        <v>-</v>
      </c>
      <c r="O1203" s="264" t="str">
        <f t="shared" si="1505"/>
        <v>-</v>
      </c>
    </row>
    <row r="1204" spans="1:15" ht="23.4" x14ac:dyDescent="0.3">
      <c r="A1204" s="277" t="s">
        <v>110</v>
      </c>
      <c r="B1204" s="957"/>
      <c r="C1204" s="298" t="s">
        <v>405</v>
      </c>
      <c r="D1204" s="298" t="s">
        <v>194</v>
      </c>
      <c r="E1204" s="279">
        <v>1000000</v>
      </c>
      <c r="F1204" s="280"/>
      <c r="G1204" s="336">
        <f t="shared" si="1515"/>
        <v>2405</v>
      </c>
      <c r="H1204" s="281">
        <v>1980</v>
      </c>
      <c r="I1204" s="281">
        <v>425</v>
      </c>
      <c r="J1204" s="355" t="str">
        <f>IFERROR(G1204/#REF!,"-")</f>
        <v>-</v>
      </c>
      <c r="K1204" s="336">
        <f t="shared" si="1516"/>
        <v>350823</v>
      </c>
      <c r="L1204" s="275">
        <f t="shared" si="1517"/>
        <v>348480</v>
      </c>
      <c r="M1204" s="276">
        <f t="shared" si="1518"/>
        <v>2343</v>
      </c>
      <c r="N1204" s="340">
        <f t="shared" si="1519"/>
        <v>0.350823</v>
      </c>
      <c r="O1204" s="264">
        <f t="shared" si="1505"/>
        <v>6.678581506913743E-3</v>
      </c>
    </row>
    <row r="1205" spans="1:15" ht="24" thickBot="1" x14ac:dyDescent="0.35">
      <c r="A1205" s="277" t="s">
        <v>110</v>
      </c>
      <c r="B1205" s="958"/>
      <c r="C1205" s="282" t="s">
        <v>195</v>
      </c>
      <c r="D1205" s="282" t="s">
        <v>100</v>
      </c>
      <c r="E1205" s="283">
        <v>0</v>
      </c>
      <c r="F1205" s="284"/>
      <c r="G1205" s="337">
        <f t="shared" si="1515"/>
        <v>0</v>
      </c>
      <c r="H1205" s="285"/>
      <c r="I1205" s="285"/>
      <c r="J1205" s="356" t="str">
        <f>IFERROR(G1205/#REF!,"-")</f>
        <v>-</v>
      </c>
      <c r="K1205" s="337">
        <f t="shared" si="1516"/>
        <v>0</v>
      </c>
      <c r="L1205" s="275">
        <f t="shared" si="1517"/>
        <v>0</v>
      </c>
      <c r="M1205" s="276">
        <f t="shared" si="1518"/>
        <v>0</v>
      </c>
      <c r="N1205" s="341" t="str">
        <f t="shared" si="1519"/>
        <v>-</v>
      </c>
      <c r="O1205" s="350" t="str">
        <f t="shared" si="1505"/>
        <v>-</v>
      </c>
    </row>
    <row r="1206" spans="1:15" ht="24" thickBot="1" x14ac:dyDescent="0.35">
      <c r="A1206" s="277" t="s">
        <v>110</v>
      </c>
      <c r="B1206" s="967" t="s">
        <v>51</v>
      </c>
      <c r="C1206" s="968"/>
      <c r="D1206" s="969"/>
      <c r="E1206" s="287">
        <f>SUM(E1202:E1205)</f>
        <v>1000000</v>
      </c>
      <c r="F1206" s="288">
        <v>80000</v>
      </c>
      <c r="G1206" s="323">
        <f>SUM(G1202:G1205)</f>
        <v>2405</v>
      </c>
      <c r="H1206" s="324">
        <f t="shared" ref="H1206:I1206" si="1520">SUM(H1202:H1205)</f>
        <v>1980</v>
      </c>
      <c r="I1206" s="324">
        <f t="shared" si="1520"/>
        <v>425</v>
      </c>
      <c r="J1206" s="348">
        <f>+G1206/F1206</f>
        <v>3.0062499999999999E-2</v>
      </c>
      <c r="K1206" s="323">
        <f t="shared" ref="K1206:M1206" si="1521">SUM(K1202:K1205)</f>
        <v>350823</v>
      </c>
      <c r="L1206" s="324">
        <f t="shared" si="1521"/>
        <v>348480</v>
      </c>
      <c r="M1206" s="325">
        <f t="shared" si="1521"/>
        <v>2343</v>
      </c>
      <c r="N1206" s="342">
        <f t="shared" si="1519"/>
        <v>0.350823</v>
      </c>
      <c r="O1206" s="348">
        <f t="shared" si="1505"/>
        <v>6.678581506913743E-3</v>
      </c>
    </row>
    <row r="1207" spans="1:15" ht="23.4" x14ac:dyDescent="0.3">
      <c r="A1207" s="277" t="s">
        <v>110</v>
      </c>
      <c r="B1207" s="956" t="s">
        <v>23</v>
      </c>
      <c r="C1207" s="299" t="s">
        <v>337</v>
      </c>
      <c r="D1207" s="299" t="s">
        <v>258</v>
      </c>
      <c r="E1207" s="273">
        <f>25000+10875+6000</f>
        <v>41875</v>
      </c>
      <c r="F1207" s="274"/>
      <c r="G1207" s="335">
        <f t="shared" ref="G1207:G1214" si="1522">+H1207+I1207</f>
        <v>0</v>
      </c>
      <c r="H1207" s="275"/>
      <c r="I1207" s="275"/>
      <c r="J1207" s="354" t="str">
        <f>IFERROR(G1207/#REF!,"-")</f>
        <v>-</v>
      </c>
      <c r="K1207" s="335">
        <f t="shared" ref="K1207:K1214" si="1523">+L1207+M1207</f>
        <v>0</v>
      </c>
      <c r="L1207" s="275">
        <f t="shared" ref="L1207:L1214" si="1524">+H1207+L1101</f>
        <v>0</v>
      </c>
      <c r="M1207" s="276">
        <f t="shared" ref="M1207:M1214" si="1525">+I1207+M1101</f>
        <v>0</v>
      </c>
      <c r="N1207" s="339">
        <f t="shared" si="1519"/>
        <v>0</v>
      </c>
      <c r="O1207" s="349" t="str">
        <f t="shared" si="1505"/>
        <v>-</v>
      </c>
    </row>
    <row r="1208" spans="1:15" ht="23.4" x14ac:dyDescent="0.3">
      <c r="A1208" s="277" t="s">
        <v>110</v>
      </c>
      <c r="B1208" s="957"/>
      <c r="C1208" s="278" t="s">
        <v>24</v>
      </c>
      <c r="D1208" s="278" t="s">
        <v>258</v>
      </c>
      <c r="E1208" s="279">
        <v>97500</v>
      </c>
      <c r="F1208" s="280"/>
      <c r="G1208" s="336">
        <f t="shared" si="1522"/>
        <v>0</v>
      </c>
      <c r="H1208" s="281"/>
      <c r="I1208" s="281"/>
      <c r="J1208" s="355" t="str">
        <f>IFERROR(G1208/#REF!,"-")</f>
        <v>-</v>
      </c>
      <c r="K1208" s="336">
        <f t="shared" si="1523"/>
        <v>0</v>
      </c>
      <c r="L1208" s="275">
        <f t="shared" si="1524"/>
        <v>0</v>
      </c>
      <c r="M1208" s="276">
        <f t="shared" si="1525"/>
        <v>0</v>
      </c>
      <c r="N1208" s="340">
        <f t="shared" si="1519"/>
        <v>0</v>
      </c>
      <c r="O1208" s="264" t="str">
        <f t="shared" si="1505"/>
        <v>-</v>
      </c>
    </row>
    <row r="1209" spans="1:15" ht="23.4" x14ac:dyDescent="0.3">
      <c r="A1209" s="277" t="s">
        <v>110</v>
      </c>
      <c r="B1209" s="957"/>
      <c r="C1209" s="278" t="s">
        <v>256</v>
      </c>
      <c r="D1209" s="278" t="s">
        <v>258</v>
      </c>
      <c r="E1209" s="279">
        <v>17750</v>
      </c>
      <c r="F1209" s="280"/>
      <c r="G1209" s="336">
        <f t="shared" si="1522"/>
        <v>12293</v>
      </c>
      <c r="H1209" s="281">
        <v>12250</v>
      </c>
      <c r="I1209" s="281">
        <v>43</v>
      </c>
      <c r="J1209" s="355" t="str">
        <f>IFERROR(G1209/#REF!,"-")</f>
        <v>-</v>
      </c>
      <c r="K1209" s="336">
        <f t="shared" si="1523"/>
        <v>15793</v>
      </c>
      <c r="L1209" s="275">
        <f t="shared" si="1524"/>
        <v>15750</v>
      </c>
      <c r="M1209" s="276">
        <f t="shared" si="1525"/>
        <v>43</v>
      </c>
      <c r="N1209" s="340">
        <f t="shared" si="1519"/>
        <v>0.88974647887323943</v>
      </c>
      <c r="O1209" s="264">
        <f t="shared" si="1505"/>
        <v>2.7227252580257076E-3</v>
      </c>
    </row>
    <row r="1210" spans="1:15" ht="23.4" x14ac:dyDescent="0.3">
      <c r="A1210" s="277" t="s">
        <v>110</v>
      </c>
      <c r="B1210" s="957"/>
      <c r="C1210" s="278" t="s">
        <v>257</v>
      </c>
      <c r="D1210" s="278" t="s">
        <v>258</v>
      </c>
      <c r="E1210" s="279">
        <v>20000</v>
      </c>
      <c r="F1210" s="280"/>
      <c r="G1210" s="336">
        <f t="shared" si="1522"/>
        <v>0</v>
      </c>
      <c r="H1210" s="281"/>
      <c r="I1210" s="281"/>
      <c r="J1210" s="355" t="str">
        <f>IFERROR(G1210/#REF!,"-")</f>
        <v>-</v>
      </c>
      <c r="K1210" s="336">
        <f t="shared" si="1523"/>
        <v>0</v>
      </c>
      <c r="L1210" s="275">
        <f t="shared" si="1524"/>
        <v>0</v>
      </c>
      <c r="M1210" s="276">
        <f t="shared" si="1525"/>
        <v>0</v>
      </c>
      <c r="N1210" s="340">
        <f t="shared" si="1519"/>
        <v>0</v>
      </c>
      <c r="O1210" s="264" t="str">
        <f t="shared" si="1505"/>
        <v>-</v>
      </c>
    </row>
    <row r="1211" spans="1:15" ht="23.4" x14ac:dyDescent="0.3">
      <c r="A1211" s="277" t="s">
        <v>110</v>
      </c>
      <c r="B1211" s="957"/>
      <c r="C1211" s="298" t="s">
        <v>475</v>
      </c>
      <c r="D1211" s="278" t="s">
        <v>258</v>
      </c>
      <c r="E1211" s="279">
        <v>10000</v>
      </c>
      <c r="F1211" s="280"/>
      <c r="G1211" s="336">
        <f t="shared" si="1522"/>
        <v>0</v>
      </c>
      <c r="H1211" s="281"/>
      <c r="I1211" s="281"/>
      <c r="J1211" s="355" t="str">
        <f>IFERROR(G1211/#REF!,"-")</f>
        <v>-</v>
      </c>
      <c r="K1211" s="336">
        <f t="shared" si="1523"/>
        <v>12327</v>
      </c>
      <c r="L1211" s="275">
        <f t="shared" si="1524"/>
        <v>12307</v>
      </c>
      <c r="M1211" s="276">
        <f t="shared" si="1525"/>
        <v>20</v>
      </c>
      <c r="N1211" s="340">
        <f t="shared" si="1519"/>
        <v>1.2326999999999999</v>
      </c>
      <c r="O1211" s="264">
        <f t="shared" si="1505"/>
        <v>1.6224547740731727E-3</v>
      </c>
    </row>
    <row r="1212" spans="1:15" ht="23.4" x14ac:dyDescent="0.3">
      <c r="A1212" s="277" t="s">
        <v>110</v>
      </c>
      <c r="B1212" s="957"/>
      <c r="C1212" s="298" t="s">
        <v>506</v>
      </c>
      <c r="D1212" s="278" t="s">
        <v>258</v>
      </c>
      <c r="E1212" s="279">
        <v>9000</v>
      </c>
      <c r="F1212" s="280"/>
      <c r="G1212" s="336">
        <f t="shared" si="1522"/>
        <v>0</v>
      </c>
      <c r="H1212" s="281"/>
      <c r="I1212" s="281"/>
      <c r="J1212" s="355" t="str">
        <f>IFERROR(G1212/#REF!,"-")</f>
        <v>-</v>
      </c>
      <c r="K1212" s="336">
        <f t="shared" si="1523"/>
        <v>26750</v>
      </c>
      <c r="L1212" s="275">
        <f t="shared" si="1524"/>
        <v>26682</v>
      </c>
      <c r="M1212" s="276">
        <f t="shared" si="1525"/>
        <v>68</v>
      </c>
      <c r="N1212" s="340">
        <f t="shared" si="1519"/>
        <v>2.9722222222222223</v>
      </c>
      <c r="O1212" s="264">
        <f t="shared" si="1505"/>
        <v>2.542056074766355E-3</v>
      </c>
    </row>
    <row r="1213" spans="1:15" ht="23.4" x14ac:dyDescent="0.3">
      <c r="A1213" s="277" t="s">
        <v>110</v>
      </c>
      <c r="B1213" s="957"/>
      <c r="C1213" s="298" t="s">
        <v>261</v>
      </c>
      <c r="D1213" s="278" t="s">
        <v>263</v>
      </c>
      <c r="E1213" s="279">
        <v>22500</v>
      </c>
      <c r="F1213" s="280"/>
      <c r="G1213" s="336">
        <f t="shared" si="1522"/>
        <v>0</v>
      </c>
      <c r="H1213" s="281"/>
      <c r="I1213" s="281"/>
      <c r="J1213" s="355" t="str">
        <f>IFERROR(G1213/#REF!,"-")</f>
        <v>-</v>
      </c>
      <c r="K1213" s="336">
        <f t="shared" si="1523"/>
        <v>23536</v>
      </c>
      <c r="L1213" s="275">
        <f t="shared" si="1524"/>
        <v>23490</v>
      </c>
      <c r="M1213" s="276">
        <f t="shared" si="1525"/>
        <v>46</v>
      </c>
      <c r="N1213" s="340">
        <f t="shared" si="1519"/>
        <v>1.0460444444444446</v>
      </c>
      <c r="O1213" s="264">
        <f t="shared" si="1505"/>
        <v>1.954452753229096E-3</v>
      </c>
    </row>
    <row r="1214" spans="1:15" ht="24" thickBot="1" x14ac:dyDescent="0.35">
      <c r="A1214" s="277" t="s">
        <v>110</v>
      </c>
      <c r="B1214" s="958"/>
      <c r="C1214" s="298" t="s">
        <v>262</v>
      </c>
      <c r="D1214" s="278" t="s">
        <v>258</v>
      </c>
      <c r="E1214" s="283">
        <v>33500</v>
      </c>
      <c r="F1214" s="284"/>
      <c r="G1214" s="337">
        <f t="shared" si="1522"/>
        <v>0</v>
      </c>
      <c r="H1214" s="285"/>
      <c r="I1214" s="285"/>
      <c r="J1214" s="356" t="str">
        <f>IFERROR(G1214/#REF!,"-")</f>
        <v>-</v>
      </c>
      <c r="K1214" s="337">
        <f t="shared" si="1523"/>
        <v>28515</v>
      </c>
      <c r="L1214" s="275">
        <f t="shared" si="1524"/>
        <v>28375</v>
      </c>
      <c r="M1214" s="276">
        <f t="shared" si="1525"/>
        <v>140</v>
      </c>
      <c r="N1214" s="341">
        <f t="shared" si="1519"/>
        <v>0.85119402985074621</v>
      </c>
      <c r="O1214" s="350">
        <f t="shared" si="1505"/>
        <v>4.909696650885499E-3</v>
      </c>
    </row>
    <row r="1215" spans="1:15" ht="24" thickBot="1" x14ac:dyDescent="0.35">
      <c r="A1215" s="277" t="s">
        <v>110</v>
      </c>
      <c r="B1215" s="967" t="s">
        <v>52</v>
      </c>
      <c r="C1215" s="968"/>
      <c r="D1215" s="969"/>
      <c r="E1215" s="287">
        <f>SUM(E1207:E1214)</f>
        <v>252125</v>
      </c>
      <c r="F1215" s="288">
        <v>14000</v>
      </c>
      <c r="G1215" s="323">
        <f>SUM(G1207:G1214)</f>
        <v>12293</v>
      </c>
      <c r="H1215" s="324">
        <f t="shared" ref="H1215:I1215" si="1526">SUM(H1207:H1214)</f>
        <v>12250</v>
      </c>
      <c r="I1215" s="324">
        <f t="shared" si="1526"/>
        <v>43</v>
      </c>
      <c r="J1215" s="348">
        <f>+G1216/F1216</f>
        <v>0.15636170212765957</v>
      </c>
      <c r="K1215" s="323">
        <f>SUM(K1207:K1214)</f>
        <v>106921</v>
      </c>
      <c r="L1215" s="324">
        <f t="shared" ref="L1215:M1215" si="1527">SUM(L1207:L1214)</f>
        <v>106604</v>
      </c>
      <c r="M1215" s="325">
        <f t="shared" si="1527"/>
        <v>317</v>
      </c>
      <c r="N1215" s="342">
        <f t="shared" si="1519"/>
        <v>0.4240793257312841</v>
      </c>
      <c r="O1215" s="348">
        <f t="shared" si="1505"/>
        <v>2.9648057911916274E-3</v>
      </c>
    </row>
    <row r="1216" spans="1:15" ht="24" thickBot="1" x14ac:dyDescent="0.35">
      <c r="A1216" s="277" t="s">
        <v>110</v>
      </c>
      <c r="B1216" s="981" t="s">
        <v>25</v>
      </c>
      <c r="C1216" s="982"/>
      <c r="D1216" s="983"/>
      <c r="E1216" s="329">
        <f t="shared" ref="E1216:F1216" si="1528">+E1206+E1215</f>
        <v>1252125</v>
      </c>
      <c r="F1216" s="330">
        <f t="shared" si="1528"/>
        <v>94000</v>
      </c>
      <c r="G1216" s="329">
        <f>+G1206+G1215</f>
        <v>14698</v>
      </c>
      <c r="H1216" s="327">
        <f t="shared" ref="H1216:I1216" si="1529">+H1206+H1215</f>
        <v>14230</v>
      </c>
      <c r="I1216" s="327">
        <f t="shared" si="1529"/>
        <v>468</v>
      </c>
      <c r="J1216" s="352" t="str">
        <f>IFERROR(G1216/#REF!,"-")</f>
        <v>-</v>
      </c>
      <c r="K1216" s="329">
        <f t="shared" ref="K1216" si="1530">+K1206+K1215</f>
        <v>457744</v>
      </c>
      <c r="L1216" s="327">
        <f>+L1206+L1215</f>
        <v>455084</v>
      </c>
      <c r="M1216" s="328">
        <f t="shared" ref="M1216" si="1531">+M1206+M1215</f>
        <v>2660</v>
      </c>
      <c r="N1216" s="344">
        <f t="shared" si="1519"/>
        <v>0.36557372466806431</v>
      </c>
      <c r="O1216" s="352">
        <f t="shared" si="1505"/>
        <v>5.8111083924639101E-3</v>
      </c>
    </row>
    <row r="1217" spans="1:15" ht="24" thickBot="1" x14ac:dyDescent="0.35">
      <c r="A1217" s="277" t="s">
        <v>110</v>
      </c>
      <c r="B1217" s="984" t="s">
        <v>180</v>
      </c>
      <c r="C1217" s="962"/>
      <c r="D1217" s="963"/>
      <c r="E1217" s="333">
        <f>+E1201+E1216</f>
        <v>6002125</v>
      </c>
      <c r="F1217" s="334">
        <f t="shared" ref="F1217:I1217" si="1532">+F1201+F1216</f>
        <v>549000</v>
      </c>
      <c r="G1217" s="333">
        <f t="shared" si="1532"/>
        <v>161174</v>
      </c>
      <c r="H1217" s="331">
        <f t="shared" si="1532"/>
        <v>159934</v>
      </c>
      <c r="I1217" s="331">
        <f t="shared" si="1532"/>
        <v>1240</v>
      </c>
      <c r="J1217" s="353">
        <f>+G1217/F1217</f>
        <v>0.29357741347905281</v>
      </c>
      <c r="K1217" s="333">
        <f>+K1201+K1216</f>
        <v>2139486</v>
      </c>
      <c r="L1217" s="331">
        <f t="shared" ref="L1217:M1217" si="1533">+L1201+L1216</f>
        <v>2128504</v>
      </c>
      <c r="M1217" s="332">
        <f t="shared" si="1533"/>
        <v>10982</v>
      </c>
      <c r="N1217" s="345">
        <f>IFERROR(K1217/E1217,"-")</f>
        <v>0.35645475560738904</v>
      </c>
      <c r="O1217" s="353">
        <f t="shared" si="1505"/>
        <v>5.1330085824352204E-3</v>
      </c>
    </row>
    <row r="1218" spans="1:15" ht="23.4" x14ac:dyDescent="0.3">
      <c r="A1218" s="271" t="s">
        <v>108</v>
      </c>
      <c r="B1218" s="977" t="s">
        <v>26</v>
      </c>
      <c r="C1218" s="300" t="s">
        <v>323</v>
      </c>
      <c r="D1218" s="300" t="s">
        <v>190</v>
      </c>
      <c r="E1218" s="273">
        <v>0</v>
      </c>
      <c r="F1218" s="274"/>
      <c r="G1218" s="335">
        <f t="shared" ref="G1218:G1226" si="1534">+H1218+I1218</f>
        <v>0</v>
      </c>
      <c r="H1218" s="275"/>
      <c r="I1218" s="275"/>
      <c r="J1218" s="354" t="str">
        <f>IFERROR(G1218/#REF!,"-")</f>
        <v>-</v>
      </c>
      <c r="K1218" s="335">
        <f t="shared" ref="K1218:K1226" si="1535">+L1218+M1218</f>
        <v>0</v>
      </c>
      <c r="L1218" s="275">
        <f t="shared" ref="L1218:L1226" si="1536">+H1218+L1112</f>
        <v>0</v>
      </c>
      <c r="M1218" s="276">
        <f t="shared" ref="M1218:M1226" si="1537">+I1218+M1112</f>
        <v>0</v>
      </c>
      <c r="N1218" s="339" t="str">
        <f t="shared" ref="N1218:N1219" si="1538">IFERROR(K1218/E1218,"-")</f>
        <v>-</v>
      </c>
      <c r="O1218" s="349" t="str">
        <f t="shared" si="1505"/>
        <v>-</v>
      </c>
    </row>
    <row r="1219" spans="1:15" ht="23.4" x14ac:dyDescent="0.3">
      <c r="A1219" s="277" t="s">
        <v>108</v>
      </c>
      <c r="B1219" s="977"/>
      <c r="C1219" s="301" t="s">
        <v>508</v>
      </c>
      <c r="D1219" s="301" t="s">
        <v>507</v>
      </c>
      <c r="E1219" s="279">
        <v>0</v>
      </c>
      <c r="F1219" s="280"/>
      <c r="G1219" s="336">
        <f t="shared" si="1534"/>
        <v>76628</v>
      </c>
      <c r="H1219" s="281">
        <v>75582</v>
      </c>
      <c r="I1219" s="281">
        <v>1046</v>
      </c>
      <c r="J1219" s="355" t="str">
        <f>IFERROR(G1219/#REF!,"-")</f>
        <v>-</v>
      </c>
      <c r="K1219" s="336">
        <f t="shared" si="1535"/>
        <v>138115</v>
      </c>
      <c r="L1219" s="275">
        <f t="shared" si="1536"/>
        <v>135252</v>
      </c>
      <c r="M1219" s="276">
        <f t="shared" si="1537"/>
        <v>2863</v>
      </c>
      <c r="N1219" s="340" t="str">
        <f t="shared" si="1538"/>
        <v>-</v>
      </c>
      <c r="O1219" s="264">
        <f t="shared" si="1505"/>
        <v>2.0729102559461317E-2</v>
      </c>
    </row>
    <row r="1220" spans="1:15" ht="23.4" x14ac:dyDescent="0.3">
      <c r="A1220" s="277" t="s">
        <v>108</v>
      </c>
      <c r="B1220" s="977"/>
      <c r="C1220" s="302" t="s">
        <v>27</v>
      </c>
      <c r="D1220" s="302" t="s">
        <v>370</v>
      </c>
      <c r="E1220" s="283">
        <v>0</v>
      </c>
      <c r="F1220" s="284"/>
      <c r="G1220" s="336">
        <f t="shared" si="1534"/>
        <v>0</v>
      </c>
      <c r="H1220" s="285"/>
      <c r="I1220" s="285"/>
      <c r="J1220" s="356" t="str">
        <f>IFERROR(G1220/#REF!,"-")</f>
        <v>-</v>
      </c>
      <c r="K1220" s="336">
        <f t="shared" si="1535"/>
        <v>12534</v>
      </c>
      <c r="L1220" s="275">
        <f t="shared" si="1536"/>
        <v>11934</v>
      </c>
      <c r="M1220" s="276">
        <f t="shared" si="1537"/>
        <v>600</v>
      </c>
      <c r="N1220" s="286"/>
      <c r="O1220" s="264">
        <f t="shared" si="1505"/>
        <v>4.7869794159885112E-2</v>
      </c>
    </row>
    <row r="1221" spans="1:15" ht="23.4" x14ac:dyDescent="0.3">
      <c r="A1221" s="277" t="s">
        <v>108</v>
      </c>
      <c r="B1221" s="977"/>
      <c r="C1221" s="302" t="s">
        <v>27</v>
      </c>
      <c r="D1221" s="302" t="s">
        <v>254</v>
      </c>
      <c r="E1221" s="283">
        <v>0</v>
      </c>
      <c r="F1221" s="284"/>
      <c r="G1221" s="336">
        <f t="shared" si="1534"/>
        <v>0</v>
      </c>
      <c r="H1221" s="285"/>
      <c r="I1221" s="285"/>
      <c r="J1221" s="356" t="str">
        <f>IFERROR(G1221/#REF!,"-")</f>
        <v>-</v>
      </c>
      <c r="K1221" s="336">
        <f t="shared" si="1535"/>
        <v>33014</v>
      </c>
      <c r="L1221" s="275">
        <f t="shared" si="1536"/>
        <v>31824</v>
      </c>
      <c r="M1221" s="276">
        <f t="shared" si="1537"/>
        <v>1190</v>
      </c>
      <c r="N1221" s="286"/>
      <c r="O1221" s="264">
        <f t="shared" si="1505"/>
        <v>3.604531410916581E-2</v>
      </c>
    </row>
    <row r="1222" spans="1:15" ht="23.4" x14ac:dyDescent="0.3">
      <c r="A1222" s="277" t="s">
        <v>108</v>
      </c>
      <c r="B1222" s="977"/>
      <c r="C1222" s="302" t="s">
        <v>27</v>
      </c>
      <c r="D1222" s="302" t="s">
        <v>302</v>
      </c>
      <c r="E1222" s="283">
        <v>0</v>
      </c>
      <c r="F1222" s="284"/>
      <c r="G1222" s="336">
        <f t="shared" si="1534"/>
        <v>0</v>
      </c>
      <c r="H1222" s="285"/>
      <c r="I1222" s="285"/>
      <c r="J1222" s="356" t="str">
        <f>IFERROR(G1222/#REF!,"-")</f>
        <v>-</v>
      </c>
      <c r="K1222" s="336">
        <f t="shared" si="1535"/>
        <v>0</v>
      </c>
      <c r="L1222" s="275">
        <f t="shared" si="1536"/>
        <v>0</v>
      </c>
      <c r="M1222" s="276">
        <f t="shared" si="1537"/>
        <v>0</v>
      </c>
      <c r="N1222" s="286"/>
      <c r="O1222" s="264" t="str">
        <f t="shared" si="1505"/>
        <v>-</v>
      </c>
    </row>
    <row r="1223" spans="1:15" ht="23.4" x14ac:dyDescent="0.3">
      <c r="A1223" s="277"/>
      <c r="B1223" s="977"/>
      <c r="C1223" s="302" t="s">
        <v>369</v>
      </c>
      <c r="D1223" s="302" t="s">
        <v>190</v>
      </c>
      <c r="E1223" s="283">
        <v>0</v>
      </c>
      <c r="F1223" s="284"/>
      <c r="G1223" s="337">
        <f t="shared" si="1534"/>
        <v>0</v>
      </c>
      <c r="H1223" s="285"/>
      <c r="I1223" s="285"/>
      <c r="J1223" s="356" t="str">
        <f>IFERROR(G1223/#REF!,"-")</f>
        <v>-</v>
      </c>
      <c r="K1223" s="337">
        <f t="shared" si="1535"/>
        <v>0</v>
      </c>
      <c r="L1223" s="275">
        <f t="shared" si="1536"/>
        <v>0</v>
      </c>
      <c r="M1223" s="276">
        <f t="shared" si="1537"/>
        <v>0</v>
      </c>
      <c r="N1223" s="286"/>
      <c r="O1223" s="264" t="str">
        <f t="shared" si="1505"/>
        <v>-</v>
      </c>
    </row>
    <row r="1224" spans="1:15" ht="23.4" x14ac:dyDescent="0.3">
      <c r="A1224" s="277"/>
      <c r="B1224" s="977"/>
      <c r="C1224" s="302" t="s">
        <v>314</v>
      </c>
      <c r="D1224" s="302" t="s">
        <v>101</v>
      </c>
      <c r="E1224" s="283">
        <v>0</v>
      </c>
      <c r="F1224" s="284"/>
      <c r="G1224" s="337">
        <f t="shared" si="1534"/>
        <v>0</v>
      </c>
      <c r="H1224" s="285"/>
      <c r="I1224" s="285"/>
      <c r="J1224" s="356" t="str">
        <f>IFERROR(G1224/#REF!,"-")</f>
        <v>-</v>
      </c>
      <c r="K1224" s="337">
        <f t="shared" si="1535"/>
        <v>0</v>
      </c>
      <c r="L1224" s="275">
        <f t="shared" si="1536"/>
        <v>0</v>
      </c>
      <c r="M1224" s="276">
        <f t="shared" si="1537"/>
        <v>0</v>
      </c>
      <c r="N1224" s="286"/>
      <c r="O1224" s="264" t="str">
        <f t="shared" si="1505"/>
        <v>-</v>
      </c>
    </row>
    <row r="1225" spans="1:15" ht="23.4" x14ac:dyDescent="0.3">
      <c r="A1225" s="277"/>
      <c r="B1225" s="977"/>
      <c r="C1225" s="302" t="s">
        <v>452</v>
      </c>
      <c r="D1225" s="302" t="s">
        <v>410</v>
      </c>
      <c r="E1225" s="283">
        <v>0</v>
      </c>
      <c r="F1225" s="284"/>
      <c r="G1225" s="337">
        <f t="shared" si="1534"/>
        <v>0</v>
      </c>
      <c r="H1225" s="285"/>
      <c r="I1225" s="285"/>
      <c r="J1225" s="356" t="str">
        <f>IFERROR(G1225/#REF!,"-")</f>
        <v>-</v>
      </c>
      <c r="K1225" s="337">
        <f t="shared" si="1535"/>
        <v>36855</v>
      </c>
      <c r="L1225" s="275">
        <f t="shared" si="1536"/>
        <v>35802</v>
      </c>
      <c r="M1225" s="276">
        <f t="shared" si="1537"/>
        <v>1053</v>
      </c>
      <c r="N1225" s="286"/>
      <c r="O1225" s="264">
        <f t="shared" si="1505"/>
        <v>2.8571428571428571E-2</v>
      </c>
    </row>
    <row r="1226" spans="1:15" ht="24" thickBot="1" x14ac:dyDescent="0.35">
      <c r="A1226" s="277" t="s">
        <v>108</v>
      </c>
      <c r="B1226" s="977"/>
      <c r="C1226" s="303" t="s">
        <v>315</v>
      </c>
      <c r="D1226" s="302" t="s">
        <v>313</v>
      </c>
      <c r="E1226" s="283">
        <v>0</v>
      </c>
      <c r="F1226" s="284"/>
      <c r="G1226" s="337">
        <f t="shared" si="1534"/>
        <v>3978</v>
      </c>
      <c r="H1226" s="285">
        <v>3978</v>
      </c>
      <c r="I1226" s="285"/>
      <c r="J1226" s="356" t="str">
        <f>IFERROR(G1226/#REF!,"-")</f>
        <v>-</v>
      </c>
      <c r="K1226" s="337">
        <f t="shared" si="1535"/>
        <v>12265</v>
      </c>
      <c r="L1226" s="275">
        <f t="shared" si="1536"/>
        <v>11934</v>
      </c>
      <c r="M1226" s="276">
        <f t="shared" si="1537"/>
        <v>331</v>
      </c>
      <c r="N1226" s="341" t="str">
        <f t="shared" ref="N1226:N1233" si="1539">IFERROR(K1226/E1226,"-")</f>
        <v>-</v>
      </c>
      <c r="O1226" s="350">
        <f t="shared" si="1505"/>
        <v>2.6987362413371383E-2</v>
      </c>
    </row>
    <row r="1227" spans="1:15" ht="24" thickBot="1" x14ac:dyDescent="0.35">
      <c r="A1227" s="277" t="s">
        <v>108</v>
      </c>
      <c r="B1227" s="990"/>
      <c r="C1227" s="304"/>
      <c r="D1227" s="305" t="s">
        <v>55</v>
      </c>
      <c r="E1227" s="287">
        <f>SUM(E1218:E1226)</f>
        <v>0</v>
      </c>
      <c r="F1227" s="288">
        <v>80000</v>
      </c>
      <c r="G1227" s="323">
        <f>SUM(G1218:G1226)</f>
        <v>80606</v>
      </c>
      <c r="H1227" s="324">
        <f>SUM(H1218:H1226)</f>
        <v>79560</v>
      </c>
      <c r="I1227" s="324">
        <f>SUM(I1218:I1226)</f>
        <v>1046</v>
      </c>
      <c r="J1227" s="348">
        <f>+G1227/F1227</f>
        <v>1.0075750000000001</v>
      </c>
      <c r="K1227" s="323">
        <f>SUM(K1218:K1226)</f>
        <v>232783</v>
      </c>
      <c r="L1227" s="324">
        <f>SUM(L1218:L1226)</f>
        <v>226746</v>
      </c>
      <c r="M1227" s="325">
        <f>SUM(M1218:M1226)</f>
        <v>6037</v>
      </c>
      <c r="N1227" s="342" t="str">
        <f t="shared" si="1539"/>
        <v>-</v>
      </c>
      <c r="O1227" s="348">
        <f t="shared" si="1505"/>
        <v>2.5934024391815552E-2</v>
      </c>
    </row>
    <row r="1228" spans="1:15" ht="23.4" x14ac:dyDescent="0.3">
      <c r="A1228" s="277" t="s">
        <v>108</v>
      </c>
      <c r="B1228" s="976" t="s">
        <v>28</v>
      </c>
      <c r="C1228" s="302" t="s">
        <v>27</v>
      </c>
      <c r="D1228" s="300" t="s">
        <v>191</v>
      </c>
      <c r="E1228" s="273">
        <v>2612056</v>
      </c>
      <c r="F1228" s="274"/>
      <c r="G1228" s="335">
        <f t="shared" ref="G1228:G1232" si="1540">+H1228+I1228</f>
        <v>0</v>
      </c>
      <c r="H1228" s="275"/>
      <c r="I1228" s="275"/>
      <c r="J1228" s="354" t="str">
        <f>IFERROR(G1228/#REF!,"-")</f>
        <v>-</v>
      </c>
      <c r="K1228" s="335">
        <f t="shared" ref="K1228:K1232" si="1541">+L1228+M1228</f>
        <v>21742</v>
      </c>
      <c r="L1228" s="275">
        <f t="shared" ref="L1228:L1232" si="1542">+H1228+L1122</f>
        <v>19890</v>
      </c>
      <c r="M1228" s="276">
        <f t="shared" ref="M1228:M1232" si="1543">+I1228+M1122</f>
        <v>1852</v>
      </c>
      <c r="N1228" s="339">
        <f t="shared" si="1539"/>
        <v>8.3237112833721792E-3</v>
      </c>
      <c r="O1228" s="349">
        <f t="shared" si="1505"/>
        <v>8.5180756140189495E-2</v>
      </c>
    </row>
    <row r="1229" spans="1:15" ht="23.4" x14ac:dyDescent="0.3">
      <c r="A1229" s="277" t="s">
        <v>108</v>
      </c>
      <c r="B1229" s="977"/>
      <c r="C1229" s="302" t="s">
        <v>455</v>
      </c>
      <c r="D1229" s="302" t="s">
        <v>370</v>
      </c>
      <c r="E1229" s="279">
        <v>0</v>
      </c>
      <c r="F1229" s="280"/>
      <c r="G1229" s="336">
        <f t="shared" si="1540"/>
        <v>125478</v>
      </c>
      <c r="H1229" s="281">
        <f>35802+27846+59670</f>
        <v>123318</v>
      </c>
      <c r="I1229" s="281">
        <f>970+640+550</f>
        <v>2160</v>
      </c>
      <c r="J1229" s="355" t="str">
        <f>IFERROR(G1229/#REF!,"-")</f>
        <v>-</v>
      </c>
      <c r="K1229" s="336">
        <f t="shared" si="1541"/>
        <v>619343</v>
      </c>
      <c r="L1229" s="275">
        <f t="shared" si="1542"/>
        <v>612306</v>
      </c>
      <c r="M1229" s="276">
        <f t="shared" si="1543"/>
        <v>7037</v>
      </c>
      <c r="N1229" s="340" t="str">
        <f t="shared" si="1539"/>
        <v>-</v>
      </c>
      <c r="O1229" s="264">
        <f t="shared" si="1505"/>
        <v>1.1362040097328944E-2</v>
      </c>
    </row>
    <row r="1230" spans="1:15" ht="23.4" x14ac:dyDescent="0.3">
      <c r="A1230" s="277" t="s">
        <v>108</v>
      </c>
      <c r="B1230" s="977"/>
      <c r="C1230" s="302" t="s">
        <v>27</v>
      </c>
      <c r="D1230" s="302" t="s">
        <v>370</v>
      </c>
      <c r="E1230" s="279">
        <v>0</v>
      </c>
      <c r="F1230" s="280"/>
      <c r="G1230" s="336">
        <f t="shared" si="1540"/>
        <v>0</v>
      </c>
      <c r="H1230" s="281"/>
      <c r="I1230" s="281"/>
      <c r="J1230" s="355" t="str">
        <f>IFERROR(G1230/#REF!,"-")</f>
        <v>-</v>
      </c>
      <c r="K1230" s="336">
        <f t="shared" si="1541"/>
        <v>65158</v>
      </c>
      <c r="L1230" s="275">
        <f t="shared" si="1542"/>
        <v>63648</v>
      </c>
      <c r="M1230" s="276">
        <f t="shared" si="1543"/>
        <v>1510</v>
      </c>
      <c r="N1230" s="340" t="str">
        <f t="shared" si="1539"/>
        <v>-</v>
      </c>
      <c r="O1230" s="264">
        <f t="shared" si="1505"/>
        <v>2.3174437521102549E-2</v>
      </c>
    </row>
    <row r="1231" spans="1:15" ht="23.4" x14ac:dyDescent="0.3">
      <c r="A1231" s="277" t="s">
        <v>108</v>
      </c>
      <c r="B1231" s="977"/>
      <c r="C1231" s="302" t="s">
        <v>452</v>
      </c>
      <c r="D1231" s="303" t="s">
        <v>410</v>
      </c>
      <c r="E1231" s="283">
        <v>0</v>
      </c>
      <c r="F1231" s="284"/>
      <c r="G1231" s="337">
        <f t="shared" si="1540"/>
        <v>0</v>
      </c>
      <c r="H1231" s="285"/>
      <c r="I1231" s="285"/>
      <c r="J1231" s="356" t="str">
        <f>IFERROR(G1231/#REF!,"-")</f>
        <v>-</v>
      </c>
      <c r="K1231" s="337">
        <f t="shared" si="1541"/>
        <v>249713</v>
      </c>
      <c r="L1231" s="275">
        <f t="shared" si="1542"/>
        <v>246636</v>
      </c>
      <c r="M1231" s="755">
        <f t="shared" si="1543"/>
        <v>3077</v>
      </c>
      <c r="N1231" s="341" t="str">
        <f t="shared" si="1539"/>
        <v>-</v>
      </c>
      <c r="O1231" s="350">
        <f t="shared" si="1505"/>
        <v>1.2322145823405269E-2</v>
      </c>
    </row>
    <row r="1232" spans="1:15" ht="24" thickBot="1" x14ac:dyDescent="0.35">
      <c r="A1232" s="277" t="s">
        <v>108</v>
      </c>
      <c r="B1232" s="977"/>
      <c r="C1232" s="302" t="s">
        <v>27</v>
      </c>
      <c r="D1232" s="303" t="s">
        <v>254</v>
      </c>
      <c r="E1232" s="283">
        <v>0</v>
      </c>
      <c r="F1232" s="284"/>
      <c r="G1232" s="337">
        <f t="shared" si="1540"/>
        <v>0</v>
      </c>
      <c r="H1232" s="285"/>
      <c r="I1232" s="285"/>
      <c r="J1232" s="356" t="str">
        <f>IFERROR(G1232/#REF!,"-")</f>
        <v>-</v>
      </c>
      <c r="K1232" s="337">
        <f t="shared" si="1541"/>
        <v>764755</v>
      </c>
      <c r="L1232" s="275">
        <f t="shared" si="1542"/>
        <v>755820</v>
      </c>
      <c r="M1232" s="755">
        <f t="shared" si="1543"/>
        <v>8935</v>
      </c>
      <c r="N1232" s="341" t="str">
        <f t="shared" si="1539"/>
        <v>-</v>
      </c>
      <c r="O1232" s="350">
        <f t="shared" si="1505"/>
        <v>1.1683480330301862E-2</v>
      </c>
    </row>
    <row r="1233" spans="1:15" ht="24" thickBot="1" x14ac:dyDescent="0.35">
      <c r="A1233" s="277" t="s">
        <v>108</v>
      </c>
      <c r="B1233" s="977"/>
      <c r="C1233" s="307"/>
      <c r="D1233" s="308" t="s">
        <v>55</v>
      </c>
      <c r="E1233" s="309">
        <f>SUM(E1228:E1232)</f>
        <v>2612056</v>
      </c>
      <c r="F1233" s="310">
        <v>160000</v>
      </c>
      <c r="G1233" s="369">
        <f>SUM(G1228:G1232)</f>
        <v>125478</v>
      </c>
      <c r="H1233" s="368">
        <f>SUM(H1228:H1232)</f>
        <v>123318</v>
      </c>
      <c r="I1233" s="368">
        <f>SUM(I1228:I1232)</f>
        <v>2160</v>
      </c>
      <c r="J1233" s="359">
        <f>+G1233/F1233</f>
        <v>0.78423750000000003</v>
      </c>
      <c r="K1233" s="369">
        <f>SUM(K1228:K1232)</f>
        <v>1720711</v>
      </c>
      <c r="L1233" s="368">
        <f>SUM(L1228:L1232)</f>
        <v>1698300</v>
      </c>
      <c r="M1233" s="370">
        <f>SUM(M1228:M1232)</f>
        <v>22411</v>
      </c>
      <c r="N1233" s="358">
        <f t="shared" si="1539"/>
        <v>0.6587573160759187</v>
      </c>
      <c r="O1233" s="359">
        <f t="shared" si="1505"/>
        <v>1.3024267294159217E-2</v>
      </c>
    </row>
    <row r="1234" spans="1:15" ht="24" thickBot="1" x14ac:dyDescent="0.35">
      <c r="A1234" s="841" t="s">
        <v>108</v>
      </c>
      <c r="B1234" s="978" t="s">
        <v>170</v>
      </c>
      <c r="C1234" s="979"/>
      <c r="D1234" s="980"/>
      <c r="E1234" s="311">
        <f>+E1233+E1227</f>
        <v>2612056</v>
      </c>
      <c r="F1234" s="312">
        <v>240000</v>
      </c>
      <c r="G1234" s="372">
        <f>+G1227+G1233</f>
        <v>206084</v>
      </c>
      <c r="H1234" s="371">
        <f>+H1227+H1233</f>
        <v>202878</v>
      </c>
      <c r="I1234" s="371">
        <f>+I1227+I1233</f>
        <v>3206</v>
      </c>
      <c r="J1234" s="361">
        <f>+G1234/F1234</f>
        <v>0.85868333333333335</v>
      </c>
      <c r="K1234" s="372">
        <f>+K1227+K1233</f>
        <v>1953494</v>
      </c>
      <c r="L1234" s="371">
        <f>+L1227+L1233</f>
        <v>1925046</v>
      </c>
      <c r="M1234" s="373">
        <f>+M1227+M1233</f>
        <v>28448</v>
      </c>
      <c r="N1234" s="360">
        <f>IFERROR(K1234/E1234,"-")</f>
        <v>0.74787600265844223</v>
      </c>
      <c r="O1234" s="361">
        <f t="shared" si="1505"/>
        <v>1.4562624712438329E-2</v>
      </c>
    </row>
    <row r="1235" spans="1:15" ht="23.4" x14ac:dyDescent="0.3">
      <c r="A1235" s="277" t="s">
        <v>108</v>
      </c>
      <c r="B1235" s="977" t="s">
        <v>30</v>
      </c>
      <c r="C1235" s="306" t="s">
        <v>372</v>
      </c>
      <c r="D1235" s="300" t="s">
        <v>191</v>
      </c>
      <c r="E1235" s="273">
        <v>0</v>
      </c>
      <c r="F1235" s="274"/>
      <c r="G1235" s="335">
        <f t="shared" ref="G1235:G1237" si="1544">+H1235+I1235</f>
        <v>0</v>
      </c>
      <c r="H1235" s="275"/>
      <c r="I1235" s="275"/>
      <c r="J1235" s="354" t="str">
        <f>IFERROR(G1235/#REF!,"-")</f>
        <v>-</v>
      </c>
      <c r="K1235" s="335">
        <f t="shared" ref="K1235:K1237" si="1545">+L1235+M1235</f>
        <v>0</v>
      </c>
      <c r="L1235" s="275">
        <f t="shared" ref="L1235:L1237" si="1546">+H1235+L1129</f>
        <v>0</v>
      </c>
      <c r="M1235" s="276">
        <f t="shared" ref="M1235:M1237" si="1547">+I1235+M1129</f>
        <v>0</v>
      </c>
      <c r="N1235" s="339" t="str">
        <f t="shared" ref="N1235:N1245" si="1548">IFERROR(K1235/E1235,"-")</f>
        <v>-</v>
      </c>
      <c r="O1235" s="349" t="str">
        <f t="shared" si="1505"/>
        <v>-</v>
      </c>
    </row>
    <row r="1236" spans="1:15" ht="23.4" x14ac:dyDescent="0.3">
      <c r="A1236" s="277" t="s">
        <v>108</v>
      </c>
      <c r="B1236" s="977"/>
      <c r="C1236" s="306" t="s">
        <v>371</v>
      </c>
      <c r="D1236" s="306" t="s">
        <v>313</v>
      </c>
      <c r="E1236" s="279">
        <v>0</v>
      </c>
      <c r="F1236" s="280"/>
      <c r="G1236" s="336">
        <f t="shared" si="1544"/>
        <v>0</v>
      </c>
      <c r="H1236" s="281"/>
      <c r="I1236" s="281"/>
      <c r="J1236" s="355" t="str">
        <f>IFERROR(G1236/#REF!,"-")</f>
        <v>-</v>
      </c>
      <c r="K1236" s="336">
        <f t="shared" si="1545"/>
        <v>0</v>
      </c>
      <c r="L1236" s="275">
        <f t="shared" si="1546"/>
        <v>0</v>
      </c>
      <c r="M1236" s="276">
        <f t="shared" si="1547"/>
        <v>0</v>
      </c>
      <c r="N1236" s="340" t="str">
        <f t="shared" si="1548"/>
        <v>-</v>
      </c>
      <c r="O1236" s="264" t="str">
        <f t="shared" si="1505"/>
        <v>-</v>
      </c>
    </row>
    <row r="1237" spans="1:15" ht="24" thickBot="1" x14ac:dyDescent="0.35">
      <c r="A1237" s="277" t="s">
        <v>108</v>
      </c>
      <c r="B1237" s="977"/>
      <c r="C1237" s="303" t="s">
        <v>316</v>
      </c>
      <c r="D1237" s="303" t="s">
        <v>410</v>
      </c>
      <c r="E1237" s="283">
        <v>0</v>
      </c>
      <c r="F1237" s="284"/>
      <c r="G1237" s="337">
        <f t="shared" si="1544"/>
        <v>0</v>
      </c>
      <c r="H1237" s="285"/>
      <c r="I1237" s="285"/>
      <c r="J1237" s="356" t="str">
        <f>IFERROR(G1237/#REF!,"-")</f>
        <v>-</v>
      </c>
      <c r="K1237" s="337">
        <f t="shared" si="1545"/>
        <v>169767</v>
      </c>
      <c r="L1237" s="275">
        <f t="shared" si="1546"/>
        <v>164736</v>
      </c>
      <c r="M1237" s="276">
        <f t="shared" si="1547"/>
        <v>5031</v>
      </c>
      <c r="N1237" s="341" t="str">
        <f t="shared" si="1548"/>
        <v>-</v>
      </c>
      <c r="O1237" s="350">
        <f t="shared" si="1505"/>
        <v>2.9634734665747762E-2</v>
      </c>
    </row>
    <row r="1238" spans="1:15" ht="24" thickBot="1" x14ac:dyDescent="0.35">
      <c r="A1238" s="277" t="s">
        <v>108</v>
      </c>
      <c r="B1238" s="977"/>
      <c r="C1238" s="304"/>
      <c r="D1238" s="305" t="s">
        <v>53</v>
      </c>
      <c r="E1238" s="287">
        <v>0</v>
      </c>
      <c r="F1238" s="288">
        <v>50000</v>
      </c>
      <c r="G1238" s="323">
        <f>SUM(G1235:G1237)</f>
        <v>0</v>
      </c>
      <c r="H1238" s="324">
        <f>SUM(H1235:H1237)</f>
        <v>0</v>
      </c>
      <c r="I1238" s="324">
        <f>SUM(I1235:I1237)</f>
        <v>0</v>
      </c>
      <c r="J1238" s="348" t="e">
        <f>+H1238/G1238</f>
        <v>#DIV/0!</v>
      </c>
      <c r="K1238" s="323">
        <f>SUM(K1235:K1237)</f>
        <v>169767</v>
      </c>
      <c r="L1238" s="324">
        <f>SUM(L1235:L1237)</f>
        <v>164736</v>
      </c>
      <c r="M1238" s="325">
        <f>SUM(M1235:M1237)</f>
        <v>5031</v>
      </c>
      <c r="N1238" s="342" t="str">
        <f t="shared" si="1548"/>
        <v>-</v>
      </c>
      <c r="O1238" s="348">
        <f t="shared" si="1505"/>
        <v>2.9634734665747762E-2</v>
      </c>
    </row>
    <row r="1239" spans="1:15" ht="23.4" x14ac:dyDescent="0.3">
      <c r="A1239" s="277" t="s">
        <v>108</v>
      </c>
      <c r="B1239" s="977"/>
      <c r="C1239" s="300" t="s">
        <v>339</v>
      </c>
      <c r="D1239" s="300"/>
      <c r="E1239" s="273">
        <v>500000</v>
      </c>
      <c r="F1239" s="274"/>
      <c r="G1239" s="335">
        <f t="shared" ref="G1239:G1241" si="1549">+H1239+I1239</f>
        <v>0</v>
      </c>
      <c r="H1239" s="275"/>
      <c r="I1239" s="275"/>
      <c r="J1239" s="354" t="str">
        <f>IFERROR(G1239/#REF!,"-")</f>
        <v>-</v>
      </c>
      <c r="K1239" s="335">
        <f t="shared" ref="K1239:K1241" si="1550">+L1239+M1239</f>
        <v>0</v>
      </c>
      <c r="L1239" s="275">
        <f t="shared" ref="L1239:L1241" si="1551">+H1239+L1133</f>
        <v>0</v>
      </c>
      <c r="M1239" s="276">
        <f t="shared" ref="M1239:M1241" si="1552">+I1239+M1133</f>
        <v>0</v>
      </c>
      <c r="N1239" s="339">
        <f t="shared" si="1548"/>
        <v>0</v>
      </c>
      <c r="O1239" s="349" t="str">
        <f t="shared" si="1505"/>
        <v>-</v>
      </c>
    </row>
    <row r="1240" spans="1:15" ht="23.4" x14ac:dyDescent="0.3">
      <c r="A1240" s="277" t="s">
        <v>108</v>
      </c>
      <c r="B1240" s="977"/>
      <c r="C1240" s="306" t="s">
        <v>373</v>
      </c>
      <c r="D1240" s="306" t="s">
        <v>254</v>
      </c>
      <c r="E1240" s="279">
        <v>0</v>
      </c>
      <c r="F1240" s="280"/>
      <c r="G1240" s="336">
        <f t="shared" si="1549"/>
        <v>0</v>
      </c>
      <c r="H1240" s="281"/>
      <c r="I1240" s="281"/>
      <c r="J1240" s="355" t="str">
        <f>IFERROR(G1240/#REF!,"-")</f>
        <v>-</v>
      </c>
      <c r="K1240" s="336">
        <f t="shared" si="1550"/>
        <v>9638</v>
      </c>
      <c r="L1240" s="275">
        <f t="shared" si="1551"/>
        <v>9360</v>
      </c>
      <c r="M1240" s="276">
        <f t="shared" si="1552"/>
        <v>278</v>
      </c>
      <c r="N1240" s="340" t="str">
        <f t="shared" si="1548"/>
        <v>-</v>
      </c>
      <c r="O1240" s="264">
        <f t="shared" si="1505"/>
        <v>2.8844158539116E-2</v>
      </c>
    </row>
    <row r="1241" spans="1:15" ht="24" thickBot="1" x14ac:dyDescent="0.35">
      <c r="A1241" s="277" t="s">
        <v>108</v>
      </c>
      <c r="B1241" s="977"/>
      <c r="C1241" s="303" t="s">
        <v>145</v>
      </c>
      <c r="D1241" s="303"/>
      <c r="E1241" s="283">
        <v>0</v>
      </c>
      <c r="F1241" s="284"/>
      <c r="G1241" s="337">
        <f t="shared" si="1549"/>
        <v>0</v>
      </c>
      <c r="H1241" s="285"/>
      <c r="I1241" s="285"/>
      <c r="J1241" s="356" t="str">
        <f>IFERROR(G1241/#REF!,"-")</f>
        <v>-</v>
      </c>
      <c r="K1241" s="337">
        <f t="shared" si="1550"/>
        <v>0</v>
      </c>
      <c r="L1241" s="275">
        <f t="shared" si="1551"/>
        <v>0</v>
      </c>
      <c r="M1241" s="276">
        <f t="shared" si="1552"/>
        <v>0</v>
      </c>
      <c r="N1241" s="341" t="str">
        <f t="shared" si="1548"/>
        <v>-</v>
      </c>
      <c r="O1241" s="350" t="str">
        <f t="shared" si="1505"/>
        <v>-</v>
      </c>
    </row>
    <row r="1242" spans="1:15" ht="24" thickBot="1" x14ac:dyDescent="0.35">
      <c r="A1242" s="277" t="s">
        <v>108</v>
      </c>
      <c r="B1242" s="977"/>
      <c r="C1242" s="307"/>
      <c r="D1242" s="308" t="s">
        <v>54</v>
      </c>
      <c r="E1242" s="309">
        <f>SUM(E1239)</f>
        <v>500000</v>
      </c>
      <c r="F1242" s="310">
        <v>50000</v>
      </c>
      <c r="G1242" s="369">
        <f>SUM(G1239:G1241)</f>
        <v>0</v>
      </c>
      <c r="H1242" s="368">
        <f t="shared" ref="H1242:I1242" si="1553">SUM(H1239:H1241)</f>
        <v>0</v>
      </c>
      <c r="I1242" s="368">
        <f t="shared" si="1553"/>
        <v>0</v>
      </c>
      <c r="J1242" s="359">
        <f>+G1242/F1242</f>
        <v>0</v>
      </c>
      <c r="K1242" s="369">
        <f t="shared" ref="K1242:M1242" si="1554">SUM(K1239:K1241)</f>
        <v>9638</v>
      </c>
      <c r="L1242" s="368">
        <f t="shared" si="1554"/>
        <v>9360</v>
      </c>
      <c r="M1242" s="370">
        <f t="shared" si="1554"/>
        <v>278</v>
      </c>
      <c r="N1242" s="358">
        <f t="shared" si="1548"/>
        <v>1.9276000000000001E-2</v>
      </c>
      <c r="O1242" s="359">
        <f t="shared" si="1505"/>
        <v>2.8844158539116E-2</v>
      </c>
    </row>
    <row r="1243" spans="1:15" ht="24" thickBot="1" x14ac:dyDescent="0.35">
      <c r="A1243" s="277" t="s">
        <v>108</v>
      </c>
      <c r="B1243" s="978" t="s">
        <v>171</v>
      </c>
      <c r="C1243" s="979"/>
      <c r="D1243" s="980"/>
      <c r="E1243" s="311">
        <f>+E1242+E1238</f>
        <v>500000</v>
      </c>
      <c r="F1243" s="312">
        <v>50000</v>
      </c>
      <c r="G1243" s="372">
        <f>+G1238+G1242</f>
        <v>0</v>
      </c>
      <c r="H1243" s="371">
        <f t="shared" ref="H1243:I1243" si="1555">+H1238+H1242</f>
        <v>0</v>
      </c>
      <c r="I1243" s="371">
        <f t="shared" si="1555"/>
        <v>0</v>
      </c>
      <c r="J1243" s="361">
        <f>+G1243/F1243</f>
        <v>0</v>
      </c>
      <c r="K1243" s="372">
        <f t="shared" ref="K1243:M1243" si="1556">+K1238+K1242</f>
        <v>179405</v>
      </c>
      <c r="L1243" s="371">
        <f t="shared" si="1556"/>
        <v>174096</v>
      </c>
      <c r="M1243" s="373">
        <f t="shared" si="1556"/>
        <v>5309</v>
      </c>
      <c r="N1243" s="360">
        <f t="shared" si="1548"/>
        <v>0.35881000000000002</v>
      </c>
      <c r="O1243" s="361">
        <f t="shared" si="1505"/>
        <v>2.9592263314846299E-2</v>
      </c>
    </row>
    <row r="1244" spans="1:15" ht="24" thickBot="1" x14ac:dyDescent="0.35">
      <c r="A1244" s="277" t="s">
        <v>108</v>
      </c>
      <c r="B1244" s="608" t="s">
        <v>32</v>
      </c>
      <c r="C1244" s="837"/>
      <c r="D1244" s="313" t="s">
        <v>32</v>
      </c>
      <c r="E1244" s="290">
        <v>0</v>
      </c>
      <c r="F1244" s="291">
        <v>110000</v>
      </c>
      <c r="G1244" s="338">
        <f t="shared" ref="G1244" si="1557">+H1244+I1244</f>
        <v>0</v>
      </c>
      <c r="H1244" s="292"/>
      <c r="I1244" s="292"/>
      <c r="J1244" s="357" t="str">
        <f>IFERROR(G1244/#REF!,"-")</f>
        <v>-</v>
      </c>
      <c r="K1244" s="338">
        <f>+L1244+M1244</f>
        <v>0</v>
      </c>
      <c r="L1244" s="292">
        <f>+H1244+L1138</f>
        <v>0</v>
      </c>
      <c r="M1244" s="293">
        <f>+I1244+M1138</f>
        <v>0</v>
      </c>
      <c r="N1244" s="343" t="str">
        <f t="shared" si="1548"/>
        <v>-</v>
      </c>
      <c r="O1244" s="351" t="str">
        <f t="shared" si="1505"/>
        <v>-</v>
      </c>
    </row>
    <row r="1245" spans="1:15" ht="24" thickBot="1" x14ac:dyDescent="0.35">
      <c r="A1245" s="277" t="s">
        <v>108</v>
      </c>
      <c r="B1245" s="981" t="s">
        <v>21</v>
      </c>
      <c r="C1245" s="982"/>
      <c r="D1245" s="983"/>
      <c r="E1245" s="329">
        <f>+E1234+E1243+E1244</f>
        <v>3112056</v>
      </c>
      <c r="F1245" s="330">
        <f>+F1234+F1243+F1244</f>
        <v>400000</v>
      </c>
      <c r="G1245" s="329">
        <f>+G1234+G1243+G1244</f>
        <v>206084</v>
      </c>
      <c r="H1245" s="327">
        <f>+H1234+H1243+H1244</f>
        <v>202878</v>
      </c>
      <c r="I1245" s="327">
        <f>+I1234+I1243+I1244</f>
        <v>3206</v>
      </c>
      <c r="J1245" s="352">
        <f>+G1245/F1245</f>
        <v>0.51520999999999995</v>
      </c>
      <c r="K1245" s="329">
        <f>+K1234+K1243+K1244</f>
        <v>2132899</v>
      </c>
      <c r="L1245" s="327">
        <f>+L1234+L1243+L1244</f>
        <v>2099142</v>
      </c>
      <c r="M1245" s="328">
        <f>+M1234+M1243+M1244</f>
        <v>33757</v>
      </c>
      <c r="N1245" s="344">
        <f t="shared" si="1548"/>
        <v>0.68536652296745304</v>
      </c>
      <c r="O1245" s="352">
        <f t="shared" si="1505"/>
        <v>1.582681599081813E-2</v>
      </c>
    </row>
    <row r="1246" spans="1:15" ht="24" thickBot="1" x14ac:dyDescent="0.35">
      <c r="A1246" s="277" t="s">
        <v>108</v>
      </c>
      <c r="B1246" s="984" t="s">
        <v>179</v>
      </c>
      <c r="C1246" s="962"/>
      <c r="D1246" s="963"/>
      <c r="E1246" s="333">
        <f>+E1245</f>
        <v>3112056</v>
      </c>
      <c r="F1246" s="334">
        <f t="shared" ref="F1246:I1246" si="1558">+F1245</f>
        <v>400000</v>
      </c>
      <c r="G1246" s="333">
        <f t="shared" si="1558"/>
        <v>206084</v>
      </c>
      <c r="H1246" s="331">
        <f t="shared" si="1558"/>
        <v>202878</v>
      </c>
      <c r="I1246" s="331">
        <f t="shared" si="1558"/>
        <v>3206</v>
      </c>
      <c r="J1246" s="353">
        <f>+J1245</f>
        <v>0.51520999999999995</v>
      </c>
      <c r="K1246" s="333">
        <f>+K1245</f>
        <v>2132899</v>
      </c>
      <c r="L1246" s="331">
        <f t="shared" ref="L1246" si="1559">+L1245</f>
        <v>2099142</v>
      </c>
      <c r="M1246" s="332">
        <f>+M1245</f>
        <v>33757</v>
      </c>
      <c r="N1246" s="345">
        <f t="shared" ref="N1246:O1246" si="1560">+N1245</f>
        <v>0.68536652296745304</v>
      </c>
      <c r="O1246" s="353">
        <f t="shared" si="1560"/>
        <v>1.582681599081813E-2</v>
      </c>
    </row>
    <row r="1247" spans="1:15" ht="23.4" x14ac:dyDescent="0.3">
      <c r="A1247" s="271" t="s">
        <v>109</v>
      </c>
      <c r="B1247" s="970" t="s">
        <v>482</v>
      </c>
      <c r="C1247" s="314" t="s">
        <v>120</v>
      </c>
      <c r="D1247" s="314"/>
      <c r="E1247" s="273">
        <v>34000</v>
      </c>
      <c r="F1247" s="274"/>
      <c r="G1247" s="335">
        <f t="shared" ref="G1247:G1249" si="1561">+H1247+I1247</f>
        <v>0</v>
      </c>
      <c r="H1247" s="275"/>
      <c r="I1247" s="275"/>
      <c r="J1247" s="354" t="str">
        <f>IFERROR(G1247/#REF!,"-")</f>
        <v>-</v>
      </c>
      <c r="K1247" s="335">
        <f t="shared" ref="K1247:K1249" si="1562">+L1247+M1247</f>
        <v>0</v>
      </c>
      <c r="L1247" s="275">
        <f t="shared" ref="L1247:L1249" si="1563">+H1247+L1141</f>
        <v>0</v>
      </c>
      <c r="M1247" s="276">
        <f t="shared" ref="M1247:M1249" si="1564">+I1247+M1141</f>
        <v>0</v>
      </c>
      <c r="N1247" s="339">
        <f t="shared" ref="N1247:N1254" si="1565">IFERROR(K1247/E1247,"-")</f>
        <v>0</v>
      </c>
      <c r="O1247" s="349" t="str">
        <f t="shared" ref="O1247:O1272" si="1566">IFERROR(M1247/K1247,"-")</f>
        <v>-</v>
      </c>
    </row>
    <row r="1248" spans="1:15" ht="23.4" x14ac:dyDescent="0.3">
      <c r="A1248" s="277" t="s">
        <v>109</v>
      </c>
      <c r="B1248" s="972"/>
      <c r="C1248" s="315" t="s">
        <v>267</v>
      </c>
      <c r="D1248" s="315"/>
      <c r="E1248" s="279">
        <v>0</v>
      </c>
      <c r="F1248" s="280"/>
      <c r="G1248" s="336">
        <f t="shared" si="1561"/>
        <v>4320</v>
      </c>
      <c r="H1248" s="281">
        <v>4160</v>
      </c>
      <c r="I1248" s="281">
        <v>160</v>
      </c>
      <c r="J1248" s="355" t="str">
        <f>IFERROR(G1248/#REF!,"-")</f>
        <v>-</v>
      </c>
      <c r="K1248" s="336">
        <f t="shared" si="1562"/>
        <v>16992</v>
      </c>
      <c r="L1248" s="275">
        <f t="shared" si="1563"/>
        <v>16640</v>
      </c>
      <c r="M1248" s="276">
        <f t="shared" si="1564"/>
        <v>352</v>
      </c>
      <c r="N1248" s="340" t="str">
        <f t="shared" si="1565"/>
        <v>-</v>
      </c>
      <c r="O1248" s="264">
        <f t="shared" si="1566"/>
        <v>2.0715630885122412E-2</v>
      </c>
    </row>
    <row r="1249" spans="1:15" ht="24" thickBot="1" x14ac:dyDescent="0.35">
      <c r="A1249" s="277" t="s">
        <v>109</v>
      </c>
      <c r="B1249" s="971"/>
      <c r="C1249" s="316" t="s">
        <v>34</v>
      </c>
      <c r="D1249" s="316"/>
      <c r="E1249" s="283">
        <v>0</v>
      </c>
      <c r="F1249" s="284"/>
      <c r="G1249" s="337">
        <f t="shared" si="1561"/>
        <v>0</v>
      </c>
      <c r="H1249" s="285"/>
      <c r="I1249" s="285"/>
      <c r="J1249" s="356" t="str">
        <f>IFERROR(G1249/#REF!,"-")</f>
        <v>-</v>
      </c>
      <c r="K1249" s="337">
        <f t="shared" si="1562"/>
        <v>0</v>
      </c>
      <c r="L1249" s="275">
        <f t="shared" si="1563"/>
        <v>0</v>
      </c>
      <c r="M1249" s="276">
        <f t="shared" si="1564"/>
        <v>0</v>
      </c>
      <c r="N1249" s="341" t="str">
        <f t="shared" si="1565"/>
        <v>-</v>
      </c>
      <c r="O1249" s="350" t="str">
        <f t="shared" si="1566"/>
        <v>-</v>
      </c>
    </row>
    <row r="1250" spans="1:15" ht="24" thickBot="1" x14ac:dyDescent="0.35">
      <c r="A1250" s="277" t="s">
        <v>109</v>
      </c>
      <c r="B1250" s="967" t="s">
        <v>35</v>
      </c>
      <c r="C1250" s="968"/>
      <c r="D1250" s="969"/>
      <c r="E1250" s="287">
        <f>SUM(E1247:E1249)</f>
        <v>34000</v>
      </c>
      <c r="F1250" s="288">
        <v>6500</v>
      </c>
      <c r="G1250" s="323">
        <f>SUM(G1247:G1249)</f>
        <v>4320</v>
      </c>
      <c r="H1250" s="324">
        <f t="shared" ref="H1250:I1250" si="1567">SUM(H1247:H1249)</f>
        <v>4160</v>
      </c>
      <c r="I1250" s="324">
        <f t="shared" si="1567"/>
        <v>160</v>
      </c>
      <c r="J1250" s="348" t="str">
        <f>IFERROR(G1250/#REF!,"-")</f>
        <v>-</v>
      </c>
      <c r="K1250" s="323">
        <f t="shared" ref="K1250:M1250" si="1568">SUM(K1247:K1249)</f>
        <v>16992</v>
      </c>
      <c r="L1250" s="324">
        <f t="shared" si="1568"/>
        <v>16640</v>
      </c>
      <c r="M1250" s="325">
        <f t="shared" si="1568"/>
        <v>352</v>
      </c>
      <c r="N1250" s="342">
        <f t="shared" si="1565"/>
        <v>0.49976470588235294</v>
      </c>
      <c r="O1250" s="348">
        <f t="shared" si="1566"/>
        <v>2.0715630885122412E-2</v>
      </c>
    </row>
    <row r="1251" spans="1:15" ht="23.4" x14ac:dyDescent="0.3">
      <c r="A1251" s="277" t="s">
        <v>109</v>
      </c>
      <c r="B1251" s="970" t="s">
        <v>36</v>
      </c>
      <c r="C1251" s="314" t="s">
        <v>120</v>
      </c>
      <c r="D1251" s="314"/>
      <c r="E1251" s="273">
        <v>64360</v>
      </c>
      <c r="F1251" s="274"/>
      <c r="G1251" s="335">
        <f t="shared" ref="G1251:G1254" si="1569">+H1251+I1251</f>
        <v>0</v>
      </c>
      <c r="H1251" s="275"/>
      <c r="I1251" s="275"/>
      <c r="J1251" s="354" t="str">
        <f>IFERROR(G1251/#REF!,"-")</f>
        <v>-</v>
      </c>
      <c r="K1251" s="335">
        <f t="shared" ref="K1251:K1254" si="1570">+L1251+M1251</f>
        <v>0</v>
      </c>
      <c r="L1251" s="275">
        <f t="shared" ref="L1251:L1254" si="1571">+H1251+L1145</f>
        <v>0</v>
      </c>
      <c r="M1251" s="276">
        <f t="shared" ref="M1251:M1254" si="1572">+I1251+M1145</f>
        <v>0</v>
      </c>
      <c r="N1251" s="339">
        <f t="shared" si="1565"/>
        <v>0</v>
      </c>
      <c r="O1251" s="349" t="str">
        <f t="shared" si="1566"/>
        <v>-</v>
      </c>
    </row>
    <row r="1252" spans="1:15" ht="23.4" x14ac:dyDescent="0.3">
      <c r="A1252" s="277" t="s">
        <v>109</v>
      </c>
      <c r="B1252" s="972"/>
      <c r="C1252" s="315" t="s">
        <v>267</v>
      </c>
      <c r="D1252" s="315"/>
      <c r="E1252" s="279">
        <v>0</v>
      </c>
      <c r="F1252" s="280"/>
      <c r="G1252" s="336">
        <f t="shared" si="1569"/>
        <v>13572</v>
      </c>
      <c r="H1252" s="281">
        <f>7040+6080</f>
        <v>13120</v>
      </c>
      <c r="I1252" s="281">
        <f>80+372</f>
        <v>452</v>
      </c>
      <c r="J1252" s="355" t="str">
        <f>IFERROR(G1252/#REF!,"-")</f>
        <v>-</v>
      </c>
      <c r="K1252" s="336">
        <f t="shared" si="1570"/>
        <v>26239</v>
      </c>
      <c r="L1252" s="275">
        <f t="shared" si="1571"/>
        <v>25480</v>
      </c>
      <c r="M1252" s="276">
        <f t="shared" si="1572"/>
        <v>759</v>
      </c>
      <c r="N1252" s="340" t="str">
        <f t="shared" si="1565"/>
        <v>-</v>
      </c>
      <c r="O1252" s="264">
        <f t="shared" si="1566"/>
        <v>2.89264072563741E-2</v>
      </c>
    </row>
    <row r="1253" spans="1:15" ht="23.4" x14ac:dyDescent="0.3">
      <c r="A1253" s="277" t="s">
        <v>109</v>
      </c>
      <c r="B1253" s="972"/>
      <c r="C1253" s="315" t="s">
        <v>198</v>
      </c>
      <c r="D1253" s="315"/>
      <c r="E1253" s="279">
        <v>0</v>
      </c>
      <c r="F1253" s="280"/>
      <c r="G1253" s="336">
        <f t="shared" si="1569"/>
        <v>0</v>
      </c>
      <c r="H1253" s="281"/>
      <c r="I1253" s="281"/>
      <c r="J1253" s="355" t="str">
        <f>IFERROR(G1253/#REF!,"-")</f>
        <v>-</v>
      </c>
      <c r="K1253" s="336">
        <f t="shared" si="1570"/>
        <v>0</v>
      </c>
      <c r="L1253" s="275">
        <f t="shared" si="1571"/>
        <v>0</v>
      </c>
      <c r="M1253" s="276">
        <f t="shared" si="1572"/>
        <v>0</v>
      </c>
      <c r="N1253" s="340" t="str">
        <f t="shared" si="1565"/>
        <v>-</v>
      </c>
      <c r="O1253" s="264" t="str">
        <f t="shared" si="1566"/>
        <v>-</v>
      </c>
    </row>
    <row r="1254" spans="1:15" ht="24" thickBot="1" x14ac:dyDescent="0.35">
      <c r="A1254" s="277" t="s">
        <v>109</v>
      </c>
      <c r="B1254" s="971"/>
      <c r="C1254" s="316" t="s">
        <v>37</v>
      </c>
      <c r="D1254" s="316"/>
      <c r="E1254" s="283">
        <v>0</v>
      </c>
      <c r="F1254" s="284"/>
      <c r="G1254" s="337">
        <f t="shared" si="1569"/>
        <v>0</v>
      </c>
      <c r="H1254" s="285"/>
      <c r="I1254" s="285"/>
      <c r="J1254" s="356" t="str">
        <f>IFERROR(G1254/#REF!,"-")</f>
        <v>-</v>
      </c>
      <c r="K1254" s="337">
        <f t="shared" si="1570"/>
        <v>0</v>
      </c>
      <c r="L1254" s="275">
        <f t="shared" si="1571"/>
        <v>0</v>
      </c>
      <c r="M1254" s="276">
        <f t="shared" si="1572"/>
        <v>0</v>
      </c>
      <c r="N1254" s="341" t="str">
        <f t="shared" si="1565"/>
        <v>-</v>
      </c>
      <c r="O1254" s="350" t="str">
        <f t="shared" si="1566"/>
        <v>-</v>
      </c>
    </row>
    <row r="1255" spans="1:15" ht="24" thickBot="1" x14ac:dyDescent="0.35">
      <c r="A1255" s="277" t="s">
        <v>109</v>
      </c>
      <c r="B1255" s="967" t="s">
        <v>38</v>
      </c>
      <c r="C1255" s="968"/>
      <c r="D1255" s="969"/>
      <c r="E1255" s="287">
        <f>SUM(E1251:E1254)</f>
        <v>64360</v>
      </c>
      <c r="F1255" s="288">
        <v>6500</v>
      </c>
      <c r="G1255" s="323">
        <f>SUM(G1251:G1254)</f>
        <v>13572</v>
      </c>
      <c r="H1255" s="324">
        <f t="shared" ref="H1255:I1255" si="1573">SUM(H1251:H1254)</f>
        <v>13120</v>
      </c>
      <c r="I1255" s="324">
        <f t="shared" si="1573"/>
        <v>452</v>
      </c>
      <c r="J1255" s="348" t="str">
        <f>IFERROR(G1255/#REF!,"-")</f>
        <v>-</v>
      </c>
      <c r="K1255" s="323">
        <f t="shared" ref="K1255:M1255" si="1574">SUM(K1251:K1254)</f>
        <v>26239</v>
      </c>
      <c r="L1255" s="324">
        <f t="shared" si="1574"/>
        <v>25480</v>
      </c>
      <c r="M1255" s="325">
        <f t="shared" si="1574"/>
        <v>759</v>
      </c>
      <c r="N1255" s="342">
        <f>IFERROR(K1255/E1255,"-")</f>
        <v>0.40769111249223122</v>
      </c>
      <c r="O1255" s="348">
        <f t="shared" si="1566"/>
        <v>2.89264072563741E-2</v>
      </c>
    </row>
    <row r="1256" spans="1:15" ht="23.4" x14ac:dyDescent="0.3">
      <c r="A1256" s="277" t="s">
        <v>109</v>
      </c>
      <c r="B1256" s="970" t="s">
        <v>483</v>
      </c>
      <c r="C1256" s="317" t="s">
        <v>123</v>
      </c>
      <c r="D1256" s="317"/>
      <c r="E1256" s="273">
        <v>39800</v>
      </c>
      <c r="F1256" s="274"/>
      <c r="G1256" s="335">
        <f t="shared" ref="G1256:G1257" si="1575">+H1256+I1256</f>
        <v>0</v>
      </c>
      <c r="H1256" s="275"/>
      <c r="I1256" s="275"/>
      <c r="J1256" s="354" t="str">
        <f>IFERROR(G1256/#REF!,"-")</f>
        <v>-</v>
      </c>
      <c r="K1256" s="335">
        <f t="shared" ref="K1256:K1257" si="1576">+L1256+M1256</f>
        <v>144</v>
      </c>
      <c r="L1256" s="275">
        <f>+H1256+L1150</f>
        <v>144</v>
      </c>
      <c r="M1256" s="276">
        <f>+I1256+M1150</f>
        <v>0</v>
      </c>
      <c r="N1256" s="339">
        <f t="shared" ref="N1256:N1272" si="1577">IFERROR(K1256/E1256,"-")</f>
        <v>3.6180904522613066E-3</v>
      </c>
      <c r="O1256" s="349">
        <f t="shared" si="1566"/>
        <v>0</v>
      </c>
    </row>
    <row r="1257" spans="1:15" ht="24" thickBot="1" x14ac:dyDescent="0.35">
      <c r="A1257" s="277" t="s">
        <v>109</v>
      </c>
      <c r="B1257" s="971"/>
      <c r="C1257" s="289" t="s">
        <v>139</v>
      </c>
      <c r="D1257" s="289"/>
      <c r="E1257" s="283">
        <v>0</v>
      </c>
      <c r="F1257" s="284"/>
      <c r="G1257" s="337">
        <f t="shared" si="1575"/>
        <v>0</v>
      </c>
      <c r="H1257" s="285"/>
      <c r="I1257" s="285"/>
      <c r="J1257" s="356" t="str">
        <f>IFERROR(G1257/#REF!,"-")</f>
        <v>-</v>
      </c>
      <c r="K1257" s="337">
        <f t="shared" si="1576"/>
        <v>240</v>
      </c>
      <c r="L1257" s="275">
        <f>+H1257+L1151</f>
        <v>240</v>
      </c>
      <c r="M1257" s="276">
        <f>+I1257+M1151</f>
        <v>0</v>
      </c>
      <c r="N1257" s="341" t="str">
        <f t="shared" si="1577"/>
        <v>-</v>
      </c>
      <c r="O1257" s="350">
        <f t="shared" si="1566"/>
        <v>0</v>
      </c>
    </row>
    <row r="1258" spans="1:15" ht="24" thickBot="1" x14ac:dyDescent="0.35">
      <c r="A1258" s="841" t="s">
        <v>109</v>
      </c>
      <c r="B1258" s="967" t="s">
        <v>40</v>
      </c>
      <c r="C1258" s="968"/>
      <c r="D1258" s="969"/>
      <c r="E1258" s="287">
        <f>SUM(E1256:E1257)</f>
        <v>39800</v>
      </c>
      <c r="F1258" s="288">
        <v>2800</v>
      </c>
      <c r="G1258" s="323">
        <f>SUM(G1256:G1257)</f>
        <v>0</v>
      </c>
      <c r="H1258" s="324">
        <f t="shared" ref="H1258:I1258" si="1578">SUM(H1256:H1257)</f>
        <v>0</v>
      </c>
      <c r="I1258" s="324">
        <f t="shared" si="1578"/>
        <v>0</v>
      </c>
      <c r="J1258" s="348" t="str">
        <f>IFERROR(G1258/#REF!,"-")</f>
        <v>-</v>
      </c>
      <c r="K1258" s="323">
        <f t="shared" ref="K1258:M1258" si="1579">SUM(K1256:K1257)</f>
        <v>384</v>
      </c>
      <c r="L1258" s="324">
        <f t="shared" si="1579"/>
        <v>384</v>
      </c>
      <c r="M1258" s="325">
        <f t="shared" si="1579"/>
        <v>0</v>
      </c>
      <c r="N1258" s="342">
        <f t="shared" si="1577"/>
        <v>9.6482412060301514E-3</v>
      </c>
      <c r="O1258" s="348">
        <f t="shared" si="1566"/>
        <v>0</v>
      </c>
    </row>
    <row r="1259" spans="1:15" ht="23.4" x14ac:dyDescent="0.3">
      <c r="A1259" s="277" t="s">
        <v>109</v>
      </c>
      <c r="B1259" s="970" t="s">
        <v>484</v>
      </c>
      <c r="C1259" s="272" t="s">
        <v>335</v>
      </c>
      <c r="D1259" s="272"/>
      <c r="E1259" s="273">
        <v>916640</v>
      </c>
      <c r="F1259" s="318"/>
      <c r="G1259" s="335">
        <f t="shared" ref="G1259:G1263" si="1580">+H1259+I1259</f>
        <v>67496</v>
      </c>
      <c r="H1259" s="275">
        <f>34920+11760+20160</f>
        <v>66840</v>
      </c>
      <c r="I1259" s="275">
        <f>122+310+224</f>
        <v>656</v>
      </c>
      <c r="J1259" s="374" t="str">
        <f>IFERROR(G1259/#REF!,"-")</f>
        <v>-</v>
      </c>
      <c r="K1259" s="335">
        <f t="shared" ref="K1259:K1263" si="1581">+L1259+M1259</f>
        <v>292783</v>
      </c>
      <c r="L1259" s="275">
        <f t="shared" ref="L1259:L1263" si="1582">+H1259+L1153</f>
        <v>288744</v>
      </c>
      <c r="M1259" s="275">
        <f t="shared" ref="M1259:M1263" si="1583">+I1259+M1153</f>
        <v>4039</v>
      </c>
      <c r="N1259" s="362">
        <f t="shared" si="1577"/>
        <v>0.31940892825973122</v>
      </c>
      <c r="O1259" s="363">
        <f t="shared" si="1566"/>
        <v>1.3795199857915249E-2</v>
      </c>
    </row>
    <row r="1260" spans="1:15" ht="23.4" x14ac:dyDescent="0.3">
      <c r="A1260" s="277" t="s">
        <v>109</v>
      </c>
      <c r="B1260" s="972"/>
      <c r="C1260" s="272" t="s">
        <v>336</v>
      </c>
      <c r="D1260" s="278"/>
      <c r="E1260" s="279">
        <v>0</v>
      </c>
      <c r="F1260" s="319"/>
      <c r="G1260" s="336">
        <f t="shared" si="1580"/>
        <v>0</v>
      </c>
      <c r="H1260" s="281"/>
      <c r="I1260" s="281"/>
      <c r="J1260" s="375" t="str">
        <f>IFERROR(G1260/#REF!,"-")</f>
        <v>-</v>
      </c>
      <c r="K1260" s="336">
        <f t="shared" si="1581"/>
        <v>0</v>
      </c>
      <c r="L1260" s="275">
        <f t="shared" si="1582"/>
        <v>0</v>
      </c>
      <c r="M1260" s="276">
        <f t="shared" si="1583"/>
        <v>0</v>
      </c>
      <c r="N1260" s="364" t="str">
        <f t="shared" si="1577"/>
        <v>-</v>
      </c>
      <c r="O1260" s="365" t="str">
        <f t="shared" si="1566"/>
        <v>-</v>
      </c>
    </row>
    <row r="1261" spans="1:15" ht="23.4" x14ac:dyDescent="0.3">
      <c r="A1261" s="277" t="s">
        <v>109</v>
      </c>
      <c r="B1261" s="972"/>
      <c r="C1261" s="278" t="s">
        <v>383</v>
      </c>
      <c r="D1261" s="278"/>
      <c r="E1261" s="279">
        <v>40000</v>
      </c>
      <c r="F1261" s="319"/>
      <c r="G1261" s="336">
        <f t="shared" si="1580"/>
        <v>0</v>
      </c>
      <c r="H1261" s="281"/>
      <c r="I1261" s="281"/>
      <c r="J1261" s="375" t="str">
        <f>IFERROR(G1261/#REF!,"-")</f>
        <v>-</v>
      </c>
      <c r="K1261" s="336">
        <f t="shared" si="1581"/>
        <v>0</v>
      </c>
      <c r="L1261" s="275">
        <f t="shared" si="1582"/>
        <v>0</v>
      </c>
      <c r="M1261" s="276">
        <f t="shared" si="1583"/>
        <v>0</v>
      </c>
      <c r="N1261" s="364">
        <f t="shared" si="1577"/>
        <v>0</v>
      </c>
      <c r="O1261" s="365" t="str">
        <f t="shared" si="1566"/>
        <v>-</v>
      </c>
    </row>
    <row r="1262" spans="1:15" ht="23.4" x14ac:dyDescent="0.3">
      <c r="A1262" s="277" t="s">
        <v>109</v>
      </c>
      <c r="B1262" s="972"/>
      <c r="C1262" s="278" t="s">
        <v>165</v>
      </c>
      <c r="D1262" s="278"/>
      <c r="E1262" s="279">
        <v>0</v>
      </c>
      <c r="F1262" s="319"/>
      <c r="G1262" s="336">
        <f t="shared" si="1580"/>
        <v>0</v>
      </c>
      <c r="H1262" s="281"/>
      <c r="I1262" s="281"/>
      <c r="J1262" s="375" t="str">
        <f>IFERROR(G1262/#REF!,"-")</f>
        <v>-</v>
      </c>
      <c r="K1262" s="336">
        <f t="shared" si="1581"/>
        <v>0</v>
      </c>
      <c r="L1262" s="275">
        <f t="shared" si="1582"/>
        <v>0</v>
      </c>
      <c r="M1262" s="276">
        <f t="shared" si="1583"/>
        <v>0</v>
      </c>
      <c r="N1262" s="364" t="str">
        <f t="shared" si="1577"/>
        <v>-</v>
      </c>
      <c r="O1262" s="365" t="str">
        <f t="shared" si="1566"/>
        <v>-</v>
      </c>
    </row>
    <row r="1263" spans="1:15" ht="24" thickBot="1" x14ac:dyDescent="0.35">
      <c r="A1263" s="277" t="s">
        <v>109</v>
      </c>
      <c r="B1263" s="971"/>
      <c r="C1263" s="282" t="s">
        <v>166</v>
      </c>
      <c r="D1263" s="282"/>
      <c r="E1263" s="283">
        <v>0</v>
      </c>
      <c r="F1263" s="320"/>
      <c r="G1263" s="337">
        <f t="shared" si="1580"/>
        <v>0</v>
      </c>
      <c r="H1263" s="285"/>
      <c r="I1263" s="285"/>
      <c r="J1263" s="376" t="str">
        <f>IFERROR(G1263/#REF!,"-")</f>
        <v>-</v>
      </c>
      <c r="K1263" s="337">
        <f t="shared" si="1581"/>
        <v>0</v>
      </c>
      <c r="L1263" s="275">
        <f t="shared" si="1582"/>
        <v>0</v>
      </c>
      <c r="M1263" s="276">
        <f t="shared" si="1583"/>
        <v>0</v>
      </c>
      <c r="N1263" s="366" t="str">
        <f t="shared" si="1577"/>
        <v>-</v>
      </c>
      <c r="O1263" s="367" t="str">
        <f t="shared" si="1566"/>
        <v>-</v>
      </c>
    </row>
    <row r="1264" spans="1:15" ht="24" thickBot="1" x14ac:dyDescent="0.35">
      <c r="A1264" s="277" t="s">
        <v>109</v>
      </c>
      <c r="B1264" s="967" t="s">
        <v>42</v>
      </c>
      <c r="C1264" s="968"/>
      <c r="D1264" s="969"/>
      <c r="E1264" s="323">
        <f>SUM(E1259:E1263)</f>
        <v>956640</v>
      </c>
      <c r="F1264" s="288">
        <v>25000</v>
      </c>
      <c r="G1264" s="323">
        <f>SUM(G1259:G1263)</f>
        <v>67496</v>
      </c>
      <c r="H1264" s="324">
        <f>SUM(H1259:H1263)</f>
        <v>66840</v>
      </c>
      <c r="I1264" s="324">
        <f>SUM(I1259:I1263)</f>
        <v>656</v>
      </c>
      <c r="J1264" s="348" t="str">
        <f>IFERROR(G1264/#REF!,"-")</f>
        <v>-</v>
      </c>
      <c r="K1264" s="323">
        <f>SUM(K1259:K1263)</f>
        <v>292783</v>
      </c>
      <c r="L1264" s="324">
        <f>SUM(L1259:L1263)</f>
        <v>288744</v>
      </c>
      <c r="M1264" s="325">
        <f>SUM(M1259:M1263)</f>
        <v>4039</v>
      </c>
      <c r="N1264" s="342">
        <f t="shared" si="1577"/>
        <v>0.3060534788426158</v>
      </c>
      <c r="O1264" s="348">
        <f t="shared" si="1566"/>
        <v>1.3795199857915249E-2</v>
      </c>
    </row>
    <row r="1265" spans="1:15" ht="23.4" x14ac:dyDescent="0.3">
      <c r="A1265" s="277" t="s">
        <v>109</v>
      </c>
      <c r="B1265" s="970" t="s">
        <v>485</v>
      </c>
      <c r="C1265" s="272" t="s">
        <v>200</v>
      </c>
      <c r="D1265" s="272"/>
      <c r="E1265" s="273">
        <v>0</v>
      </c>
      <c r="F1265" s="274"/>
      <c r="G1265" s="335">
        <f t="shared" ref="G1265:G1267" si="1584">+H1265+I1265</f>
        <v>0</v>
      </c>
      <c r="H1265" s="275"/>
      <c r="I1265" s="275"/>
      <c r="J1265" s="354" t="str">
        <f>IFERROR(G1265/#REF!,"-")</f>
        <v>-</v>
      </c>
      <c r="K1265" s="335">
        <f t="shared" ref="K1265:K1267" si="1585">+L1265+M1265</f>
        <v>0</v>
      </c>
      <c r="L1265" s="275">
        <f t="shared" ref="L1265:L1267" si="1586">+H1265+L1159</f>
        <v>0</v>
      </c>
      <c r="M1265" s="276">
        <f t="shared" ref="M1265:M1267" si="1587">+I1265+M1159</f>
        <v>0</v>
      </c>
      <c r="N1265" s="339" t="str">
        <f t="shared" si="1577"/>
        <v>-</v>
      </c>
      <c r="O1265" s="349" t="str">
        <f t="shared" si="1566"/>
        <v>-</v>
      </c>
    </row>
    <row r="1266" spans="1:15" ht="23.4" x14ac:dyDescent="0.3">
      <c r="A1266" s="277" t="s">
        <v>109</v>
      </c>
      <c r="B1266" s="972"/>
      <c r="C1266" s="278" t="s">
        <v>167</v>
      </c>
      <c r="D1266" s="278"/>
      <c r="E1266" s="279">
        <v>50000</v>
      </c>
      <c r="F1266" s="280"/>
      <c r="G1266" s="336">
        <f t="shared" si="1584"/>
        <v>23328</v>
      </c>
      <c r="H1266" s="281">
        <f>17280+5760</f>
        <v>23040</v>
      </c>
      <c r="I1266" s="281">
        <f>190+98</f>
        <v>288</v>
      </c>
      <c r="J1266" s="375" t="str">
        <f>IFERROR(G1266/#REF!,"-")</f>
        <v>-</v>
      </c>
      <c r="K1266" s="336">
        <f t="shared" si="1585"/>
        <v>141438</v>
      </c>
      <c r="L1266" s="794">
        <f t="shared" si="1586"/>
        <v>137616</v>
      </c>
      <c r="M1266" s="276">
        <f t="shared" si="1587"/>
        <v>3822</v>
      </c>
      <c r="N1266" s="364">
        <f t="shared" si="1577"/>
        <v>2.8287599999999999</v>
      </c>
      <c r="O1266" s="365">
        <f t="shared" si="1566"/>
        <v>2.7022440928180545E-2</v>
      </c>
    </row>
    <row r="1267" spans="1:15" ht="24" thickBot="1" x14ac:dyDescent="0.35">
      <c r="A1267" s="277" t="s">
        <v>109</v>
      </c>
      <c r="B1267" s="971"/>
      <c r="C1267" s="282" t="s">
        <v>200</v>
      </c>
      <c r="D1267" s="282"/>
      <c r="E1267" s="283">
        <v>0</v>
      </c>
      <c r="F1267" s="284"/>
      <c r="G1267" s="337">
        <f t="shared" si="1584"/>
        <v>0</v>
      </c>
      <c r="H1267" s="285"/>
      <c r="I1267" s="285"/>
      <c r="J1267" s="376" t="str">
        <f>IFERROR(G1267/#REF!,"-")</f>
        <v>-</v>
      </c>
      <c r="K1267" s="337">
        <f t="shared" si="1585"/>
        <v>0</v>
      </c>
      <c r="L1267" s="275">
        <f t="shared" si="1586"/>
        <v>0</v>
      </c>
      <c r="M1267" s="276">
        <f t="shared" si="1587"/>
        <v>0</v>
      </c>
      <c r="N1267" s="366" t="str">
        <f t="shared" si="1577"/>
        <v>-</v>
      </c>
      <c r="O1267" s="367" t="str">
        <f t="shared" si="1566"/>
        <v>-</v>
      </c>
    </row>
    <row r="1268" spans="1:15" ht="24" thickBot="1" x14ac:dyDescent="0.35">
      <c r="A1268" s="277" t="s">
        <v>109</v>
      </c>
      <c r="B1268" s="973" t="s">
        <v>44</v>
      </c>
      <c r="C1268" s="974"/>
      <c r="D1268" s="975"/>
      <c r="E1268" s="323">
        <f>SUM(E1265:E1267)</f>
        <v>50000</v>
      </c>
      <c r="F1268" s="288"/>
      <c r="G1268" s="323">
        <f>SUM(G1265:G1267)</f>
        <v>23328</v>
      </c>
      <c r="H1268" s="324">
        <f t="shared" ref="H1268:I1268" si="1588">SUM(H1265:H1267)</f>
        <v>23040</v>
      </c>
      <c r="I1268" s="324">
        <f t="shared" si="1588"/>
        <v>288</v>
      </c>
      <c r="J1268" s="348" t="str">
        <f>IFERROR(G1268/#REF!,"-")</f>
        <v>-</v>
      </c>
      <c r="K1268" s="323">
        <f t="shared" ref="K1268:M1268" si="1589">SUM(K1265:K1267)</f>
        <v>141438</v>
      </c>
      <c r="L1268" s="368">
        <f t="shared" si="1589"/>
        <v>137616</v>
      </c>
      <c r="M1268" s="370">
        <f t="shared" si="1589"/>
        <v>3822</v>
      </c>
      <c r="N1268" s="342">
        <f t="shared" si="1577"/>
        <v>2.8287599999999999</v>
      </c>
      <c r="O1268" s="348">
        <f t="shared" si="1566"/>
        <v>2.7022440928180545E-2</v>
      </c>
    </row>
    <row r="1269" spans="1:15" ht="23.4" x14ac:dyDescent="0.3">
      <c r="A1269" s="277" t="s">
        <v>109</v>
      </c>
      <c r="B1269" s="970" t="s">
        <v>45</v>
      </c>
      <c r="C1269" s="272" t="s">
        <v>168</v>
      </c>
      <c r="D1269" s="272"/>
      <c r="E1269" s="273">
        <v>0</v>
      </c>
      <c r="F1269" s="274"/>
      <c r="G1269" s="335">
        <f t="shared" ref="G1269:G1270" si="1590">+H1269+I1269</f>
        <v>0</v>
      </c>
      <c r="H1269" s="275"/>
      <c r="I1269" s="275"/>
      <c r="J1269" s="374" t="str">
        <f>IFERROR(G1269/#REF!,"-")</f>
        <v>-</v>
      </c>
      <c r="K1269" s="739">
        <f t="shared" ref="K1269:K1270" si="1591">+L1269+M1269</f>
        <v>0</v>
      </c>
      <c r="L1269" s="532">
        <f>+H1269+L1163</f>
        <v>0</v>
      </c>
      <c r="M1269" s="247">
        <f>+I1269+M1163</f>
        <v>0</v>
      </c>
      <c r="N1269" s="362" t="str">
        <f t="shared" si="1577"/>
        <v>-</v>
      </c>
      <c r="O1269" s="363" t="str">
        <f t="shared" si="1566"/>
        <v>-</v>
      </c>
    </row>
    <row r="1270" spans="1:15" ht="24" thickBot="1" x14ac:dyDescent="0.35">
      <c r="A1270" s="277" t="s">
        <v>109</v>
      </c>
      <c r="B1270" s="971"/>
      <c r="C1270" s="282" t="s">
        <v>169</v>
      </c>
      <c r="D1270" s="282"/>
      <c r="E1270" s="283">
        <v>0</v>
      </c>
      <c r="F1270" s="284"/>
      <c r="G1270" s="337">
        <f t="shared" si="1590"/>
        <v>0</v>
      </c>
      <c r="H1270" s="285"/>
      <c r="I1270" s="285"/>
      <c r="J1270" s="376" t="str">
        <f>IFERROR(G1270/#REF!,"-")</f>
        <v>-</v>
      </c>
      <c r="K1270" s="740">
        <f t="shared" si="1591"/>
        <v>0</v>
      </c>
      <c r="L1270" s="535">
        <f>+H1270+L1164</f>
        <v>0</v>
      </c>
      <c r="M1270" s="258">
        <f>+I1270+M1164</f>
        <v>0</v>
      </c>
      <c r="N1270" s="366" t="str">
        <f t="shared" si="1577"/>
        <v>-</v>
      </c>
      <c r="O1270" s="367" t="str">
        <f t="shared" si="1566"/>
        <v>-</v>
      </c>
    </row>
    <row r="1271" spans="1:15" ht="24" thickBot="1" x14ac:dyDescent="0.35">
      <c r="A1271" s="277" t="s">
        <v>109</v>
      </c>
      <c r="B1271" s="973" t="s">
        <v>46</v>
      </c>
      <c r="C1271" s="974"/>
      <c r="D1271" s="975"/>
      <c r="E1271" s="287">
        <v>0</v>
      </c>
      <c r="F1271" s="288">
        <v>25000</v>
      </c>
      <c r="G1271" s="323">
        <f>SUM(G1269:G1270)</f>
        <v>0</v>
      </c>
      <c r="H1271" s="324">
        <f t="shared" ref="H1271:I1271" si="1592">SUM(H1269:H1270)</f>
        <v>0</v>
      </c>
      <c r="I1271" s="324">
        <f t="shared" si="1592"/>
        <v>0</v>
      </c>
      <c r="J1271" s="348" t="str">
        <f>IFERROR(G1271/#REF!,"-")</f>
        <v>-</v>
      </c>
      <c r="K1271" s="323">
        <f t="shared" ref="K1271:M1271" si="1593">SUM(K1269:K1270)</f>
        <v>0</v>
      </c>
      <c r="L1271" s="524">
        <f t="shared" si="1593"/>
        <v>0</v>
      </c>
      <c r="M1271" s="733">
        <f t="shared" si="1593"/>
        <v>0</v>
      </c>
      <c r="N1271" s="342" t="str">
        <f t="shared" si="1577"/>
        <v>-</v>
      </c>
      <c r="O1271" s="348" t="str">
        <f t="shared" si="1566"/>
        <v>-</v>
      </c>
    </row>
    <row r="1272" spans="1:15" ht="24" thickBot="1" x14ac:dyDescent="0.35">
      <c r="A1272" s="277" t="s">
        <v>109</v>
      </c>
      <c r="B1272" s="959" t="s">
        <v>25</v>
      </c>
      <c r="C1272" s="960"/>
      <c r="D1272" s="961"/>
      <c r="E1272" s="329">
        <f t="shared" ref="E1272:F1272" si="1594">+E1250+E1255+E1258+E1264+E1268+E1271</f>
        <v>1144800</v>
      </c>
      <c r="F1272" s="330">
        <f t="shared" si="1594"/>
        <v>65800</v>
      </c>
      <c r="G1272" s="329">
        <f>+G1250+G1255+G1258+G1264+G1268+G1271</f>
        <v>108716</v>
      </c>
      <c r="H1272" s="327">
        <f>+H1250+H1255+H1258+H1264+H1268+H1271</f>
        <v>107160</v>
      </c>
      <c r="I1272" s="327">
        <f t="shared" ref="I1272" si="1595">+I1250+I1255+I1258+I1264+I1268+I1271</f>
        <v>1556</v>
      </c>
      <c r="J1272" s="352" t="str">
        <f>IFERROR(G1272/#REF!,"-")</f>
        <v>-</v>
      </c>
      <c r="K1272" s="329">
        <f>+K1250+K1255+K1258+K1264+K1268+K1271</f>
        <v>477836</v>
      </c>
      <c r="L1272" s="327">
        <f t="shared" ref="L1272:M1272" si="1596">+L1250+L1255+L1258+L1264+L1268+L1271</f>
        <v>468864</v>
      </c>
      <c r="M1272" s="328">
        <f t="shared" si="1596"/>
        <v>8972</v>
      </c>
      <c r="N1272" s="344">
        <f t="shared" si="1577"/>
        <v>0.41739692522711391</v>
      </c>
      <c r="O1272" s="352">
        <f t="shared" si="1566"/>
        <v>1.8776316560493559E-2</v>
      </c>
    </row>
    <row r="1273" spans="1:15" ht="24" thickBot="1" x14ac:dyDescent="0.35">
      <c r="A1273" s="321" t="s">
        <v>109</v>
      </c>
      <c r="B1273" s="962" t="s">
        <v>181</v>
      </c>
      <c r="C1273" s="962"/>
      <c r="D1273" s="963"/>
      <c r="E1273" s="333">
        <f>+E1272</f>
        <v>1144800</v>
      </c>
      <c r="F1273" s="334">
        <f t="shared" ref="F1273:O1273" si="1597">+F1272</f>
        <v>65800</v>
      </c>
      <c r="G1273" s="333">
        <f t="shared" si="1597"/>
        <v>108716</v>
      </c>
      <c r="H1273" s="331">
        <f t="shared" si="1597"/>
        <v>107160</v>
      </c>
      <c r="I1273" s="331">
        <f t="shared" si="1597"/>
        <v>1556</v>
      </c>
      <c r="J1273" s="353" t="str">
        <f t="shared" si="1597"/>
        <v>-</v>
      </c>
      <c r="K1273" s="333">
        <f t="shared" si="1597"/>
        <v>477836</v>
      </c>
      <c r="L1273" s="331">
        <f t="shared" si="1597"/>
        <v>468864</v>
      </c>
      <c r="M1273" s="332">
        <f t="shared" si="1597"/>
        <v>8972</v>
      </c>
      <c r="N1273" s="345">
        <f t="shared" si="1597"/>
        <v>0.41739692522711391</v>
      </c>
      <c r="O1273" s="353">
        <f t="shared" si="1597"/>
        <v>1.8776316560493559E-2</v>
      </c>
    </row>
    <row r="1274" spans="1:15" ht="24.6" thickBot="1" x14ac:dyDescent="0.35">
      <c r="A1274" s="322"/>
      <c r="B1274" s="964" t="s">
        <v>182</v>
      </c>
      <c r="C1274" s="965"/>
      <c r="D1274" s="966"/>
      <c r="E1274" s="377">
        <f>+E1217+E1246+E1273</f>
        <v>10258981</v>
      </c>
      <c r="F1274" s="377">
        <f>+F1217+F1246+F1273</f>
        <v>1014800</v>
      </c>
      <c r="G1274" s="377">
        <f>+G1217+G1246+G1273</f>
        <v>475974</v>
      </c>
      <c r="H1274" s="377">
        <f>+H1217+H1246+H1273</f>
        <v>469972</v>
      </c>
      <c r="I1274" s="377">
        <f>+I1217+I1246+I1273</f>
        <v>6002</v>
      </c>
      <c r="J1274" s="378" t="str">
        <f>IFERROR(G1274/#REF!,"-")</f>
        <v>-</v>
      </c>
      <c r="K1274" s="377">
        <f>+K1217+K1246+K1273</f>
        <v>4750221</v>
      </c>
      <c r="L1274" s="377">
        <f>+L1217+L1246+L1273</f>
        <v>4696510</v>
      </c>
      <c r="M1274" s="377">
        <f>+M1217+M1246+M1273</f>
        <v>53711</v>
      </c>
      <c r="N1274" s="378">
        <f>IFERROR(K1274/E1274,"-")</f>
        <v>0.46303049006524138</v>
      </c>
      <c r="O1274" s="378">
        <f>IFERROR(M1274/K1274,"-")</f>
        <v>1.1307052871855856E-2</v>
      </c>
    </row>
    <row r="1275" spans="1:15" ht="23.4" x14ac:dyDescent="0.3">
      <c r="A1275" s="991" t="s">
        <v>1</v>
      </c>
      <c r="B1275" s="994" t="s">
        <v>2</v>
      </c>
      <c r="C1275" s="997" t="s">
        <v>477</v>
      </c>
      <c r="D1275" s="997" t="s">
        <v>478</v>
      </c>
      <c r="E1275" s="1000" t="s">
        <v>4</v>
      </c>
      <c r="F1275" s="1001"/>
      <c r="G1275" s="1001"/>
      <c r="H1275" s="1001"/>
      <c r="I1275" s="1001"/>
      <c r="J1275" s="1001"/>
      <c r="K1275" s="1001"/>
      <c r="L1275" s="1001"/>
      <c r="M1275" s="1001"/>
      <c r="N1275" s="1001"/>
      <c r="O1275" s="1002"/>
    </row>
    <row r="1276" spans="1:15" ht="23.4" x14ac:dyDescent="0.3">
      <c r="A1276" s="992"/>
      <c r="B1276" s="995"/>
      <c r="C1276" s="998"/>
      <c r="D1276" s="998"/>
      <c r="E1276" s="1003" t="s">
        <v>7</v>
      </c>
      <c r="F1276" s="1005" t="s">
        <v>115</v>
      </c>
      <c r="G1276" s="1007" t="s">
        <v>526</v>
      </c>
      <c r="H1276" s="1008"/>
      <c r="I1276" s="1008"/>
      <c r="J1276" s="1009"/>
      <c r="K1276" s="1010" t="s">
        <v>479</v>
      </c>
      <c r="L1276" s="1011"/>
      <c r="M1276" s="1012"/>
      <c r="N1276" s="1013" t="s">
        <v>480</v>
      </c>
      <c r="O1276" s="1015" t="s">
        <v>172</v>
      </c>
    </row>
    <row r="1277" spans="1:15" ht="41.4" thickBot="1" x14ac:dyDescent="0.35">
      <c r="A1277" s="993"/>
      <c r="B1277" s="996"/>
      <c r="C1277" s="999"/>
      <c r="D1277" s="999"/>
      <c r="E1277" s="1004"/>
      <c r="F1277" s="1006"/>
      <c r="G1277" s="455" t="s">
        <v>13</v>
      </c>
      <c r="H1277" s="456" t="s">
        <v>14</v>
      </c>
      <c r="I1277" s="456" t="s">
        <v>15</v>
      </c>
      <c r="J1277" s="457" t="s">
        <v>174</v>
      </c>
      <c r="K1277" s="712" t="s">
        <v>13</v>
      </c>
      <c r="L1277" s="710" t="s">
        <v>14</v>
      </c>
      <c r="M1277" s="711" t="s">
        <v>15</v>
      </c>
      <c r="N1277" s="1014"/>
      <c r="O1277" s="1016"/>
    </row>
    <row r="1278" spans="1:15" ht="24" thickBot="1" x14ac:dyDescent="0.35">
      <c r="A1278" s="271" t="s">
        <v>110</v>
      </c>
      <c r="B1278" s="956" t="s">
        <v>16</v>
      </c>
      <c r="C1278" s="272" t="s">
        <v>424</v>
      </c>
      <c r="D1278" s="272" t="s">
        <v>425</v>
      </c>
      <c r="E1278" s="273">
        <v>20000</v>
      </c>
      <c r="F1278" s="274"/>
      <c r="G1278" s="335">
        <f>+H1278+I1278</f>
        <v>0</v>
      </c>
      <c r="H1278" s="275"/>
      <c r="I1278" s="275"/>
      <c r="J1278" s="354"/>
      <c r="K1278" s="461">
        <f>+L1278+M1278</f>
        <v>20432</v>
      </c>
      <c r="L1278" s="732">
        <f>+H1278+L1172</f>
        <v>19840</v>
      </c>
      <c r="M1278" s="732">
        <f>+I1278+M1172</f>
        <v>592</v>
      </c>
      <c r="N1278" s="339">
        <f>IFERROR(K1278/E1278,"-")</f>
        <v>1.0216000000000001</v>
      </c>
      <c r="O1278" s="346">
        <f t="shared" ref="O1278:O1279" si="1598">IFERROR(M1278/K1278,"-")</f>
        <v>2.8974158183241974E-2</v>
      </c>
    </row>
    <row r="1279" spans="1:15" ht="23.4" x14ac:dyDescent="0.3">
      <c r="A1279" s="277" t="s">
        <v>110</v>
      </c>
      <c r="B1279" s="957"/>
      <c r="C1279" s="278" t="s">
        <v>438</v>
      </c>
      <c r="D1279" s="278" t="s">
        <v>437</v>
      </c>
      <c r="E1279" s="279">
        <v>50000</v>
      </c>
      <c r="F1279" s="280"/>
      <c r="G1279" s="336">
        <f t="shared" ref="G1279:G1281" si="1599">+H1279+I1279</f>
        <v>0</v>
      </c>
      <c r="H1279" s="281"/>
      <c r="I1279" s="281"/>
      <c r="J1279" s="355" t="str">
        <f>IFERROR(G1279/#REF!,"-")</f>
        <v>-</v>
      </c>
      <c r="K1279" s="734">
        <f t="shared" ref="K1279:K1281" si="1600">+L1279+M1279</f>
        <v>48806</v>
      </c>
      <c r="L1279" s="532">
        <f t="shared" ref="L1279:L1281" si="1601">+H1279+L1173</f>
        <v>48381</v>
      </c>
      <c r="M1279" s="463">
        <f t="shared" ref="M1279:M1281" si="1602">+I1279+M1173</f>
        <v>425</v>
      </c>
      <c r="N1279" s="340">
        <f t="shared" ref="N1279:N1281" si="1603">IFERROR(K1279/E1279,"-")</f>
        <v>0.97611999999999999</v>
      </c>
      <c r="O1279" s="268">
        <f t="shared" si="1598"/>
        <v>8.7079457443756912E-3</v>
      </c>
    </row>
    <row r="1280" spans="1:15" ht="23.4" x14ac:dyDescent="0.3">
      <c r="A1280" s="277" t="s">
        <v>110</v>
      </c>
      <c r="B1280" s="957"/>
      <c r="C1280" s="278" t="s">
        <v>532</v>
      </c>
      <c r="D1280" s="278" t="s">
        <v>410</v>
      </c>
      <c r="E1280" s="279">
        <v>0</v>
      </c>
      <c r="F1280" s="280"/>
      <c r="G1280" s="336">
        <f t="shared" si="1599"/>
        <v>13880</v>
      </c>
      <c r="H1280" s="281">
        <v>13880</v>
      </c>
      <c r="I1280" s="281"/>
      <c r="J1280" s="355" t="str">
        <f>IFERROR(G1280/#REF!,"-")</f>
        <v>-</v>
      </c>
      <c r="K1280" s="734">
        <f t="shared" si="1600"/>
        <v>13880</v>
      </c>
      <c r="L1280" s="279">
        <f t="shared" si="1601"/>
        <v>13880</v>
      </c>
      <c r="M1280" s="439">
        <f t="shared" si="1602"/>
        <v>0</v>
      </c>
      <c r="N1280" s="340" t="str">
        <f t="shared" si="1603"/>
        <v>-</v>
      </c>
      <c r="O1280" s="268">
        <f>IFERROR(M1280/K1280,"-")</f>
        <v>0</v>
      </c>
    </row>
    <row r="1281" spans="1:15" ht="24" thickBot="1" x14ac:dyDescent="0.35">
      <c r="A1281" s="277" t="s">
        <v>110</v>
      </c>
      <c r="B1281" s="958"/>
      <c r="C1281" s="282" t="s">
        <v>525</v>
      </c>
      <c r="D1281" s="282" t="s">
        <v>436</v>
      </c>
      <c r="E1281" s="283">
        <v>30000</v>
      </c>
      <c r="F1281" s="284"/>
      <c r="G1281" s="337">
        <f t="shared" si="1599"/>
        <v>5361</v>
      </c>
      <c r="H1281" s="275">
        <v>5120</v>
      </c>
      <c r="I1281" s="275">
        <v>241</v>
      </c>
      <c r="J1281" s="356" t="str">
        <f>IFERROR(G1281/#REF!,"-")</f>
        <v>-</v>
      </c>
      <c r="K1281" s="735">
        <f t="shared" si="1600"/>
        <v>18017</v>
      </c>
      <c r="L1281" s="535">
        <f t="shared" si="1601"/>
        <v>17408</v>
      </c>
      <c r="M1281" s="466">
        <f t="shared" si="1602"/>
        <v>609</v>
      </c>
      <c r="N1281" s="341">
        <f t="shared" si="1603"/>
        <v>0.60056666666666669</v>
      </c>
      <c r="O1281" s="347">
        <f t="shared" ref="O1281:O1299" si="1604">IFERROR(M1281/K1281,"-")</f>
        <v>3.3801409779652548E-2</v>
      </c>
    </row>
    <row r="1282" spans="1:15" ht="24" thickBot="1" x14ac:dyDescent="0.35">
      <c r="A1282" s="277" t="s">
        <v>110</v>
      </c>
      <c r="B1282" s="967" t="s">
        <v>47</v>
      </c>
      <c r="C1282" s="968"/>
      <c r="D1282" s="969"/>
      <c r="E1282" s="323">
        <f>SUM(E1278:E1281)</f>
        <v>100000</v>
      </c>
      <c r="F1282" s="288">
        <v>15000</v>
      </c>
      <c r="G1282" s="323">
        <f>SUM(G1278:G1281)</f>
        <v>19241</v>
      </c>
      <c r="H1282" s="324">
        <f t="shared" ref="H1282:I1282" si="1605">SUM(H1278:H1281)</f>
        <v>19000</v>
      </c>
      <c r="I1282" s="324">
        <f t="shared" si="1605"/>
        <v>241</v>
      </c>
      <c r="J1282" s="348">
        <f>+G1282/F1282</f>
        <v>1.2827333333333333</v>
      </c>
      <c r="K1282" s="323">
        <f t="shared" ref="K1282:M1282" si="1606">SUM(K1278:K1281)</f>
        <v>101135</v>
      </c>
      <c r="L1282" s="736">
        <f t="shared" si="1606"/>
        <v>99509</v>
      </c>
      <c r="M1282" s="737">
        <f t="shared" si="1606"/>
        <v>1626</v>
      </c>
      <c r="N1282" s="342">
        <f>IFERROR(K1282/E1282,"-")</f>
        <v>1.01135</v>
      </c>
      <c r="O1282" s="348">
        <f t="shared" si="1604"/>
        <v>1.6077520146339053E-2</v>
      </c>
    </row>
    <row r="1283" spans="1:15" ht="23.4" x14ac:dyDescent="0.3">
      <c r="A1283" s="277" t="s">
        <v>110</v>
      </c>
      <c r="B1283" s="956" t="s">
        <v>17</v>
      </c>
      <c r="C1283" s="272" t="s">
        <v>320</v>
      </c>
      <c r="D1283" s="272"/>
      <c r="E1283" s="273">
        <v>0</v>
      </c>
      <c r="F1283" s="274"/>
      <c r="G1283" s="335">
        <f t="shared" ref="G1283:G1289" si="1607">+H1283+I1283</f>
        <v>147295</v>
      </c>
      <c r="H1283" s="275">
        <v>146880</v>
      </c>
      <c r="I1283" s="275">
        <v>415</v>
      </c>
      <c r="J1283" s="354" t="str">
        <f>IFERROR(G1283/#REF!,"-")</f>
        <v>-</v>
      </c>
      <c r="K1283" s="738">
        <f t="shared" ref="K1283:K1289" si="1608">+L1283+M1283</f>
        <v>165760</v>
      </c>
      <c r="L1283" s="532">
        <f t="shared" ref="L1283:L1289" si="1609">+H1283+L1177</f>
        <v>165240</v>
      </c>
      <c r="M1283" s="463">
        <f t="shared" ref="M1283:M1289" si="1610">+I1283+M1177</f>
        <v>520</v>
      </c>
      <c r="N1283" s="339" t="str">
        <f t="shared" ref="N1283:N1289" si="1611">IFERROR(K1283/E1283,"-")</f>
        <v>-</v>
      </c>
      <c r="O1283" s="349">
        <f t="shared" si="1604"/>
        <v>3.1370656370656369E-3</v>
      </c>
    </row>
    <row r="1284" spans="1:15" ht="23.4" x14ac:dyDescent="0.3">
      <c r="A1284" s="277" t="s">
        <v>110</v>
      </c>
      <c r="B1284" s="957"/>
      <c r="C1284" s="278" t="s">
        <v>382</v>
      </c>
      <c r="D1284" s="278" t="s">
        <v>252</v>
      </c>
      <c r="E1284" s="279">
        <v>2000000</v>
      </c>
      <c r="F1284" s="280"/>
      <c r="G1284" s="336">
        <f t="shared" si="1607"/>
        <v>0</v>
      </c>
      <c r="H1284" s="281"/>
      <c r="I1284" s="281"/>
      <c r="J1284" s="355" t="str">
        <f>IFERROR(G1284/#REF!,"-")</f>
        <v>-</v>
      </c>
      <c r="K1284" s="734">
        <f t="shared" si="1608"/>
        <v>605371</v>
      </c>
      <c r="L1284" s="279">
        <f t="shared" si="1609"/>
        <v>602743</v>
      </c>
      <c r="M1284" s="439">
        <f t="shared" si="1610"/>
        <v>2628</v>
      </c>
      <c r="N1284" s="340">
        <f t="shared" si="1611"/>
        <v>0.3026855</v>
      </c>
      <c r="O1284" s="264">
        <f t="shared" si="1604"/>
        <v>4.3411395656547799E-3</v>
      </c>
    </row>
    <row r="1285" spans="1:15" ht="23.4" x14ac:dyDescent="0.3">
      <c r="A1285" s="277" t="s">
        <v>110</v>
      </c>
      <c r="B1285" s="957"/>
      <c r="C1285" s="278" t="s">
        <v>422</v>
      </c>
      <c r="D1285" s="278" t="s">
        <v>201</v>
      </c>
      <c r="E1285" s="279">
        <v>1000000</v>
      </c>
      <c r="F1285" s="280"/>
      <c r="G1285" s="336">
        <f t="shared" si="1607"/>
        <v>0</v>
      </c>
      <c r="H1285" s="281"/>
      <c r="I1285" s="281"/>
      <c r="J1285" s="355" t="str">
        <f>IFERROR(G1285/#REF!,"-")</f>
        <v>-</v>
      </c>
      <c r="K1285" s="734">
        <f t="shared" si="1608"/>
        <v>456273</v>
      </c>
      <c r="L1285" s="279">
        <f t="shared" si="1609"/>
        <v>454716</v>
      </c>
      <c r="M1285" s="439">
        <f t="shared" si="1610"/>
        <v>1557</v>
      </c>
      <c r="N1285" s="340">
        <f t="shared" si="1611"/>
        <v>0.45627299999999998</v>
      </c>
      <c r="O1285" s="264">
        <f t="shared" si="1604"/>
        <v>3.4124307158214491E-3</v>
      </c>
    </row>
    <row r="1286" spans="1:15" ht="23.4" x14ac:dyDescent="0.3">
      <c r="A1286" s="277" t="s">
        <v>110</v>
      </c>
      <c r="B1286" s="957"/>
      <c r="C1286" s="278" t="s">
        <v>319</v>
      </c>
      <c r="D1286" s="278" t="s">
        <v>202</v>
      </c>
      <c r="E1286" s="279">
        <v>0</v>
      </c>
      <c r="F1286" s="280"/>
      <c r="G1286" s="336">
        <f t="shared" si="1607"/>
        <v>0</v>
      </c>
      <c r="H1286" s="281"/>
      <c r="I1286" s="281"/>
      <c r="J1286" s="355" t="str">
        <f>IFERROR(G1286/#REF!,"-")</f>
        <v>-</v>
      </c>
      <c r="K1286" s="734">
        <f t="shared" si="1608"/>
        <v>0</v>
      </c>
      <c r="L1286" s="279">
        <f t="shared" si="1609"/>
        <v>0</v>
      </c>
      <c r="M1286" s="439">
        <f t="shared" si="1610"/>
        <v>0</v>
      </c>
      <c r="N1286" s="340" t="str">
        <f t="shared" si="1611"/>
        <v>-</v>
      </c>
      <c r="O1286" s="264" t="str">
        <f t="shared" si="1604"/>
        <v>-</v>
      </c>
    </row>
    <row r="1287" spans="1:15" ht="23.4" x14ac:dyDescent="0.3">
      <c r="A1287" s="277" t="s">
        <v>110</v>
      </c>
      <c r="B1287" s="957"/>
      <c r="C1287" s="278" t="s">
        <v>358</v>
      </c>
      <c r="D1287" s="278" t="s">
        <v>352</v>
      </c>
      <c r="E1287" s="279">
        <v>500000</v>
      </c>
      <c r="F1287" s="280"/>
      <c r="G1287" s="336">
        <f t="shared" si="1607"/>
        <v>3326</v>
      </c>
      <c r="H1287" s="281">
        <v>3326</v>
      </c>
      <c r="I1287" s="281"/>
      <c r="J1287" s="355" t="str">
        <f>IFERROR(G1287/#REF!,"-")</f>
        <v>-</v>
      </c>
      <c r="K1287" s="734">
        <f t="shared" si="1608"/>
        <v>503292</v>
      </c>
      <c r="L1287" s="279">
        <f t="shared" si="1609"/>
        <v>500882</v>
      </c>
      <c r="M1287" s="439">
        <f t="shared" si="1610"/>
        <v>2410</v>
      </c>
      <c r="N1287" s="340">
        <f t="shared" si="1611"/>
        <v>1.0065839999999999</v>
      </c>
      <c r="O1287" s="264">
        <f t="shared" si="1604"/>
        <v>4.7884726957710434E-3</v>
      </c>
    </row>
    <row r="1288" spans="1:15" ht="23.4" x14ac:dyDescent="0.3">
      <c r="A1288" s="277" t="s">
        <v>110</v>
      </c>
      <c r="B1288" s="957"/>
      <c r="C1288" s="278" t="s">
        <v>392</v>
      </c>
      <c r="D1288" s="278" t="s">
        <v>203</v>
      </c>
      <c r="E1288" s="279">
        <v>0</v>
      </c>
      <c r="F1288" s="280"/>
      <c r="G1288" s="336">
        <f t="shared" si="1607"/>
        <v>0</v>
      </c>
      <c r="H1288" s="281"/>
      <c r="I1288" s="281"/>
      <c r="J1288" s="355" t="str">
        <f>IFERROR(G1288/#REF!,"-")</f>
        <v>-</v>
      </c>
      <c r="K1288" s="734">
        <f t="shared" si="1608"/>
        <v>0</v>
      </c>
      <c r="L1288" s="279">
        <f t="shared" si="1609"/>
        <v>0</v>
      </c>
      <c r="M1288" s="439">
        <f t="shared" si="1610"/>
        <v>0</v>
      </c>
      <c r="N1288" s="340" t="str">
        <f t="shared" si="1611"/>
        <v>-</v>
      </c>
      <c r="O1288" s="264" t="str">
        <f t="shared" si="1604"/>
        <v>-</v>
      </c>
    </row>
    <row r="1289" spans="1:15" ht="24" thickBot="1" x14ac:dyDescent="0.35">
      <c r="A1289" s="277" t="s">
        <v>110</v>
      </c>
      <c r="B1289" s="958"/>
      <c r="C1289" s="282" t="s">
        <v>379</v>
      </c>
      <c r="D1289" s="282" t="s">
        <v>252</v>
      </c>
      <c r="E1289" s="283">
        <v>0</v>
      </c>
      <c r="F1289" s="284"/>
      <c r="G1289" s="337">
        <f t="shared" si="1607"/>
        <v>0</v>
      </c>
      <c r="H1289" s="285"/>
      <c r="I1289" s="285"/>
      <c r="J1289" s="356" t="str">
        <f>IFERROR(G1289/#REF!,"-")</f>
        <v>-</v>
      </c>
      <c r="K1289" s="735">
        <f t="shared" si="1608"/>
        <v>0</v>
      </c>
      <c r="L1289" s="535">
        <f t="shared" si="1609"/>
        <v>0</v>
      </c>
      <c r="M1289" s="466">
        <f t="shared" si="1610"/>
        <v>0</v>
      </c>
      <c r="N1289" s="341" t="str">
        <f t="shared" si="1611"/>
        <v>-</v>
      </c>
      <c r="O1289" s="350" t="str">
        <f t="shared" si="1604"/>
        <v>-</v>
      </c>
    </row>
    <row r="1290" spans="1:15" ht="24" thickBot="1" x14ac:dyDescent="0.35">
      <c r="A1290" s="277" t="s">
        <v>110</v>
      </c>
      <c r="B1290" s="967" t="s">
        <v>48</v>
      </c>
      <c r="C1290" s="968"/>
      <c r="D1290" s="969"/>
      <c r="E1290" s="323">
        <f>SUM(E1283:E1289)</f>
        <v>3500000</v>
      </c>
      <c r="F1290" s="288">
        <v>200000</v>
      </c>
      <c r="G1290" s="323">
        <f>SUM(G1283:G1289)</f>
        <v>150621</v>
      </c>
      <c r="H1290" s="324">
        <f t="shared" ref="H1290:I1290" si="1612">SUM(H1283:H1289)</f>
        <v>150206</v>
      </c>
      <c r="I1290" s="324">
        <f t="shared" si="1612"/>
        <v>415</v>
      </c>
      <c r="J1290" s="348">
        <f>+G1290/F1290</f>
        <v>0.75310500000000002</v>
      </c>
      <c r="K1290" s="323">
        <f>SUM(K1283:K1289)</f>
        <v>1730696</v>
      </c>
      <c r="L1290" s="524">
        <f>SUM(L1283:L1289)</f>
        <v>1723581</v>
      </c>
      <c r="M1290" s="733">
        <f t="shared" ref="M1290" si="1613">SUM(M1283:M1289)</f>
        <v>7115</v>
      </c>
      <c r="N1290" s="342">
        <f>IFERROR(K1290/E1290,"-")</f>
        <v>0.49448457142857144</v>
      </c>
      <c r="O1290" s="348">
        <f t="shared" si="1604"/>
        <v>4.1110628325251803E-3</v>
      </c>
    </row>
    <row r="1291" spans="1:15" ht="23.4" x14ac:dyDescent="0.3">
      <c r="A1291" s="277" t="s">
        <v>110</v>
      </c>
      <c r="B1291" s="956" t="s">
        <v>18</v>
      </c>
      <c r="C1291" s="272" t="s">
        <v>344</v>
      </c>
      <c r="D1291" s="272" t="s">
        <v>99</v>
      </c>
      <c r="E1291" s="273">
        <v>0</v>
      </c>
      <c r="F1291" s="274"/>
      <c r="G1291" s="335">
        <f t="shared" ref="G1291:G1297" si="1614">+H1291+I1291</f>
        <v>0</v>
      </c>
      <c r="H1291" s="275"/>
      <c r="I1291" s="275"/>
      <c r="J1291" s="354" t="str">
        <f>IFERROR(G1291/#REF!,"-")</f>
        <v>-</v>
      </c>
      <c r="K1291" s="335">
        <f t="shared" ref="K1291:K1297" si="1615">+L1291+M1291</f>
        <v>0</v>
      </c>
      <c r="L1291" s="275">
        <f t="shared" ref="L1291:L1297" si="1616">+H1291+L1185</f>
        <v>0</v>
      </c>
      <c r="M1291" s="276">
        <f t="shared" ref="M1291:M1297" si="1617">+I1291+M1185</f>
        <v>0</v>
      </c>
      <c r="N1291" s="339" t="str">
        <f t="shared" ref="N1291:N1298" si="1618">IFERROR(K1291/E1291,"-")</f>
        <v>-</v>
      </c>
      <c r="O1291" s="349" t="str">
        <f t="shared" si="1604"/>
        <v>-</v>
      </c>
    </row>
    <row r="1292" spans="1:15" ht="23.4" x14ac:dyDescent="0.3">
      <c r="A1292" s="277" t="s">
        <v>110</v>
      </c>
      <c r="B1292" s="957"/>
      <c r="C1292" s="278" t="s">
        <v>253</v>
      </c>
      <c r="D1292" s="278" t="s">
        <v>254</v>
      </c>
      <c r="E1292" s="279">
        <v>0</v>
      </c>
      <c r="F1292" s="280"/>
      <c r="G1292" s="336">
        <f t="shared" si="1614"/>
        <v>0</v>
      </c>
      <c r="H1292" s="281"/>
      <c r="I1292" s="281"/>
      <c r="J1292" s="355" t="str">
        <f>IFERROR(G1292/#REF!,"-")</f>
        <v>-</v>
      </c>
      <c r="K1292" s="336">
        <f t="shared" si="1615"/>
        <v>0</v>
      </c>
      <c r="L1292" s="275">
        <f t="shared" si="1616"/>
        <v>0</v>
      </c>
      <c r="M1292" s="276">
        <f t="shared" si="1617"/>
        <v>0</v>
      </c>
      <c r="N1292" s="340" t="str">
        <f t="shared" si="1618"/>
        <v>-</v>
      </c>
      <c r="O1292" s="264" t="str">
        <f t="shared" si="1604"/>
        <v>-</v>
      </c>
    </row>
    <row r="1293" spans="1:15" ht="23.4" x14ac:dyDescent="0.3">
      <c r="A1293" s="277" t="s">
        <v>110</v>
      </c>
      <c r="B1293" s="957"/>
      <c r="C1293" s="278" t="s">
        <v>122</v>
      </c>
      <c r="D1293" s="278"/>
      <c r="E1293" s="279">
        <v>0</v>
      </c>
      <c r="F1293" s="280"/>
      <c r="G1293" s="336">
        <f t="shared" si="1614"/>
        <v>0</v>
      </c>
      <c r="H1293" s="281"/>
      <c r="I1293" s="281"/>
      <c r="J1293" s="355" t="str">
        <f>IFERROR(G1293/#REF!,"-")</f>
        <v>-</v>
      </c>
      <c r="K1293" s="336">
        <f t="shared" si="1615"/>
        <v>0</v>
      </c>
      <c r="L1293" s="275">
        <f t="shared" si="1616"/>
        <v>0</v>
      </c>
      <c r="M1293" s="276">
        <f t="shared" si="1617"/>
        <v>0</v>
      </c>
      <c r="N1293" s="340" t="str">
        <f t="shared" si="1618"/>
        <v>-</v>
      </c>
      <c r="O1293" s="264" t="str">
        <f t="shared" si="1604"/>
        <v>-</v>
      </c>
    </row>
    <row r="1294" spans="1:15" ht="23.4" x14ac:dyDescent="0.3">
      <c r="A1294" s="277" t="s">
        <v>110</v>
      </c>
      <c r="B1294" s="957"/>
      <c r="C1294" s="278" t="s">
        <v>129</v>
      </c>
      <c r="D1294" s="278"/>
      <c r="E1294" s="279">
        <v>0</v>
      </c>
      <c r="F1294" s="280"/>
      <c r="G1294" s="336">
        <f t="shared" si="1614"/>
        <v>0</v>
      </c>
      <c r="H1294" s="281"/>
      <c r="I1294" s="281"/>
      <c r="J1294" s="355" t="str">
        <f>IFERROR(G1294/#REF!,"-")</f>
        <v>-</v>
      </c>
      <c r="K1294" s="336">
        <f t="shared" si="1615"/>
        <v>0</v>
      </c>
      <c r="L1294" s="275">
        <f t="shared" si="1616"/>
        <v>0</v>
      </c>
      <c r="M1294" s="276">
        <f t="shared" si="1617"/>
        <v>0</v>
      </c>
      <c r="N1294" s="340" t="str">
        <f t="shared" si="1618"/>
        <v>-</v>
      </c>
      <c r="O1294" s="264" t="str">
        <f t="shared" si="1604"/>
        <v>-</v>
      </c>
    </row>
    <row r="1295" spans="1:15" ht="23.4" x14ac:dyDescent="0.3">
      <c r="A1295" s="277" t="s">
        <v>110</v>
      </c>
      <c r="B1295" s="957"/>
      <c r="C1295" s="278" t="s">
        <v>189</v>
      </c>
      <c r="D1295" s="278" t="s">
        <v>190</v>
      </c>
      <c r="E1295" s="279">
        <v>0</v>
      </c>
      <c r="F1295" s="280"/>
      <c r="G1295" s="336">
        <f t="shared" si="1614"/>
        <v>0</v>
      </c>
      <c r="H1295" s="281"/>
      <c r="I1295" s="281"/>
      <c r="J1295" s="355" t="str">
        <f>IFERROR(G1295/#REF!,"-")</f>
        <v>-</v>
      </c>
      <c r="K1295" s="336">
        <f t="shared" si="1615"/>
        <v>0</v>
      </c>
      <c r="L1295" s="275">
        <f t="shared" si="1616"/>
        <v>0</v>
      </c>
      <c r="M1295" s="276">
        <f t="shared" si="1617"/>
        <v>0</v>
      </c>
      <c r="N1295" s="340" t="str">
        <f t="shared" si="1618"/>
        <v>-</v>
      </c>
      <c r="O1295" s="264" t="str">
        <f t="shared" si="1604"/>
        <v>-</v>
      </c>
    </row>
    <row r="1296" spans="1:15" ht="23.4" x14ac:dyDescent="0.3">
      <c r="A1296" s="277" t="s">
        <v>110</v>
      </c>
      <c r="B1296" s="957"/>
      <c r="C1296" s="278" t="s">
        <v>192</v>
      </c>
      <c r="D1296" s="278" t="s">
        <v>191</v>
      </c>
      <c r="E1296" s="279">
        <v>0</v>
      </c>
      <c r="F1296" s="280"/>
      <c r="G1296" s="336">
        <f t="shared" si="1614"/>
        <v>0</v>
      </c>
      <c r="H1296" s="281"/>
      <c r="I1296" s="281"/>
      <c r="J1296" s="355" t="str">
        <f>IFERROR(G1296/#REF!,"-")</f>
        <v>-</v>
      </c>
      <c r="K1296" s="336">
        <f t="shared" si="1615"/>
        <v>0</v>
      </c>
      <c r="L1296" s="275">
        <f t="shared" si="1616"/>
        <v>0</v>
      </c>
      <c r="M1296" s="276">
        <f t="shared" si="1617"/>
        <v>0</v>
      </c>
      <c r="N1296" s="340" t="str">
        <f t="shared" si="1618"/>
        <v>-</v>
      </c>
      <c r="O1296" s="264" t="str">
        <f t="shared" si="1604"/>
        <v>-</v>
      </c>
    </row>
    <row r="1297" spans="1:15" ht="24" thickBot="1" x14ac:dyDescent="0.35">
      <c r="A1297" s="277" t="s">
        <v>110</v>
      </c>
      <c r="B1297" s="958"/>
      <c r="C1297" s="289" t="s">
        <v>193</v>
      </c>
      <c r="D1297" s="289" t="s">
        <v>114</v>
      </c>
      <c r="E1297" s="283">
        <v>0</v>
      </c>
      <c r="F1297" s="284"/>
      <c r="G1297" s="337">
        <f t="shared" si="1614"/>
        <v>0</v>
      </c>
      <c r="H1297" s="285"/>
      <c r="I1297" s="285"/>
      <c r="J1297" s="356" t="str">
        <f>IFERROR(G1297/#REF!,"-")</f>
        <v>-</v>
      </c>
      <c r="K1297" s="337">
        <f t="shared" si="1615"/>
        <v>0</v>
      </c>
      <c r="L1297" s="275">
        <f t="shared" si="1616"/>
        <v>0</v>
      </c>
      <c r="M1297" s="276">
        <f t="shared" si="1617"/>
        <v>0</v>
      </c>
      <c r="N1297" s="341" t="str">
        <f t="shared" si="1618"/>
        <v>-</v>
      </c>
      <c r="O1297" s="350" t="str">
        <f t="shared" si="1604"/>
        <v>-</v>
      </c>
    </row>
    <row r="1298" spans="1:15" ht="24" thickBot="1" x14ac:dyDescent="0.35">
      <c r="A1298" s="277" t="s">
        <v>110</v>
      </c>
      <c r="B1298" s="967" t="s">
        <v>29</v>
      </c>
      <c r="C1298" s="968"/>
      <c r="D1298" s="969"/>
      <c r="E1298" s="323">
        <f t="shared" ref="E1298" si="1619">SUM(E1291:E1297)</f>
        <v>0</v>
      </c>
      <c r="F1298" s="288">
        <v>80000</v>
      </c>
      <c r="G1298" s="323">
        <f>SUM(G1291:G1297)</f>
        <v>0</v>
      </c>
      <c r="H1298" s="324">
        <f t="shared" ref="H1298:I1298" si="1620">SUM(H1291:H1297)</f>
        <v>0</v>
      </c>
      <c r="I1298" s="324">
        <f t="shared" si="1620"/>
        <v>0</v>
      </c>
      <c r="J1298" s="348">
        <f>+G1298/F1298</f>
        <v>0</v>
      </c>
      <c r="K1298" s="323">
        <f t="shared" ref="K1298:M1298" si="1621">SUM(K1291:K1297)</f>
        <v>0</v>
      </c>
      <c r="L1298" s="324">
        <f t="shared" si="1621"/>
        <v>0</v>
      </c>
      <c r="M1298" s="325">
        <f t="shared" si="1621"/>
        <v>0</v>
      </c>
      <c r="N1298" s="342" t="str">
        <f t="shared" si="1618"/>
        <v>-</v>
      </c>
      <c r="O1298" s="348" t="str">
        <f t="shared" si="1604"/>
        <v>-</v>
      </c>
    </row>
    <row r="1299" spans="1:15" ht="24" thickBot="1" x14ac:dyDescent="0.35">
      <c r="A1299" s="252" t="s">
        <v>110</v>
      </c>
      <c r="B1299" s="985" t="s">
        <v>19</v>
      </c>
      <c r="C1299" s="653" t="s">
        <v>255</v>
      </c>
      <c r="D1299" s="690" t="s">
        <v>190</v>
      </c>
      <c r="E1299" s="695">
        <v>0</v>
      </c>
      <c r="F1299" s="692">
        <v>110000</v>
      </c>
      <c r="G1299" s="656">
        <f t="shared" ref="G1299:G1301" si="1622">+H1299+I1299</f>
        <v>0</v>
      </c>
      <c r="H1299" s="462"/>
      <c r="I1299" s="462"/>
      <c r="J1299" s="536" t="str">
        <f>IFERROR(G1299/#REF!,"-")</f>
        <v>-</v>
      </c>
      <c r="K1299" s="461">
        <f>+L1299+M1299</f>
        <v>0</v>
      </c>
      <c r="L1299" s="462">
        <f t="shared" ref="L1299:L1301" si="1623">+H1299+L1193</f>
        <v>0</v>
      </c>
      <c r="M1299" s="463">
        <f t="shared" ref="M1299:M1301" si="1624">+I1299+M1193</f>
        <v>0</v>
      </c>
      <c r="N1299" s="658" t="str">
        <f>IFERROR(K1299/E1299,"-")</f>
        <v>-</v>
      </c>
      <c r="O1299" s="659" t="str">
        <f t="shared" si="1604"/>
        <v>-</v>
      </c>
    </row>
    <row r="1300" spans="1:15" ht="24" thickBot="1" x14ac:dyDescent="0.35">
      <c r="A1300" s="252"/>
      <c r="B1300" s="986"/>
      <c r="C1300" s="299" t="s">
        <v>440</v>
      </c>
      <c r="D1300" s="657" t="s">
        <v>515</v>
      </c>
      <c r="E1300" s="696">
        <v>1000000</v>
      </c>
      <c r="F1300" s="693">
        <v>110000</v>
      </c>
      <c r="G1300" s="652">
        <f t="shared" si="1622"/>
        <v>0</v>
      </c>
      <c r="H1300" s="275"/>
      <c r="I1300" s="275"/>
      <c r="J1300" s="354" t="str">
        <f>IFERROR(G1300/#REF!,"-")</f>
        <v>-</v>
      </c>
      <c r="K1300" s="338">
        <f>+L1300+M1300</f>
        <v>19773</v>
      </c>
      <c r="L1300" s="462">
        <f t="shared" si="1623"/>
        <v>19536</v>
      </c>
      <c r="M1300" s="463">
        <f t="shared" si="1624"/>
        <v>237</v>
      </c>
      <c r="N1300" s="343">
        <f t="shared" ref="N1300:N1301" si="1625">IFERROR(K1300/E1300,"-")</f>
        <v>1.9772999999999999E-2</v>
      </c>
      <c r="O1300" s="651">
        <f>IFERROR(M1300/K1300,"-")</f>
        <v>1.1986041571840389E-2</v>
      </c>
    </row>
    <row r="1301" spans="1:15" ht="24" thickBot="1" x14ac:dyDescent="0.35">
      <c r="A1301" s="252"/>
      <c r="B1301" s="987"/>
      <c r="C1301" s="647" t="s">
        <v>380</v>
      </c>
      <c r="D1301" s="691"/>
      <c r="E1301" s="697">
        <v>150000</v>
      </c>
      <c r="F1301" s="694">
        <v>110000</v>
      </c>
      <c r="G1301" s="599">
        <f t="shared" si="1622"/>
        <v>0</v>
      </c>
      <c r="H1301" s="285"/>
      <c r="I1301" s="285"/>
      <c r="J1301" s="356"/>
      <c r="K1301" s="464">
        <f>+L1301+M1301</f>
        <v>0</v>
      </c>
      <c r="L1301" s="462">
        <f t="shared" si="1623"/>
        <v>0</v>
      </c>
      <c r="M1301" s="463">
        <f t="shared" si="1624"/>
        <v>0</v>
      </c>
      <c r="N1301" s="341">
        <f t="shared" si="1625"/>
        <v>0</v>
      </c>
      <c r="O1301" s="648" t="str">
        <f t="shared" ref="O1301:O1351" si="1626">IFERROR(M1301/K1301,"-")</f>
        <v>-</v>
      </c>
    </row>
    <row r="1302" spans="1:15" ht="24" thickBot="1" x14ac:dyDescent="0.35">
      <c r="A1302" s="277" t="s">
        <v>110</v>
      </c>
      <c r="B1302" s="988" t="s">
        <v>49</v>
      </c>
      <c r="C1302" s="968"/>
      <c r="D1302" s="969"/>
      <c r="E1302" s="323">
        <f>SUM(E1299:E1301)</f>
        <v>1150000</v>
      </c>
      <c r="F1302" s="326">
        <f t="shared" ref="F1302" si="1627">SUM(F1299)</f>
        <v>110000</v>
      </c>
      <c r="G1302" s="323">
        <f>SUM(G1299)</f>
        <v>0</v>
      </c>
      <c r="H1302" s="324">
        <f>SUM(H1299:H1301)</f>
        <v>0</v>
      </c>
      <c r="I1302" s="324">
        <f>SUM(I1299:I1301)</f>
        <v>0</v>
      </c>
      <c r="J1302" s="348">
        <f>+G1302/F1302</f>
        <v>0</v>
      </c>
      <c r="K1302" s="649">
        <f>SUM(K1299:K1300)</f>
        <v>19773</v>
      </c>
      <c r="L1302" s="324">
        <f>SUM(L1299:L1300)</f>
        <v>19536</v>
      </c>
      <c r="M1302" s="325">
        <f>SUM(M1299:M1300)</f>
        <v>237</v>
      </c>
      <c r="N1302" s="342">
        <f>IFERROR(K1302/E1302,"-")</f>
        <v>1.7193913043478261E-2</v>
      </c>
      <c r="O1302" s="348">
        <f t="shared" si="1626"/>
        <v>1.1986041571840389E-2</v>
      </c>
    </row>
    <row r="1303" spans="1:15" ht="23.4" x14ac:dyDescent="0.3">
      <c r="A1303" s="277" t="s">
        <v>110</v>
      </c>
      <c r="B1303" s="956" t="s">
        <v>20</v>
      </c>
      <c r="C1303" s="294" t="s">
        <v>351</v>
      </c>
      <c r="D1303" s="294" t="s">
        <v>313</v>
      </c>
      <c r="E1303" s="273">
        <v>0</v>
      </c>
      <c r="F1303" s="274"/>
      <c r="G1303" s="335">
        <f t="shared" ref="G1303:G1305" si="1628">+H1303+I1303</f>
        <v>0</v>
      </c>
      <c r="H1303" s="275"/>
      <c r="I1303" s="275"/>
      <c r="J1303" s="354" t="str">
        <f>IFERROR(G1303/#REF!,"-")</f>
        <v>-</v>
      </c>
      <c r="K1303" s="335">
        <f t="shared" ref="K1303:K1305" si="1629">+L1303+M1303</f>
        <v>0</v>
      </c>
      <c r="L1303" s="275">
        <f t="shared" ref="L1303:L1305" si="1630">+H1303+L1197</f>
        <v>0</v>
      </c>
      <c r="M1303" s="276">
        <f t="shared" ref="M1303:M1305" si="1631">+I1303+M1197</f>
        <v>0</v>
      </c>
      <c r="N1303" s="339" t="str">
        <f t="shared" ref="N1303:N1306" si="1632">IFERROR(K1303/E1303,"-")</f>
        <v>-</v>
      </c>
      <c r="O1303" s="349" t="str">
        <f t="shared" si="1626"/>
        <v>-</v>
      </c>
    </row>
    <row r="1304" spans="1:15" ht="23.4" x14ac:dyDescent="0.3">
      <c r="A1304" s="277" t="s">
        <v>110</v>
      </c>
      <c r="B1304" s="957"/>
      <c r="C1304" s="295" t="s">
        <v>121</v>
      </c>
      <c r="D1304" s="295"/>
      <c r="E1304" s="279">
        <v>0</v>
      </c>
      <c r="F1304" s="280"/>
      <c r="G1304" s="336">
        <f t="shared" si="1628"/>
        <v>0</v>
      </c>
      <c r="H1304" s="281"/>
      <c r="I1304" s="281"/>
      <c r="J1304" s="355" t="str">
        <f>IFERROR(G1304/#REF!,"-")</f>
        <v>-</v>
      </c>
      <c r="K1304" s="336">
        <f t="shared" si="1629"/>
        <v>0</v>
      </c>
      <c r="L1304" s="275">
        <f t="shared" si="1630"/>
        <v>0</v>
      </c>
      <c r="M1304" s="276">
        <f t="shared" si="1631"/>
        <v>0</v>
      </c>
      <c r="N1304" s="340" t="str">
        <f t="shared" si="1632"/>
        <v>-</v>
      </c>
      <c r="O1304" s="264" t="str">
        <f t="shared" si="1626"/>
        <v>-</v>
      </c>
    </row>
    <row r="1305" spans="1:15" ht="24" thickBot="1" x14ac:dyDescent="0.35">
      <c r="A1305" s="277" t="s">
        <v>110</v>
      </c>
      <c r="B1305" s="958"/>
      <c r="C1305" s="296" t="s">
        <v>127</v>
      </c>
      <c r="D1305" s="296"/>
      <c r="E1305" s="283">
        <v>0</v>
      </c>
      <c r="F1305" s="284"/>
      <c r="G1305" s="337">
        <f t="shared" si="1628"/>
        <v>0</v>
      </c>
      <c r="H1305" s="285"/>
      <c r="I1305" s="285"/>
      <c r="J1305" s="356" t="str">
        <f>IFERROR(G1305/#REF!,"-")</f>
        <v>-</v>
      </c>
      <c r="K1305" s="337">
        <f t="shared" si="1629"/>
        <v>0</v>
      </c>
      <c r="L1305" s="275">
        <f t="shared" si="1630"/>
        <v>0</v>
      </c>
      <c r="M1305" s="276">
        <f t="shared" si="1631"/>
        <v>0</v>
      </c>
      <c r="N1305" s="341" t="str">
        <f t="shared" si="1632"/>
        <v>-</v>
      </c>
      <c r="O1305" s="350" t="str">
        <f t="shared" si="1626"/>
        <v>-</v>
      </c>
    </row>
    <row r="1306" spans="1:15" ht="24" thickBot="1" x14ac:dyDescent="0.35">
      <c r="A1306" s="277" t="s">
        <v>110</v>
      </c>
      <c r="B1306" s="968" t="s">
        <v>50</v>
      </c>
      <c r="C1306" s="968"/>
      <c r="D1306" s="989"/>
      <c r="E1306" s="323">
        <f t="shared" ref="E1306" si="1633">SUM(E1303:E1305)</f>
        <v>0</v>
      </c>
      <c r="F1306" s="288">
        <v>50000</v>
      </c>
      <c r="G1306" s="323">
        <f>SUM(G1303:G1305)</f>
        <v>0</v>
      </c>
      <c r="H1306" s="324">
        <f t="shared" ref="H1306:I1306" si="1634">SUM(H1303:H1305)</f>
        <v>0</v>
      </c>
      <c r="I1306" s="324">
        <f t="shared" si="1634"/>
        <v>0</v>
      </c>
      <c r="J1306" s="348">
        <f>+G1306/F1306</f>
        <v>0</v>
      </c>
      <c r="K1306" s="323">
        <f t="shared" ref="K1306:M1306" si="1635">SUM(K1303:K1305)</f>
        <v>0</v>
      </c>
      <c r="L1306" s="324">
        <f t="shared" si="1635"/>
        <v>0</v>
      </c>
      <c r="M1306" s="325">
        <f t="shared" si="1635"/>
        <v>0</v>
      </c>
      <c r="N1306" s="342" t="str">
        <f t="shared" si="1632"/>
        <v>-</v>
      </c>
      <c r="O1306" s="348" t="str">
        <f t="shared" si="1626"/>
        <v>-</v>
      </c>
    </row>
    <row r="1307" spans="1:15" ht="24" thickBot="1" x14ac:dyDescent="0.35">
      <c r="A1307" s="277" t="s">
        <v>110</v>
      </c>
      <c r="B1307" s="981" t="s">
        <v>21</v>
      </c>
      <c r="C1307" s="982"/>
      <c r="D1307" s="983"/>
      <c r="E1307" s="329">
        <f>+E1282+E1290+E1298+E1302+E1306</f>
        <v>4750000</v>
      </c>
      <c r="F1307" s="330">
        <f>+F1282+F1290+F1298+F1302+F1306</f>
        <v>455000</v>
      </c>
      <c r="G1307" s="329">
        <f>+G1282+G1290+G1298+G1302+G1306</f>
        <v>169862</v>
      </c>
      <c r="H1307" s="327">
        <f>+H1282+H1290+H1298+H1302+H1306</f>
        <v>169206</v>
      </c>
      <c r="I1307" s="327">
        <f>+I1282+I1290+I1298+I1302+I1306</f>
        <v>656</v>
      </c>
      <c r="J1307" s="352">
        <f>+G1307/F1307</f>
        <v>0.37332307692307692</v>
      </c>
      <c r="K1307" s="329">
        <f>+K1282+K1290+K1298+K1302+K1306</f>
        <v>1851604</v>
      </c>
      <c r="L1307" s="327">
        <f>+L1282+L1290+L1298+L1302+L1306</f>
        <v>1842626</v>
      </c>
      <c r="M1307" s="328">
        <f>+M1282+M1290+M1298+M1302+M1306</f>
        <v>8978</v>
      </c>
      <c r="N1307" s="344">
        <f>IFERROR(K1307/E1307,"-")</f>
        <v>0.38981136842105263</v>
      </c>
      <c r="O1307" s="352">
        <f t="shared" si="1626"/>
        <v>4.8487689592375044E-3</v>
      </c>
    </row>
    <row r="1308" spans="1:15" ht="23.4" x14ac:dyDescent="0.3">
      <c r="A1308" s="277" t="s">
        <v>110</v>
      </c>
      <c r="B1308" s="956" t="s">
        <v>481</v>
      </c>
      <c r="C1308" s="272" t="s">
        <v>132</v>
      </c>
      <c r="D1308" s="272"/>
      <c r="E1308" s="273">
        <v>0</v>
      </c>
      <c r="F1308" s="274"/>
      <c r="G1308" s="335">
        <f t="shared" ref="G1308:G1311" si="1636">+H1308+I1308</f>
        <v>0</v>
      </c>
      <c r="H1308" s="275"/>
      <c r="I1308" s="275"/>
      <c r="J1308" s="354" t="str">
        <f>IFERROR(G1308/#REF!,"-")</f>
        <v>-</v>
      </c>
      <c r="K1308" s="335">
        <f t="shared" ref="K1308:K1311" si="1637">+L1308+M1308</f>
        <v>0</v>
      </c>
      <c r="L1308" s="275">
        <f t="shared" ref="L1308:L1311" si="1638">+H1308+L1202</f>
        <v>0</v>
      </c>
      <c r="M1308" s="276">
        <f t="shared" ref="M1308:M1311" si="1639">+I1308+M1202</f>
        <v>0</v>
      </c>
      <c r="N1308" s="339" t="str">
        <f t="shared" ref="N1308:N1322" si="1640">IFERROR(K1308/E1308,"-")</f>
        <v>-</v>
      </c>
      <c r="O1308" s="349" t="str">
        <f t="shared" si="1626"/>
        <v>-</v>
      </c>
    </row>
    <row r="1309" spans="1:15" ht="23.4" x14ac:dyDescent="0.3">
      <c r="A1309" s="277" t="s">
        <v>110</v>
      </c>
      <c r="B1309" s="957"/>
      <c r="C1309" s="298" t="s">
        <v>283</v>
      </c>
      <c r="D1309" s="298" t="s">
        <v>194</v>
      </c>
      <c r="E1309" s="279">
        <v>0</v>
      </c>
      <c r="F1309" s="280"/>
      <c r="G1309" s="336">
        <f t="shared" si="1636"/>
        <v>0</v>
      </c>
      <c r="H1309" s="281"/>
      <c r="I1309" s="281"/>
      <c r="J1309" s="355" t="str">
        <f>IFERROR(G1309/#REF!,"-")</f>
        <v>-</v>
      </c>
      <c r="K1309" s="336">
        <f t="shared" si="1637"/>
        <v>0</v>
      </c>
      <c r="L1309" s="275">
        <f t="shared" si="1638"/>
        <v>0</v>
      </c>
      <c r="M1309" s="276">
        <f t="shared" si="1639"/>
        <v>0</v>
      </c>
      <c r="N1309" s="340" t="str">
        <f t="shared" si="1640"/>
        <v>-</v>
      </c>
      <c r="O1309" s="264" t="str">
        <f t="shared" si="1626"/>
        <v>-</v>
      </c>
    </row>
    <row r="1310" spans="1:15" ht="23.4" x14ac:dyDescent="0.3">
      <c r="A1310" s="277" t="s">
        <v>110</v>
      </c>
      <c r="B1310" s="957"/>
      <c r="C1310" s="298" t="s">
        <v>405</v>
      </c>
      <c r="D1310" s="298" t="s">
        <v>194</v>
      </c>
      <c r="E1310" s="279">
        <v>1000000</v>
      </c>
      <c r="F1310" s="280"/>
      <c r="G1310" s="336">
        <f t="shared" si="1636"/>
        <v>4220</v>
      </c>
      <c r="H1310" s="281">
        <v>3960</v>
      </c>
      <c r="I1310" s="281">
        <v>260</v>
      </c>
      <c r="J1310" s="355" t="str">
        <f>IFERROR(G1310/#REF!,"-")</f>
        <v>-</v>
      </c>
      <c r="K1310" s="336">
        <f t="shared" si="1637"/>
        <v>355043</v>
      </c>
      <c r="L1310" s="275">
        <f t="shared" si="1638"/>
        <v>352440</v>
      </c>
      <c r="M1310" s="276">
        <f t="shared" si="1639"/>
        <v>2603</v>
      </c>
      <c r="N1310" s="340">
        <f t="shared" si="1640"/>
        <v>0.355043</v>
      </c>
      <c r="O1310" s="264">
        <f t="shared" si="1626"/>
        <v>7.3315063245860358E-3</v>
      </c>
    </row>
    <row r="1311" spans="1:15" ht="24" thickBot="1" x14ac:dyDescent="0.35">
      <c r="A1311" s="277" t="s">
        <v>110</v>
      </c>
      <c r="B1311" s="958"/>
      <c r="C1311" s="282" t="s">
        <v>195</v>
      </c>
      <c r="D1311" s="282" t="s">
        <v>100</v>
      </c>
      <c r="E1311" s="283">
        <v>0</v>
      </c>
      <c r="F1311" s="284"/>
      <c r="G1311" s="337">
        <f t="shared" si="1636"/>
        <v>0</v>
      </c>
      <c r="H1311" s="285"/>
      <c r="I1311" s="285"/>
      <c r="J1311" s="356" t="str">
        <f>IFERROR(G1311/#REF!,"-")</f>
        <v>-</v>
      </c>
      <c r="K1311" s="337">
        <f t="shared" si="1637"/>
        <v>0</v>
      </c>
      <c r="L1311" s="275">
        <f t="shared" si="1638"/>
        <v>0</v>
      </c>
      <c r="M1311" s="276">
        <f t="shared" si="1639"/>
        <v>0</v>
      </c>
      <c r="N1311" s="341" t="str">
        <f t="shared" si="1640"/>
        <v>-</v>
      </c>
      <c r="O1311" s="350" t="str">
        <f t="shared" si="1626"/>
        <v>-</v>
      </c>
    </row>
    <row r="1312" spans="1:15" ht="24" thickBot="1" x14ac:dyDescent="0.35">
      <c r="A1312" s="277" t="s">
        <v>110</v>
      </c>
      <c r="B1312" s="967" t="s">
        <v>51</v>
      </c>
      <c r="C1312" s="968"/>
      <c r="D1312" s="969"/>
      <c r="E1312" s="287">
        <f>SUM(E1308:E1311)</f>
        <v>1000000</v>
      </c>
      <c r="F1312" s="288">
        <v>80000</v>
      </c>
      <c r="G1312" s="323">
        <f>SUM(G1308:G1311)</f>
        <v>4220</v>
      </c>
      <c r="H1312" s="324">
        <f t="shared" ref="H1312:I1312" si="1641">SUM(H1308:H1311)</f>
        <v>3960</v>
      </c>
      <c r="I1312" s="324">
        <f t="shared" si="1641"/>
        <v>260</v>
      </c>
      <c r="J1312" s="348">
        <f>+G1312/F1312</f>
        <v>5.2749999999999998E-2</v>
      </c>
      <c r="K1312" s="323">
        <f t="shared" ref="K1312:M1312" si="1642">SUM(K1308:K1311)</f>
        <v>355043</v>
      </c>
      <c r="L1312" s="324">
        <f t="shared" si="1642"/>
        <v>352440</v>
      </c>
      <c r="M1312" s="325">
        <f t="shared" si="1642"/>
        <v>2603</v>
      </c>
      <c r="N1312" s="342">
        <f t="shared" si="1640"/>
        <v>0.355043</v>
      </c>
      <c r="O1312" s="348">
        <f t="shared" si="1626"/>
        <v>7.3315063245860358E-3</v>
      </c>
    </row>
    <row r="1313" spans="1:15" ht="23.4" x14ac:dyDescent="0.3">
      <c r="A1313" s="277" t="s">
        <v>110</v>
      </c>
      <c r="B1313" s="956" t="s">
        <v>23</v>
      </c>
      <c r="C1313" s="299" t="s">
        <v>337</v>
      </c>
      <c r="D1313" s="299" t="s">
        <v>258</v>
      </c>
      <c r="E1313" s="273">
        <f>25000+10875+6000</f>
        <v>41875</v>
      </c>
      <c r="F1313" s="274"/>
      <c r="G1313" s="335">
        <f t="shared" ref="G1313:G1320" si="1643">+H1313+I1313</f>
        <v>0</v>
      </c>
      <c r="H1313" s="275"/>
      <c r="I1313" s="275"/>
      <c r="J1313" s="354" t="str">
        <f>IFERROR(G1313/#REF!,"-")</f>
        <v>-</v>
      </c>
      <c r="K1313" s="335">
        <f t="shared" ref="K1313:K1320" si="1644">+L1313+M1313</f>
        <v>0</v>
      </c>
      <c r="L1313" s="275">
        <f t="shared" ref="L1313:L1320" si="1645">+H1313+L1207</f>
        <v>0</v>
      </c>
      <c r="M1313" s="276">
        <f t="shared" ref="M1313:M1320" si="1646">+I1313+M1207</f>
        <v>0</v>
      </c>
      <c r="N1313" s="339">
        <f t="shared" si="1640"/>
        <v>0</v>
      </c>
      <c r="O1313" s="349" t="str">
        <f t="shared" si="1626"/>
        <v>-</v>
      </c>
    </row>
    <row r="1314" spans="1:15" ht="23.4" x14ac:dyDescent="0.3">
      <c r="A1314" s="277" t="s">
        <v>110</v>
      </c>
      <c r="B1314" s="957"/>
      <c r="C1314" s="278" t="s">
        <v>24</v>
      </c>
      <c r="D1314" s="278" t="s">
        <v>258</v>
      </c>
      <c r="E1314" s="279">
        <v>97500</v>
      </c>
      <c r="F1314" s="280"/>
      <c r="G1314" s="336">
        <f t="shared" si="1643"/>
        <v>0</v>
      </c>
      <c r="H1314" s="281"/>
      <c r="I1314" s="281"/>
      <c r="J1314" s="355" t="str">
        <f>IFERROR(G1314/#REF!,"-")</f>
        <v>-</v>
      </c>
      <c r="K1314" s="336">
        <f t="shared" si="1644"/>
        <v>0</v>
      </c>
      <c r="L1314" s="275">
        <f t="shared" si="1645"/>
        <v>0</v>
      </c>
      <c r="M1314" s="276">
        <f t="shared" si="1646"/>
        <v>0</v>
      </c>
      <c r="N1314" s="340">
        <f t="shared" si="1640"/>
        <v>0</v>
      </c>
      <c r="O1314" s="264" t="str">
        <f t="shared" si="1626"/>
        <v>-</v>
      </c>
    </row>
    <row r="1315" spans="1:15" ht="23.4" x14ac:dyDescent="0.3">
      <c r="A1315" s="277" t="s">
        <v>110</v>
      </c>
      <c r="B1315" s="957"/>
      <c r="C1315" s="278" t="s">
        <v>256</v>
      </c>
      <c r="D1315" s="278" t="s">
        <v>258</v>
      </c>
      <c r="E1315" s="279">
        <v>17750</v>
      </c>
      <c r="F1315" s="280"/>
      <c r="G1315" s="336">
        <f t="shared" si="1643"/>
        <v>3863</v>
      </c>
      <c r="H1315" s="281">
        <v>3795</v>
      </c>
      <c r="I1315" s="281">
        <v>68</v>
      </c>
      <c r="J1315" s="355" t="str">
        <f>IFERROR(G1315/#REF!,"-")</f>
        <v>-</v>
      </c>
      <c r="K1315" s="336">
        <f t="shared" si="1644"/>
        <v>19656</v>
      </c>
      <c r="L1315" s="275">
        <f t="shared" si="1645"/>
        <v>19545</v>
      </c>
      <c r="M1315" s="276">
        <f t="shared" si="1646"/>
        <v>111</v>
      </c>
      <c r="N1315" s="340">
        <f t="shared" si="1640"/>
        <v>1.1073802816901408</v>
      </c>
      <c r="O1315" s="264">
        <f t="shared" si="1626"/>
        <v>5.647130647130647E-3</v>
      </c>
    </row>
    <row r="1316" spans="1:15" ht="23.4" x14ac:dyDescent="0.3">
      <c r="A1316" s="277" t="s">
        <v>110</v>
      </c>
      <c r="B1316" s="957"/>
      <c r="C1316" s="278" t="s">
        <v>257</v>
      </c>
      <c r="D1316" s="278" t="s">
        <v>258</v>
      </c>
      <c r="E1316" s="279">
        <v>20000</v>
      </c>
      <c r="F1316" s="280"/>
      <c r="G1316" s="336">
        <f t="shared" si="1643"/>
        <v>1799</v>
      </c>
      <c r="H1316" s="281">
        <v>1750</v>
      </c>
      <c r="I1316" s="281">
        <v>49</v>
      </c>
      <c r="J1316" s="355" t="str">
        <f>IFERROR(G1316/#REF!,"-")</f>
        <v>-</v>
      </c>
      <c r="K1316" s="336">
        <f t="shared" si="1644"/>
        <v>1799</v>
      </c>
      <c r="L1316" s="275">
        <f t="shared" si="1645"/>
        <v>1750</v>
      </c>
      <c r="M1316" s="276">
        <f t="shared" si="1646"/>
        <v>49</v>
      </c>
      <c r="N1316" s="340">
        <f t="shared" si="1640"/>
        <v>8.9950000000000002E-2</v>
      </c>
      <c r="O1316" s="264">
        <f t="shared" si="1626"/>
        <v>2.7237354085603113E-2</v>
      </c>
    </row>
    <row r="1317" spans="1:15" ht="23.4" x14ac:dyDescent="0.3">
      <c r="A1317" s="277" t="s">
        <v>110</v>
      </c>
      <c r="B1317" s="957"/>
      <c r="C1317" s="298" t="s">
        <v>475</v>
      </c>
      <c r="D1317" s="278" t="s">
        <v>258</v>
      </c>
      <c r="E1317" s="279">
        <v>10000</v>
      </c>
      <c r="F1317" s="280"/>
      <c r="G1317" s="336">
        <f t="shared" si="1643"/>
        <v>0</v>
      </c>
      <c r="H1317" s="281"/>
      <c r="I1317" s="281"/>
      <c r="J1317" s="355" t="str">
        <f>IFERROR(G1317/#REF!,"-")</f>
        <v>-</v>
      </c>
      <c r="K1317" s="336">
        <f t="shared" si="1644"/>
        <v>12327</v>
      </c>
      <c r="L1317" s="275">
        <f t="shared" si="1645"/>
        <v>12307</v>
      </c>
      <c r="M1317" s="276">
        <f t="shared" si="1646"/>
        <v>20</v>
      </c>
      <c r="N1317" s="340">
        <f t="shared" si="1640"/>
        <v>1.2326999999999999</v>
      </c>
      <c r="O1317" s="264">
        <f t="shared" si="1626"/>
        <v>1.6224547740731727E-3</v>
      </c>
    </row>
    <row r="1318" spans="1:15" ht="23.4" x14ac:dyDescent="0.3">
      <c r="A1318" s="277" t="s">
        <v>110</v>
      </c>
      <c r="B1318" s="957"/>
      <c r="C1318" s="298" t="s">
        <v>506</v>
      </c>
      <c r="D1318" s="278" t="s">
        <v>258</v>
      </c>
      <c r="E1318" s="279">
        <v>9000</v>
      </c>
      <c r="F1318" s="280"/>
      <c r="G1318" s="336">
        <f t="shared" si="1643"/>
        <v>0</v>
      </c>
      <c r="H1318" s="281"/>
      <c r="I1318" s="281"/>
      <c r="J1318" s="355" t="str">
        <f>IFERROR(G1318/#REF!,"-")</f>
        <v>-</v>
      </c>
      <c r="K1318" s="336">
        <f t="shared" si="1644"/>
        <v>26750</v>
      </c>
      <c r="L1318" s="275">
        <f t="shared" si="1645"/>
        <v>26682</v>
      </c>
      <c r="M1318" s="276">
        <f t="shared" si="1646"/>
        <v>68</v>
      </c>
      <c r="N1318" s="340">
        <f t="shared" si="1640"/>
        <v>2.9722222222222223</v>
      </c>
      <c r="O1318" s="264">
        <f t="shared" si="1626"/>
        <v>2.542056074766355E-3</v>
      </c>
    </row>
    <row r="1319" spans="1:15" ht="23.4" x14ac:dyDescent="0.3">
      <c r="A1319" s="277" t="s">
        <v>110</v>
      </c>
      <c r="B1319" s="957"/>
      <c r="C1319" s="298" t="s">
        <v>261</v>
      </c>
      <c r="D1319" s="278" t="s">
        <v>263</v>
      </c>
      <c r="E1319" s="279">
        <v>22500</v>
      </c>
      <c r="F1319" s="280"/>
      <c r="G1319" s="336">
        <f t="shared" si="1643"/>
        <v>0</v>
      </c>
      <c r="H1319" s="281"/>
      <c r="I1319" s="281"/>
      <c r="J1319" s="355" t="str">
        <f>IFERROR(G1319/#REF!,"-")</f>
        <v>-</v>
      </c>
      <c r="K1319" s="336">
        <f t="shared" si="1644"/>
        <v>23536</v>
      </c>
      <c r="L1319" s="275">
        <f t="shared" si="1645"/>
        <v>23490</v>
      </c>
      <c r="M1319" s="276">
        <f t="shared" si="1646"/>
        <v>46</v>
      </c>
      <c r="N1319" s="340">
        <f t="shared" si="1640"/>
        <v>1.0460444444444446</v>
      </c>
      <c r="O1319" s="264">
        <f t="shared" si="1626"/>
        <v>1.954452753229096E-3</v>
      </c>
    </row>
    <row r="1320" spans="1:15" ht="24" thickBot="1" x14ac:dyDescent="0.35">
      <c r="A1320" s="277" t="s">
        <v>110</v>
      </c>
      <c r="B1320" s="958"/>
      <c r="C1320" s="298" t="s">
        <v>262</v>
      </c>
      <c r="D1320" s="278" t="s">
        <v>258</v>
      </c>
      <c r="E1320" s="283">
        <v>33500</v>
      </c>
      <c r="F1320" s="284"/>
      <c r="G1320" s="337">
        <f t="shared" si="1643"/>
        <v>375</v>
      </c>
      <c r="H1320" s="285">
        <v>375</v>
      </c>
      <c r="I1320" s="285"/>
      <c r="J1320" s="356" t="str">
        <f>IFERROR(G1320/#REF!,"-")</f>
        <v>-</v>
      </c>
      <c r="K1320" s="337">
        <f t="shared" si="1644"/>
        <v>28890</v>
      </c>
      <c r="L1320" s="275">
        <f t="shared" si="1645"/>
        <v>28750</v>
      </c>
      <c r="M1320" s="276">
        <f t="shared" si="1646"/>
        <v>140</v>
      </c>
      <c r="N1320" s="341">
        <f t="shared" si="1640"/>
        <v>0.86238805970149257</v>
      </c>
      <c r="O1320" s="350">
        <f t="shared" si="1626"/>
        <v>4.8459674627898928E-3</v>
      </c>
    </row>
    <row r="1321" spans="1:15" ht="24" thickBot="1" x14ac:dyDescent="0.35">
      <c r="A1321" s="277" t="s">
        <v>110</v>
      </c>
      <c r="B1321" s="967" t="s">
        <v>52</v>
      </c>
      <c r="C1321" s="968"/>
      <c r="D1321" s="969"/>
      <c r="E1321" s="287">
        <f>SUM(E1313:E1320)</f>
        <v>252125</v>
      </c>
      <c r="F1321" s="288">
        <v>14000</v>
      </c>
      <c r="G1321" s="323">
        <f>SUM(G1313:G1320)</f>
        <v>6037</v>
      </c>
      <c r="H1321" s="324">
        <f t="shared" ref="H1321:I1321" si="1647">SUM(H1313:H1320)</f>
        <v>5920</v>
      </c>
      <c r="I1321" s="324">
        <f t="shared" si="1647"/>
        <v>117</v>
      </c>
      <c r="J1321" s="348">
        <f>+G1322/F1322</f>
        <v>0.10911702127659574</v>
      </c>
      <c r="K1321" s="323">
        <f>SUM(K1313:K1320)</f>
        <v>112958</v>
      </c>
      <c r="L1321" s="324">
        <f t="shared" ref="L1321:M1321" si="1648">SUM(L1313:L1320)</f>
        <v>112524</v>
      </c>
      <c r="M1321" s="325">
        <f t="shared" si="1648"/>
        <v>434</v>
      </c>
      <c r="N1321" s="342">
        <f t="shared" si="1640"/>
        <v>0.44802379771938522</v>
      </c>
      <c r="O1321" s="348">
        <f t="shared" si="1626"/>
        <v>3.8421360151560755E-3</v>
      </c>
    </row>
    <row r="1322" spans="1:15" ht="24" thickBot="1" x14ac:dyDescent="0.35">
      <c r="A1322" s="277" t="s">
        <v>110</v>
      </c>
      <c r="B1322" s="981" t="s">
        <v>25</v>
      </c>
      <c r="C1322" s="982"/>
      <c r="D1322" s="983"/>
      <c r="E1322" s="329">
        <f t="shared" ref="E1322:F1322" si="1649">+E1312+E1321</f>
        <v>1252125</v>
      </c>
      <c r="F1322" s="330">
        <f t="shared" si="1649"/>
        <v>94000</v>
      </c>
      <c r="G1322" s="329">
        <f>+G1312+G1321</f>
        <v>10257</v>
      </c>
      <c r="H1322" s="327">
        <f t="shared" ref="H1322:I1322" si="1650">+H1312+H1321</f>
        <v>9880</v>
      </c>
      <c r="I1322" s="327">
        <f t="shared" si="1650"/>
        <v>377</v>
      </c>
      <c r="J1322" s="352" t="str">
        <f>IFERROR(G1322/#REF!,"-")</f>
        <v>-</v>
      </c>
      <c r="K1322" s="329">
        <f t="shared" ref="K1322" si="1651">+K1312+K1321</f>
        <v>468001</v>
      </c>
      <c r="L1322" s="327">
        <f>+L1312+L1321</f>
        <v>464964</v>
      </c>
      <c r="M1322" s="328">
        <f t="shared" ref="M1322" si="1652">+M1312+M1321</f>
        <v>3037</v>
      </c>
      <c r="N1322" s="344">
        <f t="shared" si="1640"/>
        <v>0.3737653988220026</v>
      </c>
      <c r="O1322" s="352">
        <f t="shared" si="1626"/>
        <v>6.4893023732855272E-3</v>
      </c>
    </row>
    <row r="1323" spans="1:15" ht="24" thickBot="1" x14ac:dyDescent="0.35">
      <c r="A1323" s="277" t="s">
        <v>110</v>
      </c>
      <c r="B1323" s="984" t="s">
        <v>180</v>
      </c>
      <c r="C1323" s="962"/>
      <c r="D1323" s="963"/>
      <c r="E1323" s="333">
        <f>+E1307+E1322</f>
        <v>6002125</v>
      </c>
      <c r="F1323" s="334">
        <f t="shared" ref="F1323:I1323" si="1653">+F1307+F1322</f>
        <v>549000</v>
      </c>
      <c r="G1323" s="333">
        <f t="shared" si="1653"/>
        <v>180119</v>
      </c>
      <c r="H1323" s="331">
        <f t="shared" si="1653"/>
        <v>179086</v>
      </c>
      <c r="I1323" s="331">
        <f t="shared" si="1653"/>
        <v>1033</v>
      </c>
      <c r="J1323" s="353">
        <f>+G1323/F1323</f>
        <v>0.32808561020036431</v>
      </c>
      <c r="K1323" s="333">
        <f>+K1307+K1322</f>
        <v>2319605</v>
      </c>
      <c r="L1323" s="331">
        <f t="shared" ref="L1323:M1323" si="1654">+L1307+L1322</f>
        <v>2307590</v>
      </c>
      <c r="M1323" s="332">
        <f t="shared" si="1654"/>
        <v>12015</v>
      </c>
      <c r="N1323" s="345">
        <f>IFERROR(K1323/E1323,"-")</f>
        <v>0.3864639606805923</v>
      </c>
      <c r="O1323" s="353">
        <f t="shared" si="1626"/>
        <v>5.1797612093438319E-3</v>
      </c>
    </row>
    <row r="1324" spans="1:15" ht="23.4" x14ac:dyDescent="0.3">
      <c r="A1324" s="271" t="s">
        <v>108</v>
      </c>
      <c r="B1324" s="977" t="s">
        <v>26</v>
      </c>
      <c r="C1324" s="300" t="s">
        <v>323</v>
      </c>
      <c r="D1324" s="300" t="s">
        <v>190</v>
      </c>
      <c r="E1324" s="273">
        <v>0</v>
      </c>
      <c r="F1324" s="274"/>
      <c r="G1324" s="335">
        <f t="shared" ref="G1324:G1332" si="1655">+H1324+I1324</f>
        <v>0</v>
      </c>
      <c r="H1324" s="275"/>
      <c r="I1324" s="275"/>
      <c r="J1324" s="354" t="str">
        <f>IFERROR(G1324/#REF!,"-")</f>
        <v>-</v>
      </c>
      <c r="K1324" s="335">
        <f t="shared" ref="K1324:K1332" si="1656">+L1324+M1324</f>
        <v>0</v>
      </c>
      <c r="L1324" s="275">
        <f t="shared" ref="L1324:L1332" si="1657">+H1324+L1218</f>
        <v>0</v>
      </c>
      <c r="M1324" s="276">
        <f t="shared" ref="M1324:M1332" si="1658">+I1324+M1218</f>
        <v>0</v>
      </c>
      <c r="N1324" s="339" t="str">
        <f t="shared" ref="N1324:N1325" si="1659">IFERROR(K1324/E1324,"-")</f>
        <v>-</v>
      </c>
      <c r="O1324" s="349" t="str">
        <f t="shared" si="1626"/>
        <v>-</v>
      </c>
    </row>
    <row r="1325" spans="1:15" ht="23.4" x14ac:dyDescent="0.3">
      <c r="A1325" s="277" t="s">
        <v>108</v>
      </c>
      <c r="B1325" s="977"/>
      <c r="C1325" s="301" t="s">
        <v>508</v>
      </c>
      <c r="D1325" s="301" t="s">
        <v>507</v>
      </c>
      <c r="E1325" s="279">
        <v>0</v>
      </c>
      <c r="F1325" s="280"/>
      <c r="G1325" s="336">
        <f t="shared" si="1655"/>
        <v>0</v>
      </c>
      <c r="H1325" s="281"/>
      <c r="I1325" s="281"/>
      <c r="J1325" s="355" t="str">
        <f>IFERROR(G1325/#REF!,"-")</f>
        <v>-</v>
      </c>
      <c r="K1325" s="336">
        <f t="shared" si="1656"/>
        <v>138115</v>
      </c>
      <c r="L1325" s="275">
        <f t="shared" si="1657"/>
        <v>135252</v>
      </c>
      <c r="M1325" s="276">
        <f t="shared" si="1658"/>
        <v>2863</v>
      </c>
      <c r="N1325" s="340" t="str">
        <f t="shared" si="1659"/>
        <v>-</v>
      </c>
      <c r="O1325" s="264">
        <f t="shared" si="1626"/>
        <v>2.0729102559461317E-2</v>
      </c>
    </row>
    <row r="1326" spans="1:15" ht="23.4" x14ac:dyDescent="0.3">
      <c r="A1326" s="277" t="s">
        <v>108</v>
      </c>
      <c r="B1326" s="977"/>
      <c r="C1326" s="302" t="s">
        <v>27</v>
      </c>
      <c r="D1326" s="302" t="s">
        <v>370</v>
      </c>
      <c r="E1326" s="283">
        <v>0</v>
      </c>
      <c r="F1326" s="284"/>
      <c r="G1326" s="336">
        <f t="shared" si="1655"/>
        <v>0</v>
      </c>
      <c r="H1326" s="285"/>
      <c r="I1326" s="285"/>
      <c r="J1326" s="356" t="str">
        <f>IFERROR(G1326/#REF!,"-")</f>
        <v>-</v>
      </c>
      <c r="K1326" s="336">
        <f t="shared" si="1656"/>
        <v>12534</v>
      </c>
      <c r="L1326" s="275">
        <f t="shared" si="1657"/>
        <v>11934</v>
      </c>
      <c r="M1326" s="276">
        <f t="shared" si="1658"/>
        <v>600</v>
      </c>
      <c r="N1326" s="286"/>
      <c r="O1326" s="264">
        <f t="shared" si="1626"/>
        <v>4.7869794159885112E-2</v>
      </c>
    </row>
    <row r="1327" spans="1:15" ht="23.4" x14ac:dyDescent="0.3">
      <c r="A1327" s="277" t="s">
        <v>108</v>
      </c>
      <c r="B1327" s="977"/>
      <c r="C1327" s="302" t="s">
        <v>27</v>
      </c>
      <c r="D1327" s="302" t="s">
        <v>254</v>
      </c>
      <c r="E1327" s="283">
        <v>0</v>
      </c>
      <c r="F1327" s="284"/>
      <c r="G1327" s="336">
        <f t="shared" si="1655"/>
        <v>0</v>
      </c>
      <c r="H1327" s="285"/>
      <c r="I1327" s="285"/>
      <c r="J1327" s="356" t="str">
        <f>IFERROR(G1327/#REF!,"-")</f>
        <v>-</v>
      </c>
      <c r="K1327" s="336">
        <f t="shared" si="1656"/>
        <v>33014</v>
      </c>
      <c r="L1327" s="275">
        <f t="shared" si="1657"/>
        <v>31824</v>
      </c>
      <c r="M1327" s="276">
        <f t="shared" si="1658"/>
        <v>1190</v>
      </c>
      <c r="N1327" s="286"/>
      <c r="O1327" s="264">
        <f t="shared" si="1626"/>
        <v>3.604531410916581E-2</v>
      </c>
    </row>
    <row r="1328" spans="1:15" ht="23.4" x14ac:dyDescent="0.3">
      <c r="A1328" s="277" t="s">
        <v>108</v>
      </c>
      <c r="B1328" s="977"/>
      <c r="C1328" s="302" t="s">
        <v>27</v>
      </c>
      <c r="D1328" s="302" t="s">
        <v>302</v>
      </c>
      <c r="E1328" s="283">
        <v>0</v>
      </c>
      <c r="F1328" s="284"/>
      <c r="G1328" s="336">
        <f t="shared" si="1655"/>
        <v>0</v>
      </c>
      <c r="H1328" s="285"/>
      <c r="I1328" s="285"/>
      <c r="J1328" s="356" t="str">
        <f>IFERROR(G1328/#REF!,"-")</f>
        <v>-</v>
      </c>
      <c r="K1328" s="336">
        <f t="shared" si="1656"/>
        <v>0</v>
      </c>
      <c r="L1328" s="275">
        <f t="shared" si="1657"/>
        <v>0</v>
      </c>
      <c r="M1328" s="276">
        <f t="shared" si="1658"/>
        <v>0</v>
      </c>
      <c r="N1328" s="286"/>
      <c r="O1328" s="264" t="str">
        <f t="shared" si="1626"/>
        <v>-</v>
      </c>
    </row>
    <row r="1329" spans="1:15" ht="23.4" x14ac:dyDescent="0.3">
      <c r="A1329" s="277"/>
      <c r="B1329" s="977"/>
      <c r="C1329" s="302" t="s">
        <v>369</v>
      </c>
      <c r="D1329" s="302" t="s">
        <v>190</v>
      </c>
      <c r="E1329" s="283">
        <v>0</v>
      </c>
      <c r="F1329" s="284"/>
      <c r="G1329" s="337">
        <f t="shared" si="1655"/>
        <v>0</v>
      </c>
      <c r="H1329" s="285"/>
      <c r="I1329" s="285"/>
      <c r="J1329" s="356" t="str">
        <f>IFERROR(G1329/#REF!,"-")</f>
        <v>-</v>
      </c>
      <c r="K1329" s="337">
        <f t="shared" si="1656"/>
        <v>0</v>
      </c>
      <c r="L1329" s="275">
        <f t="shared" si="1657"/>
        <v>0</v>
      </c>
      <c r="M1329" s="276">
        <f t="shared" si="1658"/>
        <v>0</v>
      </c>
      <c r="N1329" s="286"/>
      <c r="O1329" s="264" t="str">
        <f t="shared" si="1626"/>
        <v>-</v>
      </c>
    </row>
    <row r="1330" spans="1:15" ht="23.4" x14ac:dyDescent="0.3">
      <c r="A1330" s="277"/>
      <c r="B1330" s="977"/>
      <c r="C1330" s="302" t="s">
        <v>314</v>
      </c>
      <c r="D1330" s="302" t="s">
        <v>101</v>
      </c>
      <c r="E1330" s="283">
        <v>0</v>
      </c>
      <c r="F1330" s="284"/>
      <c r="G1330" s="337">
        <f t="shared" si="1655"/>
        <v>0</v>
      </c>
      <c r="H1330" s="285"/>
      <c r="I1330" s="285"/>
      <c r="J1330" s="356" t="str">
        <f>IFERROR(G1330/#REF!,"-")</f>
        <v>-</v>
      </c>
      <c r="K1330" s="337">
        <f t="shared" si="1656"/>
        <v>0</v>
      </c>
      <c r="L1330" s="275">
        <f t="shared" si="1657"/>
        <v>0</v>
      </c>
      <c r="M1330" s="276">
        <f t="shared" si="1658"/>
        <v>0</v>
      </c>
      <c r="N1330" s="286"/>
      <c r="O1330" s="264" t="str">
        <f t="shared" si="1626"/>
        <v>-</v>
      </c>
    </row>
    <row r="1331" spans="1:15" ht="23.4" x14ac:dyDescent="0.3">
      <c r="A1331" s="277"/>
      <c r="B1331" s="977"/>
      <c r="C1331" s="302" t="s">
        <v>452</v>
      </c>
      <c r="D1331" s="302" t="s">
        <v>410</v>
      </c>
      <c r="E1331" s="283">
        <v>0</v>
      </c>
      <c r="F1331" s="284"/>
      <c r="G1331" s="337">
        <f t="shared" si="1655"/>
        <v>0</v>
      </c>
      <c r="H1331" s="285"/>
      <c r="I1331" s="285"/>
      <c r="J1331" s="356" t="str">
        <f>IFERROR(G1331/#REF!,"-")</f>
        <v>-</v>
      </c>
      <c r="K1331" s="337">
        <f t="shared" si="1656"/>
        <v>36855</v>
      </c>
      <c r="L1331" s="275">
        <f t="shared" si="1657"/>
        <v>35802</v>
      </c>
      <c r="M1331" s="276">
        <f t="shared" si="1658"/>
        <v>1053</v>
      </c>
      <c r="N1331" s="286"/>
      <c r="O1331" s="264">
        <f t="shared" si="1626"/>
        <v>2.8571428571428571E-2</v>
      </c>
    </row>
    <row r="1332" spans="1:15" ht="24" thickBot="1" x14ac:dyDescent="0.35">
      <c r="A1332" s="277" t="s">
        <v>108</v>
      </c>
      <c r="B1332" s="977"/>
      <c r="C1332" s="303" t="s">
        <v>315</v>
      </c>
      <c r="D1332" s="302" t="s">
        <v>313</v>
      </c>
      <c r="E1332" s="283">
        <v>0</v>
      </c>
      <c r="F1332" s="284"/>
      <c r="G1332" s="337">
        <f t="shared" si="1655"/>
        <v>0</v>
      </c>
      <c r="H1332" s="285"/>
      <c r="I1332" s="285"/>
      <c r="J1332" s="356" t="str">
        <f>IFERROR(G1332/#REF!,"-")</f>
        <v>-</v>
      </c>
      <c r="K1332" s="337">
        <f t="shared" si="1656"/>
        <v>12265</v>
      </c>
      <c r="L1332" s="275">
        <f t="shared" si="1657"/>
        <v>11934</v>
      </c>
      <c r="M1332" s="276">
        <f t="shared" si="1658"/>
        <v>331</v>
      </c>
      <c r="N1332" s="341" t="str">
        <f t="shared" ref="N1332:N1339" si="1660">IFERROR(K1332/E1332,"-")</f>
        <v>-</v>
      </c>
      <c r="O1332" s="350">
        <f t="shared" si="1626"/>
        <v>2.6987362413371383E-2</v>
      </c>
    </row>
    <row r="1333" spans="1:15" ht="24" thickBot="1" x14ac:dyDescent="0.35">
      <c r="A1333" s="277" t="s">
        <v>108</v>
      </c>
      <c r="B1333" s="990"/>
      <c r="C1333" s="304"/>
      <c r="D1333" s="305" t="s">
        <v>55</v>
      </c>
      <c r="E1333" s="287">
        <f>SUM(E1324:E1332)</f>
        <v>0</v>
      </c>
      <c r="F1333" s="288">
        <v>80000</v>
      </c>
      <c r="G1333" s="323">
        <f>SUM(G1324:G1332)</f>
        <v>0</v>
      </c>
      <c r="H1333" s="324">
        <f>SUM(H1324:H1332)</f>
        <v>0</v>
      </c>
      <c r="I1333" s="324">
        <f>SUM(I1324:I1332)</f>
        <v>0</v>
      </c>
      <c r="J1333" s="348">
        <f>+G1333/F1333</f>
        <v>0</v>
      </c>
      <c r="K1333" s="323">
        <f>SUM(K1324:K1332)</f>
        <v>232783</v>
      </c>
      <c r="L1333" s="324">
        <f>SUM(L1324:L1332)</f>
        <v>226746</v>
      </c>
      <c r="M1333" s="325">
        <f>SUM(M1324:M1332)</f>
        <v>6037</v>
      </c>
      <c r="N1333" s="342" t="str">
        <f t="shared" si="1660"/>
        <v>-</v>
      </c>
      <c r="O1333" s="348">
        <f t="shared" si="1626"/>
        <v>2.5934024391815552E-2</v>
      </c>
    </row>
    <row r="1334" spans="1:15" ht="23.4" x14ac:dyDescent="0.3">
      <c r="A1334" s="277" t="s">
        <v>108</v>
      </c>
      <c r="B1334" s="976" t="s">
        <v>28</v>
      </c>
      <c r="C1334" s="302" t="s">
        <v>27</v>
      </c>
      <c r="D1334" s="300" t="s">
        <v>191</v>
      </c>
      <c r="E1334" s="273">
        <v>2612056</v>
      </c>
      <c r="F1334" s="274"/>
      <c r="G1334" s="335">
        <f t="shared" ref="G1334:G1338" si="1661">+H1334+I1334</f>
        <v>0</v>
      </c>
      <c r="H1334" s="275"/>
      <c r="I1334" s="275"/>
      <c r="J1334" s="354" t="str">
        <f>IFERROR(G1334/#REF!,"-")</f>
        <v>-</v>
      </c>
      <c r="K1334" s="335">
        <f t="shared" ref="K1334:K1338" si="1662">+L1334+M1334</f>
        <v>21742</v>
      </c>
      <c r="L1334" s="275">
        <f t="shared" ref="L1334:L1338" si="1663">+H1334+L1228</f>
        <v>19890</v>
      </c>
      <c r="M1334" s="276">
        <f t="shared" ref="M1334:M1338" si="1664">+I1334+M1228</f>
        <v>1852</v>
      </c>
      <c r="N1334" s="339">
        <f t="shared" si="1660"/>
        <v>8.3237112833721792E-3</v>
      </c>
      <c r="O1334" s="349">
        <f t="shared" si="1626"/>
        <v>8.5180756140189495E-2</v>
      </c>
    </row>
    <row r="1335" spans="1:15" ht="23.4" x14ac:dyDescent="0.3">
      <c r="A1335" s="277" t="s">
        <v>108</v>
      </c>
      <c r="B1335" s="977"/>
      <c r="C1335" s="302" t="s">
        <v>455</v>
      </c>
      <c r="D1335" s="302" t="s">
        <v>370</v>
      </c>
      <c r="E1335" s="279">
        <v>0</v>
      </c>
      <c r="F1335" s="280"/>
      <c r="G1335" s="336">
        <f t="shared" si="1661"/>
        <v>100710</v>
      </c>
      <c r="H1335" s="281">
        <v>99450</v>
      </c>
      <c r="I1335" s="281">
        <v>1260</v>
      </c>
      <c r="J1335" s="355" t="str">
        <f>IFERROR(G1335/#REF!,"-")</f>
        <v>-</v>
      </c>
      <c r="K1335" s="336">
        <f t="shared" si="1662"/>
        <v>720053</v>
      </c>
      <c r="L1335" s="275">
        <f t="shared" si="1663"/>
        <v>711756</v>
      </c>
      <c r="M1335" s="276">
        <f t="shared" si="1664"/>
        <v>8297</v>
      </c>
      <c r="N1335" s="340" t="str">
        <f t="shared" si="1660"/>
        <v>-</v>
      </c>
      <c r="O1335" s="264">
        <f t="shared" si="1626"/>
        <v>1.1522762907730404E-2</v>
      </c>
    </row>
    <row r="1336" spans="1:15" ht="23.4" x14ac:dyDescent="0.3">
      <c r="A1336" s="277" t="s">
        <v>108</v>
      </c>
      <c r="B1336" s="977"/>
      <c r="C1336" s="302" t="s">
        <v>27</v>
      </c>
      <c r="D1336" s="302" t="s">
        <v>370</v>
      </c>
      <c r="E1336" s="279">
        <v>0</v>
      </c>
      <c r="F1336" s="280"/>
      <c r="G1336" s="336">
        <f t="shared" si="1661"/>
        <v>0</v>
      </c>
      <c r="H1336" s="281"/>
      <c r="I1336" s="281"/>
      <c r="J1336" s="355" t="str">
        <f>IFERROR(G1336/#REF!,"-")</f>
        <v>-</v>
      </c>
      <c r="K1336" s="336">
        <f t="shared" si="1662"/>
        <v>65158</v>
      </c>
      <c r="L1336" s="275">
        <f t="shared" si="1663"/>
        <v>63648</v>
      </c>
      <c r="M1336" s="276">
        <f t="shared" si="1664"/>
        <v>1510</v>
      </c>
      <c r="N1336" s="340" t="str">
        <f t="shared" si="1660"/>
        <v>-</v>
      </c>
      <c r="O1336" s="264">
        <f t="shared" si="1626"/>
        <v>2.3174437521102549E-2</v>
      </c>
    </row>
    <row r="1337" spans="1:15" ht="23.4" x14ac:dyDescent="0.3">
      <c r="A1337" s="277" t="s">
        <v>108</v>
      </c>
      <c r="B1337" s="977"/>
      <c r="C1337" s="302" t="s">
        <v>452</v>
      </c>
      <c r="D1337" s="303" t="s">
        <v>410</v>
      </c>
      <c r="E1337" s="283">
        <v>0</v>
      </c>
      <c r="F1337" s="284"/>
      <c r="G1337" s="337">
        <f t="shared" si="1661"/>
        <v>0</v>
      </c>
      <c r="H1337" s="285"/>
      <c r="I1337" s="285"/>
      <c r="J1337" s="356" t="str">
        <f>IFERROR(G1337/#REF!,"-")</f>
        <v>-</v>
      </c>
      <c r="K1337" s="337">
        <f t="shared" si="1662"/>
        <v>249713</v>
      </c>
      <c r="L1337" s="275">
        <f t="shared" si="1663"/>
        <v>246636</v>
      </c>
      <c r="M1337" s="755">
        <f t="shared" si="1664"/>
        <v>3077</v>
      </c>
      <c r="N1337" s="341" t="str">
        <f t="shared" si="1660"/>
        <v>-</v>
      </c>
      <c r="O1337" s="350">
        <f t="shared" si="1626"/>
        <v>1.2322145823405269E-2</v>
      </c>
    </row>
    <row r="1338" spans="1:15" ht="24" thickBot="1" x14ac:dyDescent="0.35">
      <c r="A1338" s="277" t="s">
        <v>108</v>
      </c>
      <c r="B1338" s="977"/>
      <c r="C1338" s="302" t="s">
        <v>27</v>
      </c>
      <c r="D1338" s="303" t="s">
        <v>254</v>
      </c>
      <c r="E1338" s="283">
        <v>0</v>
      </c>
      <c r="F1338" s="284"/>
      <c r="G1338" s="337">
        <f t="shared" si="1661"/>
        <v>0</v>
      </c>
      <c r="H1338" s="285"/>
      <c r="I1338" s="285"/>
      <c r="J1338" s="356" t="str">
        <f>IFERROR(G1338/#REF!,"-")</f>
        <v>-</v>
      </c>
      <c r="K1338" s="337">
        <f t="shared" si="1662"/>
        <v>764755</v>
      </c>
      <c r="L1338" s="275">
        <f t="shared" si="1663"/>
        <v>755820</v>
      </c>
      <c r="M1338" s="755">
        <f t="shared" si="1664"/>
        <v>8935</v>
      </c>
      <c r="N1338" s="341" t="str">
        <f t="shared" si="1660"/>
        <v>-</v>
      </c>
      <c r="O1338" s="350">
        <f t="shared" si="1626"/>
        <v>1.1683480330301862E-2</v>
      </c>
    </row>
    <row r="1339" spans="1:15" ht="24" thickBot="1" x14ac:dyDescent="0.35">
      <c r="A1339" s="277" t="s">
        <v>108</v>
      </c>
      <c r="B1339" s="977"/>
      <c r="C1339" s="307"/>
      <c r="D1339" s="308" t="s">
        <v>55</v>
      </c>
      <c r="E1339" s="309">
        <f>SUM(E1334:E1338)</f>
        <v>2612056</v>
      </c>
      <c r="F1339" s="310">
        <v>160000</v>
      </c>
      <c r="G1339" s="369">
        <f>SUM(G1334:G1338)</f>
        <v>100710</v>
      </c>
      <c r="H1339" s="368">
        <f>SUM(H1334:H1338)</f>
        <v>99450</v>
      </c>
      <c r="I1339" s="368">
        <f>SUM(I1334:I1338)</f>
        <v>1260</v>
      </c>
      <c r="J1339" s="359">
        <f>+G1339/F1339</f>
        <v>0.62943749999999998</v>
      </c>
      <c r="K1339" s="369">
        <f>SUM(K1334:K1338)</f>
        <v>1821421</v>
      </c>
      <c r="L1339" s="368">
        <f>SUM(L1334:L1338)</f>
        <v>1797750</v>
      </c>
      <c r="M1339" s="370">
        <f>SUM(M1334:M1338)</f>
        <v>23671</v>
      </c>
      <c r="N1339" s="358">
        <f t="shared" si="1660"/>
        <v>0.69731315101973312</v>
      </c>
      <c r="O1339" s="359">
        <f t="shared" si="1626"/>
        <v>1.2995897159415643E-2</v>
      </c>
    </row>
    <row r="1340" spans="1:15" ht="24" thickBot="1" x14ac:dyDescent="0.35">
      <c r="A1340" s="849" t="s">
        <v>108</v>
      </c>
      <c r="B1340" s="978" t="s">
        <v>170</v>
      </c>
      <c r="C1340" s="979"/>
      <c r="D1340" s="980"/>
      <c r="E1340" s="311">
        <f>+E1339+E1333</f>
        <v>2612056</v>
      </c>
      <c r="F1340" s="312">
        <v>240000</v>
      </c>
      <c r="G1340" s="372">
        <f>+G1333+G1339</f>
        <v>100710</v>
      </c>
      <c r="H1340" s="371">
        <f>+H1333+H1339</f>
        <v>99450</v>
      </c>
      <c r="I1340" s="371">
        <f>+I1333+I1339</f>
        <v>1260</v>
      </c>
      <c r="J1340" s="361">
        <f>+G1340/F1340</f>
        <v>0.41962500000000003</v>
      </c>
      <c r="K1340" s="372">
        <f>+K1333+K1339</f>
        <v>2054204</v>
      </c>
      <c r="L1340" s="371">
        <f>+L1333+L1339</f>
        <v>2024496</v>
      </c>
      <c r="M1340" s="373">
        <f>+M1333+M1339</f>
        <v>29708</v>
      </c>
      <c r="N1340" s="360">
        <f>IFERROR(K1340/E1340,"-")</f>
        <v>0.78643183760225666</v>
      </c>
      <c r="O1340" s="361">
        <f t="shared" si="1626"/>
        <v>1.4462049533541946E-2</v>
      </c>
    </row>
    <row r="1341" spans="1:15" ht="23.4" x14ac:dyDescent="0.3">
      <c r="A1341" s="277" t="s">
        <v>108</v>
      </c>
      <c r="B1341" s="977" t="s">
        <v>30</v>
      </c>
      <c r="C1341" s="306" t="s">
        <v>372</v>
      </c>
      <c r="D1341" s="300" t="s">
        <v>191</v>
      </c>
      <c r="E1341" s="273">
        <v>0</v>
      </c>
      <c r="F1341" s="274"/>
      <c r="G1341" s="335">
        <f t="shared" ref="G1341:G1343" si="1665">+H1341+I1341</f>
        <v>0</v>
      </c>
      <c r="H1341" s="275"/>
      <c r="I1341" s="275"/>
      <c r="J1341" s="354" t="str">
        <f>IFERROR(G1341/#REF!,"-")</f>
        <v>-</v>
      </c>
      <c r="K1341" s="335">
        <f t="shared" ref="K1341:K1343" si="1666">+L1341+M1341</f>
        <v>0</v>
      </c>
      <c r="L1341" s="275">
        <f t="shared" ref="L1341:L1343" si="1667">+H1341+L1235</f>
        <v>0</v>
      </c>
      <c r="M1341" s="276">
        <f t="shared" ref="M1341:M1343" si="1668">+I1341+M1235</f>
        <v>0</v>
      </c>
      <c r="N1341" s="339" t="str">
        <f t="shared" ref="N1341:N1351" si="1669">IFERROR(K1341/E1341,"-")</f>
        <v>-</v>
      </c>
      <c r="O1341" s="349" t="str">
        <f t="shared" si="1626"/>
        <v>-</v>
      </c>
    </row>
    <row r="1342" spans="1:15" ht="23.4" x14ac:dyDescent="0.3">
      <c r="A1342" s="277" t="s">
        <v>108</v>
      </c>
      <c r="B1342" s="977"/>
      <c r="C1342" s="303" t="s">
        <v>531</v>
      </c>
      <c r="D1342" s="306" t="s">
        <v>410</v>
      </c>
      <c r="E1342" s="279">
        <v>0</v>
      </c>
      <c r="F1342" s="280"/>
      <c r="G1342" s="336">
        <f t="shared" si="1665"/>
        <v>35959</v>
      </c>
      <c r="H1342" s="281">
        <v>35568</v>
      </c>
      <c r="I1342" s="281">
        <v>391</v>
      </c>
      <c r="J1342" s="355" t="str">
        <f>IFERROR(G1342/#REF!,"-")</f>
        <v>-</v>
      </c>
      <c r="K1342" s="336">
        <f t="shared" si="1666"/>
        <v>35959</v>
      </c>
      <c r="L1342" s="275">
        <f t="shared" si="1667"/>
        <v>35568</v>
      </c>
      <c r="M1342" s="276">
        <f t="shared" si="1668"/>
        <v>391</v>
      </c>
      <c r="N1342" s="340" t="str">
        <f t="shared" si="1669"/>
        <v>-</v>
      </c>
      <c r="O1342" s="264">
        <f t="shared" si="1626"/>
        <v>1.0873494813537641E-2</v>
      </c>
    </row>
    <row r="1343" spans="1:15" ht="24" thickBot="1" x14ac:dyDescent="0.35">
      <c r="A1343" s="277" t="s">
        <v>108</v>
      </c>
      <c r="B1343" s="977"/>
      <c r="C1343" s="303" t="s">
        <v>316</v>
      </c>
      <c r="D1343" s="303" t="s">
        <v>410</v>
      </c>
      <c r="E1343" s="283">
        <v>0</v>
      </c>
      <c r="F1343" s="284"/>
      <c r="G1343" s="337">
        <f t="shared" si="1665"/>
        <v>0</v>
      </c>
      <c r="H1343" s="285"/>
      <c r="I1343" s="285"/>
      <c r="J1343" s="356" t="str">
        <f>IFERROR(G1343/#REF!,"-")</f>
        <v>-</v>
      </c>
      <c r="K1343" s="337">
        <f t="shared" si="1666"/>
        <v>169767</v>
      </c>
      <c r="L1343" s="275">
        <f t="shared" si="1667"/>
        <v>164736</v>
      </c>
      <c r="M1343" s="276">
        <f t="shared" si="1668"/>
        <v>5031</v>
      </c>
      <c r="N1343" s="341" t="str">
        <f t="shared" si="1669"/>
        <v>-</v>
      </c>
      <c r="O1343" s="350">
        <f t="shared" si="1626"/>
        <v>2.9634734665747762E-2</v>
      </c>
    </row>
    <row r="1344" spans="1:15" ht="24" thickBot="1" x14ac:dyDescent="0.35">
      <c r="A1344" s="277" t="s">
        <v>108</v>
      </c>
      <c r="B1344" s="977"/>
      <c r="C1344" s="304"/>
      <c r="D1344" s="305" t="s">
        <v>53</v>
      </c>
      <c r="E1344" s="287">
        <v>0</v>
      </c>
      <c r="F1344" s="288">
        <v>50000</v>
      </c>
      <c r="G1344" s="323">
        <f>SUM(G1341:G1343)</f>
        <v>35959</v>
      </c>
      <c r="H1344" s="324">
        <f>SUM(H1341:H1343)</f>
        <v>35568</v>
      </c>
      <c r="I1344" s="324">
        <f>SUM(I1341:I1343)</f>
        <v>391</v>
      </c>
      <c r="J1344" s="348">
        <f>+H1344/G1344</f>
        <v>0.98912650518646239</v>
      </c>
      <c r="K1344" s="323">
        <f>SUM(K1341:K1343)</f>
        <v>205726</v>
      </c>
      <c r="L1344" s="324">
        <f>SUM(L1341:L1343)</f>
        <v>200304</v>
      </c>
      <c r="M1344" s="325">
        <f>SUM(M1341:M1343)</f>
        <v>5422</v>
      </c>
      <c r="N1344" s="342" t="str">
        <f t="shared" si="1669"/>
        <v>-</v>
      </c>
      <c r="O1344" s="348">
        <f t="shared" si="1626"/>
        <v>2.6355443648347802E-2</v>
      </c>
    </row>
    <row r="1345" spans="1:15" ht="23.4" x14ac:dyDescent="0.3">
      <c r="A1345" s="277" t="s">
        <v>108</v>
      </c>
      <c r="B1345" s="977"/>
      <c r="C1345" s="300" t="s">
        <v>339</v>
      </c>
      <c r="D1345" s="300"/>
      <c r="E1345" s="273">
        <v>500000</v>
      </c>
      <c r="F1345" s="274"/>
      <c r="G1345" s="335">
        <f t="shared" ref="G1345:G1347" si="1670">+H1345+I1345</f>
        <v>0</v>
      </c>
      <c r="H1345" s="275"/>
      <c r="I1345" s="275"/>
      <c r="J1345" s="354" t="str">
        <f>IFERROR(G1345/#REF!,"-")</f>
        <v>-</v>
      </c>
      <c r="K1345" s="335">
        <f t="shared" ref="K1345:K1347" si="1671">+L1345+M1345</f>
        <v>0</v>
      </c>
      <c r="L1345" s="275">
        <f t="shared" ref="L1345:L1347" si="1672">+H1345+L1239</f>
        <v>0</v>
      </c>
      <c r="M1345" s="276">
        <f t="shared" ref="M1345:M1347" si="1673">+I1345+M1239</f>
        <v>0</v>
      </c>
      <c r="N1345" s="339">
        <f t="shared" si="1669"/>
        <v>0</v>
      </c>
      <c r="O1345" s="349" t="str">
        <f t="shared" si="1626"/>
        <v>-</v>
      </c>
    </row>
    <row r="1346" spans="1:15" ht="23.4" x14ac:dyDescent="0.3">
      <c r="A1346" s="277" t="s">
        <v>108</v>
      </c>
      <c r="B1346" s="977"/>
      <c r="C1346" s="306" t="s">
        <v>373</v>
      </c>
      <c r="D1346" s="306" t="s">
        <v>254</v>
      </c>
      <c r="E1346" s="279">
        <v>0</v>
      </c>
      <c r="F1346" s="280"/>
      <c r="G1346" s="336">
        <f t="shared" si="1670"/>
        <v>0</v>
      </c>
      <c r="H1346" s="281"/>
      <c r="I1346" s="281"/>
      <c r="J1346" s="355" t="str">
        <f>IFERROR(G1346/#REF!,"-")</f>
        <v>-</v>
      </c>
      <c r="K1346" s="336">
        <f t="shared" si="1671"/>
        <v>9638</v>
      </c>
      <c r="L1346" s="275">
        <f t="shared" si="1672"/>
        <v>9360</v>
      </c>
      <c r="M1346" s="276">
        <f t="shared" si="1673"/>
        <v>278</v>
      </c>
      <c r="N1346" s="340" t="str">
        <f t="shared" si="1669"/>
        <v>-</v>
      </c>
      <c r="O1346" s="264">
        <f t="shared" si="1626"/>
        <v>2.8844158539116E-2</v>
      </c>
    </row>
    <row r="1347" spans="1:15" ht="24" thickBot="1" x14ac:dyDescent="0.35">
      <c r="A1347" s="277" t="s">
        <v>108</v>
      </c>
      <c r="B1347" s="977"/>
      <c r="C1347" s="303" t="s">
        <v>145</v>
      </c>
      <c r="D1347" s="303"/>
      <c r="E1347" s="283">
        <v>0</v>
      </c>
      <c r="F1347" s="284"/>
      <c r="G1347" s="337">
        <f t="shared" si="1670"/>
        <v>0</v>
      </c>
      <c r="H1347" s="285"/>
      <c r="I1347" s="285"/>
      <c r="J1347" s="356" t="str">
        <f>IFERROR(G1347/#REF!,"-")</f>
        <v>-</v>
      </c>
      <c r="K1347" s="337">
        <f t="shared" si="1671"/>
        <v>0</v>
      </c>
      <c r="L1347" s="275">
        <f t="shared" si="1672"/>
        <v>0</v>
      </c>
      <c r="M1347" s="276">
        <f t="shared" si="1673"/>
        <v>0</v>
      </c>
      <c r="N1347" s="341" t="str">
        <f t="shared" si="1669"/>
        <v>-</v>
      </c>
      <c r="O1347" s="350" t="str">
        <f t="shared" si="1626"/>
        <v>-</v>
      </c>
    </row>
    <row r="1348" spans="1:15" ht="24" thickBot="1" x14ac:dyDescent="0.35">
      <c r="A1348" s="277" t="s">
        <v>108</v>
      </c>
      <c r="B1348" s="977"/>
      <c r="C1348" s="307"/>
      <c r="D1348" s="308" t="s">
        <v>54</v>
      </c>
      <c r="E1348" s="309">
        <f>SUM(E1345)</f>
        <v>500000</v>
      </c>
      <c r="F1348" s="310">
        <v>50000</v>
      </c>
      <c r="G1348" s="369">
        <f>SUM(G1345:G1347)</f>
        <v>0</v>
      </c>
      <c r="H1348" s="368">
        <f t="shared" ref="H1348:I1348" si="1674">SUM(H1345:H1347)</f>
        <v>0</v>
      </c>
      <c r="I1348" s="368">
        <f t="shared" si="1674"/>
        <v>0</v>
      </c>
      <c r="J1348" s="359">
        <f>+G1348/F1348</f>
        <v>0</v>
      </c>
      <c r="K1348" s="369">
        <f t="shared" ref="K1348:M1348" si="1675">SUM(K1345:K1347)</f>
        <v>9638</v>
      </c>
      <c r="L1348" s="368">
        <f t="shared" si="1675"/>
        <v>9360</v>
      </c>
      <c r="M1348" s="370">
        <f t="shared" si="1675"/>
        <v>278</v>
      </c>
      <c r="N1348" s="358">
        <f t="shared" si="1669"/>
        <v>1.9276000000000001E-2</v>
      </c>
      <c r="O1348" s="359">
        <f t="shared" si="1626"/>
        <v>2.8844158539116E-2</v>
      </c>
    </row>
    <row r="1349" spans="1:15" ht="24" thickBot="1" x14ac:dyDescent="0.35">
      <c r="A1349" s="277" t="s">
        <v>108</v>
      </c>
      <c r="B1349" s="978" t="s">
        <v>171</v>
      </c>
      <c r="C1349" s="979"/>
      <c r="D1349" s="980"/>
      <c r="E1349" s="311">
        <f>+E1348+E1344</f>
        <v>500000</v>
      </c>
      <c r="F1349" s="312">
        <v>50000</v>
      </c>
      <c r="G1349" s="372">
        <f>+G1344+G1348</f>
        <v>35959</v>
      </c>
      <c r="H1349" s="371">
        <f t="shared" ref="H1349:I1349" si="1676">+H1344+H1348</f>
        <v>35568</v>
      </c>
      <c r="I1349" s="371">
        <f t="shared" si="1676"/>
        <v>391</v>
      </c>
      <c r="J1349" s="361">
        <f>+G1349/F1349</f>
        <v>0.71918000000000004</v>
      </c>
      <c r="K1349" s="372">
        <f t="shared" ref="K1349:M1349" si="1677">+K1344+K1348</f>
        <v>215364</v>
      </c>
      <c r="L1349" s="371">
        <f t="shared" si="1677"/>
        <v>209664</v>
      </c>
      <c r="M1349" s="373">
        <f t="shared" si="1677"/>
        <v>5700</v>
      </c>
      <c r="N1349" s="360">
        <f t="shared" si="1669"/>
        <v>0.430728</v>
      </c>
      <c r="O1349" s="361">
        <f t="shared" si="1626"/>
        <v>2.6466818966958267E-2</v>
      </c>
    </row>
    <row r="1350" spans="1:15" ht="24" thickBot="1" x14ac:dyDescent="0.35">
      <c r="A1350" s="277" t="s">
        <v>108</v>
      </c>
      <c r="B1350" s="608" t="s">
        <v>32</v>
      </c>
      <c r="C1350" s="845"/>
      <c r="D1350" s="313" t="s">
        <v>32</v>
      </c>
      <c r="E1350" s="290">
        <v>0</v>
      </c>
      <c r="F1350" s="291">
        <v>110000</v>
      </c>
      <c r="G1350" s="338">
        <f t="shared" ref="G1350" si="1678">+H1350+I1350</f>
        <v>0</v>
      </c>
      <c r="H1350" s="292"/>
      <c r="I1350" s="292"/>
      <c r="J1350" s="357" t="str">
        <f>IFERROR(G1350/#REF!,"-")</f>
        <v>-</v>
      </c>
      <c r="K1350" s="338">
        <f>+L1350+M1350</f>
        <v>0</v>
      </c>
      <c r="L1350" s="292">
        <f>+H1350+L1244</f>
        <v>0</v>
      </c>
      <c r="M1350" s="293">
        <f>+I1350+M1244</f>
        <v>0</v>
      </c>
      <c r="N1350" s="343" t="str">
        <f t="shared" si="1669"/>
        <v>-</v>
      </c>
      <c r="O1350" s="351" t="str">
        <f t="shared" si="1626"/>
        <v>-</v>
      </c>
    </row>
    <row r="1351" spans="1:15" ht="24" thickBot="1" x14ac:dyDescent="0.35">
      <c r="A1351" s="277" t="s">
        <v>108</v>
      </c>
      <c r="B1351" s="981" t="s">
        <v>21</v>
      </c>
      <c r="C1351" s="982"/>
      <c r="D1351" s="983"/>
      <c r="E1351" s="329">
        <f>+E1340+E1349+E1350</f>
        <v>3112056</v>
      </c>
      <c r="F1351" s="330">
        <f>+F1340+F1349+F1350</f>
        <v>400000</v>
      </c>
      <c r="G1351" s="329">
        <f>+G1340+G1349+G1350</f>
        <v>136669</v>
      </c>
      <c r="H1351" s="327">
        <f>+H1340+H1349+H1350</f>
        <v>135018</v>
      </c>
      <c r="I1351" s="327">
        <f>+I1340+I1349+I1350</f>
        <v>1651</v>
      </c>
      <c r="J1351" s="352">
        <f>+G1351/F1351</f>
        <v>0.34167249999999999</v>
      </c>
      <c r="K1351" s="329">
        <f>+K1340+K1349+K1350</f>
        <v>2269568</v>
      </c>
      <c r="L1351" s="327">
        <f>+L1340+L1349+L1350</f>
        <v>2234160</v>
      </c>
      <c r="M1351" s="328">
        <f>+M1340+M1349+M1350</f>
        <v>35408</v>
      </c>
      <c r="N1351" s="344">
        <f t="shared" si="1669"/>
        <v>0.72928250648445914</v>
      </c>
      <c r="O1351" s="352">
        <f t="shared" si="1626"/>
        <v>1.560120692572331E-2</v>
      </c>
    </row>
    <row r="1352" spans="1:15" ht="24" thickBot="1" x14ac:dyDescent="0.35">
      <c r="A1352" s="277" t="s">
        <v>108</v>
      </c>
      <c r="B1352" s="984" t="s">
        <v>179</v>
      </c>
      <c r="C1352" s="962"/>
      <c r="D1352" s="963"/>
      <c r="E1352" s="333">
        <f>+E1351</f>
        <v>3112056</v>
      </c>
      <c r="F1352" s="334">
        <f t="shared" ref="F1352:I1352" si="1679">+F1351</f>
        <v>400000</v>
      </c>
      <c r="G1352" s="333">
        <f t="shared" si="1679"/>
        <v>136669</v>
      </c>
      <c r="H1352" s="331">
        <f t="shared" si="1679"/>
        <v>135018</v>
      </c>
      <c r="I1352" s="331">
        <f t="shared" si="1679"/>
        <v>1651</v>
      </c>
      <c r="J1352" s="353">
        <f>+J1351</f>
        <v>0.34167249999999999</v>
      </c>
      <c r="K1352" s="333">
        <f>+K1351</f>
        <v>2269568</v>
      </c>
      <c r="L1352" s="331">
        <f t="shared" ref="L1352" si="1680">+L1351</f>
        <v>2234160</v>
      </c>
      <c r="M1352" s="332">
        <f>+M1351</f>
        <v>35408</v>
      </c>
      <c r="N1352" s="345">
        <f t="shared" ref="N1352:O1352" si="1681">+N1351</f>
        <v>0.72928250648445914</v>
      </c>
      <c r="O1352" s="353">
        <f t="shared" si="1681"/>
        <v>1.560120692572331E-2</v>
      </c>
    </row>
    <row r="1353" spans="1:15" ht="23.4" x14ac:dyDescent="0.3">
      <c r="A1353" s="271" t="s">
        <v>109</v>
      </c>
      <c r="B1353" s="970" t="s">
        <v>482</v>
      </c>
      <c r="C1353" s="314" t="s">
        <v>120</v>
      </c>
      <c r="D1353" s="314"/>
      <c r="E1353" s="273">
        <v>34000</v>
      </c>
      <c r="F1353" s="274"/>
      <c r="G1353" s="335">
        <f t="shared" ref="G1353:G1355" si="1682">+H1353+I1353</f>
        <v>0</v>
      </c>
      <c r="H1353" s="275"/>
      <c r="I1353" s="275"/>
      <c r="J1353" s="354" t="str">
        <f>IFERROR(G1353/#REF!,"-")</f>
        <v>-</v>
      </c>
      <c r="K1353" s="335">
        <f t="shared" ref="K1353:K1355" si="1683">+L1353+M1353</f>
        <v>0</v>
      </c>
      <c r="L1353" s="275">
        <f t="shared" ref="L1353:L1355" si="1684">+H1353+L1247</f>
        <v>0</v>
      </c>
      <c r="M1353" s="276">
        <f t="shared" ref="M1353:M1355" si="1685">+I1353+M1247</f>
        <v>0</v>
      </c>
      <c r="N1353" s="339">
        <f t="shared" ref="N1353:N1360" si="1686">IFERROR(K1353/E1353,"-")</f>
        <v>0</v>
      </c>
      <c r="O1353" s="349" t="str">
        <f t="shared" ref="O1353:O1378" si="1687">IFERROR(M1353/K1353,"-")</f>
        <v>-</v>
      </c>
    </row>
    <row r="1354" spans="1:15" ht="23.4" x14ac:dyDescent="0.3">
      <c r="A1354" s="277" t="s">
        <v>109</v>
      </c>
      <c r="B1354" s="972"/>
      <c r="C1354" s="315" t="s">
        <v>267</v>
      </c>
      <c r="D1354" s="315"/>
      <c r="E1354" s="279">
        <v>0</v>
      </c>
      <c r="F1354" s="280"/>
      <c r="G1354" s="336">
        <f t="shared" si="1682"/>
        <v>1030</v>
      </c>
      <c r="H1354" s="281">
        <v>960</v>
      </c>
      <c r="I1354" s="281">
        <v>70</v>
      </c>
      <c r="J1354" s="355" t="str">
        <f>IFERROR(G1354/#REF!,"-")</f>
        <v>-</v>
      </c>
      <c r="K1354" s="336">
        <f t="shared" si="1683"/>
        <v>18022</v>
      </c>
      <c r="L1354" s="275">
        <f t="shared" si="1684"/>
        <v>17600</v>
      </c>
      <c r="M1354" s="276">
        <f t="shared" si="1685"/>
        <v>422</v>
      </c>
      <c r="N1354" s="340" t="str">
        <f t="shared" si="1686"/>
        <v>-</v>
      </c>
      <c r="O1354" s="264">
        <f t="shared" si="1687"/>
        <v>2.3415825102652315E-2</v>
      </c>
    </row>
    <row r="1355" spans="1:15" ht="24" thickBot="1" x14ac:dyDescent="0.35">
      <c r="A1355" s="277" t="s">
        <v>109</v>
      </c>
      <c r="B1355" s="971"/>
      <c r="C1355" s="316" t="s">
        <v>34</v>
      </c>
      <c r="D1355" s="316"/>
      <c r="E1355" s="283">
        <v>0</v>
      </c>
      <c r="F1355" s="284"/>
      <c r="G1355" s="337">
        <f t="shared" si="1682"/>
        <v>0</v>
      </c>
      <c r="H1355" s="285"/>
      <c r="I1355" s="285"/>
      <c r="J1355" s="356" t="str">
        <f>IFERROR(G1355/#REF!,"-")</f>
        <v>-</v>
      </c>
      <c r="K1355" s="337">
        <f t="shared" si="1683"/>
        <v>0</v>
      </c>
      <c r="L1355" s="275">
        <f t="shared" si="1684"/>
        <v>0</v>
      </c>
      <c r="M1355" s="276">
        <f t="shared" si="1685"/>
        <v>0</v>
      </c>
      <c r="N1355" s="341" t="str">
        <f t="shared" si="1686"/>
        <v>-</v>
      </c>
      <c r="O1355" s="350" t="str">
        <f t="shared" si="1687"/>
        <v>-</v>
      </c>
    </row>
    <row r="1356" spans="1:15" ht="24" thickBot="1" x14ac:dyDescent="0.35">
      <c r="A1356" s="277" t="s">
        <v>109</v>
      </c>
      <c r="B1356" s="967" t="s">
        <v>35</v>
      </c>
      <c r="C1356" s="968"/>
      <c r="D1356" s="969"/>
      <c r="E1356" s="287">
        <f>SUM(E1353:E1355)</f>
        <v>34000</v>
      </c>
      <c r="F1356" s="288">
        <v>6500</v>
      </c>
      <c r="G1356" s="323">
        <f>SUM(G1353:G1355)</f>
        <v>1030</v>
      </c>
      <c r="H1356" s="324">
        <f t="shared" ref="H1356:I1356" si="1688">SUM(H1353:H1355)</f>
        <v>960</v>
      </c>
      <c r="I1356" s="324">
        <f t="shared" si="1688"/>
        <v>70</v>
      </c>
      <c r="J1356" s="348" t="str">
        <f>IFERROR(G1356/#REF!,"-")</f>
        <v>-</v>
      </c>
      <c r="K1356" s="323">
        <f t="shared" ref="K1356:M1356" si="1689">SUM(K1353:K1355)</f>
        <v>18022</v>
      </c>
      <c r="L1356" s="324">
        <f t="shared" si="1689"/>
        <v>17600</v>
      </c>
      <c r="M1356" s="325">
        <f t="shared" si="1689"/>
        <v>422</v>
      </c>
      <c r="N1356" s="342">
        <f t="shared" si="1686"/>
        <v>0.5300588235294118</v>
      </c>
      <c r="O1356" s="348">
        <f t="shared" si="1687"/>
        <v>2.3415825102652315E-2</v>
      </c>
    </row>
    <row r="1357" spans="1:15" ht="23.4" x14ac:dyDescent="0.3">
      <c r="A1357" s="277" t="s">
        <v>109</v>
      </c>
      <c r="B1357" s="970" t="s">
        <v>36</v>
      </c>
      <c r="C1357" s="314" t="s">
        <v>120</v>
      </c>
      <c r="D1357" s="314"/>
      <c r="E1357" s="273">
        <v>64360</v>
      </c>
      <c r="F1357" s="274"/>
      <c r="G1357" s="335">
        <f t="shared" ref="G1357:G1360" si="1690">+H1357+I1357</f>
        <v>0</v>
      </c>
      <c r="H1357" s="275"/>
      <c r="I1357" s="275"/>
      <c r="J1357" s="354" t="str">
        <f>IFERROR(G1357/#REF!,"-")</f>
        <v>-</v>
      </c>
      <c r="K1357" s="335">
        <f t="shared" ref="K1357:K1360" si="1691">+L1357+M1357</f>
        <v>0</v>
      </c>
      <c r="L1357" s="275">
        <f t="shared" ref="L1357:L1360" si="1692">+H1357+L1251</f>
        <v>0</v>
      </c>
      <c r="M1357" s="276">
        <f t="shared" ref="M1357:M1360" si="1693">+I1357+M1251</f>
        <v>0</v>
      </c>
      <c r="N1357" s="339">
        <f t="shared" si="1686"/>
        <v>0</v>
      </c>
      <c r="O1357" s="349" t="str">
        <f t="shared" si="1687"/>
        <v>-</v>
      </c>
    </row>
    <row r="1358" spans="1:15" ht="23.4" x14ac:dyDescent="0.3">
      <c r="A1358" s="277" t="s">
        <v>109</v>
      </c>
      <c r="B1358" s="972"/>
      <c r="C1358" s="315" t="s">
        <v>267</v>
      </c>
      <c r="D1358" s="315"/>
      <c r="E1358" s="279">
        <v>0</v>
      </c>
      <c r="F1358" s="280"/>
      <c r="G1358" s="336">
        <f t="shared" si="1690"/>
        <v>4209</v>
      </c>
      <c r="H1358" s="281">
        <v>3974</v>
      </c>
      <c r="I1358" s="281">
        <v>235</v>
      </c>
      <c r="J1358" s="355" t="str">
        <f>IFERROR(G1358/#REF!,"-")</f>
        <v>-</v>
      </c>
      <c r="K1358" s="336">
        <f t="shared" si="1691"/>
        <v>30448</v>
      </c>
      <c r="L1358" s="275">
        <f t="shared" si="1692"/>
        <v>29454</v>
      </c>
      <c r="M1358" s="276">
        <f t="shared" si="1693"/>
        <v>994</v>
      </c>
      <c r="N1358" s="340" t="str">
        <f t="shared" si="1686"/>
        <v>-</v>
      </c>
      <c r="O1358" s="264">
        <f t="shared" si="1687"/>
        <v>3.2645822385706777E-2</v>
      </c>
    </row>
    <row r="1359" spans="1:15" ht="23.4" x14ac:dyDescent="0.3">
      <c r="A1359" s="277" t="s">
        <v>109</v>
      </c>
      <c r="B1359" s="972"/>
      <c r="C1359" s="315" t="s">
        <v>198</v>
      </c>
      <c r="D1359" s="315"/>
      <c r="E1359" s="279">
        <v>0</v>
      </c>
      <c r="F1359" s="280"/>
      <c r="G1359" s="336">
        <f t="shared" si="1690"/>
        <v>0</v>
      </c>
      <c r="H1359" s="281"/>
      <c r="I1359" s="281"/>
      <c r="J1359" s="355" t="str">
        <f>IFERROR(G1359/#REF!,"-")</f>
        <v>-</v>
      </c>
      <c r="K1359" s="336">
        <f t="shared" si="1691"/>
        <v>0</v>
      </c>
      <c r="L1359" s="275">
        <f t="shared" si="1692"/>
        <v>0</v>
      </c>
      <c r="M1359" s="276">
        <f t="shared" si="1693"/>
        <v>0</v>
      </c>
      <c r="N1359" s="340" t="str">
        <f t="shared" si="1686"/>
        <v>-</v>
      </c>
      <c r="O1359" s="264" t="str">
        <f t="shared" si="1687"/>
        <v>-</v>
      </c>
    </row>
    <row r="1360" spans="1:15" ht="24" thickBot="1" x14ac:dyDescent="0.35">
      <c r="A1360" s="277" t="s">
        <v>109</v>
      </c>
      <c r="B1360" s="971"/>
      <c r="C1360" s="316" t="s">
        <v>37</v>
      </c>
      <c r="D1360" s="316"/>
      <c r="E1360" s="283">
        <v>0</v>
      </c>
      <c r="F1360" s="284"/>
      <c r="G1360" s="337">
        <f t="shared" si="1690"/>
        <v>0</v>
      </c>
      <c r="H1360" s="285"/>
      <c r="I1360" s="285"/>
      <c r="J1360" s="356" t="str">
        <f>IFERROR(G1360/#REF!,"-")</f>
        <v>-</v>
      </c>
      <c r="K1360" s="337">
        <f t="shared" si="1691"/>
        <v>0</v>
      </c>
      <c r="L1360" s="275">
        <f t="shared" si="1692"/>
        <v>0</v>
      </c>
      <c r="M1360" s="276">
        <f t="shared" si="1693"/>
        <v>0</v>
      </c>
      <c r="N1360" s="341" t="str">
        <f t="shared" si="1686"/>
        <v>-</v>
      </c>
      <c r="O1360" s="350" t="str">
        <f t="shared" si="1687"/>
        <v>-</v>
      </c>
    </row>
    <row r="1361" spans="1:15" ht="24" thickBot="1" x14ac:dyDescent="0.35">
      <c r="A1361" s="277" t="s">
        <v>109</v>
      </c>
      <c r="B1361" s="967" t="s">
        <v>38</v>
      </c>
      <c r="C1361" s="968"/>
      <c r="D1361" s="969"/>
      <c r="E1361" s="287">
        <f>SUM(E1357:E1360)</f>
        <v>64360</v>
      </c>
      <c r="F1361" s="288">
        <v>6500</v>
      </c>
      <c r="G1361" s="323">
        <f>SUM(G1357:G1360)</f>
        <v>4209</v>
      </c>
      <c r="H1361" s="324">
        <f t="shared" ref="H1361:I1361" si="1694">SUM(H1357:H1360)</f>
        <v>3974</v>
      </c>
      <c r="I1361" s="324">
        <f t="shared" si="1694"/>
        <v>235</v>
      </c>
      <c r="J1361" s="348" t="str">
        <f>IFERROR(G1361/#REF!,"-")</f>
        <v>-</v>
      </c>
      <c r="K1361" s="323">
        <f t="shared" ref="K1361:M1361" si="1695">SUM(K1357:K1360)</f>
        <v>30448</v>
      </c>
      <c r="L1361" s="324">
        <f t="shared" si="1695"/>
        <v>29454</v>
      </c>
      <c r="M1361" s="325">
        <f t="shared" si="1695"/>
        <v>994</v>
      </c>
      <c r="N1361" s="342">
        <f>IFERROR(K1361/E1361,"-")</f>
        <v>0.47308887507768799</v>
      </c>
      <c r="O1361" s="348">
        <f t="shared" si="1687"/>
        <v>3.2645822385706777E-2</v>
      </c>
    </row>
    <row r="1362" spans="1:15" ht="23.4" x14ac:dyDescent="0.3">
      <c r="A1362" s="277" t="s">
        <v>109</v>
      </c>
      <c r="B1362" s="970" t="s">
        <v>483</v>
      </c>
      <c r="C1362" s="317" t="s">
        <v>123</v>
      </c>
      <c r="D1362" s="317"/>
      <c r="E1362" s="273">
        <v>39800</v>
      </c>
      <c r="F1362" s="274"/>
      <c r="G1362" s="335">
        <f t="shared" ref="G1362:G1363" si="1696">+H1362+I1362</f>
        <v>0</v>
      </c>
      <c r="H1362" s="275"/>
      <c r="I1362" s="275"/>
      <c r="J1362" s="354" t="str">
        <f>IFERROR(G1362/#REF!,"-")</f>
        <v>-</v>
      </c>
      <c r="K1362" s="335">
        <f t="shared" ref="K1362:K1363" si="1697">+L1362+M1362</f>
        <v>144</v>
      </c>
      <c r="L1362" s="275">
        <f>+H1362+L1256</f>
        <v>144</v>
      </c>
      <c r="M1362" s="276">
        <f>+I1362+M1256</f>
        <v>0</v>
      </c>
      <c r="N1362" s="339">
        <f t="shared" ref="N1362:N1378" si="1698">IFERROR(K1362/E1362,"-")</f>
        <v>3.6180904522613066E-3</v>
      </c>
      <c r="O1362" s="349">
        <f t="shared" si="1687"/>
        <v>0</v>
      </c>
    </row>
    <row r="1363" spans="1:15" ht="24" thickBot="1" x14ac:dyDescent="0.35">
      <c r="A1363" s="277" t="s">
        <v>109</v>
      </c>
      <c r="B1363" s="971"/>
      <c r="C1363" s="289" t="s">
        <v>139</v>
      </c>
      <c r="D1363" s="289"/>
      <c r="E1363" s="283">
        <v>0</v>
      </c>
      <c r="F1363" s="284"/>
      <c r="G1363" s="337">
        <f t="shared" si="1696"/>
        <v>0</v>
      </c>
      <c r="H1363" s="285"/>
      <c r="I1363" s="285"/>
      <c r="J1363" s="356" t="str">
        <f>IFERROR(G1363/#REF!,"-")</f>
        <v>-</v>
      </c>
      <c r="K1363" s="337">
        <f t="shared" si="1697"/>
        <v>240</v>
      </c>
      <c r="L1363" s="275">
        <f>+H1363+L1257</f>
        <v>240</v>
      </c>
      <c r="M1363" s="276">
        <f>+I1363+M1257</f>
        <v>0</v>
      </c>
      <c r="N1363" s="341" t="str">
        <f t="shared" si="1698"/>
        <v>-</v>
      </c>
      <c r="O1363" s="350">
        <f t="shared" si="1687"/>
        <v>0</v>
      </c>
    </row>
    <row r="1364" spans="1:15" ht="24" thickBot="1" x14ac:dyDescent="0.35">
      <c r="A1364" s="849" t="s">
        <v>109</v>
      </c>
      <c r="B1364" s="967" t="s">
        <v>40</v>
      </c>
      <c r="C1364" s="968"/>
      <c r="D1364" s="969"/>
      <c r="E1364" s="287">
        <f>SUM(E1362:E1363)</f>
        <v>39800</v>
      </c>
      <c r="F1364" s="288">
        <v>2800</v>
      </c>
      <c r="G1364" s="323">
        <f>SUM(G1362:G1363)</f>
        <v>0</v>
      </c>
      <c r="H1364" s="324">
        <f t="shared" ref="H1364:I1364" si="1699">SUM(H1362:H1363)</f>
        <v>0</v>
      </c>
      <c r="I1364" s="324">
        <f t="shared" si="1699"/>
        <v>0</v>
      </c>
      <c r="J1364" s="348" t="str">
        <f>IFERROR(G1364/#REF!,"-")</f>
        <v>-</v>
      </c>
      <c r="K1364" s="323">
        <f t="shared" ref="K1364:M1364" si="1700">SUM(K1362:K1363)</f>
        <v>384</v>
      </c>
      <c r="L1364" s="324">
        <f t="shared" si="1700"/>
        <v>384</v>
      </c>
      <c r="M1364" s="325">
        <f t="shared" si="1700"/>
        <v>0</v>
      </c>
      <c r="N1364" s="342">
        <f t="shared" si="1698"/>
        <v>9.6482412060301514E-3</v>
      </c>
      <c r="O1364" s="348">
        <f t="shared" si="1687"/>
        <v>0</v>
      </c>
    </row>
    <row r="1365" spans="1:15" ht="23.4" x14ac:dyDescent="0.3">
      <c r="A1365" s="277" t="s">
        <v>109</v>
      </c>
      <c r="B1365" s="970" t="s">
        <v>484</v>
      </c>
      <c r="C1365" s="272" t="s">
        <v>335</v>
      </c>
      <c r="D1365" s="272"/>
      <c r="E1365" s="273">
        <v>916640</v>
      </c>
      <c r="F1365" s="318"/>
      <c r="G1365" s="335">
        <f t="shared" ref="G1365:G1369" si="1701">+H1365+I1365</f>
        <v>21920</v>
      </c>
      <c r="H1365" s="275">
        <v>21840</v>
      </c>
      <c r="I1365" s="275">
        <v>80</v>
      </c>
      <c r="J1365" s="374" t="str">
        <f>IFERROR(G1365/#REF!,"-")</f>
        <v>-</v>
      </c>
      <c r="K1365" s="335">
        <f t="shared" ref="K1365:K1369" si="1702">+L1365+M1365</f>
        <v>314703</v>
      </c>
      <c r="L1365" s="275">
        <f t="shared" ref="L1365:L1369" si="1703">+H1365+L1259</f>
        <v>310584</v>
      </c>
      <c r="M1365" s="275">
        <f t="shared" ref="M1365:M1369" si="1704">+I1365+M1259</f>
        <v>4119</v>
      </c>
      <c r="N1365" s="362">
        <f t="shared" si="1698"/>
        <v>0.34332235119567117</v>
      </c>
      <c r="O1365" s="363">
        <f t="shared" si="1687"/>
        <v>1.308853109121934E-2</v>
      </c>
    </row>
    <row r="1366" spans="1:15" ht="23.4" x14ac:dyDescent="0.3">
      <c r="A1366" s="277" t="s">
        <v>109</v>
      </c>
      <c r="B1366" s="972"/>
      <c r="C1366" s="272" t="s">
        <v>336</v>
      </c>
      <c r="D1366" s="278"/>
      <c r="E1366" s="279">
        <v>0</v>
      </c>
      <c r="F1366" s="319"/>
      <c r="G1366" s="336">
        <f t="shared" si="1701"/>
        <v>0</v>
      </c>
      <c r="H1366" s="281"/>
      <c r="I1366" s="281"/>
      <c r="J1366" s="375" t="str">
        <f>IFERROR(G1366/#REF!,"-")</f>
        <v>-</v>
      </c>
      <c r="K1366" s="336">
        <f t="shared" si="1702"/>
        <v>0</v>
      </c>
      <c r="L1366" s="275">
        <f t="shared" si="1703"/>
        <v>0</v>
      </c>
      <c r="M1366" s="276">
        <f t="shared" si="1704"/>
        <v>0</v>
      </c>
      <c r="N1366" s="364" t="str">
        <f t="shared" si="1698"/>
        <v>-</v>
      </c>
      <c r="O1366" s="365" t="str">
        <f t="shared" si="1687"/>
        <v>-</v>
      </c>
    </row>
    <row r="1367" spans="1:15" ht="23.4" x14ac:dyDescent="0.3">
      <c r="A1367" s="277" t="s">
        <v>109</v>
      </c>
      <c r="B1367" s="972"/>
      <c r="C1367" s="278" t="s">
        <v>383</v>
      </c>
      <c r="D1367" s="278"/>
      <c r="E1367" s="279">
        <v>40000</v>
      </c>
      <c r="F1367" s="319"/>
      <c r="G1367" s="336">
        <f t="shared" si="1701"/>
        <v>0</v>
      </c>
      <c r="H1367" s="281"/>
      <c r="I1367" s="281"/>
      <c r="J1367" s="375" t="str">
        <f>IFERROR(G1367/#REF!,"-")</f>
        <v>-</v>
      </c>
      <c r="K1367" s="336">
        <f t="shared" si="1702"/>
        <v>0</v>
      </c>
      <c r="L1367" s="275">
        <f t="shared" si="1703"/>
        <v>0</v>
      </c>
      <c r="M1367" s="276">
        <f t="shared" si="1704"/>
        <v>0</v>
      </c>
      <c r="N1367" s="364">
        <f t="shared" si="1698"/>
        <v>0</v>
      </c>
      <c r="O1367" s="365" t="str">
        <f t="shared" si="1687"/>
        <v>-</v>
      </c>
    </row>
    <row r="1368" spans="1:15" ht="23.4" x14ac:dyDescent="0.3">
      <c r="A1368" s="277" t="s">
        <v>109</v>
      </c>
      <c r="B1368" s="972"/>
      <c r="C1368" s="278" t="s">
        <v>165</v>
      </c>
      <c r="D1368" s="278"/>
      <c r="E1368" s="279">
        <v>0</v>
      </c>
      <c r="F1368" s="319"/>
      <c r="G1368" s="336">
        <f t="shared" si="1701"/>
        <v>0</v>
      </c>
      <c r="H1368" s="281"/>
      <c r="I1368" s="281"/>
      <c r="J1368" s="375" t="str">
        <f>IFERROR(G1368/#REF!,"-")</f>
        <v>-</v>
      </c>
      <c r="K1368" s="336">
        <f t="shared" si="1702"/>
        <v>0</v>
      </c>
      <c r="L1368" s="275">
        <f t="shared" si="1703"/>
        <v>0</v>
      </c>
      <c r="M1368" s="276">
        <f t="shared" si="1704"/>
        <v>0</v>
      </c>
      <c r="N1368" s="364" t="str">
        <f t="shared" si="1698"/>
        <v>-</v>
      </c>
      <c r="O1368" s="365" t="str">
        <f t="shared" si="1687"/>
        <v>-</v>
      </c>
    </row>
    <row r="1369" spans="1:15" ht="24" thickBot="1" x14ac:dyDescent="0.35">
      <c r="A1369" s="277" t="s">
        <v>109</v>
      </c>
      <c r="B1369" s="971"/>
      <c r="C1369" s="282" t="s">
        <v>166</v>
      </c>
      <c r="D1369" s="282"/>
      <c r="E1369" s="283">
        <v>0</v>
      </c>
      <c r="F1369" s="320"/>
      <c r="G1369" s="337">
        <f t="shared" si="1701"/>
        <v>0</v>
      </c>
      <c r="H1369" s="285"/>
      <c r="I1369" s="285"/>
      <c r="J1369" s="376" t="str">
        <f>IFERROR(G1369/#REF!,"-")</f>
        <v>-</v>
      </c>
      <c r="K1369" s="337">
        <f t="shared" si="1702"/>
        <v>0</v>
      </c>
      <c r="L1369" s="275">
        <f t="shared" si="1703"/>
        <v>0</v>
      </c>
      <c r="M1369" s="276">
        <f t="shared" si="1704"/>
        <v>0</v>
      </c>
      <c r="N1369" s="366" t="str">
        <f t="shared" si="1698"/>
        <v>-</v>
      </c>
      <c r="O1369" s="367" t="str">
        <f t="shared" si="1687"/>
        <v>-</v>
      </c>
    </row>
    <row r="1370" spans="1:15" ht="24" thickBot="1" x14ac:dyDescent="0.35">
      <c r="A1370" s="277" t="s">
        <v>109</v>
      </c>
      <c r="B1370" s="967" t="s">
        <v>42</v>
      </c>
      <c r="C1370" s="968"/>
      <c r="D1370" s="969"/>
      <c r="E1370" s="323">
        <f>SUM(E1365:E1369)</f>
        <v>956640</v>
      </c>
      <c r="F1370" s="288">
        <v>25000</v>
      </c>
      <c r="G1370" s="323">
        <f>SUM(G1365:G1369)</f>
        <v>21920</v>
      </c>
      <c r="H1370" s="324">
        <f>SUM(H1365:H1369)</f>
        <v>21840</v>
      </c>
      <c r="I1370" s="324">
        <f>SUM(I1365:I1369)</f>
        <v>80</v>
      </c>
      <c r="J1370" s="348" t="str">
        <f>IFERROR(G1370/#REF!,"-")</f>
        <v>-</v>
      </c>
      <c r="K1370" s="323">
        <f>SUM(K1365:K1369)</f>
        <v>314703</v>
      </c>
      <c r="L1370" s="324">
        <f>SUM(L1365:L1369)</f>
        <v>310584</v>
      </c>
      <c r="M1370" s="325">
        <f>SUM(M1365:M1369)</f>
        <v>4119</v>
      </c>
      <c r="N1370" s="342">
        <f t="shared" si="1698"/>
        <v>0.32896700953336677</v>
      </c>
      <c r="O1370" s="348">
        <f t="shared" si="1687"/>
        <v>1.308853109121934E-2</v>
      </c>
    </row>
    <row r="1371" spans="1:15" ht="23.4" x14ac:dyDescent="0.3">
      <c r="A1371" s="277" t="s">
        <v>109</v>
      </c>
      <c r="B1371" s="970" t="s">
        <v>485</v>
      </c>
      <c r="C1371" s="272" t="s">
        <v>200</v>
      </c>
      <c r="D1371" s="272"/>
      <c r="E1371" s="273">
        <v>0</v>
      </c>
      <c r="F1371" s="274"/>
      <c r="G1371" s="335">
        <f t="shared" ref="G1371:G1373" si="1705">+H1371+I1371</f>
        <v>0</v>
      </c>
      <c r="H1371" s="275"/>
      <c r="I1371" s="275"/>
      <c r="J1371" s="354" t="str">
        <f>IFERROR(G1371/#REF!,"-")</f>
        <v>-</v>
      </c>
      <c r="K1371" s="335">
        <f t="shared" ref="K1371:K1373" si="1706">+L1371+M1371</f>
        <v>0</v>
      </c>
      <c r="L1371" s="275">
        <f t="shared" ref="L1371:L1373" si="1707">+H1371+L1265</f>
        <v>0</v>
      </c>
      <c r="M1371" s="276">
        <f t="shared" ref="M1371:M1373" si="1708">+I1371+M1265</f>
        <v>0</v>
      </c>
      <c r="N1371" s="339" t="str">
        <f t="shared" si="1698"/>
        <v>-</v>
      </c>
      <c r="O1371" s="349" t="str">
        <f t="shared" si="1687"/>
        <v>-</v>
      </c>
    </row>
    <row r="1372" spans="1:15" ht="23.4" x14ac:dyDescent="0.3">
      <c r="A1372" s="277" t="s">
        <v>109</v>
      </c>
      <c r="B1372" s="972"/>
      <c r="C1372" s="278" t="s">
        <v>167</v>
      </c>
      <c r="D1372" s="278"/>
      <c r="E1372" s="279">
        <v>50000</v>
      </c>
      <c r="F1372" s="280"/>
      <c r="G1372" s="336">
        <f t="shared" si="1705"/>
        <v>14617</v>
      </c>
      <c r="H1372" s="281">
        <v>14400</v>
      </c>
      <c r="I1372" s="281">
        <v>217</v>
      </c>
      <c r="J1372" s="375" t="str">
        <f>IFERROR(G1372/#REF!,"-")</f>
        <v>-</v>
      </c>
      <c r="K1372" s="336">
        <f t="shared" si="1706"/>
        <v>156055</v>
      </c>
      <c r="L1372" s="794">
        <f t="shared" si="1707"/>
        <v>152016</v>
      </c>
      <c r="M1372" s="276">
        <f t="shared" si="1708"/>
        <v>4039</v>
      </c>
      <c r="N1372" s="364">
        <f t="shared" si="1698"/>
        <v>3.1211000000000002</v>
      </c>
      <c r="O1372" s="365">
        <f t="shared" si="1687"/>
        <v>2.5881900611963729E-2</v>
      </c>
    </row>
    <row r="1373" spans="1:15" ht="24" thickBot="1" x14ac:dyDescent="0.35">
      <c r="A1373" s="277" t="s">
        <v>109</v>
      </c>
      <c r="B1373" s="971"/>
      <c r="C1373" s="282" t="s">
        <v>200</v>
      </c>
      <c r="D1373" s="282"/>
      <c r="E1373" s="283">
        <v>0</v>
      </c>
      <c r="F1373" s="284"/>
      <c r="G1373" s="337">
        <f t="shared" si="1705"/>
        <v>0</v>
      </c>
      <c r="H1373" s="285"/>
      <c r="I1373" s="285"/>
      <c r="J1373" s="376" t="str">
        <f>IFERROR(G1373/#REF!,"-")</f>
        <v>-</v>
      </c>
      <c r="K1373" s="337">
        <f t="shared" si="1706"/>
        <v>0</v>
      </c>
      <c r="L1373" s="275">
        <f t="shared" si="1707"/>
        <v>0</v>
      </c>
      <c r="M1373" s="276">
        <f t="shared" si="1708"/>
        <v>0</v>
      </c>
      <c r="N1373" s="366" t="str">
        <f t="shared" si="1698"/>
        <v>-</v>
      </c>
      <c r="O1373" s="367" t="str">
        <f t="shared" si="1687"/>
        <v>-</v>
      </c>
    </row>
    <row r="1374" spans="1:15" ht="24" thickBot="1" x14ac:dyDescent="0.35">
      <c r="A1374" s="277" t="s">
        <v>109</v>
      </c>
      <c r="B1374" s="973" t="s">
        <v>44</v>
      </c>
      <c r="C1374" s="974"/>
      <c r="D1374" s="975"/>
      <c r="E1374" s="323">
        <f>SUM(E1371:E1373)</f>
        <v>50000</v>
      </c>
      <c r="F1374" s="288"/>
      <c r="G1374" s="323">
        <f>SUM(G1371:G1373)</f>
        <v>14617</v>
      </c>
      <c r="H1374" s="324">
        <f t="shared" ref="H1374:I1374" si="1709">SUM(H1371:H1373)</f>
        <v>14400</v>
      </c>
      <c r="I1374" s="324">
        <f t="shared" si="1709"/>
        <v>217</v>
      </c>
      <c r="J1374" s="348" t="str">
        <f>IFERROR(G1374/#REF!,"-")</f>
        <v>-</v>
      </c>
      <c r="K1374" s="323">
        <f t="shared" ref="K1374:M1374" si="1710">SUM(K1371:K1373)</f>
        <v>156055</v>
      </c>
      <c r="L1374" s="368">
        <f t="shared" si="1710"/>
        <v>152016</v>
      </c>
      <c r="M1374" s="370">
        <f t="shared" si="1710"/>
        <v>4039</v>
      </c>
      <c r="N1374" s="342">
        <f t="shared" si="1698"/>
        <v>3.1211000000000002</v>
      </c>
      <c r="O1374" s="348">
        <f t="shared" si="1687"/>
        <v>2.5881900611963729E-2</v>
      </c>
    </row>
    <row r="1375" spans="1:15" ht="23.4" x14ac:dyDescent="0.3">
      <c r="A1375" s="277" t="s">
        <v>109</v>
      </c>
      <c r="B1375" s="970" t="s">
        <v>45</v>
      </c>
      <c r="C1375" s="272" t="s">
        <v>168</v>
      </c>
      <c r="D1375" s="272"/>
      <c r="E1375" s="273">
        <v>0</v>
      </c>
      <c r="F1375" s="274"/>
      <c r="G1375" s="335">
        <f t="shared" ref="G1375:G1376" si="1711">+H1375+I1375</f>
        <v>0</v>
      </c>
      <c r="H1375" s="275"/>
      <c r="I1375" s="275"/>
      <c r="J1375" s="374" t="str">
        <f>IFERROR(G1375/#REF!,"-")</f>
        <v>-</v>
      </c>
      <c r="K1375" s="739">
        <f t="shared" ref="K1375:K1376" si="1712">+L1375+M1375</f>
        <v>0</v>
      </c>
      <c r="L1375" s="532">
        <f>+H1375+L1269</f>
        <v>0</v>
      </c>
      <c r="M1375" s="247">
        <f>+I1375+M1269</f>
        <v>0</v>
      </c>
      <c r="N1375" s="362" t="str">
        <f t="shared" si="1698"/>
        <v>-</v>
      </c>
      <c r="O1375" s="363" t="str">
        <f t="shared" si="1687"/>
        <v>-</v>
      </c>
    </row>
    <row r="1376" spans="1:15" ht="24" thickBot="1" x14ac:dyDescent="0.35">
      <c r="A1376" s="277" t="s">
        <v>109</v>
      </c>
      <c r="B1376" s="971"/>
      <c r="C1376" s="282" t="s">
        <v>169</v>
      </c>
      <c r="D1376" s="282"/>
      <c r="E1376" s="283">
        <v>0</v>
      </c>
      <c r="F1376" s="284"/>
      <c r="G1376" s="337">
        <f t="shared" si="1711"/>
        <v>0</v>
      </c>
      <c r="H1376" s="285"/>
      <c r="I1376" s="285"/>
      <c r="J1376" s="376" t="str">
        <f>IFERROR(G1376/#REF!,"-")</f>
        <v>-</v>
      </c>
      <c r="K1376" s="740">
        <f t="shared" si="1712"/>
        <v>0</v>
      </c>
      <c r="L1376" s="535">
        <f>+H1376+L1270</f>
        <v>0</v>
      </c>
      <c r="M1376" s="258">
        <f>+I1376+M1270</f>
        <v>0</v>
      </c>
      <c r="N1376" s="366" t="str">
        <f t="shared" si="1698"/>
        <v>-</v>
      </c>
      <c r="O1376" s="367" t="str">
        <f t="shared" si="1687"/>
        <v>-</v>
      </c>
    </row>
    <row r="1377" spans="1:15" ht="24" thickBot="1" x14ac:dyDescent="0.35">
      <c r="A1377" s="277" t="s">
        <v>109</v>
      </c>
      <c r="B1377" s="973" t="s">
        <v>46</v>
      </c>
      <c r="C1377" s="974"/>
      <c r="D1377" s="975"/>
      <c r="E1377" s="287">
        <v>0</v>
      </c>
      <c r="F1377" s="288">
        <v>25000</v>
      </c>
      <c r="G1377" s="323">
        <f>SUM(G1375:G1376)</f>
        <v>0</v>
      </c>
      <c r="H1377" s="324">
        <f t="shared" ref="H1377:I1377" si="1713">SUM(H1375:H1376)</f>
        <v>0</v>
      </c>
      <c r="I1377" s="324">
        <f t="shared" si="1713"/>
        <v>0</v>
      </c>
      <c r="J1377" s="348" t="str">
        <f>IFERROR(G1377/#REF!,"-")</f>
        <v>-</v>
      </c>
      <c r="K1377" s="323">
        <f t="shared" ref="K1377:M1377" si="1714">SUM(K1375:K1376)</f>
        <v>0</v>
      </c>
      <c r="L1377" s="524">
        <f t="shared" si="1714"/>
        <v>0</v>
      </c>
      <c r="M1377" s="733">
        <f t="shared" si="1714"/>
        <v>0</v>
      </c>
      <c r="N1377" s="342" t="str">
        <f t="shared" si="1698"/>
        <v>-</v>
      </c>
      <c r="O1377" s="348" t="str">
        <f t="shared" si="1687"/>
        <v>-</v>
      </c>
    </row>
    <row r="1378" spans="1:15" ht="24" thickBot="1" x14ac:dyDescent="0.35">
      <c r="A1378" s="277" t="s">
        <v>109</v>
      </c>
      <c r="B1378" s="959" t="s">
        <v>25</v>
      </c>
      <c r="C1378" s="960"/>
      <c r="D1378" s="961"/>
      <c r="E1378" s="329">
        <f t="shared" ref="E1378:F1378" si="1715">+E1356+E1361+E1364+E1370+E1374+E1377</f>
        <v>1144800</v>
      </c>
      <c r="F1378" s="330">
        <f t="shared" si="1715"/>
        <v>65800</v>
      </c>
      <c r="G1378" s="329">
        <f>+G1356+G1361+G1364+G1370+G1374+G1377</f>
        <v>41776</v>
      </c>
      <c r="H1378" s="327">
        <f>+H1356+H1361+H1364+H1370+H1374+H1377</f>
        <v>41174</v>
      </c>
      <c r="I1378" s="327">
        <f t="shared" ref="I1378" si="1716">+I1356+I1361+I1364+I1370+I1374+I1377</f>
        <v>602</v>
      </c>
      <c r="J1378" s="352" t="str">
        <f>IFERROR(G1378/#REF!,"-")</f>
        <v>-</v>
      </c>
      <c r="K1378" s="329">
        <f>+K1356+K1361+K1364+K1370+K1374+K1377</f>
        <v>519612</v>
      </c>
      <c r="L1378" s="327">
        <f t="shared" ref="L1378:M1378" si="1717">+L1356+L1361+L1364+L1370+L1374+L1377</f>
        <v>510038</v>
      </c>
      <c r="M1378" s="328">
        <f t="shared" si="1717"/>
        <v>9574</v>
      </c>
      <c r="N1378" s="344">
        <f t="shared" si="1698"/>
        <v>0.4538888888888889</v>
      </c>
      <c r="O1378" s="352">
        <f t="shared" si="1687"/>
        <v>1.8425286559971672E-2</v>
      </c>
    </row>
    <row r="1379" spans="1:15" ht="24" thickBot="1" x14ac:dyDescent="0.35">
      <c r="A1379" s="321" t="s">
        <v>109</v>
      </c>
      <c r="B1379" s="962" t="s">
        <v>181</v>
      </c>
      <c r="C1379" s="962"/>
      <c r="D1379" s="963"/>
      <c r="E1379" s="333">
        <f>+E1378</f>
        <v>1144800</v>
      </c>
      <c r="F1379" s="334">
        <f t="shared" ref="F1379:O1379" si="1718">+F1378</f>
        <v>65800</v>
      </c>
      <c r="G1379" s="333">
        <f t="shared" si="1718"/>
        <v>41776</v>
      </c>
      <c r="H1379" s="331">
        <f t="shared" si="1718"/>
        <v>41174</v>
      </c>
      <c r="I1379" s="331">
        <f t="shared" si="1718"/>
        <v>602</v>
      </c>
      <c r="J1379" s="353" t="str">
        <f t="shared" si="1718"/>
        <v>-</v>
      </c>
      <c r="K1379" s="333">
        <f t="shared" si="1718"/>
        <v>519612</v>
      </c>
      <c r="L1379" s="331">
        <f t="shared" si="1718"/>
        <v>510038</v>
      </c>
      <c r="M1379" s="332">
        <f t="shared" si="1718"/>
        <v>9574</v>
      </c>
      <c r="N1379" s="345">
        <f t="shared" si="1718"/>
        <v>0.4538888888888889</v>
      </c>
      <c r="O1379" s="353">
        <f t="shared" si="1718"/>
        <v>1.8425286559971672E-2</v>
      </c>
    </row>
    <row r="1380" spans="1:15" ht="24.6" thickBot="1" x14ac:dyDescent="0.35">
      <c r="A1380" s="322"/>
      <c r="B1380" s="964" t="s">
        <v>182</v>
      </c>
      <c r="C1380" s="965"/>
      <c r="D1380" s="966"/>
      <c r="E1380" s="377">
        <f>+E1323+E1352+E1379</f>
        <v>10258981</v>
      </c>
      <c r="F1380" s="377">
        <f>+F1323+F1352+F1379</f>
        <v>1014800</v>
      </c>
      <c r="G1380" s="377">
        <f>+G1323+G1352+G1379</f>
        <v>358564</v>
      </c>
      <c r="H1380" s="377">
        <f>+H1323+H1352+H1379</f>
        <v>355278</v>
      </c>
      <c r="I1380" s="377">
        <f>+I1323+I1352+I1379</f>
        <v>3286</v>
      </c>
      <c r="J1380" s="378" t="str">
        <f>IFERROR(G1380/#REF!,"-")</f>
        <v>-</v>
      </c>
      <c r="K1380" s="377">
        <f>+K1323+K1352+K1379</f>
        <v>5108785</v>
      </c>
      <c r="L1380" s="377">
        <f>+L1323+L1352+L1379</f>
        <v>5051788</v>
      </c>
      <c r="M1380" s="377">
        <f>+M1323+M1352+M1379</f>
        <v>56997</v>
      </c>
      <c r="N1380" s="378">
        <f>IFERROR(K1380/E1380,"-")</f>
        <v>0.49798171962692983</v>
      </c>
      <c r="O1380" s="378">
        <f>IFERROR(M1380/K1380,"-")</f>
        <v>1.1156664451528103E-2</v>
      </c>
    </row>
    <row r="1381" spans="1:15" ht="23.4" x14ac:dyDescent="0.3">
      <c r="A1381" s="991" t="s">
        <v>1</v>
      </c>
      <c r="B1381" s="994" t="s">
        <v>2</v>
      </c>
      <c r="C1381" s="997" t="s">
        <v>477</v>
      </c>
      <c r="D1381" s="997" t="s">
        <v>478</v>
      </c>
      <c r="E1381" s="1000" t="s">
        <v>4</v>
      </c>
      <c r="F1381" s="1001"/>
      <c r="G1381" s="1001"/>
      <c r="H1381" s="1001"/>
      <c r="I1381" s="1001"/>
      <c r="J1381" s="1001"/>
      <c r="K1381" s="1001"/>
      <c r="L1381" s="1001"/>
      <c r="M1381" s="1001"/>
      <c r="N1381" s="1001"/>
      <c r="O1381" s="1002"/>
    </row>
    <row r="1382" spans="1:15" ht="23.4" x14ac:dyDescent="0.3">
      <c r="A1382" s="992"/>
      <c r="B1382" s="995"/>
      <c r="C1382" s="998"/>
      <c r="D1382" s="998"/>
      <c r="E1382" s="1003" t="s">
        <v>7</v>
      </c>
      <c r="F1382" s="1005" t="s">
        <v>115</v>
      </c>
      <c r="G1382" s="1007" t="s">
        <v>534</v>
      </c>
      <c r="H1382" s="1008"/>
      <c r="I1382" s="1008"/>
      <c r="J1382" s="1009"/>
      <c r="K1382" s="1010" t="s">
        <v>479</v>
      </c>
      <c r="L1382" s="1011"/>
      <c r="M1382" s="1012"/>
      <c r="N1382" s="1013" t="s">
        <v>480</v>
      </c>
      <c r="O1382" s="1015" t="s">
        <v>172</v>
      </c>
    </row>
    <row r="1383" spans="1:15" ht="41.4" thickBot="1" x14ac:dyDescent="0.35">
      <c r="A1383" s="993"/>
      <c r="B1383" s="996"/>
      <c r="C1383" s="999"/>
      <c r="D1383" s="999"/>
      <c r="E1383" s="1004"/>
      <c r="F1383" s="1006"/>
      <c r="G1383" s="455" t="s">
        <v>13</v>
      </c>
      <c r="H1383" s="456" t="s">
        <v>14</v>
      </c>
      <c r="I1383" s="456" t="s">
        <v>15</v>
      </c>
      <c r="J1383" s="457" t="s">
        <v>174</v>
      </c>
      <c r="K1383" s="712" t="s">
        <v>13</v>
      </c>
      <c r="L1383" s="710" t="s">
        <v>14</v>
      </c>
      <c r="M1383" s="711" t="s">
        <v>15</v>
      </c>
      <c r="N1383" s="1014"/>
      <c r="O1383" s="1016"/>
    </row>
    <row r="1384" spans="1:15" ht="24" thickBot="1" x14ac:dyDescent="0.35">
      <c r="A1384" s="271" t="s">
        <v>110</v>
      </c>
      <c r="B1384" s="956" t="s">
        <v>16</v>
      </c>
      <c r="C1384" s="272" t="s">
        <v>424</v>
      </c>
      <c r="D1384" s="272" t="s">
        <v>425</v>
      </c>
      <c r="E1384" s="273">
        <v>20000</v>
      </c>
      <c r="F1384" s="274"/>
      <c r="G1384" s="335">
        <f>+H1384+I1384</f>
        <v>0</v>
      </c>
      <c r="H1384" s="275"/>
      <c r="I1384" s="275"/>
      <c r="J1384" s="354"/>
      <c r="K1384" s="461">
        <f>+L1384+M1384</f>
        <v>20432</v>
      </c>
      <c r="L1384" s="732">
        <f>+H1384+L1278</f>
        <v>19840</v>
      </c>
      <c r="M1384" s="732">
        <f>+I1384+M1278</f>
        <v>592</v>
      </c>
      <c r="N1384" s="339">
        <f>IFERROR(K1384/E1384,"-")</f>
        <v>1.0216000000000001</v>
      </c>
      <c r="O1384" s="346">
        <f t="shared" ref="O1384:O1385" si="1719">IFERROR(M1384/K1384,"-")</f>
        <v>2.8974158183241974E-2</v>
      </c>
    </row>
    <row r="1385" spans="1:15" ht="23.4" x14ac:dyDescent="0.3">
      <c r="A1385" s="277" t="s">
        <v>110</v>
      </c>
      <c r="B1385" s="957"/>
      <c r="C1385" s="278" t="s">
        <v>438</v>
      </c>
      <c r="D1385" s="278" t="s">
        <v>437</v>
      </c>
      <c r="E1385" s="279">
        <v>50000</v>
      </c>
      <c r="F1385" s="280"/>
      <c r="G1385" s="336">
        <f t="shared" ref="G1385:G1387" si="1720">+H1385+I1385</f>
        <v>0</v>
      </c>
      <c r="H1385" s="281"/>
      <c r="I1385" s="281"/>
      <c r="J1385" s="355" t="str">
        <f>IFERROR(G1385/#REF!,"-")</f>
        <v>-</v>
      </c>
      <c r="K1385" s="734">
        <f t="shared" ref="K1385:K1387" si="1721">+L1385+M1385</f>
        <v>48806</v>
      </c>
      <c r="L1385" s="532">
        <f t="shared" ref="L1385:L1387" si="1722">+H1385+L1279</f>
        <v>48381</v>
      </c>
      <c r="M1385" s="463">
        <f t="shared" ref="M1385:M1387" si="1723">+I1385+M1279</f>
        <v>425</v>
      </c>
      <c r="N1385" s="340">
        <f t="shared" ref="N1385:N1387" si="1724">IFERROR(K1385/E1385,"-")</f>
        <v>0.97611999999999999</v>
      </c>
      <c r="O1385" s="268">
        <f t="shared" si="1719"/>
        <v>8.7079457443756912E-3</v>
      </c>
    </row>
    <row r="1386" spans="1:15" s="862" customFormat="1" ht="23.4" x14ac:dyDescent="0.3">
      <c r="A1386" s="277" t="s">
        <v>110</v>
      </c>
      <c r="B1386" s="957"/>
      <c r="C1386" s="580" t="s">
        <v>540</v>
      </c>
      <c r="D1386" s="580" t="s">
        <v>410</v>
      </c>
      <c r="E1386" s="859">
        <v>0</v>
      </c>
      <c r="F1386" s="860"/>
      <c r="G1386" s="336">
        <f t="shared" si="1720"/>
        <v>14720</v>
      </c>
      <c r="H1386" s="861">
        <v>14720</v>
      </c>
      <c r="I1386" s="861"/>
      <c r="J1386" s="355" t="str">
        <f>IFERROR(G1386/#REF!,"-")</f>
        <v>-</v>
      </c>
      <c r="K1386" s="734">
        <f t="shared" si="1721"/>
        <v>28600</v>
      </c>
      <c r="L1386" s="859">
        <f t="shared" si="1722"/>
        <v>28600</v>
      </c>
      <c r="M1386" s="534">
        <f t="shared" si="1723"/>
        <v>0</v>
      </c>
      <c r="N1386" s="340" t="str">
        <f t="shared" si="1724"/>
        <v>-</v>
      </c>
      <c r="O1386" s="268">
        <f>IFERROR(M1386/K1386,"-")</f>
        <v>0</v>
      </c>
    </row>
    <row r="1387" spans="1:15" ht="24" thickBot="1" x14ac:dyDescent="0.35">
      <c r="A1387" s="277" t="s">
        <v>110</v>
      </c>
      <c r="B1387" s="958"/>
      <c r="C1387" s="282" t="s">
        <v>525</v>
      </c>
      <c r="D1387" s="282" t="s">
        <v>436</v>
      </c>
      <c r="E1387" s="283">
        <v>30000</v>
      </c>
      <c r="F1387" s="284"/>
      <c r="G1387" s="337">
        <f t="shared" si="1720"/>
        <v>7118</v>
      </c>
      <c r="H1387" s="275">
        <v>5888</v>
      </c>
      <c r="I1387" s="275">
        <v>1230</v>
      </c>
      <c r="J1387" s="356" t="str">
        <f>IFERROR(G1387/#REF!,"-")</f>
        <v>-</v>
      </c>
      <c r="K1387" s="735">
        <f t="shared" si="1721"/>
        <v>25135</v>
      </c>
      <c r="L1387" s="535">
        <f t="shared" si="1722"/>
        <v>23296</v>
      </c>
      <c r="M1387" s="466">
        <f t="shared" si="1723"/>
        <v>1839</v>
      </c>
      <c r="N1387" s="341">
        <f t="shared" si="1724"/>
        <v>0.83783333333333332</v>
      </c>
      <c r="O1387" s="347">
        <f t="shared" ref="O1387:O1405" si="1725">IFERROR(M1387/K1387,"-")</f>
        <v>7.3164909488760699E-2</v>
      </c>
    </row>
    <row r="1388" spans="1:15" ht="24" thickBot="1" x14ac:dyDescent="0.35">
      <c r="A1388" s="277" t="s">
        <v>110</v>
      </c>
      <c r="B1388" s="967" t="s">
        <v>47</v>
      </c>
      <c r="C1388" s="968"/>
      <c r="D1388" s="969"/>
      <c r="E1388" s="323">
        <f>SUM(E1384:E1387)</f>
        <v>100000</v>
      </c>
      <c r="F1388" s="288">
        <v>15000</v>
      </c>
      <c r="G1388" s="323">
        <f>SUM(G1384:G1387)</f>
        <v>21838</v>
      </c>
      <c r="H1388" s="324">
        <f t="shared" ref="H1388:I1388" si="1726">SUM(H1384:H1387)</f>
        <v>20608</v>
      </c>
      <c r="I1388" s="324">
        <f t="shared" si="1726"/>
        <v>1230</v>
      </c>
      <c r="J1388" s="348">
        <f>+G1388/F1388</f>
        <v>1.4558666666666666</v>
      </c>
      <c r="K1388" s="323">
        <f t="shared" ref="K1388:M1388" si="1727">SUM(K1384:K1387)</f>
        <v>122973</v>
      </c>
      <c r="L1388" s="736">
        <f t="shared" si="1727"/>
        <v>120117</v>
      </c>
      <c r="M1388" s="737">
        <f t="shared" si="1727"/>
        <v>2856</v>
      </c>
      <c r="N1388" s="342">
        <f>IFERROR(K1388/E1388,"-")</f>
        <v>1.22973</v>
      </c>
      <c r="O1388" s="348">
        <f t="shared" si="1725"/>
        <v>2.3224610280305431E-2</v>
      </c>
    </row>
    <row r="1389" spans="1:15" ht="23.4" x14ac:dyDescent="0.3">
      <c r="A1389" s="277" t="s">
        <v>110</v>
      </c>
      <c r="B1389" s="956" t="s">
        <v>17</v>
      </c>
      <c r="C1389" s="272" t="s">
        <v>320</v>
      </c>
      <c r="D1389" s="272"/>
      <c r="E1389" s="273">
        <v>0</v>
      </c>
      <c r="F1389" s="274"/>
      <c r="G1389" s="335">
        <f t="shared" ref="G1389:G1395" si="1728">+H1389+I1389</f>
        <v>30886</v>
      </c>
      <c r="H1389" s="275">
        <v>30600</v>
      </c>
      <c r="I1389" s="275">
        <v>286</v>
      </c>
      <c r="J1389" s="354" t="str">
        <f>IFERROR(G1389/#REF!,"-")</f>
        <v>-</v>
      </c>
      <c r="K1389" s="738">
        <f t="shared" ref="K1389:K1395" si="1729">+L1389+M1389</f>
        <v>196646</v>
      </c>
      <c r="L1389" s="532">
        <f t="shared" ref="L1389:L1395" si="1730">+H1389+L1283</f>
        <v>195840</v>
      </c>
      <c r="M1389" s="463">
        <f t="shared" ref="M1389:M1395" si="1731">+I1389+M1283</f>
        <v>806</v>
      </c>
      <c r="N1389" s="339" t="str">
        <f t="shared" ref="N1389:N1395" si="1732">IFERROR(K1389/E1389,"-")</f>
        <v>-</v>
      </c>
      <c r="O1389" s="349">
        <f t="shared" si="1725"/>
        <v>4.0987357993551863E-3</v>
      </c>
    </row>
    <row r="1390" spans="1:15" ht="23.4" x14ac:dyDescent="0.3">
      <c r="A1390" s="277" t="s">
        <v>110</v>
      </c>
      <c r="B1390" s="957"/>
      <c r="C1390" s="278" t="s">
        <v>382</v>
      </c>
      <c r="D1390" s="278" t="s">
        <v>252</v>
      </c>
      <c r="E1390" s="279">
        <v>2000000</v>
      </c>
      <c r="F1390" s="280"/>
      <c r="G1390" s="336">
        <f t="shared" si="1728"/>
        <v>841</v>
      </c>
      <c r="H1390" s="281"/>
      <c r="I1390" s="281">
        <v>841</v>
      </c>
      <c r="J1390" s="355" t="str">
        <f>IFERROR(G1390/#REF!,"-")</f>
        <v>-</v>
      </c>
      <c r="K1390" s="734">
        <f t="shared" si="1729"/>
        <v>606212</v>
      </c>
      <c r="L1390" s="279">
        <f t="shared" si="1730"/>
        <v>602743</v>
      </c>
      <c r="M1390" s="439">
        <f t="shared" si="1731"/>
        <v>3469</v>
      </c>
      <c r="N1390" s="340">
        <f t="shared" si="1732"/>
        <v>0.30310599999999999</v>
      </c>
      <c r="O1390" s="264">
        <f t="shared" si="1725"/>
        <v>5.7224205393492707E-3</v>
      </c>
    </row>
    <row r="1391" spans="1:15" ht="23.4" x14ac:dyDescent="0.3">
      <c r="A1391" s="277" t="s">
        <v>110</v>
      </c>
      <c r="B1391" s="957"/>
      <c r="C1391" s="278" t="s">
        <v>422</v>
      </c>
      <c r="D1391" s="278" t="s">
        <v>201</v>
      </c>
      <c r="E1391" s="279">
        <v>1000000</v>
      </c>
      <c r="F1391" s="280"/>
      <c r="G1391" s="336">
        <f t="shared" si="1728"/>
        <v>3060</v>
      </c>
      <c r="H1391" s="281"/>
      <c r="I1391" s="281">
        <v>3060</v>
      </c>
      <c r="J1391" s="355" t="str">
        <f>IFERROR(G1391/#REF!,"-")</f>
        <v>-</v>
      </c>
      <c r="K1391" s="734">
        <f t="shared" si="1729"/>
        <v>459333</v>
      </c>
      <c r="L1391" s="279">
        <f t="shared" si="1730"/>
        <v>454716</v>
      </c>
      <c r="M1391" s="439">
        <f t="shared" si="1731"/>
        <v>4617</v>
      </c>
      <c r="N1391" s="340">
        <f t="shared" si="1732"/>
        <v>0.45933299999999999</v>
      </c>
      <c r="O1391" s="264">
        <f t="shared" si="1725"/>
        <v>1.0051531242040088E-2</v>
      </c>
    </row>
    <row r="1392" spans="1:15" ht="23.4" x14ac:dyDescent="0.3">
      <c r="A1392" s="277" t="s">
        <v>110</v>
      </c>
      <c r="B1392" s="957"/>
      <c r="C1392" s="278" t="s">
        <v>319</v>
      </c>
      <c r="D1392" s="278" t="s">
        <v>202</v>
      </c>
      <c r="E1392" s="279">
        <v>0</v>
      </c>
      <c r="F1392" s="280"/>
      <c r="G1392" s="336">
        <f t="shared" si="1728"/>
        <v>116739</v>
      </c>
      <c r="H1392" s="281">
        <f>12240+104040</f>
        <v>116280</v>
      </c>
      <c r="I1392" s="281">
        <f>185+274</f>
        <v>459</v>
      </c>
      <c r="J1392" s="355" t="str">
        <f>IFERROR(G1392/#REF!,"-")</f>
        <v>-</v>
      </c>
      <c r="K1392" s="734">
        <f t="shared" si="1729"/>
        <v>116739</v>
      </c>
      <c r="L1392" s="279">
        <f t="shared" si="1730"/>
        <v>116280</v>
      </c>
      <c r="M1392" s="439">
        <f t="shared" si="1731"/>
        <v>459</v>
      </c>
      <c r="N1392" s="340" t="str">
        <f t="shared" si="1732"/>
        <v>-</v>
      </c>
      <c r="O1392" s="264">
        <f t="shared" si="1725"/>
        <v>3.9318479685452159E-3</v>
      </c>
    </row>
    <row r="1393" spans="1:15" ht="23.4" x14ac:dyDescent="0.3">
      <c r="A1393" s="277" t="s">
        <v>110</v>
      </c>
      <c r="B1393" s="957"/>
      <c r="C1393" s="278" t="s">
        <v>358</v>
      </c>
      <c r="D1393" s="278" t="s">
        <v>352</v>
      </c>
      <c r="E1393" s="279">
        <v>500000</v>
      </c>
      <c r="F1393" s="280"/>
      <c r="G1393" s="336">
        <f t="shared" si="1728"/>
        <v>0</v>
      </c>
      <c r="H1393" s="281"/>
      <c r="I1393" s="281"/>
      <c r="J1393" s="355" t="str">
        <f>IFERROR(G1393/#REF!,"-")</f>
        <v>-</v>
      </c>
      <c r="K1393" s="734">
        <f t="shared" si="1729"/>
        <v>503292</v>
      </c>
      <c r="L1393" s="279">
        <f t="shared" si="1730"/>
        <v>500882</v>
      </c>
      <c r="M1393" s="439">
        <f t="shared" si="1731"/>
        <v>2410</v>
      </c>
      <c r="N1393" s="340">
        <f t="shared" si="1732"/>
        <v>1.0065839999999999</v>
      </c>
      <c r="O1393" s="264">
        <f t="shared" si="1725"/>
        <v>4.7884726957710434E-3</v>
      </c>
    </row>
    <row r="1394" spans="1:15" ht="23.4" x14ac:dyDescent="0.3">
      <c r="A1394" s="277" t="s">
        <v>110</v>
      </c>
      <c r="B1394" s="957"/>
      <c r="C1394" s="278" t="s">
        <v>392</v>
      </c>
      <c r="D1394" s="278" t="s">
        <v>203</v>
      </c>
      <c r="E1394" s="279">
        <v>0</v>
      </c>
      <c r="F1394" s="280"/>
      <c r="G1394" s="336">
        <f t="shared" si="1728"/>
        <v>0</v>
      </c>
      <c r="H1394" s="281"/>
      <c r="I1394" s="281"/>
      <c r="J1394" s="355" t="str">
        <f>IFERROR(G1394/#REF!,"-")</f>
        <v>-</v>
      </c>
      <c r="K1394" s="734">
        <f t="shared" si="1729"/>
        <v>0</v>
      </c>
      <c r="L1394" s="279">
        <f t="shared" si="1730"/>
        <v>0</v>
      </c>
      <c r="M1394" s="439">
        <f t="shared" si="1731"/>
        <v>0</v>
      </c>
      <c r="N1394" s="340" t="str">
        <f t="shared" si="1732"/>
        <v>-</v>
      </c>
      <c r="O1394" s="264" t="str">
        <f t="shared" si="1725"/>
        <v>-</v>
      </c>
    </row>
    <row r="1395" spans="1:15" ht="24" thickBot="1" x14ac:dyDescent="0.35">
      <c r="A1395" s="277" t="s">
        <v>110</v>
      </c>
      <c r="B1395" s="958"/>
      <c r="C1395" s="282" t="s">
        <v>379</v>
      </c>
      <c r="D1395" s="282" t="s">
        <v>252</v>
      </c>
      <c r="E1395" s="283">
        <v>0</v>
      </c>
      <c r="F1395" s="284"/>
      <c r="G1395" s="337">
        <f t="shared" si="1728"/>
        <v>0</v>
      </c>
      <c r="H1395" s="285"/>
      <c r="I1395" s="285"/>
      <c r="J1395" s="356" t="str">
        <f>IFERROR(G1395/#REF!,"-")</f>
        <v>-</v>
      </c>
      <c r="K1395" s="735">
        <f t="shared" si="1729"/>
        <v>0</v>
      </c>
      <c r="L1395" s="535">
        <f t="shared" si="1730"/>
        <v>0</v>
      </c>
      <c r="M1395" s="466">
        <f t="shared" si="1731"/>
        <v>0</v>
      </c>
      <c r="N1395" s="341" t="str">
        <f t="shared" si="1732"/>
        <v>-</v>
      </c>
      <c r="O1395" s="350" t="str">
        <f t="shared" si="1725"/>
        <v>-</v>
      </c>
    </row>
    <row r="1396" spans="1:15" ht="24" thickBot="1" x14ac:dyDescent="0.35">
      <c r="A1396" s="277" t="s">
        <v>110</v>
      </c>
      <c r="B1396" s="967" t="s">
        <v>48</v>
      </c>
      <c r="C1396" s="968"/>
      <c r="D1396" s="969"/>
      <c r="E1396" s="323">
        <f>SUM(E1389:E1395)</f>
        <v>3500000</v>
      </c>
      <c r="F1396" s="288">
        <v>200000</v>
      </c>
      <c r="G1396" s="323">
        <f>SUM(G1389:G1395)</f>
        <v>151526</v>
      </c>
      <c r="H1396" s="324">
        <f t="shared" ref="H1396:I1396" si="1733">SUM(H1389:H1395)</f>
        <v>146880</v>
      </c>
      <c r="I1396" s="324">
        <f t="shared" si="1733"/>
        <v>4646</v>
      </c>
      <c r="J1396" s="348">
        <f>+G1396/F1396</f>
        <v>0.75763000000000003</v>
      </c>
      <c r="K1396" s="323">
        <f>SUM(K1389:K1395)</f>
        <v>1882222</v>
      </c>
      <c r="L1396" s="524">
        <f>SUM(L1389:L1395)</f>
        <v>1870461</v>
      </c>
      <c r="M1396" s="733">
        <f t="shared" ref="M1396" si="1734">SUM(M1389:M1395)</f>
        <v>11761</v>
      </c>
      <c r="N1396" s="342">
        <f>IFERROR(K1396/E1396,"-")</f>
        <v>0.5377777142857143</v>
      </c>
      <c r="O1396" s="348">
        <f t="shared" si="1725"/>
        <v>6.2484659089097885E-3</v>
      </c>
    </row>
    <row r="1397" spans="1:15" ht="23.4" x14ac:dyDescent="0.3">
      <c r="A1397" s="277" t="s">
        <v>110</v>
      </c>
      <c r="B1397" s="956" t="s">
        <v>18</v>
      </c>
      <c r="C1397" s="272" t="s">
        <v>344</v>
      </c>
      <c r="D1397" s="272" t="s">
        <v>99</v>
      </c>
      <c r="E1397" s="273">
        <v>0</v>
      </c>
      <c r="F1397" s="274"/>
      <c r="G1397" s="335">
        <f t="shared" ref="G1397:G1403" si="1735">+H1397+I1397</f>
        <v>0</v>
      </c>
      <c r="H1397" s="275"/>
      <c r="I1397" s="275"/>
      <c r="J1397" s="354" t="str">
        <f>IFERROR(G1397/#REF!,"-")</f>
        <v>-</v>
      </c>
      <c r="K1397" s="335">
        <f t="shared" ref="K1397:K1403" si="1736">+L1397+M1397</f>
        <v>0</v>
      </c>
      <c r="L1397" s="275">
        <f t="shared" ref="L1397:L1403" si="1737">+H1397+L1291</f>
        <v>0</v>
      </c>
      <c r="M1397" s="276">
        <f t="shared" ref="M1397:M1403" si="1738">+I1397+M1291</f>
        <v>0</v>
      </c>
      <c r="N1397" s="339" t="str">
        <f t="shared" ref="N1397:N1404" si="1739">IFERROR(K1397/E1397,"-")</f>
        <v>-</v>
      </c>
      <c r="O1397" s="349" t="str">
        <f t="shared" si="1725"/>
        <v>-</v>
      </c>
    </row>
    <row r="1398" spans="1:15" ht="23.4" x14ac:dyDescent="0.3">
      <c r="A1398" s="277" t="s">
        <v>110</v>
      </c>
      <c r="B1398" s="957"/>
      <c r="C1398" s="278" t="s">
        <v>253</v>
      </c>
      <c r="D1398" s="278" t="s">
        <v>254</v>
      </c>
      <c r="E1398" s="279">
        <v>0</v>
      </c>
      <c r="F1398" s="280"/>
      <c r="G1398" s="336">
        <f t="shared" si="1735"/>
        <v>0</v>
      </c>
      <c r="H1398" s="281"/>
      <c r="I1398" s="281"/>
      <c r="J1398" s="355" t="str">
        <f>IFERROR(G1398/#REF!,"-")</f>
        <v>-</v>
      </c>
      <c r="K1398" s="336">
        <f t="shared" si="1736"/>
        <v>0</v>
      </c>
      <c r="L1398" s="275">
        <f t="shared" si="1737"/>
        <v>0</v>
      </c>
      <c r="M1398" s="276">
        <f t="shared" si="1738"/>
        <v>0</v>
      </c>
      <c r="N1398" s="340" t="str">
        <f t="shared" si="1739"/>
        <v>-</v>
      </c>
      <c r="O1398" s="264" t="str">
        <f t="shared" si="1725"/>
        <v>-</v>
      </c>
    </row>
    <row r="1399" spans="1:15" ht="23.4" x14ac:dyDescent="0.3">
      <c r="A1399" s="277" t="s">
        <v>110</v>
      </c>
      <c r="B1399" s="957"/>
      <c r="C1399" s="278" t="s">
        <v>122</v>
      </c>
      <c r="D1399" s="278"/>
      <c r="E1399" s="279">
        <v>0</v>
      </c>
      <c r="F1399" s="280"/>
      <c r="G1399" s="336">
        <f t="shared" si="1735"/>
        <v>0</v>
      </c>
      <c r="H1399" s="281"/>
      <c r="I1399" s="281"/>
      <c r="J1399" s="355" t="str">
        <f>IFERROR(G1399/#REF!,"-")</f>
        <v>-</v>
      </c>
      <c r="K1399" s="336">
        <f t="shared" si="1736"/>
        <v>0</v>
      </c>
      <c r="L1399" s="275">
        <f t="shared" si="1737"/>
        <v>0</v>
      </c>
      <c r="M1399" s="276">
        <f t="shared" si="1738"/>
        <v>0</v>
      </c>
      <c r="N1399" s="340" t="str">
        <f t="shared" si="1739"/>
        <v>-</v>
      </c>
      <c r="O1399" s="264" t="str">
        <f t="shared" si="1725"/>
        <v>-</v>
      </c>
    </row>
    <row r="1400" spans="1:15" ht="23.4" x14ac:dyDescent="0.3">
      <c r="A1400" s="277" t="s">
        <v>110</v>
      </c>
      <c r="B1400" s="957"/>
      <c r="C1400" s="278" t="s">
        <v>129</v>
      </c>
      <c r="D1400" s="278"/>
      <c r="E1400" s="279">
        <v>0</v>
      </c>
      <c r="F1400" s="280"/>
      <c r="G1400" s="336">
        <f t="shared" si="1735"/>
        <v>0</v>
      </c>
      <c r="H1400" s="281"/>
      <c r="I1400" s="281"/>
      <c r="J1400" s="355" t="str">
        <f>IFERROR(G1400/#REF!,"-")</f>
        <v>-</v>
      </c>
      <c r="K1400" s="336">
        <f t="shared" si="1736"/>
        <v>0</v>
      </c>
      <c r="L1400" s="275">
        <f t="shared" si="1737"/>
        <v>0</v>
      </c>
      <c r="M1400" s="276">
        <f t="shared" si="1738"/>
        <v>0</v>
      </c>
      <c r="N1400" s="340" t="str">
        <f t="shared" si="1739"/>
        <v>-</v>
      </c>
      <c r="O1400" s="264" t="str">
        <f t="shared" si="1725"/>
        <v>-</v>
      </c>
    </row>
    <row r="1401" spans="1:15" ht="23.4" x14ac:dyDescent="0.3">
      <c r="A1401" s="277" t="s">
        <v>110</v>
      </c>
      <c r="B1401" s="957"/>
      <c r="C1401" s="278" t="s">
        <v>189</v>
      </c>
      <c r="D1401" s="278" t="s">
        <v>190</v>
      </c>
      <c r="E1401" s="279">
        <v>0</v>
      </c>
      <c r="F1401" s="280"/>
      <c r="G1401" s="336">
        <f t="shared" si="1735"/>
        <v>0</v>
      </c>
      <c r="H1401" s="281"/>
      <c r="I1401" s="281"/>
      <c r="J1401" s="355" t="str">
        <f>IFERROR(G1401/#REF!,"-")</f>
        <v>-</v>
      </c>
      <c r="K1401" s="336">
        <f t="shared" si="1736"/>
        <v>0</v>
      </c>
      <c r="L1401" s="275">
        <f t="shared" si="1737"/>
        <v>0</v>
      </c>
      <c r="M1401" s="276">
        <f t="shared" si="1738"/>
        <v>0</v>
      </c>
      <c r="N1401" s="340" t="str">
        <f t="shared" si="1739"/>
        <v>-</v>
      </c>
      <c r="O1401" s="264" t="str">
        <f t="shared" si="1725"/>
        <v>-</v>
      </c>
    </row>
    <row r="1402" spans="1:15" ht="23.4" x14ac:dyDescent="0.3">
      <c r="A1402" s="277" t="s">
        <v>110</v>
      </c>
      <c r="B1402" s="957"/>
      <c r="C1402" s="278" t="s">
        <v>192</v>
      </c>
      <c r="D1402" s="278" t="s">
        <v>191</v>
      </c>
      <c r="E1402" s="279">
        <v>0</v>
      </c>
      <c r="F1402" s="280"/>
      <c r="G1402" s="336">
        <f t="shared" si="1735"/>
        <v>0</v>
      </c>
      <c r="H1402" s="281"/>
      <c r="I1402" s="281"/>
      <c r="J1402" s="355" t="str">
        <f>IFERROR(G1402/#REF!,"-")</f>
        <v>-</v>
      </c>
      <c r="K1402" s="336">
        <f t="shared" si="1736"/>
        <v>0</v>
      </c>
      <c r="L1402" s="275">
        <f t="shared" si="1737"/>
        <v>0</v>
      </c>
      <c r="M1402" s="276">
        <f t="shared" si="1738"/>
        <v>0</v>
      </c>
      <c r="N1402" s="340" t="str">
        <f t="shared" si="1739"/>
        <v>-</v>
      </c>
      <c r="O1402" s="264" t="str">
        <f t="shared" si="1725"/>
        <v>-</v>
      </c>
    </row>
    <row r="1403" spans="1:15" ht="24" thickBot="1" x14ac:dyDescent="0.35">
      <c r="A1403" s="277" t="s">
        <v>110</v>
      </c>
      <c r="B1403" s="958"/>
      <c r="C1403" s="289" t="s">
        <v>193</v>
      </c>
      <c r="D1403" s="289" t="s">
        <v>114</v>
      </c>
      <c r="E1403" s="283">
        <v>0</v>
      </c>
      <c r="F1403" s="284"/>
      <c r="G1403" s="337">
        <f t="shared" si="1735"/>
        <v>0</v>
      </c>
      <c r="H1403" s="285"/>
      <c r="I1403" s="285"/>
      <c r="J1403" s="356" t="str">
        <f>IFERROR(G1403/#REF!,"-")</f>
        <v>-</v>
      </c>
      <c r="K1403" s="337">
        <f t="shared" si="1736"/>
        <v>0</v>
      </c>
      <c r="L1403" s="275">
        <f t="shared" si="1737"/>
        <v>0</v>
      </c>
      <c r="M1403" s="276">
        <f t="shared" si="1738"/>
        <v>0</v>
      </c>
      <c r="N1403" s="341" t="str">
        <f t="shared" si="1739"/>
        <v>-</v>
      </c>
      <c r="O1403" s="350" t="str">
        <f t="shared" si="1725"/>
        <v>-</v>
      </c>
    </row>
    <row r="1404" spans="1:15" ht="24" thickBot="1" x14ac:dyDescent="0.35">
      <c r="A1404" s="277" t="s">
        <v>110</v>
      </c>
      <c r="B1404" s="967" t="s">
        <v>29</v>
      </c>
      <c r="C1404" s="968"/>
      <c r="D1404" s="969"/>
      <c r="E1404" s="323">
        <f t="shared" ref="E1404" si="1740">SUM(E1397:E1403)</f>
        <v>0</v>
      </c>
      <c r="F1404" s="288">
        <v>80000</v>
      </c>
      <c r="G1404" s="323">
        <f>SUM(G1397:G1403)</f>
        <v>0</v>
      </c>
      <c r="H1404" s="324">
        <f t="shared" ref="H1404:I1404" si="1741">SUM(H1397:H1403)</f>
        <v>0</v>
      </c>
      <c r="I1404" s="324">
        <f t="shared" si="1741"/>
        <v>0</v>
      </c>
      <c r="J1404" s="348">
        <f>+G1404/F1404</f>
        <v>0</v>
      </c>
      <c r="K1404" s="323">
        <f t="shared" ref="K1404:M1404" si="1742">SUM(K1397:K1403)</f>
        <v>0</v>
      </c>
      <c r="L1404" s="324">
        <f t="shared" si="1742"/>
        <v>0</v>
      </c>
      <c r="M1404" s="325">
        <f t="shared" si="1742"/>
        <v>0</v>
      </c>
      <c r="N1404" s="342" t="str">
        <f t="shared" si="1739"/>
        <v>-</v>
      </c>
      <c r="O1404" s="348" t="str">
        <f t="shared" si="1725"/>
        <v>-</v>
      </c>
    </row>
    <row r="1405" spans="1:15" ht="24" thickBot="1" x14ac:dyDescent="0.35">
      <c r="A1405" s="252" t="s">
        <v>110</v>
      </c>
      <c r="B1405" s="985" t="s">
        <v>19</v>
      </c>
      <c r="C1405" s="653" t="s">
        <v>255</v>
      </c>
      <c r="D1405" s="690" t="s">
        <v>190</v>
      </c>
      <c r="E1405" s="695">
        <v>0</v>
      </c>
      <c r="F1405" s="692">
        <v>110000</v>
      </c>
      <c r="G1405" s="656">
        <f t="shared" ref="G1405:G1407" si="1743">+H1405+I1405</f>
        <v>0</v>
      </c>
      <c r="H1405" s="462"/>
      <c r="I1405" s="462"/>
      <c r="J1405" s="536" t="str">
        <f>IFERROR(G1405/#REF!,"-")</f>
        <v>-</v>
      </c>
      <c r="K1405" s="461">
        <f>+L1405+M1405</f>
        <v>0</v>
      </c>
      <c r="L1405" s="462">
        <f t="shared" ref="L1405:L1407" si="1744">+H1405+L1299</f>
        <v>0</v>
      </c>
      <c r="M1405" s="463">
        <f t="shared" ref="M1405:M1407" si="1745">+I1405+M1299</f>
        <v>0</v>
      </c>
      <c r="N1405" s="658" t="str">
        <f>IFERROR(K1405/E1405,"-")</f>
        <v>-</v>
      </c>
      <c r="O1405" s="659" t="str">
        <f t="shared" si="1725"/>
        <v>-</v>
      </c>
    </row>
    <row r="1406" spans="1:15" ht="24" thickBot="1" x14ac:dyDescent="0.35">
      <c r="A1406" s="252"/>
      <c r="B1406" s="986"/>
      <c r="C1406" s="299" t="s">
        <v>440</v>
      </c>
      <c r="D1406" s="657" t="s">
        <v>515</v>
      </c>
      <c r="E1406" s="696">
        <v>1000000</v>
      </c>
      <c r="F1406" s="693">
        <v>110000</v>
      </c>
      <c r="G1406" s="652">
        <f t="shared" si="1743"/>
        <v>0</v>
      </c>
      <c r="H1406" s="275"/>
      <c r="I1406" s="275"/>
      <c r="J1406" s="354" t="str">
        <f>IFERROR(G1406/#REF!,"-")</f>
        <v>-</v>
      </c>
      <c r="K1406" s="338">
        <f>+L1406+M1406</f>
        <v>19773</v>
      </c>
      <c r="L1406" s="462">
        <f t="shared" si="1744"/>
        <v>19536</v>
      </c>
      <c r="M1406" s="463">
        <f t="shared" si="1745"/>
        <v>237</v>
      </c>
      <c r="N1406" s="343">
        <f t="shared" ref="N1406:N1407" si="1746">IFERROR(K1406/E1406,"-")</f>
        <v>1.9772999999999999E-2</v>
      </c>
      <c r="O1406" s="651">
        <f>IFERROR(M1406/K1406,"-")</f>
        <v>1.1986041571840389E-2</v>
      </c>
    </row>
    <row r="1407" spans="1:15" ht="24" thickBot="1" x14ac:dyDescent="0.35">
      <c r="A1407" s="252"/>
      <c r="B1407" s="987"/>
      <c r="C1407" s="647" t="s">
        <v>380</v>
      </c>
      <c r="D1407" s="691"/>
      <c r="E1407" s="697">
        <v>150000</v>
      </c>
      <c r="F1407" s="694">
        <v>110000</v>
      </c>
      <c r="G1407" s="599">
        <f t="shared" si="1743"/>
        <v>0</v>
      </c>
      <c r="H1407" s="285"/>
      <c r="I1407" s="285"/>
      <c r="J1407" s="356"/>
      <c r="K1407" s="464">
        <f>+L1407+M1407</f>
        <v>0</v>
      </c>
      <c r="L1407" s="462">
        <f t="shared" si="1744"/>
        <v>0</v>
      </c>
      <c r="M1407" s="463">
        <f t="shared" si="1745"/>
        <v>0</v>
      </c>
      <c r="N1407" s="341">
        <f t="shared" si="1746"/>
        <v>0</v>
      </c>
      <c r="O1407" s="648" t="str">
        <f t="shared" ref="O1407:O1458" si="1747">IFERROR(M1407/K1407,"-")</f>
        <v>-</v>
      </c>
    </row>
    <row r="1408" spans="1:15" ht="24" thickBot="1" x14ac:dyDescent="0.35">
      <c r="A1408" s="277" t="s">
        <v>110</v>
      </c>
      <c r="B1408" s="988" t="s">
        <v>49</v>
      </c>
      <c r="C1408" s="968"/>
      <c r="D1408" s="969"/>
      <c r="E1408" s="323">
        <f>SUM(E1405:E1407)</f>
        <v>1150000</v>
      </c>
      <c r="F1408" s="326">
        <f t="shared" ref="F1408" si="1748">SUM(F1405)</f>
        <v>110000</v>
      </c>
      <c r="G1408" s="323">
        <f>SUM(G1405)</f>
        <v>0</v>
      </c>
      <c r="H1408" s="324">
        <f>SUM(H1405:H1407)</f>
        <v>0</v>
      </c>
      <c r="I1408" s="324">
        <f>SUM(I1405:I1407)</f>
        <v>0</v>
      </c>
      <c r="J1408" s="348">
        <f>+G1408/F1408</f>
        <v>0</v>
      </c>
      <c r="K1408" s="649">
        <f>SUM(K1405:K1406)</f>
        <v>19773</v>
      </c>
      <c r="L1408" s="324">
        <f>SUM(L1405:L1406)</f>
        <v>19536</v>
      </c>
      <c r="M1408" s="325">
        <f>SUM(M1405:M1406)</f>
        <v>237</v>
      </c>
      <c r="N1408" s="342">
        <f>IFERROR(K1408/E1408,"-")</f>
        <v>1.7193913043478261E-2</v>
      </c>
      <c r="O1408" s="348">
        <f t="shared" si="1747"/>
        <v>1.1986041571840389E-2</v>
      </c>
    </row>
    <row r="1409" spans="1:15" ht="23.4" x14ac:dyDescent="0.3">
      <c r="A1409" s="277" t="s">
        <v>110</v>
      </c>
      <c r="B1409" s="956" t="s">
        <v>20</v>
      </c>
      <c r="C1409" s="294" t="s">
        <v>351</v>
      </c>
      <c r="D1409" s="294" t="s">
        <v>313</v>
      </c>
      <c r="E1409" s="273">
        <v>0</v>
      </c>
      <c r="F1409" s="274"/>
      <c r="G1409" s="335">
        <f t="shared" ref="G1409:G1411" si="1749">+H1409+I1409</f>
        <v>0</v>
      </c>
      <c r="H1409" s="275"/>
      <c r="I1409" s="275"/>
      <c r="J1409" s="354" t="str">
        <f>IFERROR(G1409/#REF!,"-")</f>
        <v>-</v>
      </c>
      <c r="K1409" s="335">
        <f t="shared" ref="K1409:K1411" si="1750">+L1409+M1409</f>
        <v>0</v>
      </c>
      <c r="L1409" s="275">
        <f t="shared" ref="L1409:L1411" si="1751">+H1409+L1303</f>
        <v>0</v>
      </c>
      <c r="M1409" s="276">
        <f t="shared" ref="M1409:M1411" si="1752">+I1409+M1303</f>
        <v>0</v>
      </c>
      <c r="N1409" s="339" t="str">
        <f t="shared" ref="N1409:N1412" si="1753">IFERROR(K1409/E1409,"-")</f>
        <v>-</v>
      </c>
      <c r="O1409" s="349" t="str">
        <f t="shared" si="1747"/>
        <v>-</v>
      </c>
    </row>
    <row r="1410" spans="1:15" ht="23.4" x14ac:dyDescent="0.3">
      <c r="A1410" s="277" t="s">
        <v>110</v>
      </c>
      <c r="B1410" s="957"/>
      <c r="C1410" s="295" t="s">
        <v>121</v>
      </c>
      <c r="D1410" s="295"/>
      <c r="E1410" s="279">
        <v>0</v>
      </c>
      <c r="F1410" s="280"/>
      <c r="G1410" s="336">
        <f t="shared" si="1749"/>
        <v>0</v>
      </c>
      <c r="H1410" s="281"/>
      <c r="I1410" s="281"/>
      <c r="J1410" s="355" t="str">
        <f>IFERROR(G1410/#REF!,"-")</f>
        <v>-</v>
      </c>
      <c r="K1410" s="336">
        <f t="shared" si="1750"/>
        <v>0</v>
      </c>
      <c r="L1410" s="275">
        <f t="shared" si="1751"/>
        <v>0</v>
      </c>
      <c r="M1410" s="276">
        <f t="shared" si="1752"/>
        <v>0</v>
      </c>
      <c r="N1410" s="340" t="str">
        <f t="shared" si="1753"/>
        <v>-</v>
      </c>
      <c r="O1410" s="264" t="str">
        <f t="shared" si="1747"/>
        <v>-</v>
      </c>
    </row>
    <row r="1411" spans="1:15" ht="24" thickBot="1" x14ac:dyDescent="0.35">
      <c r="A1411" s="277" t="s">
        <v>110</v>
      </c>
      <c r="B1411" s="958"/>
      <c r="C1411" s="296" t="s">
        <v>127</v>
      </c>
      <c r="D1411" s="296"/>
      <c r="E1411" s="283">
        <v>0</v>
      </c>
      <c r="F1411" s="284"/>
      <c r="G1411" s="337">
        <f t="shared" si="1749"/>
        <v>0</v>
      </c>
      <c r="H1411" s="285"/>
      <c r="I1411" s="285"/>
      <c r="J1411" s="356" t="str">
        <f>IFERROR(G1411/#REF!,"-")</f>
        <v>-</v>
      </c>
      <c r="K1411" s="337">
        <f t="shared" si="1750"/>
        <v>0</v>
      </c>
      <c r="L1411" s="275">
        <f t="shared" si="1751"/>
        <v>0</v>
      </c>
      <c r="M1411" s="276">
        <f t="shared" si="1752"/>
        <v>0</v>
      </c>
      <c r="N1411" s="341" t="str">
        <f t="shared" si="1753"/>
        <v>-</v>
      </c>
      <c r="O1411" s="350" t="str">
        <f t="shared" si="1747"/>
        <v>-</v>
      </c>
    </row>
    <row r="1412" spans="1:15" ht="24" thickBot="1" x14ac:dyDescent="0.35">
      <c r="A1412" s="277" t="s">
        <v>110</v>
      </c>
      <c r="B1412" s="968" t="s">
        <v>50</v>
      </c>
      <c r="C1412" s="968"/>
      <c r="D1412" s="989"/>
      <c r="E1412" s="323">
        <f t="shared" ref="E1412" si="1754">SUM(E1409:E1411)</f>
        <v>0</v>
      </c>
      <c r="F1412" s="288">
        <v>50000</v>
      </c>
      <c r="G1412" s="323">
        <f>SUM(G1409:G1411)</f>
        <v>0</v>
      </c>
      <c r="H1412" s="324">
        <f t="shared" ref="H1412:I1412" si="1755">SUM(H1409:H1411)</f>
        <v>0</v>
      </c>
      <c r="I1412" s="324">
        <f t="shared" si="1755"/>
        <v>0</v>
      </c>
      <c r="J1412" s="348">
        <f>+G1412/F1412</f>
        <v>0</v>
      </c>
      <c r="K1412" s="323">
        <f t="shared" ref="K1412:M1412" si="1756">SUM(K1409:K1411)</f>
        <v>0</v>
      </c>
      <c r="L1412" s="324">
        <f t="shared" si="1756"/>
        <v>0</v>
      </c>
      <c r="M1412" s="325">
        <f t="shared" si="1756"/>
        <v>0</v>
      </c>
      <c r="N1412" s="342" t="str">
        <f t="shared" si="1753"/>
        <v>-</v>
      </c>
      <c r="O1412" s="348" t="str">
        <f t="shared" si="1747"/>
        <v>-</v>
      </c>
    </row>
    <row r="1413" spans="1:15" ht="24" thickBot="1" x14ac:dyDescent="0.35">
      <c r="A1413" s="277" t="s">
        <v>110</v>
      </c>
      <c r="B1413" s="981" t="s">
        <v>21</v>
      </c>
      <c r="C1413" s="982"/>
      <c r="D1413" s="983"/>
      <c r="E1413" s="329">
        <f>+E1388+E1396+E1404+E1408+E1412</f>
        <v>4750000</v>
      </c>
      <c r="F1413" s="330">
        <f>+F1388+F1396+F1404+F1408+F1412</f>
        <v>455000</v>
      </c>
      <c r="G1413" s="329">
        <f>+G1388+G1396+G1404+G1408+G1412</f>
        <v>173364</v>
      </c>
      <c r="H1413" s="327">
        <f>+H1388+H1396+H1404+H1408+H1412</f>
        <v>167488</v>
      </c>
      <c r="I1413" s="327">
        <f>+I1388+I1396+I1404+I1408+I1412</f>
        <v>5876</v>
      </c>
      <c r="J1413" s="352">
        <f>+G1413/F1413</f>
        <v>0.38101978021978022</v>
      </c>
      <c r="K1413" s="329">
        <f>+K1388+K1396+K1404+K1408+K1412</f>
        <v>2024968</v>
      </c>
      <c r="L1413" s="327">
        <f>+L1388+L1396+L1404+L1408+L1412</f>
        <v>2010114</v>
      </c>
      <c r="M1413" s="328">
        <f>+M1388+M1396+M1404+M1408+M1412</f>
        <v>14854</v>
      </c>
      <c r="N1413" s="344">
        <f>IFERROR(K1413/E1413,"-")</f>
        <v>0.42630905263157892</v>
      </c>
      <c r="O1413" s="352">
        <f t="shared" si="1747"/>
        <v>7.335424559795513E-3</v>
      </c>
    </row>
    <row r="1414" spans="1:15" ht="23.4" x14ac:dyDescent="0.3">
      <c r="A1414" s="277" t="s">
        <v>110</v>
      </c>
      <c r="B1414" s="956" t="s">
        <v>481</v>
      </c>
      <c r="C1414" s="272" t="s">
        <v>132</v>
      </c>
      <c r="D1414" s="272"/>
      <c r="E1414" s="273">
        <v>0</v>
      </c>
      <c r="F1414" s="274"/>
      <c r="G1414" s="335">
        <f t="shared" ref="G1414:G1417" si="1757">+H1414+I1414</f>
        <v>0</v>
      </c>
      <c r="H1414" s="275"/>
      <c r="I1414" s="275"/>
      <c r="J1414" s="354" t="str">
        <f>IFERROR(G1414/#REF!,"-")</f>
        <v>-</v>
      </c>
      <c r="K1414" s="335">
        <f t="shared" ref="K1414:K1417" si="1758">+L1414+M1414</f>
        <v>0</v>
      </c>
      <c r="L1414" s="275">
        <f t="shared" ref="L1414:L1417" si="1759">+H1414+L1308</f>
        <v>0</v>
      </c>
      <c r="M1414" s="276">
        <f t="shared" ref="M1414:M1417" si="1760">+I1414+M1308</f>
        <v>0</v>
      </c>
      <c r="N1414" s="339" t="str">
        <f t="shared" ref="N1414:N1428" si="1761">IFERROR(K1414/E1414,"-")</f>
        <v>-</v>
      </c>
      <c r="O1414" s="349" t="str">
        <f t="shared" si="1747"/>
        <v>-</v>
      </c>
    </row>
    <row r="1415" spans="1:15" ht="23.4" x14ac:dyDescent="0.3">
      <c r="A1415" s="277" t="s">
        <v>110</v>
      </c>
      <c r="B1415" s="957"/>
      <c r="C1415" s="298" t="s">
        <v>283</v>
      </c>
      <c r="D1415" s="298" t="s">
        <v>194</v>
      </c>
      <c r="E1415" s="279">
        <v>0</v>
      </c>
      <c r="F1415" s="280"/>
      <c r="G1415" s="336">
        <f t="shared" si="1757"/>
        <v>0</v>
      </c>
      <c r="H1415" s="281"/>
      <c r="I1415" s="281"/>
      <c r="J1415" s="355" t="str">
        <f>IFERROR(G1415/#REF!,"-")</f>
        <v>-</v>
      </c>
      <c r="K1415" s="336">
        <f t="shared" si="1758"/>
        <v>0</v>
      </c>
      <c r="L1415" s="275">
        <f t="shared" si="1759"/>
        <v>0</v>
      </c>
      <c r="M1415" s="276">
        <f t="shared" si="1760"/>
        <v>0</v>
      </c>
      <c r="N1415" s="340" t="str">
        <f t="shared" si="1761"/>
        <v>-</v>
      </c>
      <c r="O1415" s="264" t="str">
        <f t="shared" si="1747"/>
        <v>-</v>
      </c>
    </row>
    <row r="1416" spans="1:15" ht="23.4" x14ac:dyDescent="0.3">
      <c r="A1416" s="277" t="s">
        <v>110</v>
      </c>
      <c r="B1416" s="957"/>
      <c r="C1416" s="298" t="s">
        <v>405</v>
      </c>
      <c r="D1416" s="298" t="s">
        <v>194</v>
      </c>
      <c r="E1416" s="279">
        <v>1000000</v>
      </c>
      <c r="F1416" s="280"/>
      <c r="G1416" s="336">
        <f t="shared" si="1757"/>
        <v>7536</v>
      </c>
      <c r="H1416" s="281">
        <f>3480+3750</f>
        <v>7230</v>
      </c>
      <c r="I1416" s="281">
        <v>306</v>
      </c>
      <c r="J1416" s="355" t="str">
        <f>IFERROR(G1416/#REF!,"-")</f>
        <v>-</v>
      </c>
      <c r="K1416" s="336">
        <f t="shared" si="1758"/>
        <v>362579</v>
      </c>
      <c r="L1416" s="275">
        <f t="shared" si="1759"/>
        <v>359670</v>
      </c>
      <c r="M1416" s="276">
        <f t="shared" si="1760"/>
        <v>2909</v>
      </c>
      <c r="N1416" s="340">
        <f t="shared" si="1761"/>
        <v>0.36257899999999998</v>
      </c>
      <c r="O1416" s="264">
        <f t="shared" si="1747"/>
        <v>8.0230791082770928E-3</v>
      </c>
    </row>
    <row r="1417" spans="1:15" ht="24" thickBot="1" x14ac:dyDescent="0.35">
      <c r="A1417" s="277" t="s">
        <v>110</v>
      </c>
      <c r="B1417" s="958"/>
      <c r="C1417" s="282" t="s">
        <v>195</v>
      </c>
      <c r="D1417" s="282" t="s">
        <v>100</v>
      </c>
      <c r="E1417" s="283">
        <v>0</v>
      </c>
      <c r="F1417" s="284"/>
      <c r="G1417" s="337">
        <f t="shared" si="1757"/>
        <v>0</v>
      </c>
      <c r="H1417" s="285"/>
      <c r="I1417" s="285"/>
      <c r="J1417" s="356" t="str">
        <f>IFERROR(G1417/#REF!,"-")</f>
        <v>-</v>
      </c>
      <c r="K1417" s="337">
        <f t="shared" si="1758"/>
        <v>0</v>
      </c>
      <c r="L1417" s="275">
        <f t="shared" si="1759"/>
        <v>0</v>
      </c>
      <c r="M1417" s="276">
        <f t="shared" si="1760"/>
        <v>0</v>
      </c>
      <c r="N1417" s="341" t="str">
        <f t="shared" si="1761"/>
        <v>-</v>
      </c>
      <c r="O1417" s="350" t="str">
        <f t="shared" si="1747"/>
        <v>-</v>
      </c>
    </row>
    <row r="1418" spans="1:15" ht="24" thickBot="1" x14ac:dyDescent="0.35">
      <c r="A1418" s="277" t="s">
        <v>110</v>
      </c>
      <c r="B1418" s="967" t="s">
        <v>51</v>
      </c>
      <c r="C1418" s="968"/>
      <c r="D1418" s="969"/>
      <c r="E1418" s="287">
        <f>SUM(E1414:E1417)</f>
        <v>1000000</v>
      </c>
      <c r="F1418" s="288">
        <v>80000</v>
      </c>
      <c r="G1418" s="323">
        <f>SUM(G1414:G1417)</f>
        <v>7536</v>
      </c>
      <c r="H1418" s="324">
        <f t="shared" ref="H1418:I1418" si="1762">SUM(H1414:H1417)</f>
        <v>7230</v>
      </c>
      <c r="I1418" s="324">
        <f t="shared" si="1762"/>
        <v>306</v>
      </c>
      <c r="J1418" s="348">
        <f>+G1418/F1418</f>
        <v>9.4200000000000006E-2</v>
      </c>
      <c r="K1418" s="323">
        <f t="shared" ref="K1418:M1418" si="1763">SUM(K1414:K1417)</f>
        <v>362579</v>
      </c>
      <c r="L1418" s="324">
        <f t="shared" si="1763"/>
        <v>359670</v>
      </c>
      <c r="M1418" s="325">
        <f t="shared" si="1763"/>
        <v>2909</v>
      </c>
      <c r="N1418" s="342">
        <f t="shared" si="1761"/>
        <v>0.36257899999999998</v>
      </c>
      <c r="O1418" s="348">
        <f t="shared" si="1747"/>
        <v>8.0230791082770928E-3</v>
      </c>
    </row>
    <row r="1419" spans="1:15" ht="23.4" x14ac:dyDescent="0.3">
      <c r="A1419" s="277" t="s">
        <v>110</v>
      </c>
      <c r="B1419" s="956" t="s">
        <v>23</v>
      </c>
      <c r="C1419" s="299" t="s">
        <v>337</v>
      </c>
      <c r="D1419" s="299" t="s">
        <v>258</v>
      </c>
      <c r="E1419" s="273">
        <f>25000+10875+6000</f>
        <v>41875</v>
      </c>
      <c r="F1419" s="274"/>
      <c r="G1419" s="335">
        <f t="shared" ref="G1419:G1426" si="1764">+H1419+I1419</f>
        <v>0</v>
      </c>
      <c r="H1419" s="275"/>
      <c r="I1419" s="275"/>
      <c r="J1419" s="354" t="str">
        <f>IFERROR(G1419/#REF!,"-")</f>
        <v>-</v>
      </c>
      <c r="K1419" s="335">
        <f t="shared" ref="K1419:K1426" si="1765">+L1419+M1419</f>
        <v>0</v>
      </c>
      <c r="L1419" s="275">
        <f t="shared" ref="L1419:L1426" si="1766">+H1419+L1313</f>
        <v>0</v>
      </c>
      <c r="M1419" s="276">
        <f t="shared" ref="M1419:M1426" si="1767">+I1419+M1313</f>
        <v>0</v>
      </c>
      <c r="N1419" s="339">
        <f t="shared" si="1761"/>
        <v>0</v>
      </c>
      <c r="O1419" s="349" t="str">
        <f t="shared" si="1747"/>
        <v>-</v>
      </c>
    </row>
    <row r="1420" spans="1:15" ht="23.4" x14ac:dyDescent="0.3">
      <c r="A1420" s="277" t="s">
        <v>110</v>
      </c>
      <c r="B1420" s="957"/>
      <c r="C1420" s="278" t="s">
        <v>24</v>
      </c>
      <c r="D1420" s="278" t="s">
        <v>258</v>
      </c>
      <c r="E1420" s="279">
        <v>97500</v>
      </c>
      <c r="F1420" s="280"/>
      <c r="G1420" s="336">
        <f t="shared" si="1764"/>
        <v>0</v>
      </c>
      <c r="H1420" s="281"/>
      <c r="I1420" s="281"/>
      <c r="J1420" s="355" t="str">
        <f>IFERROR(G1420/#REF!,"-")</f>
        <v>-</v>
      </c>
      <c r="K1420" s="336">
        <f t="shared" si="1765"/>
        <v>0</v>
      </c>
      <c r="L1420" s="275">
        <f t="shared" si="1766"/>
        <v>0</v>
      </c>
      <c r="M1420" s="276">
        <f t="shared" si="1767"/>
        <v>0</v>
      </c>
      <c r="N1420" s="340">
        <f t="shared" si="1761"/>
        <v>0</v>
      </c>
      <c r="O1420" s="264" t="str">
        <f t="shared" si="1747"/>
        <v>-</v>
      </c>
    </row>
    <row r="1421" spans="1:15" ht="23.4" x14ac:dyDescent="0.3">
      <c r="A1421" s="277" t="s">
        <v>110</v>
      </c>
      <c r="B1421" s="957"/>
      <c r="C1421" s="278" t="s">
        <v>256</v>
      </c>
      <c r="D1421" s="278" t="s">
        <v>258</v>
      </c>
      <c r="E1421" s="279">
        <v>17750</v>
      </c>
      <c r="F1421" s="280"/>
      <c r="G1421" s="336">
        <f t="shared" si="1764"/>
        <v>0</v>
      </c>
      <c r="H1421" s="281"/>
      <c r="I1421" s="281"/>
      <c r="J1421" s="355" t="str">
        <f>IFERROR(G1421/#REF!,"-")</f>
        <v>-</v>
      </c>
      <c r="K1421" s="336">
        <f t="shared" si="1765"/>
        <v>19656</v>
      </c>
      <c r="L1421" s="275">
        <f t="shared" si="1766"/>
        <v>19545</v>
      </c>
      <c r="M1421" s="276">
        <f t="shared" si="1767"/>
        <v>111</v>
      </c>
      <c r="N1421" s="340">
        <f t="shared" si="1761"/>
        <v>1.1073802816901408</v>
      </c>
      <c r="O1421" s="264">
        <f t="shared" si="1747"/>
        <v>5.647130647130647E-3</v>
      </c>
    </row>
    <row r="1422" spans="1:15" ht="23.4" x14ac:dyDescent="0.3">
      <c r="A1422" s="277" t="s">
        <v>110</v>
      </c>
      <c r="B1422" s="957"/>
      <c r="C1422" s="278" t="s">
        <v>257</v>
      </c>
      <c r="D1422" s="278" t="s">
        <v>258</v>
      </c>
      <c r="E1422" s="279">
        <v>20000</v>
      </c>
      <c r="F1422" s="280"/>
      <c r="G1422" s="336">
        <f t="shared" si="1764"/>
        <v>18713</v>
      </c>
      <c r="H1422" s="281">
        <v>18611</v>
      </c>
      <c r="I1422" s="281">
        <v>102</v>
      </c>
      <c r="J1422" s="355" t="str">
        <f>IFERROR(G1422/#REF!,"-")</f>
        <v>-</v>
      </c>
      <c r="K1422" s="336">
        <f t="shared" si="1765"/>
        <v>20512</v>
      </c>
      <c r="L1422" s="275">
        <f t="shared" si="1766"/>
        <v>20361</v>
      </c>
      <c r="M1422" s="276">
        <f t="shared" si="1767"/>
        <v>151</v>
      </c>
      <c r="N1422" s="340">
        <f t="shared" si="1761"/>
        <v>1.0256000000000001</v>
      </c>
      <c r="O1422" s="264">
        <f t="shared" si="1747"/>
        <v>7.3615444617784707E-3</v>
      </c>
    </row>
    <row r="1423" spans="1:15" ht="23.4" x14ac:dyDescent="0.3">
      <c r="A1423" s="277" t="s">
        <v>110</v>
      </c>
      <c r="B1423" s="957"/>
      <c r="C1423" s="298" t="s">
        <v>475</v>
      </c>
      <c r="D1423" s="278" t="s">
        <v>258</v>
      </c>
      <c r="E1423" s="279">
        <v>10000</v>
      </c>
      <c r="F1423" s="280"/>
      <c r="G1423" s="336">
        <f t="shared" si="1764"/>
        <v>0</v>
      </c>
      <c r="H1423" s="281"/>
      <c r="I1423" s="281"/>
      <c r="J1423" s="355" t="str">
        <f>IFERROR(G1423/#REF!,"-")</f>
        <v>-</v>
      </c>
      <c r="K1423" s="336">
        <f t="shared" si="1765"/>
        <v>12327</v>
      </c>
      <c r="L1423" s="275">
        <f t="shared" si="1766"/>
        <v>12307</v>
      </c>
      <c r="M1423" s="276">
        <f t="shared" si="1767"/>
        <v>20</v>
      </c>
      <c r="N1423" s="340">
        <f t="shared" si="1761"/>
        <v>1.2326999999999999</v>
      </c>
      <c r="O1423" s="264">
        <f t="shared" si="1747"/>
        <v>1.6224547740731727E-3</v>
      </c>
    </row>
    <row r="1424" spans="1:15" ht="23.4" x14ac:dyDescent="0.3">
      <c r="A1424" s="277" t="s">
        <v>110</v>
      </c>
      <c r="B1424" s="957"/>
      <c r="C1424" s="298" t="s">
        <v>506</v>
      </c>
      <c r="D1424" s="278" t="s">
        <v>258</v>
      </c>
      <c r="E1424" s="279">
        <v>9000</v>
      </c>
      <c r="F1424" s="280"/>
      <c r="G1424" s="336">
        <f t="shared" si="1764"/>
        <v>0</v>
      </c>
      <c r="H1424" s="281"/>
      <c r="I1424" s="281"/>
      <c r="J1424" s="355" t="str">
        <f>IFERROR(G1424/#REF!,"-")</f>
        <v>-</v>
      </c>
      <c r="K1424" s="336">
        <f t="shared" si="1765"/>
        <v>26750</v>
      </c>
      <c r="L1424" s="275">
        <f t="shared" si="1766"/>
        <v>26682</v>
      </c>
      <c r="M1424" s="276">
        <f t="shared" si="1767"/>
        <v>68</v>
      </c>
      <c r="N1424" s="340">
        <f t="shared" si="1761"/>
        <v>2.9722222222222223</v>
      </c>
      <c r="O1424" s="264">
        <f t="shared" si="1747"/>
        <v>2.542056074766355E-3</v>
      </c>
    </row>
    <row r="1425" spans="1:15" ht="23.4" x14ac:dyDescent="0.3">
      <c r="A1425" s="277" t="s">
        <v>110</v>
      </c>
      <c r="B1425" s="957"/>
      <c r="C1425" s="298" t="s">
        <v>261</v>
      </c>
      <c r="D1425" s="278" t="s">
        <v>263</v>
      </c>
      <c r="E1425" s="279">
        <v>22500</v>
      </c>
      <c r="F1425" s="280"/>
      <c r="G1425" s="336">
        <f t="shared" si="1764"/>
        <v>0</v>
      </c>
      <c r="H1425" s="281"/>
      <c r="I1425" s="281"/>
      <c r="J1425" s="355" t="str">
        <f>IFERROR(G1425/#REF!,"-")</f>
        <v>-</v>
      </c>
      <c r="K1425" s="336">
        <f t="shared" si="1765"/>
        <v>23536</v>
      </c>
      <c r="L1425" s="275">
        <f t="shared" si="1766"/>
        <v>23490</v>
      </c>
      <c r="M1425" s="276">
        <f t="shared" si="1767"/>
        <v>46</v>
      </c>
      <c r="N1425" s="340">
        <f t="shared" si="1761"/>
        <v>1.0460444444444446</v>
      </c>
      <c r="O1425" s="264">
        <f t="shared" si="1747"/>
        <v>1.954452753229096E-3</v>
      </c>
    </row>
    <row r="1426" spans="1:15" ht="24" thickBot="1" x14ac:dyDescent="0.35">
      <c r="A1426" s="277" t="s">
        <v>110</v>
      </c>
      <c r="B1426" s="958"/>
      <c r="C1426" s="298" t="s">
        <v>262</v>
      </c>
      <c r="D1426" s="278" t="s">
        <v>258</v>
      </c>
      <c r="E1426" s="283">
        <v>33500</v>
      </c>
      <c r="F1426" s="284"/>
      <c r="G1426" s="337">
        <f t="shared" si="1764"/>
        <v>875</v>
      </c>
      <c r="H1426" s="285">
        <v>875</v>
      </c>
      <c r="I1426" s="285"/>
      <c r="J1426" s="356" t="str">
        <f>IFERROR(G1426/#REF!,"-")</f>
        <v>-</v>
      </c>
      <c r="K1426" s="337">
        <f t="shared" si="1765"/>
        <v>29765</v>
      </c>
      <c r="L1426" s="275">
        <f t="shared" si="1766"/>
        <v>29625</v>
      </c>
      <c r="M1426" s="276">
        <f t="shared" si="1767"/>
        <v>140</v>
      </c>
      <c r="N1426" s="341">
        <f t="shared" si="1761"/>
        <v>0.88850746268656722</v>
      </c>
      <c r="O1426" s="350">
        <f t="shared" si="1747"/>
        <v>4.7035108348731734E-3</v>
      </c>
    </row>
    <row r="1427" spans="1:15" ht="24" thickBot="1" x14ac:dyDescent="0.35">
      <c r="A1427" s="277" t="s">
        <v>110</v>
      </c>
      <c r="B1427" s="967" t="s">
        <v>52</v>
      </c>
      <c r="C1427" s="968"/>
      <c r="D1427" s="969"/>
      <c r="E1427" s="287">
        <f>SUM(E1419:E1426)</f>
        <v>252125</v>
      </c>
      <c r="F1427" s="288">
        <v>14000</v>
      </c>
      <c r="G1427" s="323">
        <f>SUM(G1419:G1426)</f>
        <v>19588</v>
      </c>
      <c r="H1427" s="324">
        <f t="shared" ref="H1427:I1427" si="1768">SUM(H1419:H1426)</f>
        <v>19486</v>
      </c>
      <c r="I1427" s="324">
        <f t="shared" si="1768"/>
        <v>102</v>
      </c>
      <c r="J1427" s="348">
        <f>+G1428/F1428</f>
        <v>0.2885531914893617</v>
      </c>
      <c r="K1427" s="323">
        <f>SUM(K1419:K1426)</f>
        <v>132546</v>
      </c>
      <c r="L1427" s="324">
        <f t="shared" ref="L1427:M1427" si="1769">SUM(L1419:L1426)</f>
        <v>132010</v>
      </c>
      <c r="M1427" s="325">
        <f t="shared" si="1769"/>
        <v>536</v>
      </c>
      <c r="N1427" s="342">
        <f t="shared" si="1761"/>
        <v>0.5257154189390183</v>
      </c>
      <c r="O1427" s="348">
        <f t="shared" si="1747"/>
        <v>4.0438791061216482E-3</v>
      </c>
    </row>
    <row r="1428" spans="1:15" ht="24" thickBot="1" x14ac:dyDescent="0.35">
      <c r="A1428" s="277" t="s">
        <v>110</v>
      </c>
      <c r="B1428" s="981" t="s">
        <v>25</v>
      </c>
      <c r="C1428" s="982"/>
      <c r="D1428" s="983"/>
      <c r="E1428" s="329">
        <f t="shared" ref="E1428:F1428" si="1770">+E1418+E1427</f>
        <v>1252125</v>
      </c>
      <c r="F1428" s="330">
        <f t="shared" si="1770"/>
        <v>94000</v>
      </c>
      <c r="G1428" s="329">
        <f>+G1418+G1427</f>
        <v>27124</v>
      </c>
      <c r="H1428" s="327">
        <f t="shared" ref="H1428:I1428" si="1771">+H1418+H1427</f>
        <v>26716</v>
      </c>
      <c r="I1428" s="327">
        <f t="shared" si="1771"/>
        <v>408</v>
      </c>
      <c r="J1428" s="352" t="str">
        <f>IFERROR(G1428/#REF!,"-")</f>
        <v>-</v>
      </c>
      <c r="K1428" s="329">
        <f t="shared" ref="K1428" si="1772">+K1418+K1427</f>
        <v>495125</v>
      </c>
      <c r="L1428" s="327">
        <f>+L1418+L1427</f>
        <v>491680</v>
      </c>
      <c r="M1428" s="328">
        <f t="shared" ref="M1428" si="1773">+M1418+M1427</f>
        <v>3445</v>
      </c>
      <c r="N1428" s="344">
        <f t="shared" si="1761"/>
        <v>0.39542777278626334</v>
      </c>
      <c r="O1428" s="352">
        <f t="shared" si="1747"/>
        <v>6.9578389295632415E-3</v>
      </c>
    </row>
    <row r="1429" spans="1:15" ht="24" thickBot="1" x14ac:dyDescent="0.35">
      <c r="A1429" s="277" t="s">
        <v>110</v>
      </c>
      <c r="B1429" s="984" t="s">
        <v>180</v>
      </c>
      <c r="C1429" s="962"/>
      <c r="D1429" s="963"/>
      <c r="E1429" s="333">
        <f>+E1413+E1428</f>
        <v>6002125</v>
      </c>
      <c r="F1429" s="334">
        <f t="shared" ref="F1429:I1429" si="1774">+F1413+F1428</f>
        <v>549000</v>
      </c>
      <c r="G1429" s="333">
        <f t="shared" si="1774"/>
        <v>200488</v>
      </c>
      <c r="H1429" s="331">
        <f t="shared" si="1774"/>
        <v>194204</v>
      </c>
      <c r="I1429" s="331">
        <f t="shared" si="1774"/>
        <v>6284</v>
      </c>
      <c r="J1429" s="353">
        <f>+G1429/F1429</f>
        <v>0.36518761384335152</v>
      </c>
      <c r="K1429" s="333">
        <f>+K1413+K1428</f>
        <v>2520093</v>
      </c>
      <c r="L1429" s="331">
        <f t="shared" ref="L1429:M1429" si="1775">+L1413+L1428</f>
        <v>2501794</v>
      </c>
      <c r="M1429" s="332">
        <f t="shared" si="1775"/>
        <v>18299</v>
      </c>
      <c r="N1429" s="345">
        <f>IFERROR(K1429/E1429,"-")</f>
        <v>0.41986679717600017</v>
      </c>
      <c r="O1429" s="353">
        <f t="shared" si="1747"/>
        <v>7.2612399621759987E-3</v>
      </c>
    </row>
    <row r="1430" spans="1:15" ht="23.4" x14ac:dyDescent="0.3">
      <c r="A1430" s="271" t="s">
        <v>108</v>
      </c>
      <c r="B1430" s="977" t="s">
        <v>26</v>
      </c>
      <c r="C1430" s="300" t="s">
        <v>323</v>
      </c>
      <c r="D1430" s="300" t="s">
        <v>190</v>
      </c>
      <c r="E1430" s="273">
        <v>0</v>
      </c>
      <c r="F1430" s="274"/>
      <c r="G1430" s="335">
        <f t="shared" ref="G1430:G1439" si="1776">+H1430+I1430</f>
        <v>0</v>
      </c>
      <c r="H1430" s="275"/>
      <c r="I1430" s="275"/>
      <c r="J1430" s="354" t="str">
        <f>IFERROR(G1430/#REF!,"-")</f>
        <v>-</v>
      </c>
      <c r="K1430" s="335">
        <f t="shared" ref="K1430:K1439" si="1777">+L1430+M1430</f>
        <v>0</v>
      </c>
      <c r="L1430" s="275">
        <f t="shared" ref="L1430:L1436" si="1778">+H1430+L1324</f>
        <v>0</v>
      </c>
      <c r="M1430" s="276">
        <f t="shared" ref="M1430:M1436" si="1779">+I1430+M1324</f>
        <v>0</v>
      </c>
      <c r="N1430" s="339" t="str">
        <f t="shared" ref="N1430:N1431" si="1780">IFERROR(K1430/E1430,"-")</f>
        <v>-</v>
      </c>
      <c r="O1430" s="349" t="str">
        <f t="shared" si="1747"/>
        <v>-</v>
      </c>
    </row>
    <row r="1431" spans="1:15" ht="23.4" x14ac:dyDescent="0.3">
      <c r="A1431" s="277" t="s">
        <v>108</v>
      </c>
      <c r="B1431" s="977"/>
      <c r="C1431" s="301" t="s">
        <v>508</v>
      </c>
      <c r="D1431" s="301" t="s">
        <v>507</v>
      </c>
      <c r="E1431" s="279">
        <v>0</v>
      </c>
      <c r="F1431" s="280"/>
      <c r="G1431" s="336">
        <f t="shared" si="1776"/>
        <v>52269</v>
      </c>
      <c r="H1431" s="281">
        <v>51714</v>
      </c>
      <c r="I1431" s="281">
        <v>555</v>
      </c>
      <c r="J1431" s="355" t="str">
        <f>IFERROR(G1431/#REF!,"-")</f>
        <v>-</v>
      </c>
      <c r="K1431" s="336">
        <f t="shared" si="1777"/>
        <v>190384</v>
      </c>
      <c r="L1431" s="275">
        <f t="shared" si="1778"/>
        <v>186966</v>
      </c>
      <c r="M1431" s="276">
        <f t="shared" si="1779"/>
        <v>3418</v>
      </c>
      <c r="N1431" s="340" t="str">
        <f t="shared" si="1780"/>
        <v>-</v>
      </c>
      <c r="O1431" s="264">
        <f t="shared" si="1747"/>
        <v>1.7953189343642324E-2</v>
      </c>
    </row>
    <row r="1432" spans="1:15" ht="23.4" x14ac:dyDescent="0.3">
      <c r="A1432" s="277" t="s">
        <v>108</v>
      </c>
      <c r="B1432" s="977"/>
      <c r="C1432" s="302" t="s">
        <v>27</v>
      </c>
      <c r="D1432" s="302" t="s">
        <v>370</v>
      </c>
      <c r="E1432" s="283">
        <v>0</v>
      </c>
      <c r="F1432" s="284"/>
      <c r="G1432" s="336">
        <f t="shared" si="1776"/>
        <v>2778</v>
      </c>
      <c r="H1432" s="285">
        <v>2558</v>
      </c>
      <c r="I1432" s="285">
        <v>220</v>
      </c>
      <c r="J1432" s="356" t="str">
        <f>IFERROR(G1432/#REF!,"-")</f>
        <v>-</v>
      </c>
      <c r="K1432" s="336">
        <f t="shared" si="1777"/>
        <v>15312</v>
      </c>
      <c r="L1432" s="275">
        <f t="shared" si="1778"/>
        <v>14492</v>
      </c>
      <c r="M1432" s="276">
        <f t="shared" si="1779"/>
        <v>820</v>
      </c>
      <c r="N1432" s="286"/>
      <c r="O1432" s="264">
        <f t="shared" si="1747"/>
        <v>5.3552769070010449E-2</v>
      </c>
    </row>
    <row r="1433" spans="1:15" ht="23.4" x14ac:dyDescent="0.3">
      <c r="A1433" s="277" t="s">
        <v>108</v>
      </c>
      <c r="B1433" s="977"/>
      <c r="C1433" s="302" t="s">
        <v>27</v>
      </c>
      <c r="D1433" s="302" t="s">
        <v>254</v>
      </c>
      <c r="E1433" s="283">
        <v>0</v>
      </c>
      <c r="F1433" s="284"/>
      <c r="G1433" s="336">
        <f t="shared" si="1776"/>
        <v>8890</v>
      </c>
      <c r="H1433" s="285">
        <v>8055</v>
      </c>
      <c r="I1433" s="285">
        <v>835</v>
      </c>
      <c r="J1433" s="356" t="str">
        <f>IFERROR(G1433/#REF!,"-")</f>
        <v>-</v>
      </c>
      <c r="K1433" s="336">
        <f t="shared" si="1777"/>
        <v>41904</v>
      </c>
      <c r="L1433" s="275">
        <f t="shared" si="1778"/>
        <v>39879</v>
      </c>
      <c r="M1433" s="276">
        <f t="shared" si="1779"/>
        <v>2025</v>
      </c>
      <c r="N1433" s="286"/>
      <c r="O1433" s="264">
        <f t="shared" si="1747"/>
        <v>4.8324742268041239E-2</v>
      </c>
    </row>
    <row r="1434" spans="1:15" ht="23.4" x14ac:dyDescent="0.3">
      <c r="A1434" s="277" t="s">
        <v>108</v>
      </c>
      <c r="B1434" s="977"/>
      <c r="C1434" s="302" t="s">
        <v>27</v>
      </c>
      <c r="D1434" s="302" t="s">
        <v>302</v>
      </c>
      <c r="E1434" s="283">
        <v>0</v>
      </c>
      <c r="F1434" s="284"/>
      <c r="G1434" s="336">
        <f t="shared" si="1776"/>
        <v>6345</v>
      </c>
      <c r="H1434" s="285">
        <v>5830</v>
      </c>
      <c r="I1434" s="285">
        <v>515</v>
      </c>
      <c r="J1434" s="356" t="str">
        <f>IFERROR(G1434/#REF!,"-")</f>
        <v>-</v>
      </c>
      <c r="K1434" s="336">
        <f t="shared" si="1777"/>
        <v>6345</v>
      </c>
      <c r="L1434" s="275">
        <f t="shared" si="1778"/>
        <v>5830</v>
      </c>
      <c r="M1434" s="276">
        <f t="shared" si="1779"/>
        <v>515</v>
      </c>
      <c r="N1434" s="286"/>
      <c r="O1434" s="264">
        <f t="shared" si="1747"/>
        <v>8.1166272655634364E-2</v>
      </c>
    </row>
    <row r="1435" spans="1:15" ht="23.4" x14ac:dyDescent="0.3">
      <c r="A1435" s="277"/>
      <c r="B1435" s="977"/>
      <c r="C1435" s="302" t="s">
        <v>541</v>
      </c>
      <c r="D1435" s="302" t="s">
        <v>191</v>
      </c>
      <c r="E1435" s="283">
        <v>0</v>
      </c>
      <c r="F1435" s="284"/>
      <c r="G1435" s="337">
        <f t="shared" si="1776"/>
        <v>4273</v>
      </c>
      <c r="H1435" s="285">
        <v>3978</v>
      </c>
      <c r="I1435" s="285">
        <v>295</v>
      </c>
      <c r="J1435" s="356" t="str">
        <f>IFERROR(G1435/#REF!,"-")</f>
        <v>-</v>
      </c>
      <c r="K1435" s="337">
        <f t="shared" si="1777"/>
        <v>4273</v>
      </c>
      <c r="L1435" s="275">
        <f t="shared" si="1778"/>
        <v>3978</v>
      </c>
      <c r="M1435" s="276">
        <f t="shared" si="1779"/>
        <v>295</v>
      </c>
      <c r="N1435" s="286"/>
      <c r="O1435" s="264">
        <f t="shared" si="1747"/>
        <v>6.9038146501287145E-2</v>
      </c>
    </row>
    <row r="1436" spans="1:15" ht="23.4" x14ac:dyDescent="0.3">
      <c r="A1436" s="277"/>
      <c r="B1436" s="977"/>
      <c r="C1436" s="302" t="s">
        <v>369</v>
      </c>
      <c r="D1436" s="302" t="s">
        <v>101</v>
      </c>
      <c r="E1436" s="283">
        <v>0</v>
      </c>
      <c r="F1436" s="284"/>
      <c r="G1436" s="337">
        <f t="shared" si="1776"/>
        <v>6135</v>
      </c>
      <c r="H1436" s="285">
        <v>5899</v>
      </c>
      <c r="I1436" s="285">
        <v>236</v>
      </c>
      <c r="J1436" s="356" t="str">
        <f>IFERROR(G1436/#REF!,"-")</f>
        <v>-</v>
      </c>
      <c r="K1436" s="337">
        <f t="shared" si="1777"/>
        <v>6135</v>
      </c>
      <c r="L1436" s="275">
        <f t="shared" si="1778"/>
        <v>5899</v>
      </c>
      <c r="M1436" s="276">
        <f t="shared" si="1779"/>
        <v>236</v>
      </c>
      <c r="N1436" s="286"/>
      <c r="O1436" s="264">
        <f t="shared" si="1747"/>
        <v>3.8467807660961695E-2</v>
      </c>
    </row>
    <row r="1437" spans="1:15" ht="23.4" x14ac:dyDescent="0.3">
      <c r="A1437" s="277"/>
      <c r="B1437" s="977"/>
      <c r="C1437" s="302" t="s">
        <v>542</v>
      </c>
      <c r="D1437" s="302" t="s">
        <v>191</v>
      </c>
      <c r="E1437" s="283">
        <v>0</v>
      </c>
      <c r="F1437" s="284"/>
      <c r="G1437" s="337">
        <f t="shared" ref="G1437" si="1781">+H1437+I1437</f>
        <v>2448</v>
      </c>
      <c r="H1437" s="285">
        <v>2448</v>
      </c>
      <c r="I1437" s="285"/>
      <c r="J1437" s="356" t="str">
        <f>IFERROR(G1437/#REF!,"-")</f>
        <v>-</v>
      </c>
      <c r="K1437" s="337">
        <f t="shared" ref="K1437" si="1782">+L1437+M1437</f>
        <v>2448</v>
      </c>
      <c r="L1437" s="275">
        <f>+H1437</f>
        <v>2448</v>
      </c>
      <c r="M1437" s="275">
        <f>+I1437</f>
        <v>0</v>
      </c>
      <c r="N1437" s="286"/>
      <c r="O1437" s="264">
        <f t="shared" ref="O1437" si="1783">IFERROR(M1437/K1437,"-")</f>
        <v>0</v>
      </c>
    </row>
    <row r="1438" spans="1:15" ht="23.4" x14ac:dyDescent="0.3">
      <c r="A1438" s="277"/>
      <c r="B1438" s="977"/>
      <c r="C1438" s="302" t="s">
        <v>452</v>
      </c>
      <c r="D1438" s="302" t="s">
        <v>410</v>
      </c>
      <c r="E1438" s="283">
        <v>0</v>
      </c>
      <c r="F1438" s="284"/>
      <c r="G1438" s="337">
        <f t="shared" si="1776"/>
        <v>3515</v>
      </c>
      <c r="H1438" s="285">
        <v>3315</v>
      </c>
      <c r="I1438" s="285">
        <v>200</v>
      </c>
      <c r="J1438" s="356" t="str">
        <f>IFERROR(G1438/#REF!,"-")</f>
        <v>-</v>
      </c>
      <c r="K1438" s="337">
        <f t="shared" si="1777"/>
        <v>40370</v>
      </c>
      <c r="L1438" s="275">
        <f>+H1438+L1331</f>
        <v>39117</v>
      </c>
      <c r="M1438" s="276">
        <f>+I1438+M1331</f>
        <v>1253</v>
      </c>
      <c r="N1438" s="286"/>
      <c r="O1438" s="264">
        <f t="shared" si="1747"/>
        <v>3.1037899430270001E-2</v>
      </c>
    </row>
    <row r="1439" spans="1:15" ht="24" thickBot="1" x14ac:dyDescent="0.35">
      <c r="A1439" s="277" t="s">
        <v>108</v>
      </c>
      <c r="B1439" s="977"/>
      <c r="C1439" s="303" t="s">
        <v>315</v>
      </c>
      <c r="D1439" s="302" t="s">
        <v>313</v>
      </c>
      <c r="E1439" s="283">
        <v>0</v>
      </c>
      <c r="F1439" s="284"/>
      <c r="G1439" s="337">
        <f t="shared" si="1776"/>
        <v>4138</v>
      </c>
      <c r="H1439" s="285">
        <v>3978</v>
      </c>
      <c r="I1439" s="285">
        <v>160</v>
      </c>
      <c r="J1439" s="356" t="str">
        <f>IFERROR(G1439/#REF!,"-")</f>
        <v>-</v>
      </c>
      <c r="K1439" s="337">
        <f t="shared" si="1777"/>
        <v>16403</v>
      </c>
      <c r="L1439" s="275">
        <f>+H1439+L1332</f>
        <v>15912</v>
      </c>
      <c r="M1439" s="276">
        <f>+I1439+M1332</f>
        <v>491</v>
      </c>
      <c r="N1439" s="341" t="str">
        <f t="shared" ref="N1439:N1446" si="1784">IFERROR(K1439/E1439,"-")</f>
        <v>-</v>
      </c>
      <c r="O1439" s="350">
        <f t="shared" si="1747"/>
        <v>2.9933548741083948E-2</v>
      </c>
    </row>
    <row r="1440" spans="1:15" ht="24" thickBot="1" x14ac:dyDescent="0.35">
      <c r="A1440" s="277" t="s">
        <v>108</v>
      </c>
      <c r="B1440" s="990"/>
      <c r="C1440" s="304"/>
      <c r="D1440" s="305" t="s">
        <v>55</v>
      </c>
      <c r="E1440" s="287">
        <f>SUM(E1430:E1439)</f>
        <v>0</v>
      </c>
      <c r="F1440" s="288">
        <v>80000</v>
      </c>
      <c r="G1440" s="323">
        <f>SUM(G1430:G1439)</f>
        <v>90791</v>
      </c>
      <c r="H1440" s="324">
        <f>SUM(H1430:H1439)</f>
        <v>87775</v>
      </c>
      <c r="I1440" s="324">
        <f>SUM(I1430:I1439)</f>
        <v>3016</v>
      </c>
      <c r="J1440" s="348">
        <f>+G1440/F1440</f>
        <v>1.1348875</v>
      </c>
      <c r="K1440" s="323">
        <f>SUM(K1430:K1439)</f>
        <v>323574</v>
      </c>
      <c r="L1440" s="324">
        <f>SUM(L1430:L1439)</f>
        <v>314521</v>
      </c>
      <c r="M1440" s="325">
        <f>SUM(M1430:M1439)</f>
        <v>9053</v>
      </c>
      <c r="N1440" s="342" t="str">
        <f t="shared" si="1784"/>
        <v>-</v>
      </c>
      <c r="O1440" s="348">
        <f t="shared" si="1747"/>
        <v>2.7978144103049069E-2</v>
      </c>
    </row>
    <row r="1441" spans="1:15" ht="23.4" x14ac:dyDescent="0.3">
      <c r="A1441" s="277" t="s">
        <v>108</v>
      </c>
      <c r="B1441" s="976" t="s">
        <v>28</v>
      </c>
      <c r="C1441" s="302" t="s">
        <v>27</v>
      </c>
      <c r="D1441" s="300" t="s">
        <v>191</v>
      </c>
      <c r="E1441" s="273">
        <v>2612056</v>
      </c>
      <c r="F1441" s="274"/>
      <c r="G1441" s="335">
        <f t="shared" ref="G1441:G1445" si="1785">+H1441+I1441</f>
        <v>0</v>
      </c>
      <c r="H1441" s="275"/>
      <c r="I1441" s="275"/>
      <c r="J1441" s="354" t="str">
        <f>IFERROR(G1441/#REF!,"-")</f>
        <v>-</v>
      </c>
      <c r="K1441" s="335">
        <f t="shared" ref="K1441:K1445" si="1786">+L1441+M1441</f>
        <v>21742</v>
      </c>
      <c r="L1441" s="275">
        <f t="shared" ref="L1441:M1445" si="1787">+H1441+L1334</f>
        <v>19890</v>
      </c>
      <c r="M1441" s="276">
        <f t="shared" si="1787"/>
        <v>1852</v>
      </c>
      <c r="N1441" s="339">
        <f t="shared" si="1784"/>
        <v>8.3237112833721792E-3</v>
      </c>
      <c r="O1441" s="349">
        <f t="shared" si="1747"/>
        <v>8.5180756140189495E-2</v>
      </c>
    </row>
    <row r="1442" spans="1:15" ht="23.4" x14ac:dyDescent="0.3">
      <c r="A1442" s="277" t="s">
        <v>108</v>
      </c>
      <c r="B1442" s="977"/>
      <c r="C1442" s="302" t="s">
        <v>455</v>
      </c>
      <c r="D1442" s="302" t="s">
        <v>370</v>
      </c>
      <c r="E1442" s="279">
        <v>0</v>
      </c>
      <c r="F1442" s="280"/>
      <c r="G1442" s="336">
        <f t="shared" si="1785"/>
        <v>92674</v>
      </c>
      <c r="H1442" s="281">
        <v>91494</v>
      </c>
      <c r="I1442" s="281">
        <v>1180</v>
      </c>
      <c r="J1442" s="355" t="str">
        <f>IFERROR(G1442/#REF!,"-")</f>
        <v>-</v>
      </c>
      <c r="K1442" s="336">
        <f t="shared" si="1786"/>
        <v>812727</v>
      </c>
      <c r="L1442" s="275">
        <f t="shared" si="1787"/>
        <v>803250</v>
      </c>
      <c r="M1442" s="276">
        <f t="shared" si="1787"/>
        <v>9477</v>
      </c>
      <c r="N1442" s="340" t="str">
        <f t="shared" si="1784"/>
        <v>-</v>
      </c>
      <c r="O1442" s="264">
        <f t="shared" si="1747"/>
        <v>1.1660742168034284E-2</v>
      </c>
    </row>
    <row r="1443" spans="1:15" ht="23.4" x14ac:dyDescent="0.3">
      <c r="A1443" s="277" t="s">
        <v>108</v>
      </c>
      <c r="B1443" s="977"/>
      <c r="C1443" s="302" t="s">
        <v>27</v>
      </c>
      <c r="D1443" s="302" t="s">
        <v>370</v>
      </c>
      <c r="E1443" s="279">
        <v>0</v>
      </c>
      <c r="F1443" s="280"/>
      <c r="G1443" s="336">
        <f t="shared" si="1785"/>
        <v>0</v>
      </c>
      <c r="H1443" s="281"/>
      <c r="I1443" s="281"/>
      <c r="J1443" s="355" t="str">
        <f>IFERROR(G1443/#REF!,"-")</f>
        <v>-</v>
      </c>
      <c r="K1443" s="336">
        <f t="shared" si="1786"/>
        <v>65158</v>
      </c>
      <c r="L1443" s="275">
        <f t="shared" si="1787"/>
        <v>63648</v>
      </c>
      <c r="M1443" s="276">
        <f t="shared" si="1787"/>
        <v>1510</v>
      </c>
      <c r="N1443" s="340" t="str">
        <f t="shared" si="1784"/>
        <v>-</v>
      </c>
      <c r="O1443" s="264">
        <f t="shared" si="1747"/>
        <v>2.3174437521102549E-2</v>
      </c>
    </row>
    <row r="1444" spans="1:15" ht="23.4" x14ac:dyDescent="0.3">
      <c r="A1444" s="277" t="s">
        <v>108</v>
      </c>
      <c r="B1444" s="977"/>
      <c r="C1444" s="302" t="s">
        <v>452</v>
      </c>
      <c r="D1444" s="303" t="s">
        <v>410</v>
      </c>
      <c r="E1444" s="283">
        <v>0</v>
      </c>
      <c r="F1444" s="284"/>
      <c r="G1444" s="337">
        <f t="shared" si="1785"/>
        <v>0</v>
      </c>
      <c r="H1444" s="285"/>
      <c r="I1444" s="285"/>
      <c r="J1444" s="356" t="str">
        <f>IFERROR(G1444/#REF!,"-")</f>
        <v>-</v>
      </c>
      <c r="K1444" s="337">
        <f t="shared" si="1786"/>
        <v>249713</v>
      </c>
      <c r="L1444" s="275">
        <f t="shared" si="1787"/>
        <v>246636</v>
      </c>
      <c r="M1444" s="755">
        <f t="shared" si="1787"/>
        <v>3077</v>
      </c>
      <c r="N1444" s="341" t="str">
        <f t="shared" si="1784"/>
        <v>-</v>
      </c>
      <c r="O1444" s="350">
        <f t="shared" si="1747"/>
        <v>1.2322145823405269E-2</v>
      </c>
    </row>
    <row r="1445" spans="1:15" ht="24" thickBot="1" x14ac:dyDescent="0.35">
      <c r="A1445" s="277" t="s">
        <v>108</v>
      </c>
      <c r="B1445" s="977"/>
      <c r="C1445" s="302" t="s">
        <v>27</v>
      </c>
      <c r="D1445" s="303" t="s">
        <v>254</v>
      </c>
      <c r="E1445" s="283">
        <v>0</v>
      </c>
      <c r="F1445" s="284"/>
      <c r="G1445" s="337">
        <f t="shared" si="1785"/>
        <v>2754</v>
      </c>
      <c r="H1445" s="285">
        <v>2754</v>
      </c>
      <c r="I1445" s="285"/>
      <c r="J1445" s="356" t="str">
        <f>IFERROR(G1445/#REF!,"-")</f>
        <v>-</v>
      </c>
      <c r="K1445" s="337">
        <f t="shared" si="1786"/>
        <v>767509</v>
      </c>
      <c r="L1445" s="275">
        <f t="shared" si="1787"/>
        <v>758574</v>
      </c>
      <c r="M1445" s="755">
        <f t="shared" si="1787"/>
        <v>8935</v>
      </c>
      <c r="N1445" s="341" t="str">
        <f t="shared" si="1784"/>
        <v>-</v>
      </c>
      <c r="O1445" s="350">
        <f t="shared" si="1747"/>
        <v>1.164155729769944E-2</v>
      </c>
    </row>
    <row r="1446" spans="1:15" ht="24" thickBot="1" x14ac:dyDescent="0.35">
      <c r="A1446" s="277" t="s">
        <v>108</v>
      </c>
      <c r="B1446" s="977"/>
      <c r="C1446" s="307"/>
      <c r="D1446" s="308" t="s">
        <v>55</v>
      </c>
      <c r="E1446" s="309">
        <f>SUM(E1441:E1445)</f>
        <v>2612056</v>
      </c>
      <c r="F1446" s="310">
        <v>160000</v>
      </c>
      <c r="G1446" s="369">
        <f>SUM(G1441:G1445)</f>
        <v>95428</v>
      </c>
      <c r="H1446" s="368">
        <f>SUM(H1441:H1445)</f>
        <v>94248</v>
      </c>
      <c r="I1446" s="368">
        <f>SUM(I1441:I1445)</f>
        <v>1180</v>
      </c>
      <c r="J1446" s="359">
        <f>+G1446/F1446</f>
        <v>0.59642499999999998</v>
      </c>
      <c r="K1446" s="369">
        <f>SUM(K1441:K1445)</f>
        <v>1916849</v>
      </c>
      <c r="L1446" s="368">
        <f>SUM(L1441:L1445)</f>
        <v>1891998</v>
      </c>
      <c r="M1446" s="370">
        <f>SUM(M1441:M1445)</f>
        <v>24851</v>
      </c>
      <c r="N1446" s="358">
        <f t="shared" si="1784"/>
        <v>0.73384682411096858</v>
      </c>
      <c r="O1446" s="359">
        <f t="shared" si="1747"/>
        <v>1.2964505811360206E-2</v>
      </c>
    </row>
    <row r="1447" spans="1:15" ht="24" thickBot="1" x14ac:dyDescent="0.35">
      <c r="A1447" s="857" t="s">
        <v>108</v>
      </c>
      <c r="B1447" s="978" t="s">
        <v>170</v>
      </c>
      <c r="C1447" s="979"/>
      <c r="D1447" s="980"/>
      <c r="E1447" s="311">
        <f>+E1446+E1440</f>
        <v>2612056</v>
      </c>
      <c r="F1447" s="312">
        <v>240000</v>
      </c>
      <c r="G1447" s="372">
        <f>+G1440+G1446</f>
        <v>186219</v>
      </c>
      <c r="H1447" s="371">
        <f>+H1440+H1446</f>
        <v>182023</v>
      </c>
      <c r="I1447" s="371">
        <f>+I1440+I1446</f>
        <v>4196</v>
      </c>
      <c r="J1447" s="361">
        <f>+G1447/F1447</f>
        <v>0.7759125</v>
      </c>
      <c r="K1447" s="372">
        <f>+K1440+K1446</f>
        <v>2240423</v>
      </c>
      <c r="L1447" s="371">
        <f>+L1440+L1446</f>
        <v>2206519</v>
      </c>
      <c r="M1447" s="373">
        <f>+M1440+M1446</f>
        <v>33904</v>
      </c>
      <c r="N1447" s="360">
        <f>IFERROR(K1447/E1447,"-")</f>
        <v>0.85772395385091282</v>
      </c>
      <c r="O1447" s="361">
        <f t="shared" si="1747"/>
        <v>1.5132856607881637E-2</v>
      </c>
    </row>
    <row r="1448" spans="1:15" ht="23.4" x14ac:dyDescent="0.3">
      <c r="A1448" s="277" t="s">
        <v>108</v>
      </c>
      <c r="B1448" s="977" t="s">
        <v>30</v>
      </c>
      <c r="C1448" s="306" t="s">
        <v>372</v>
      </c>
      <c r="D1448" s="300" t="s">
        <v>191</v>
      </c>
      <c r="E1448" s="273">
        <v>0</v>
      </c>
      <c r="F1448" s="274"/>
      <c r="G1448" s="335">
        <f t="shared" ref="G1448:G1450" si="1788">+H1448+I1448</f>
        <v>0</v>
      </c>
      <c r="H1448" s="275"/>
      <c r="I1448" s="275"/>
      <c r="J1448" s="354" t="str">
        <f>IFERROR(G1448/#REF!,"-")</f>
        <v>-</v>
      </c>
      <c r="K1448" s="335">
        <f t="shared" ref="K1448:K1450" si="1789">+L1448+M1448</f>
        <v>0</v>
      </c>
      <c r="L1448" s="275">
        <f t="shared" ref="L1448:M1450" si="1790">+H1448+L1341</f>
        <v>0</v>
      </c>
      <c r="M1448" s="276">
        <f t="shared" si="1790"/>
        <v>0</v>
      </c>
      <c r="N1448" s="339" t="str">
        <f t="shared" ref="N1448:N1458" si="1791">IFERROR(K1448/E1448,"-")</f>
        <v>-</v>
      </c>
      <c r="O1448" s="349" t="str">
        <f t="shared" si="1747"/>
        <v>-</v>
      </c>
    </row>
    <row r="1449" spans="1:15" ht="23.4" x14ac:dyDescent="0.3">
      <c r="A1449" s="277" t="s">
        <v>108</v>
      </c>
      <c r="B1449" s="977"/>
      <c r="C1449" s="303" t="s">
        <v>531</v>
      </c>
      <c r="D1449" s="306" t="s">
        <v>410</v>
      </c>
      <c r="E1449" s="279">
        <v>0</v>
      </c>
      <c r="F1449" s="280"/>
      <c r="G1449" s="336">
        <f t="shared" si="1788"/>
        <v>0</v>
      </c>
      <c r="H1449" s="281"/>
      <c r="I1449" s="281"/>
      <c r="J1449" s="355" t="str">
        <f>IFERROR(G1449/#REF!,"-")</f>
        <v>-</v>
      </c>
      <c r="K1449" s="336">
        <f t="shared" si="1789"/>
        <v>35959</v>
      </c>
      <c r="L1449" s="275">
        <f t="shared" si="1790"/>
        <v>35568</v>
      </c>
      <c r="M1449" s="276">
        <f t="shared" si="1790"/>
        <v>391</v>
      </c>
      <c r="N1449" s="340" t="str">
        <f t="shared" si="1791"/>
        <v>-</v>
      </c>
      <c r="O1449" s="264">
        <f t="shared" si="1747"/>
        <v>1.0873494813537641E-2</v>
      </c>
    </row>
    <row r="1450" spans="1:15" ht="24" thickBot="1" x14ac:dyDescent="0.35">
      <c r="A1450" s="277" t="s">
        <v>108</v>
      </c>
      <c r="B1450" s="977"/>
      <c r="C1450" s="303" t="s">
        <v>316</v>
      </c>
      <c r="D1450" s="303" t="s">
        <v>410</v>
      </c>
      <c r="E1450" s="283">
        <v>0</v>
      </c>
      <c r="F1450" s="284"/>
      <c r="G1450" s="337">
        <f t="shared" si="1788"/>
        <v>1872</v>
      </c>
      <c r="H1450" s="285">
        <v>1872</v>
      </c>
      <c r="I1450" s="285"/>
      <c r="J1450" s="356" t="str">
        <f>IFERROR(G1450/#REF!,"-")</f>
        <v>-</v>
      </c>
      <c r="K1450" s="337">
        <f t="shared" si="1789"/>
        <v>171639</v>
      </c>
      <c r="L1450" s="275">
        <f t="shared" si="1790"/>
        <v>166608</v>
      </c>
      <c r="M1450" s="276">
        <f t="shared" si="1790"/>
        <v>5031</v>
      </c>
      <c r="N1450" s="341" t="str">
        <f t="shared" si="1791"/>
        <v>-</v>
      </c>
      <c r="O1450" s="350">
        <f t="shared" si="1747"/>
        <v>2.9311520109066121E-2</v>
      </c>
    </row>
    <row r="1451" spans="1:15" ht="24" thickBot="1" x14ac:dyDescent="0.35">
      <c r="A1451" s="277" t="s">
        <v>108</v>
      </c>
      <c r="B1451" s="977"/>
      <c r="C1451" s="304"/>
      <c r="D1451" s="305" t="s">
        <v>53</v>
      </c>
      <c r="E1451" s="287">
        <v>0</v>
      </c>
      <c r="F1451" s="288">
        <v>50000</v>
      </c>
      <c r="G1451" s="323">
        <f>SUM(G1448:G1450)</f>
        <v>1872</v>
      </c>
      <c r="H1451" s="324">
        <f>SUM(H1448:H1450)</f>
        <v>1872</v>
      </c>
      <c r="I1451" s="324">
        <f>SUM(I1448:I1450)</f>
        <v>0</v>
      </c>
      <c r="J1451" s="348">
        <f>+H1451/G1451</f>
        <v>1</v>
      </c>
      <c r="K1451" s="323">
        <f>SUM(K1448:K1450)</f>
        <v>207598</v>
      </c>
      <c r="L1451" s="324">
        <f>SUM(L1448:L1450)</f>
        <v>202176</v>
      </c>
      <c r="M1451" s="325">
        <f>SUM(M1448:M1450)</f>
        <v>5422</v>
      </c>
      <c r="N1451" s="342" t="str">
        <f t="shared" si="1791"/>
        <v>-</v>
      </c>
      <c r="O1451" s="348">
        <f t="shared" si="1747"/>
        <v>2.6117785335118836E-2</v>
      </c>
    </row>
    <row r="1452" spans="1:15" ht="23.4" x14ac:dyDescent="0.3">
      <c r="A1452" s="277" t="s">
        <v>108</v>
      </c>
      <c r="B1452" s="977"/>
      <c r="C1452" s="300" t="s">
        <v>543</v>
      </c>
      <c r="D1452" s="300" t="s">
        <v>99</v>
      </c>
      <c r="E1452" s="273">
        <v>500000</v>
      </c>
      <c r="F1452" s="274"/>
      <c r="G1452" s="335">
        <f t="shared" ref="G1452:G1454" si="1792">+H1452+I1452</f>
        <v>956</v>
      </c>
      <c r="H1452" s="275">
        <v>956</v>
      </c>
      <c r="I1452" s="275"/>
      <c r="J1452" s="354" t="str">
        <f>IFERROR(G1452/#REF!,"-")</f>
        <v>-</v>
      </c>
      <c r="K1452" s="335">
        <f t="shared" ref="K1452:K1454" si="1793">+L1452+M1452</f>
        <v>956</v>
      </c>
      <c r="L1452" s="275">
        <f t="shared" ref="L1452:M1454" si="1794">+H1452+L1345</f>
        <v>956</v>
      </c>
      <c r="M1452" s="276">
        <f t="shared" si="1794"/>
        <v>0</v>
      </c>
      <c r="N1452" s="339">
        <f t="shared" si="1791"/>
        <v>1.9120000000000001E-3</v>
      </c>
      <c r="O1452" s="349">
        <f t="shared" si="1747"/>
        <v>0</v>
      </c>
    </row>
    <row r="1453" spans="1:15" ht="23.4" x14ac:dyDescent="0.3">
      <c r="A1453" s="277" t="s">
        <v>108</v>
      </c>
      <c r="B1453" s="977"/>
      <c r="C1453" s="306" t="s">
        <v>373</v>
      </c>
      <c r="D1453" s="306" t="s">
        <v>254</v>
      </c>
      <c r="E1453" s="279">
        <v>0</v>
      </c>
      <c r="F1453" s="280"/>
      <c r="G1453" s="336">
        <f t="shared" si="1792"/>
        <v>3961</v>
      </c>
      <c r="H1453" s="281">
        <v>3961</v>
      </c>
      <c r="I1453" s="281"/>
      <c r="J1453" s="355" t="str">
        <f>IFERROR(G1453/#REF!,"-")</f>
        <v>-</v>
      </c>
      <c r="K1453" s="336">
        <f t="shared" si="1793"/>
        <v>13599</v>
      </c>
      <c r="L1453" s="275">
        <f t="shared" si="1794"/>
        <v>13321</v>
      </c>
      <c r="M1453" s="276">
        <f t="shared" si="1794"/>
        <v>278</v>
      </c>
      <c r="N1453" s="340" t="str">
        <f t="shared" si="1791"/>
        <v>-</v>
      </c>
      <c r="O1453" s="264">
        <f t="shared" si="1747"/>
        <v>2.0442679608794763E-2</v>
      </c>
    </row>
    <row r="1454" spans="1:15" ht="24" thickBot="1" x14ac:dyDescent="0.35">
      <c r="A1454" s="277" t="s">
        <v>108</v>
      </c>
      <c r="B1454" s="977"/>
      <c r="C1454" s="303" t="s">
        <v>544</v>
      </c>
      <c r="D1454" s="303" t="s">
        <v>507</v>
      </c>
      <c r="E1454" s="283">
        <v>0</v>
      </c>
      <c r="F1454" s="284"/>
      <c r="G1454" s="337">
        <f t="shared" si="1792"/>
        <v>845</v>
      </c>
      <c r="H1454" s="285">
        <v>845</v>
      </c>
      <c r="I1454" s="285"/>
      <c r="J1454" s="356" t="str">
        <f>IFERROR(G1454/#REF!,"-")</f>
        <v>-</v>
      </c>
      <c r="K1454" s="337">
        <f t="shared" si="1793"/>
        <v>845</v>
      </c>
      <c r="L1454" s="275">
        <f t="shared" si="1794"/>
        <v>845</v>
      </c>
      <c r="M1454" s="276">
        <f t="shared" si="1794"/>
        <v>0</v>
      </c>
      <c r="N1454" s="341" t="str">
        <f t="shared" si="1791"/>
        <v>-</v>
      </c>
      <c r="O1454" s="350">
        <f t="shared" si="1747"/>
        <v>0</v>
      </c>
    </row>
    <row r="1455" spans="1:15" ht="24" thickBot="1" x14ac:dyDescent="0.35">
      <c r="A1455" s="277" t="s">
        <v>108</v>
      </c>
      <c r="B1455" s="977"/>
      <c r="C1455" s="307"/>
      <c r="D1455" s="308" t="s">
        <v>54</v>
      </c>
      <c r="E1455" s="309">
        <f>SUM(E1452)</f>
        <v>500000</v>
      </c>
      <c r="F1455" s="310">
        <v>50000</v>
      </c>
      <c r="G1455" s="369">
        <f>SUM(G1452:G1454)</f>
        <v>5762</v>
      </c>
      <c r="H1455" s="368">
        <f t="shared" ref="H1455:I1455" si="1795">SUM(H1452:H1454)</f>
        <v>5762</v>
      </c>
      <c r="I1455" s="368">
        <f t="shared" si="1795"/>
        <v>0</v>
      </c>
      <c r="J1455" s="359">
        <f>+G1455/F1455</f>
        <v>0.11524</v>
      </c>
      <c r="K1455" s="369">
        <f t="shared" ref="K1455:M1455" si="1796">SUM(K1452:K1454)</f>
        <v>15400</v>
      </c>
      <c r="L1455" s="368">
        <f t="shared" si="1796"/>
        <v>15122</v>
      </c>
      <c r="M1455" s="370">
        <f t="shared" si="1796"/>
        <v>278</v>
      </c>
      <c r="N1455" s="358">
        <f t="shared" si="1791"/>
        <v>3.0800000000000001E-2</v>
      </c>
      <c r="O1455" s="359">
        <f t="shared" si="1747"/>
        <v>1.8051948051948052E-2</v>
      </c>
    </row>
    <row r="1456" spans="1:15" ht="24" thickBot="1" x14ac:dyDescent="0.35">
      <c r="A1456" s="277" t="s">
        <v>108</v>
      </c>
      <c r="B1456" s="978" t="s">
        <v>171</v>
      </c>
      <c r="C1456" s="979"/>
      <c r="D1456" s="980"/>
      <c r="E1456" s="311">
        <f>+E1455+E1451</f>
        <v>500000</v>
      </c>
      <c r="F1456" s="312">
        <v>50000</v>
      </c>
      <c r="G1456" s="372">
        <f>+G1451+G1455</f>
        <v>7634</v>
      </c>
      <c r="H1456" s="371">
        <f t="shared" ref="H1456:I1456" si="1797">+H1451+H1455</f>
        <v>7634</v>
      </c>
      <c r="I1456" s="371">
        <f t="shared" si="1797"/>
        <v>0</v>
      </c>
      <c r="J1456" s="361">
        <f>+G1456/F1456</f>
        <v>0.15268000000000001</v>
      </c>
      <c r="K1456" s="372">
        <f t="shared" ref="K1456:M1456" si="1798">+K1451+K1455</f>
        <v>222998</v>
      </c>
      <c r="L1456" s="371">
        <f t="shared" si="1798"/>
        <v>217298</v>
      </c>
      <c r="M1456" s="373">
        <f t="shared" si="1798"/>
        <v>5700</v>
      </c>
      <c r="N1456" s="360">
        <f t="shared" si="1791"/>
        <v>0.445996</v>
      </c>
      <c r="O1456" s="361">
        <f t="shared" si="1747"/>
        <v>2.5560767361142253E-2</v>
      </c>
    </row>
    <row r="1457" spans="1:15" ht="24" thickBot="1" x14ac:dyDescent="0.35">
      <c r="A1457" s="277" t="s">
        <v>108</v>
      </c>
      <c r="B1457" s="608" t="s">
        <v>32</v>
      </c>
      <c r="C1457" s="853"/>
      <c r="D1457" s="313" t="s">
        <v>32</v>
      </c>
      <c r="E1457" s="290">
        <v>0</v>
      </c>
      <c r="F1457" s="291">
        <v>110000</v>
      </c>
      <c r="G1457" s="338">
        <f t="shared" ref="G1457" si="1799">+H1457+I1457</f>
        <v>0</v>
      </c>
      <c r="H1457" s="292"/>
      <c r="I1457" s="292"/>
      <c r="J1457" s="357" t="str">
        <f>IFERROR(G1457/#REF!,"-")</f>
        <v>-</v>
      </c>
      <c r="K1457" s="338">
        <f>+L1457+M1457</f>
        <v>0</v>
      </c>
      <c r="L1457" s="292">
        <f>+H1457+L1350</f>
        <v>0</v>
      </c>
      <c r="M1457" s="293">
        <f>+I1457+M1350</f>
        <v>0</v>
      </c>
      <c r="N1457" s="343" t="str">
        <f t="shared" si="1791"/>
        <v>-</v>
      </c>
      <c r="O1457" s="351" t="str">
        <f t="shared" si="1747"/>
        <v>-</v>
      </c>
    </row>
    <row r="1458" spans="1:15" ht="24" thickBot="1" x14ac:dyDescent="0.35">
      <c r="A1458" s="277" t="s">
        <v>108</v>
      </c>
      <c r="B1458" s="981" t="s">
        <v>21</v>
      </c>
      <c r="C1458" s="982"/>
      <c r="D1458" s="983"/>
      <c r="E1458" s="329">
        <f>+E1447+E1456+E1457</f>
        <v>3112056</v>
      </c>
      <c r="F1458" s="330">
        <f>+F1447+F1456+F1457</f>
        <v>400000</v>
      </c>
      <c r="G1458" s="329">
        <f>+G1447+G1456+G1457</f>
        <v>193853</v>
      </c>
      <c r="H1458" s="327">
        <f>+H1447+H1456+H1457</f>
        <v>189657</v>
      </c>
      <c r="I1458" s="327">
        <f>+I1447+I1456+I1457</f>
        <v>4196</v>
      </c>
      <c r="J1458" s="352">
        <f>+G1458/F1458</f>
        <v>0.48463250000000002</v>
      </c>
      <c r="K1458" s="329">
        <f>+K1447+K1456+K1457</f>
        <v>2463421</v>
      </c>
      <c r="L1458" s="327">
        <f>+L1447+L1456+L1457</f>
        <v>2423817</v>
      </c>
      <c r="M1458" s="328">
        <f>+M1447+M1456+M1457</f>
        <v>39604</v>
      </c>
      <c r="N1458" s="344">
        <f t="shared" si="1791"/>
        <v>0.79157348068286693</v>
      </c>
      <c r="O1458" s="352">
        <f t="shared" si="1747"/>
        <v>1.6076829742053836E-2</v>
      </c>
    </row>
    <row r="1459" spans="1:15" ht="24" thickBot="1" x14ac:dyDescent="0.35">
      <c r="A1459" s="277" t="s">
        <v>108</v>
      </c>
      <c r="B1459" s="984" t="s">
        <v>179</v>
      </c>
      <c r="C1459" s="962"/>
      <c r="D1459" s="963"/>
      <c r="E1459" s="333">
        <f>+E1458</f>
        <v>3112056</v>
      </c>
      <c r="F1459" s="334">
        <f t="shared" ref="F1459:I1459" si="1800">+F1458</f>
        <v>400000</v>
      </c>
      <c r="G1459" s="333">
        <f t="shared" si="1800"/>
        <v>193853</v>
      </c>
      <c r="H1459" s="331">
        <f t="shared" si="1800"/>
        <v>189657</v>
      </c>
      <c r="I1459" s="331">
        <f t="shared" si="1800"/>
        <v>4196</v>
      </c>
      <c r="J1459" s="353">
        <f>+J1458</f>
        <v>0.48463250000000002</v>
      </c>
      <c r="K1459" s="333">
        <f>+K1458</f>
        <v>2463421</v>
      </c>
      <c r="L1459" s="331">
        <f t="shared" ref="L1459" si="1801">+L1458</f>
        <v>2423817</v>
      </c>
      <c r="M1459" s="332">
        <f>+M1458</f>
        <v>39604</v>
      </c>
      <c r="N1459" s="345">
        <f t="shared" ref="N1459:O1459" si="1802">+N1458</f>
        <v>0.79157348068286693</v>
      </c>
      <c r="O1459" s="353">
        <f t="shared" si="1802"/>
        <v>1.6076829742053836E-2</v>
      </c>
    </row>
    <row r="1460" spans="1:15" ht="23.4" x14ac:dyDescent="0.3">
      <c r="A1460" s="271" t="s">
        <v>109</v>
      </c>
      <c r="B1460" s="970" t="s">
        <v>482</v>
      </c>
      <c r="C1460" s="314" t="s">
        <v>120</v>
      </c>
      <c r="D1460" s="314"/>
      <c r="E1460" s="273">
        <v>34000</v>
      </c>
      <c r="F1460" s="274"/>
      <c r="G1460" s="335">
        <f t="shared" ref="G1460:G1462" si="1803">+H1460+I1460</f>
        <v>0</v>
      </c>
      <c r="H1460" s="275"/>
      <c r="I1460" s="275"/>
      <c r="J1460" s="354" t="str">
        <f>IFERROR(G1460/#REF!,"-")</f>
        <v>-</v>
      </c>
      <c r="K1460" s="335">
        <f t="shared" ref="K1460:K1462" si="1804">+L1460+M1460</f>
        <v>0</v>
      </c>
      <c r="L1460" s="275">
        <f t="shared" ref="L1460:M1462" si="1805">+H1460+L1353</f>
        <v>0</v>
      </c>
      <c r="M1460" s="276">
        <f t="shared" si="1805"/>
        <v>0</v>
      </c>
      <c r="N1460" s="339">
        <f t="shared" ref="N1460:N1467" si="1806">IFERROR(K1460/E1460,"-")</f>
        <v>0</v>
      </c>
      <c r="O1460" s="349" t="str">
        <f t="shared" ref="O1460:O1485" si="1807">IFERROR(M1460/K1460,"-")</f>
        <v>-</v>
      </c>
    </row>
    <row r="1461" spans="1:15" ht="23.4" x14ac:dyDescent="0.3">
      <c r="A1461" s="277" t="s">
        <v>109</v>
      </c>
      <c r="B1461" s="972"/>
      <c r="C1461" s="315" t="s">
        <v>267</v>
      </c>
      <c r="D1461" s="315"/>
      <c r="E1461" s="279">
        <v>0</v>
      </c>
      <c r="F1461" s="280"/>
      <c r="G1461" s="336">
        <f t="shared" si="1803"/>
        <v>0</v>
      </c>
      <c r="H1461" s="281"/>
      <c r="I1461" s="281"/>
      <c r="J1461" s="355" t="str">
        <f>IFERROR(G1461/#REF!,"-")</f>
        <v>-</v>
      </c>
      <c r="K1461" s="336">
        <f t="shared" si="1804"/>
        <v>18022</v>
      </c>
      <c r="L1461" s="275">
        <f t="shared" si="1805"/>
        <v>17600</v>
      </c>
      <c r="M1461" s="276">
        <f t="shared" si="1805"/>
        <v>422</v>
      </c>
      <c r="N1461" s="340" t="str">
        <f t="shared" si="1806"/>
        <v>-</v>
      </c>
      <c r="O1461" s="264">
        <f t="shared" si="1807"/>
        <v>2.3415825102652315E-2</v>
      </c>
    </row>
    <row r="1462" spans="1:15" ht="24" thickBot="1" x14ac:dyDescent="0.35">
      <c r="A1462" s="277" t="s">
        <v>109</v>
      </c>
      <c r="B1462" s="971"/>
      <c r="C1462" s="316" t="s">
        <v>34</v>
      </c>
      <c r="D1462" s="316"/>
      <c r="E1462" s="283">
        <v>0</v>
      </c>
      <c r="F1462" s="284"/>
      <c r="G1462" s="337">
        <f t="shared" si="1803"/>
        <v>0</v>
      </c>
      <c r="H1462" s="285"/>
      <c r="I1462" s="285"/>
      <c r="J1462" s="356" t="str">
        <f>IFERROR(G1462/#REF!,"-")</f>
        <v>-</v>
      </c>
      <c r="K1462" s="337">
        <f t="shared" si="1804"/>
        <v>0</v>
      </c>
      <c r="L1462" s="275">
        <f t="shared" si="1805"/>
        <v>0</v>
      </c>
      <c r="M1462" s="276">
        <f t="shared" si="1805"/>
        <v>0</v>
      </c>
      <c r="N1462" s="341" t="str">
        <f t="shared" si="1806"/>
        <v>-</v>
      </c>
      <c r="O1462" s="350" t="str">
        <f t="shared" si="1807"/>
        <v>-</v>
      </c>
    </row>
    <row r="1463" spans="1:15" ht="24" thickBot="1" x14ac:dyDescent="0.35">
      <c r="A1463" s="277" t="s">
        <v>109</v>
      </c>
      <c r="B1463" s="967" t="s">
        <v>35</v>
      </c>
      <c r="C1463" s="968"/>
      <c r="D1463" s="969"/>
      <c r="E1463" s="287">
        <f>SUM(E1460:E1462)</f>
        <v>34000</v>
      </c>
      <c r="F1463" s="288">
        <v>6500</v>
      </c>
      <c r="G1463" s="323">
        <f>SUM(G1460:G1462)</f>
        <v>0</v>
      </c>
      <c r="H1463" s="324">
        <f t="shared" ref="H1463:I1463" si="1808">SUM(H1460:H1462)</f>
        <v>0</v>
      </c>
      <c r="I1463" s="324">
        <f t="shared" si="1808"/>
        <v>0</v>
      </c>
      <c r="J1463" s="348" t="str">
        <f>IFERROR(G1463/#REF!,"-")</f>
        <v>-</v>
      </c>
      <c r="K1463" s="323">
        <f t="shared" ref="K1463:M1463" si="1809">SUM(K1460:K1462)</f>
        <v>18022</v>
      </c>
      <c r="L1463" s="324">
        <f t="shared" si="1809"/>
        <v>17600</v>
      </c>
      <c r="M1463" s="325">
        <f t="shared" si="1809"/>
        <v>422</v>
      </c>
      <c r="N1463" s="342">
        <f t="shared" si="1806"/>
        <v>0.5300588235294118</v>
      </c>
      <c r="O1463" s="348">
        <f t="shared" si="1807"/>
        <v>2.3415825102652315E-2</v>
      </c>
    </row>
    <row r="1464" spans="1:15" ht="23.4" x14ac:dyDescent="0.3">
      <c r="A1464" s="277" t="s">
        <v>109</v>
      </c>
      <c r="B1464" s="970" t="s">
        <v>36</v>
      </c>
      <c r="C1464" s="314" t="s">
        <v>120</v>
      </c>
      <c r="D1464" s="314"/>
      <c r="E1464" s="273">
        <v>64360</v>
      </c>
      <c r="F1464" s="274"/>
      <c r="G1464" s="335">
        <f t="shared" ref="G1464:G1467" si="1810">+H1464+I1464</f>
        <v>0</v>
      </c>
      <c r="H1464" s="275"/>
      <c r="I1464" s="275"/>
      <c r="J1464" s="354" t="str">
        <f>IFERROR(G1464/#REF!,"-")</f>
        <v>-</v>
      </c>
      <c r="K1464" s="335">
        <f t="shared" ref="K1464:K1467" si="1811">+L1464+M1464</f>
        <v>0</v>
      </c>
      <c r="L1464" s="275">
        <f t="shared" ref="L1464:M1467" si="1812">+H1464+L1357</f>
        <v>0</v>
      </c>
      <c r="M1464" s="276">
        <f t="shared" si="1812"/>
        <v>0</v>
      </c>
      <c r="N1464" s="339">
        <f t="shared" si="1806"/>
        <v>0</v>
      </c>
      <c r="O1464" s="349" t="str">
        <f t="shared" si="1807"/>
        <v>-</v>
      </c>
    </row>
    <row r="1465" spans="1:15" ht="23.4" x14ac:dyDescent="0.3">
      <c r="A1465" s="277" t="s">
        <v>109</v>
      </c>
      <c r="B1465" s="972"/>
      <c r="C1465" s="315" t="s">
        <v>267</v>
      </c>
      <c r="D1465" s="315"/>
      <c r="E1465" s="279">
        <v>0</v>
      </c>
      <c r="F1465" s="280"/>
      <c r="G1465" s="336">
        <f t="shared" si="1810"/>
        <v>2000</v>
      </c>
      <c r="H1465" s="281">
        <v>1883</v>
      </c>
      <c r="I1465" s="281">
        <v>117</v>
      </c>
      <c r="J1465" s="355" t="str">
        <f>IFERROR(G1465/#REF!,"-")</f>
        <v>-</v>
      </c>
      <c r="K1465" s="336">
        <f t="shared" si="1811"/>
        <v>32448</v>
      </c>
      <c r="L1465" s="275">
        <f t="shared" si="1812"/>
        <v>31337</v>
      </c>
      <c r="M1465" s="276">
        <f t="shared" si="1812"/>
        <v>1111</v>
      </c>
      <c r="N1465" s="340" t="str">
        <f t="shared" si="1806"/>
        <v>-</v>
      </c>
      <c r="O1465" s="264">
        <f t="shared" si="1807"/>
        <v>3.4239398422090728E-2</v>
      </c>
    </row>
    <row r="1466" spans="1:15" ht="23.4" x14ac:dyDescent="0.3">
      <c r="A1466" s="277" t="s">
        <v>109</v>
      </c>
      <c r="B1466" s="972"/>
      <c r="C1466" s="315" t="s">
        <v>198</v>
      </c>
      <c r="D1466" s="315"/>
      <c r="E1466" s="279">
        <v>0</v>
      </c>
      <c r="F1466" s="280"/>
      <c r="G1466" s="336">
        <f t="shared" si="1810"/>
        <v>0</v>
      </c>
      <c r="H1466" s="281"/>
      <c r="I1466" s="281"/>
      <c r="J1466" s="355" t="str">
        <f>IFERROR(G1466/#REF!,"-")</f>
        <v>-</v>
      </c>
      <c r="K1466" s="336">
        <f t="shared" si="1811"/>
        <v>0</v>
      </c>
      <c r="L1466" s="275">
        <f t="shared" si="1812"/>
        <v>0</v>
      </c>
      <c r="M1466" s="276">
        <f t="shared" si="1812"/>
        <v>0</v>
      </c>
      <c r="N1466" s="340" t="str">
        <f t="shared" si="1806"/>
        <v>-</v>
      </c>
      <c r="O1466" s="264" t="str">
        <f t="shared" si="1807"/>
        <v>-</v>
      </c>
    </row>
    <row r="1467" spans="1:15" ht="24" thickBot="1" x14ac:dyDescent="0.35">
      <c r="A1467" s="277" t="s">
        <v>109</v>
      </c>
      <c r="B1467" s="971"/>
      <c r="C1467" s="316" t="s">
        <v>37</v>
      </c>
      <c r="D1467" s="316"/>
      <c r="E1467" s="283">
        <v>0</v>
      </c>
      <c r="F1467" s="284"/>
      <c r="G1467" s="337">
        <f t="shared" si="1810"/>
        <v>0</v>
      </c>
      <c r="H1467" s="285"/>
      <c r="I1467" s="285"/>
      <c r="J1467" s="356" t="str">
        <f>IFERROR(G1467/#REF!,"-")</f>
        <v>-</v>
      </c>
      <c r="K1467" s="337">
        <f t="shared" si="1811"/>
        <v>0</v>
      </c>
      <c r="L1467" s="275">
        <f t="shared" si="1812"/>
        <v>0</v>
      </c>
      <c r="M1467" s="276">
        <f t="shared" si="1812"/>
        <v>0</v>
      </c>
      <c r="N1467" s="341" t="str">
        <f t="shared" si="1806"/>
        <v>-</v>
      </c>
      <c r="O1467" s="350" t="str">
        <f t="shared" si="1807"/>
        <v>-</v>
      </c>
    </row>
    <row r="1468" spans="1:15" ht="24" thickBot="1" x14ac:dyDescent="0.35">
      <c r="A1468" s="277" t="s">
        <v>109</v>
      </c>
      <c r="B1468" s="967" t="s">
        <v>38</v>
      </c>
      <c r="C1468" s="968"/>
      <c r="D1468" s="969"/>
      <c r="E1468" s="287">
        <f>SUM(E1464:E1467)</f>
        <v>64360</v>
      </c>
      <c r="F1468" s="288">
        <v>6500</v>
      </c>
      <c r="G1468" s="323">
        <f>SUM(G1464:G1467)</f>
        <v>2000</v>
      </c>
      <c r="H1468" s="324">
        <f t="shared" ref="H1468:I1468" si="1813">SUM(H1464:H1467)</f>
        <v>1883</v>
      </c>
      <c r="I1468" s="324">
        <f t="shared" si="1813"/>
        <v>117</v>
      </c>
      <c r="J1468" s="348" t="str">
        <f>IFERROR(G1468/#REF!,"-")</f>
        <v>-</v>
      </c>
      <c r="K1468" s="323">
        <f t="shared" ref="K1468:M1468" si="1814">SUM(K1464:K1467)</f>
        <v>32448</v>
      </c>
      <c r="L1468" s="324">
        <f t="shared" si="1814"/>
        <v>31337</v>
      </c>
      <c r="M1468" s="325">
        <f t="shared" si="1814"/>
        <v>1111</v>
      </c>
      <c r="N1468" s="342">
        <f>IFERROR(K1468/E1468,"-")</f>
        <v>0.5041640770665009</v>
      </c>
      <c r="O1468" s="348">
        <f t="shared" si="1807"/>
        <v>3.4239398422090728E-2</v>
      </c>
    </row>
    <row r="1469" spans="1:15" ht="23.4" x14ac:dyDescent="0.3">
      <c r="A1469" s="277" t="s">
        <v>109</v>
      </c>
      <c r="B1469" s="970" t="s">
        <v>483</v>
      </c>
      <c r="C1469" s="317" t="s">
        <v>123</v>
      </c>
      <c r="D1469" s="317"/>
      <c r="E1469" s="273">
        <v>39800</v>
      </c>
      <c r="F1469" s="274"/>
      <c r="G1469" s="335">
        <f t="shared" ref="G1469:G1470" si="1815">+H1469+I1469</f>
        <v>0</v>
      </c>
      <c r="H1469" s="275"/>
      <c r="I1469" s="275"/>
      <c r="J1469" s="354" t="str">
        <f>IFERROR(G1469/#REF!,"-")</f>
        <v>-</v>
      </c>
      <c r="K1469" s="335">
        <f t="shared" ref="K1469:K1470" si="1816">+L1469+M1469</f>
        <v>144</v>
      </c>
      <c r="L1469" s="275">
        <f>+H1469+L1362</f>
        <v>144</v>
      </c>
      <c r="M1469" s="276">
        <f>+I1469+M1362</f>
        <v>0</v>
      </c>
      <c r="N1469" s="339">
        <f t="shared" ref="N1469:N1485" si="1817">IFERROR(K1469/E1469,"-")</f>
        <v>3.6180904522613066E-3</v>
      </c>
      <c r="O1469" s="349">
        <f t="shared" si="1807"/>
        <v>0</v>
      </c>
    </row>
    <row r="1470" spans="1:15" ht="24" thickBot="1" x14ac:dyDescent="0.35">
      <c r="A1470" s="277" t="s">
        <v>109</v>
      </c>
      <c r="B1470" s="971"/>
      <c r="C1470" s="289" t="s">
        <v>139</v>
      </c>
      <c r="D1470" s="289"/>
      <c r="E1470" s="283">
        <v>0</v>
      </c>
      <c r="F1470" s="284"/>
      <c r="G1470" s="337">
        <f t="shared" si="1815"/>
        <v>0</v>
      </c>
      <c r="H1470" s="285"/>
      <c r="I1470" s="285"/>
      <c r="J1470" s="356" t="str">
        <f>IFERROR(G1470/#REF!,"-")</f>
        <v>-</v>
      </c>
      <c r="K1470" s="337">
        <f t="shared" si="1816"/>
        <v>240</v>
      </c>
      <c r="L1470" s="275">
        <f>+H1470+L1363</f>
        <v>240</v>
      </c>
      <c r="M1470" s="276">
        <f>+I1470+M1363</f>
        <v>0</v>
      </c>
      <c r="N1470" s="341" t="str">
        <f t="shared" si="1817"/>
        <v>-</v>
      </c>
      <c r="O1470" s="350">
        <f t="shared" si="1807"/>
        <v>0</v>
      </c>
    </row>
    <row r="1471" spans="1:15" ht="24" thickBot="1" x14ac:dyDescent="0.35">
      <c r="A1471" s="857" t="s">
        <v>109</v>
      </c>
      <c r="B1471" s="967" t="s">
        <v>40</v>
      </c>
      <c r="C1471" s="968"/>
      <c r="D1471" s="969"/>
      <c r="E1471" s="287">
        <f>SUM(E1469:E1470)</f>
        <v>39800</v>
      </c>
      <c r="F1471" s="288">
        <v>2800</v>
      </c>
      <c r="G1471" s="323">
        <f>SUM(G1469:G1470)</f>
        <v>0</v>
      </c>
      <c r="H1471" s="324">
        <f t="shared" ref="H1471:I1471" si="1818">SUM(H1469:H1470)</f>
        <v>0</v>
      </c>
      <c r="I1471" s="324">
        <f t="shared" si="1818"/>
        <v>0</v>
      </c>
      <c r="J1471" s="348" t="str">
        <f>IFERROR(G1471/#REF!,"-")</f>
        <v>-</v>
      </c>
      <c r="K1471" s="323">
        <f t="shared" ref="K1471:M1471" si="1819">SUM(K1469:K1470)</f>
        <v>384</v>
      </c>
      <c r="L1471" s="324">
        <f t="shared" si="1819"/>
        <v>384</v>
      </c>
      <c r="M1471" s="325">
        <f t="shared" si="1819"/>
        <v>0</v>
      </c>
      <c r="N1471" s="342">
        <f t="shared" si="1817"/>
        <v>9.6482412060301514E-3</v>
      </c>
      <c r="O1471" s="348">
        <f t="shared" si="1807"/>
        <v>0</v>
      </c>
    </row>
    <row r="1472" spans="1:15" ht="23.4" x14ac:dyDescent="0.3">
      <c r="A1472" s="277" t="s">
        <v>109</v>
      </c>
      <c r="B1472" s="970" t="s">
        <v>484</v>
      </c>
      <c r="C1472" s="272" t="s">
        <v>335</v>
      </c>
      <c r="D1472" s="272"/>
      <c r="E1472" s="273">
        <v>916640</v>
      </c>
      <c r="F1472" s="318"/>
      <c r="G1472" s="335">
        <f t="shared" ref="G1472:G1476" si="1820">+H1472+I1472</f>
        <v>28200</v>
      </c>
      <c r="H1472" s="275">
        <v>27852</v>
      </c>
      <c r="I1472" s="275">
        <v>348</v>
      </c>
      <c r="J1472" s="374" t="str">
        <f>IFERROR(G1472/#REF!,"-")</f>
        <v>-</v>
      </c>
      <c r="K1472" s="335">
        <f t="shared" ref="K1472:K1476" si="1821">+L1472+M1472</f>
        <v>342903</v>
      </c>
      <c r="L1472" s="275">
        <f t="shared" ref="L1472:M1476" si="1822">+H1472+L1365</f>
        <v>338436</v>
      </c>
      <c r="M1472" s="275">
        <f t="shared" si="1822"/>
        <v>4467</v>
      </c>
      <c r="N1472" s="362">
        <f t="shared" si="1817"/>
        <v>0.37408688252749173</v>
      </c>
      <c r="O1472" s="363">
        <f t="shared" si="1807"/>
        <v>1.3027007637728454E-2</v>
      </c>
    </row>
    <row r="1473" spans="1:15" ht="23.4" x14ac:dyDescent="0.3">
      <c r="A1473" s="277" t="s">
        <v>109</v>
      </c>
      <c r="B1473" s="972"/>
      <c r="C1473" s="272" t="s">
        <v>336</v>
      </c>
      <c r="D1473" s="278"/>
      <c r="E1473" s="279">
        <v>0</v>
      </c>
      <c r="F1473" s="319"/>
      <c r="G1473" s="336">
        <f t="shared" si="1820"/>
        <v>0</v>
      </c>
      <c r="H1473" s="281"/>
      <c r="I1473" s="281"/>
      <c r="J1473" s="375" t="str">
        <f>IFERROR(G1473/#REF!,"-")</f>
        <v>-</v>
      </c>
      <c r="K1473" s="336">
        <f t="shared" si="1821"/>
        <v>0</v>
      </c>
      <c r="L1473" s="275">
        <f t="shared" si="1822"/>
        <v>0</v>
      </c>
      <c r="M1473" s="276">
        <f t="shared" si="1822"/>
        <v>0</v>
      </c>
      <c r="N1473" s="364" t="str">
        <f t="shared" si="1817"/>
        <v>-</v>
      </c>
      <c r="O1473" s="365" t="str">
        <f t="shared" si="1807"/>
        <v>-</v>
      </c>
    </row>
    <row r="1474" spans="1:15" ht="23.4" x14ac:dyDescent="0.3">
      <c r="A1474" s="277" t="s">
        <v>109</v>
      </c>
      <c r="B1474" s="972"/>
      <c r="C1474" s="278" t="s">
        <v>383</v>
      </c>
      <c r="D1474" s="278"/>
      <c r="E1474" s="279">
        <v>40000</v>
      </c>
      <c r="F1474" s="319"/>
      <c r="G1474" s="336">
        <f t="shared" si="1820"/>
        <v>0</v>
      </c>
      <c r="H1474" s="281"/>
      <c r="I1474" s="281"/>
      <c r="J1474" s="375" t="str">
        <f>IFERROR(G1474/#REF!,"-")</f>
        <v>-</v>
      </c>
      <c r="K1474" s="336">
        <f t="shared" si="1821"/>
        <v>0</v>
      </c>
      <c r="L1474" s="275">
        <f t="shared" si="1822"/>
        <v>0</v>
      </c>
      <c r="M1474" s="276">
        <f t="shared" si="1822"/>
        <v>0</v>
      </c>
      <c r="N1474" s="364">
        <f t="shared" si="1817"/>
        <v>0</v>
      </c>
      <c r="O1474" s="365" t="str">
        <f t="shared" si="1807"/>
        <v>-</v>
      </c>
    </row>
    <row r="1475" spans="1:15" ht="23.4" x14ac:dyDescent="0.3">
      <c r="A1475" s="277" t="s">
        <v>109</v>
      </c>
      <c r="B1475" s="972"/>
      <c r="C1475" s="278" t="s">
        <v>165</v>
      </c>
      <c r="D1475" s="278"/>
      <c r="E1475" s="279">
        <v>0</v>
      </c>
      <c r="F1475" s="319"/>
      <c r="G1475" s="336">
        <f t="shared" si="1820"/>
        <v>0</v>
      </c>
      <c r="H1475" s="281"/>
      <c r="I1475" s="281"/>
      <c r="J1475" s="375" t="str">
        <f>IFERROR(G1475/#REF!,"-")</f>
        <v>-</v>
      </c>
      <c r="K1475" s="336">
        <f t="shared" si="1821"/>
        <v>0</v>
      </c>
      <c r="L1475" s="275">
        <f t="shared" si="1822"/>
        <v>0</v>
      </c>
      <c r="M1475" s="276">
        <f t="shared" si="1822"/>
        <v>0</v>
      </c>
      <c r="N1475" s="364" t="str">
        <f t="shared" si="1817"/>
        <v>-</v>
      </c>
      <c r="O1475" s="365" t="str">
        <f t="shared" si="1807"/>
        <v>-</v>
      </c>
    </row>
    <row r="1476" spans="1:15" ht="24" thickBot="1" x14ac:dyDescent="0.35">
      <c r="A1476" s="277" t="s">
        <v>109</v>
      </c>
      <c r="B1476" s="971"/>
      <c r="C1476" s="282" t="s">
        <v>166</v>
      </c>
      <c r="D1476" s="282"/>
      <c r="E1476" s="283">
        <v>0</v>
      </c>
      <c r="F1476" s="320"/>
      <c r="G1476" s="337">
        <f t="shared" si="1820"/>
        <v>0</v>
      </c>
      <c r="H1476" s="285"/>
      <c r="I1476" s="285"/>
      <c r="J1476" s="376" t="str">
        <f>IFERROR(G1476/#REF!,"-")</f>
        <v>-</v>
      </c>
      <c r="K1476" s="337">
        <f t="shared" si="1821"/>
        <v>0</v>
      </c>
      <c r="L1476" s="275">
        <f t="shared" si="1822"/>
        <v>0</v>
      </c>
      <c r="M1476" s="276">
        <f t="shared" si="1822"/>
        <v>0</v>
      </c>
      <c r="N1476" s="366" t="str">
        <f t="shared" si="1817"/>
        <v>-</v>
      </c>
      <c r="O1476" s="367" t="str">
        <f t="shared" si="1807"/>
        <v>-</v>
      </c>
    </row>
    <row r="1477" spans="1:15" ht="24" thickBot="1" x14ac:dyDescent="0.35">
      <c r="A1477" s="277" t="s">
        <v>109</v>
      </c>
      <c r="B1477" s="967" t="s">
        <v>42</v>
      </c>
      <c r="C1477" s="968"/>
      <c r="D1477" s="969"/>
      <c r="E1477" s="323">
        <f>SUM(E1472:E1476)</f>
        <v>956640</v>
      </c>
      <c r="F1477" s="288">
        <v>25000</v>
      </c>
      <c r="G1477" s="323">
        <f>SUM(G1472:G1476)</f>
        <v>28200</v>
      </c>
      <c r="H1477" s="324">
        <f>SUM(H1472:H1476)</f>
        <v>27852</v>
      </c>
      <c r="I1477" s="324">
        <f>SUM(I1472:I1476)</f>
        <v>348</v>
      </c>
      <c r="J1477" s="348" t="str">
        <f>IFERROR(G1477/#REF!,"-")</f>
        <v>-</v>
      </c>
      <c r="K1477" s="323">
        <f>SUM(K1472:K1476)</f>
        <v>342903</v>
      </c>
      <c r="L1477" s="324">
        <f>SUM(L1472:L1476)</f>
        <v>338436</v>
      </c>
      <c r="M1477" s="325">
        <f>SUM(M1472:M1476)</f>
        <v>4467</v>
      </c>
      <c r="N1477" s="342">
        <f t="shared" si="1817"/>
        <v>0.3584451831409935</v>
      </c>
      <c r="O1477" s="348">
        <f t="shared" si="1807"/>
        <v>1.3027007637728454E-2</v>
      </c>
    </row>
    <row r="1478" spans="1:15" ht="23.4" x14ac:dyDescent="0.3">
      <c r="A1478" s="277" t="s">
        <v>109</v>
      </c>
      <c r="B1478" s="970" t="s">
        <v>485</v>
      </c>
      <c r="C1478" s="272" t="s">
        <v>200</v>
      </c>
      <c r="D1478" s="272"/>
      <c r="E1478" s="273">
        <v>0</v>
      </c>
      <c r="F1478" s="274"/>
      <c r="G1478" s="335">
        <f t="shared" ref="G1478:G1480" si="1823">+H1478+I1478</f>
        <v>0</v>
      </c>
      <c r="H1478" s="275"/>
      <c r="I1478" s="275"/>
      <c r="J1478" s="354" t="str">
        <f>IFERROR(G1478/#REF!,"-")</f>
        <v>-</v>
      </c>
      <c r="K1478" s="335">
        <f t="shared" ref="K1478:K1480" si="1824">+L1478+M1478</f>
        <v>0</v>
      </c>
      <c r="L1478" s="275">
        <f t="shared" ref="L1478:M1480" si="1825">+H1478+L1371</f>
        <v>0</v>
      </c>
      <c r="M1478" s="276">
        <f t="shared" si="1825"/>
        <v>0</v>
      </c>
      <c r="N1478" s="339" t="str">
        <f t="shared" si="1817"/>
        <v>-</v>
      </c>
      <c r="O1478" s="349" t="str">
        <f t="shared" si="1807"/>
        <v>-</v>
      </c>
    </row>
    <row r="1479" spans="1:15" ht="23.4" x14ac:dyDescent="0.3">
      <c r="A1479" s="277" t="s">
        <v>109</v>
      </c>
      <c r="B1479" s="972"/>
      <c r="C1479" s="278" t="s">
        <v>167</v>
      </c>
      <c r="D1479" s="278"/>
      <c r="E1479" s="279">
        <v>50000</v>
      </c>
      <c r="F1479" s="280"/>
      <c r="G1479" s="336">
        <f t="shared" si="1823"/>
        <v>14600</v>
      </c>
      <c r="H1479" s="281">
        <v>14400</v>
      </c>
      <c r="I1479" s="281">
        <v>200</v>
      </c>
      <c r="J1479" s="375" t="str">
        <f>IFERROR(G1479/#REF!,"-")</f>
        <v>-</v>
      </c>
      <c r="K1479" s="336">
        <f t="shared" si="1824"/>
        <v>170655</v>
      </c>
      <c r="L1479" s="794">
        <f t="shared" si="1825"/>
        <v>166416</v>
      </c>
      <c r="M1479" s="276">
        <f t="shared" si="1825"/>
        <v>4239</v>
      </c>
      <c r="N1479" s="364">
        <f t="shared" si="1817"/>
        <v>3.4131</v>
      </c>
      <c r="O1479" s="365">
        <f t="shared" si="1807"/>
        <v>2.4839588643754944E-2</v>
      </c>
    </row>
    <row r="1480" spans="1:15" ht="24" thickBot="1" x14ac:dyDescent="0.35">
      <c r="A1480" s="277" t="s">
        <v>109</v>
      </c>
      <c r="B1480" s="971"/>
      <c r="C1480" s="282" t="s">
        <v>200</v>
      </c>
      <c r="D1480" s="282"/>
      <c r="E1480" s="283">
        <v>0</v>
      </c>
      <c r="F1480" s="284"/>
      <c r="G1480" s="337">
        <f t="shared" si="1823"/>
        <v>0</v>
      </c>
      <c r="H1480" s="285"/>
      <c r="I1480" s="285"/>
      <c r="J1480" s="376" t="str">
        <f>IFERROR(G1480/#REF!,"-")</f>
        <v>-</v>
      </c>
      <c r="K1480" s="337">
        <f t="shared" si="1824"/>
        <v>0</v>
      </c>
      <c r="L1480" s="275">
        <f t="shared" si="1825"/>
        <v>0</v>
      </c>
      <c r="M1480" s="276">
        <f t="shared" si="1825"/>
        <v>0</v>
      </c>
      <c r="N1480" s="366" t="str">
        <f t="shared" si="1817"/>
        <v>-</v>
      </c>
      <c r="O1480" s="367" t="str">
        <f t="shared" si="1807"/>
        <v>-</v>
      </c>
    </row>
    <row r="1481" spans="1:15" ht="24" thickBot="1" x14ac:dyDescent="0.35">
      <c r="A1481" s="277" t="s">
        <v>109</v>
      </c>
      <c r="B1481" s="973" t="s">
        <v>44</v>
      </c>
      <c r="C1481" s="974"/>
      <c r="D1481" s="975"/>
      <c r="E1481" s="323">
        <f>SUM(E1478:E1480)</f>
        <v>50000</v>
      </c>
      <c r="F1481" s="288"/>
      <c r="G1481" s="323">
        <f>SUM(G1478:G1480)</f>
        <v>14600</v>
      </c>
      <c r="H1481" s="324">
        <f t="shared" ref="H1481:I1481" si="1826">SUM(H1478:H1480)</f>
        <v>14400</v>
      </c>
      <c r="I1481" s="324">
        <f t="shared" si="1826"/>
        <v>200</v>
      </c>
      <c r="J1481" s="348" t="str">
        <f>IFERROR(G1481/#REF!,"-")</f>
        <v>-</v>
      </c>
      <c r="K1481" s="323">
        <f t="shared" ref="K1481:M1481" si="1827">SUM(K1478:K1480)</f>
        <v>170655</v>
      </c>
      <c r="L1481" s="368">
        <f t="shared" si="1827"/>
        <v>166416</v>
      </c>
      <c r="M1481" s="370">
        <f t="shared" si="1827"/>
        <v>4239</v>
      </c>
      <c r="N1481" s="342">
        <f t="shared" si="1817"/>
        <v>3.4131</v>
      </c>
      <c r="O1481" s="348">
        <f t="shared" si="1807"/>
        <v>2.4839588643754944E-2</v>
      </c>
    </row>
    <row r="1482" spans="1:15" ht="23.4" x14ac:dyDescent="0.3">
      <c r="A1482" s="277" t="s">
        <v>109</v>
      </c>
      <c r="B1482" s="970" t="s">
        <v>45</v>
      </c>
      <c r="C1482" s="272" t="s">
        <v>168</v>
      </c>
      <c r="D1482" s="272"/>
      <c r="E1482" s="273">
        <v>0</v>
      </c>
      <c r="F1482" s="274"/>
      <c r="G1482" s="335">
        <f t="shared" ref="G1482:G1483" si="1828">+H1482+I1482</f>
        <v>0</v>
      </c>
      <c r="H1482" s="275"/>
      <c r="I1482" s="275"/>
      <c r="J1482" s="374" t="str">
        <f>IFERROR(G1482/#REF!,"-")</f>
        <v>-</v>
      </c>
      <c r="K1482" s="739">
        <f t="shared" ref="K1482:K1483" si="1829">+L1482+M1482</f>
        <v>0</v>
      </c>
      <c r="L1482" s="532">
        <f>+H1482+L1375</f>
        <v>0</v>
      </c>
      <c r="M1482" s="247">
        <f>+I1482+M1375</f>
        <v>0</v>
      </c>
      <c r="N1482" s="362" t="str">
        <f t="shared" si="1817"/>
        <v>-</v>
      </c>
      <c r="O1482" s="363" t="str">
        <f t="shared" si="1807"/>
        <v>-</v>
      </c>
    </row>
    <row r="1483" spans="1:15" ht="24" thickBot="1" x14ac:dyDescent="0.35">
      <c r="A1483" s="277" t="s">
        <v>109</v>
      </c>
      <c r="B1483" s="971"/>
      <c r="C1483" s="282" t="s">
        <v>169</v>
      </c>
      <c r="D1483" s="282"/>
      <c r="E1483" s="283">
        <v>0</v>
      </c>
      <c r="F1483" s="284"/>
      <c r="G1483" s="337">
        <f t="shared" si="1828"/>
        <v>0</v>
      </c>
      <c r="H1483" s="285"/>
      <c r="I1483" s="285"/>
      <c r="J1483" s="376" t="str">
        <f>IFERROR(G1483/#REF!,"-")</f>
        <v>-</v>
      </c>
      <c r="K1483" s="740">
        <f t="shared" si="1829"/>
        <v>0</v>
      </c>
      <c r="L1483" s="535">
        <f>+H1483+L1376</f>
        <v>0</v>
      </c>
      <c r="M1483" s="258">
        <f>+I1483+M1376</f>
        <v>0</v>
      </c>
      <c r="N1483" s="366" t="str">
        <f t="shared" si="1817"/>
        <v>-</v>
      </c>
      <c r="O1483" s="367" t="str">
        <f t="shared" si="1807"/>
        <v>-</v>
      </c>
    </row>
    <row r="1484" spans="1:15" ht="24" thickBot="1" x14ac:dyDescent="0.35">
      <c r="A1484" s="277" t="s">
        <v>109</v>
      </c>
      <c r="B1484" s="973" t="s">
        <v>46</v>
      </c>
      <c r="C1484" s="974"/>
      <c r="D1484" s="975"/>
      <c r="E1484" s="287">
        <v>0</v>
      </c>
      <c r="F1484" s="288">
        <v>25000</v>
      </c>
      <c r="G1484" s="323">
        <f>SUM(G1482:G1483)</f>
        <v>0</v>
      </c>
      <c r="H1484" s="324">
        <f t="shared" ref="H1484:I1484" si="1830">SUM(H1482:H1483)</f>
        <v>0</v>
      </c>
      <c r="I1484" s="324">
        <f t="shared" si="1830"/>
        <v>0</v>
      </c>
      <c r="J1484" s="348" t="str">
        <f>IFERROR(G1484/#REF!,"-")</f>
        <v>-</v>
      </c>
      <c r="K1484" s="323">
        <f t="shared" ref="K1484:M1484" si="1831">SUM(K1482:K1483)</f>
        <v>0</v>
      </c>
      <c r="L1484" s="524">
        <f t="shared" si="1831"/>
        <v>0</v>
      </c>
      <c r="M1484" s="733">
        <f t="shared" si="1831"/>
        <v>0</v>
      </c>
      <c r="N1484" s="342" t="str">
        <f t="shared" si="1817"/>
        <v>-</v>
      </c>
      <c r="O1484" s="348" t="str">
        <f t="shared" si="1807"/>
        <v>-</v>
      </c>
    </row>
    <row r="1485" spans="1:15" ht="24" thickBot="1" x14ac:dyDescent="0.35">
      <c r="A1485" s="277" t="s">
        <v>109</v>
      </c>
      <c r="B1485" s="959" t="s">
        <v>25</v>
      </c>
      <c r="C1485" s="960"/>
      <c r="D1485" s="961"/>
      <c r="E1485" s="329">
        <f t="shared" ref="E1485:F1485" si="1832">+E1463+E1468+E1471+E1477+E1481+E1484</f>
        <v>1144800</v>
      </c>
      <c r="F1485" s="330">
        <f t="shared" si="1832"/>
        <v>65800</v>
      </c>
      <c r="G1485" s="329">
        <f>+G1463+G1468+G1471+G1477+G1481+G1484</f>
        <v>44800</v>
      </c>
      <c r="H1485" s="327">
        <f>+H1463+H1468+H1471+H1477+H1481+H1484</f>
        <v>44135</v>
      </c>
      <c r="I1485" s="327">
        <f t="shared" ref="I1485" si="1833">+I1463+I1468+I1471+I1477+I1481+I1484</f>
        <v>665</v>
      </c>
      <c r="J1485" s="352" t="str">
        <f>IFERROR(G1485/#REF!,"-")</f>
        <v>-</v>
      </c>
      <c r="K1485" s="329">
        <f>+K1463+K1468+K1471+K1477+K1481+K1484</f>
        <v>564412</v>
      </c>
      <c r="L1485" s="327">
        <f t="shared" ref="L1485:M1485" si="1834">+L1463+L1468+L1471+L1477+L1481+L1484</f>
        <v>554173</v>
      </c>
      <c r="M1485" s="328">
        <f t="shared" si="1834"/>
        <v>10239</v>
      </c>
      <c r="N1485" s="344">
        <f t="shared" si="1817"/>
        <v>0.49302236198462612</v>
      </c>
      <c r="O1485" s="352">
        <f t="shared" si="1807"/>
        <v>1.8141003380509273E-2</v>
      </c>
    </row>
    <row r="1486" spans="1:15" ht="24" thickBot="1" x14ac:dyDescent="0.35">
      <c r="A1486" s="321" t="s">
        <v>109</v>
      </c>
      <c r="B1486" s="962" t="s">
        <v>181</v>
      </c>
      <c r="C1486" s="962"/>
      <c r="D1486" s="963"/>
      <c r="E1486" s="333">
        <f>+E1485</f>
        <v>1144800</v>
      </c>
      <c r="F1486" s="334">
        <f t="shared" ref="F1486:O1486" si="1835">+F1485</f>
        <v>65800</v>
      </c>
      <c r="G1486" s="333">
        <f t="shared" si="1835"/>
        <v>44800</v>
      </c>
      <c r="H1486" s="331">
        <f t="shared" si="1835"/>
        <v>44135</v>
      </c>
      <c r="I1486" s="331">
        <f t="shared" si="1835"/>
        <v>665</v>
      </c>
      <c r="J1486" s="353" t="str">
        <f t="shared" si="1835"/>
        <v>-</v>
      </c>
      <c r="K1486" s="333">
        <f t="shared" si="1835"/>
        <v>564412</v>
      </c>
      <c r="L1486" s="331">
        <f t="shared" si="1835"/>
        <v>554173</v>
      </c>
      <c r="M1486" s="332">
        <f t="shared" si="1835"/>
        <v>10239</v>
      </c>
      <c r="N1486" s="345">
        <f t="shared" si="1835"/>
        <v>0.49302236198462612</v>
      </c>
      <c r="O1486" s="353">
        <f t="shared" si="1835"/>
        <v>1.8141003380509273E-2</v>
      </c>
    </row>
    <row r="1487" spans="1:15" ht="24.6" thickBot="1" x14ac:dyDescent="0.35">
      <c r="A1487" s="322"/>
      <c r="B1487" s="964" t="s">
        <v>182</v>
      </c>
      <c r="C1487" s="965"/>
      <c r="D1487" s="966"/>
      <c r="E1487" s="377">
        <f>+E1429+E1459+E1486</f>
        <v>10258981</v>
      </c>
      <c r="F1487" s="377">
        <f>+F1429+F1459+F1486</f>
        <v>1014800</v>
      </c>
      <c r="G1487" s="377">
        <f>+G1429+G1459+G1486</f>
        <v>439141</v>
      </c>
      <c r="H1487" s="377">
        <f>+H1429+H1459+H1486</f>
        <v>427996</v>
      </c>
      <c r="I1487" s="377">
        <f>+I1429+I1459+I1486</f>
        <v>11145</v>
      </c>
      <c r="J1487" s="378" t="str">
        <f>IFERROR(G1487/#REF!,"-")</f>
        <v>-</v>
      </c>
      <c r="K1487" s="377">
        <f>+K1429+K1459+K1486</f>
        <v>5547926</v>
      </c>
      <c r="L1487" s="377">
        <f>+L1429+L1459+L1486</f>
        <v>5479784</v>
      </c>
      <c r="M1487" s="377">
        <f>+M1429+M1459+M1486</f>
        <v>68142</v>
      </c>
      <c r="N1487" s="378">
        <f>IFERROR(K1487/E1487,"-")</f>
        <v>0.54078723803075568</v>
      </c>
      <c r="O1487" s="378">
        <f>IFERROR(M1487/K1487,"-")</f>
        <v>1.2282427703613928E-2</v>
      </c>
    </row>
    <row r="1488" spans="1:15" ht="23.4" x14ac:dyDescent="0.3">
      <c r="A1488" s="991" t="s">
        <v>1</v>
      </c>
      <c r="B1488" s="994" t="s">
        <v>2</v>
      </c>
      <c r="C1488" s="997" t="s">
        <v>477</v>
      </c>
      <c r="D1488" s="997" t="s">
        <v>478</v>
      </c>
      <c r="E1488" s="1000" t="s">
        <v>4</v>
      </c>
      <c r="F1488" s="1001"/>
      <c r="G1488" s="1001"/>
      <c r="H1488" s="1001"/>
      <c r="I1488" s="1001"/>
      <c r="J1488" s="1001"/>
      <c r="K1488" s="1001"/>
      <c r="L1488" s="1001"/>
      <c r="M1488" s="1001"/>
      <c r="N1488" s="1001"/>
      <c r="O1488" s="1002"/>
    </row>
    <row r="1489" spans="1:15" ht="23.4" x14ac:dyDescent="0.3">
      <c r="A1489" s="992"/>
      <c r="B1489" s="995"/>
      <c r="C1489" s="998"/>
      <c r="D1489" s="998"/>
      <c r="E1489" s="1003" t="s">
        <v>7</v>
      </c>
      <c r="F1489" s="1005" t="s">
        <v>115</v>
      </c>
      <c r="G1489" s="1007" t="s">
        <v>551</v>
      </c>
      <c r="H1489" s="1008"/>
      <c r="I1489" s="1008"/>
      <c r="J1489" s="1009"/>
      <c r="K1489" s="1010" t="s">
        <v>479</v>
      </c>
      <c r="L1489" s="1011"/>
      <c r="M1489" s="1012"/>
      <c r="N1489" s="1013" t="s">
        <v>480</v>
      </c>
      <c r="O1489" s="1015" t="s">
        <v>172</v>
      </c>
    </row>
    <row r="1490" spans="1:15" ht="41.4" thickBot="1" x14ac:dyDescent="0.35">
      <c r="A1490" s="993"/>
      <c r="B1490" s="996"/>
      <c r="C1490" s="999"/>
      <c r="D1490" s="999"/>
      <c r="E1490" s="1004"/>
      <c r="F1490" s="1006"/>
      <c r="G1490" s="455" t="s">
        <v>13</v>
      </c>
      <c r="H1490" s="456" t="s">
        <v>14</v>
      </c>
      <c r="I1490" s="456" t="s">
        <v>15</v>
      </c>
      <c r="J1490" s="457" t="s">
        <v>174</v>
      </c>
      <c r="K1490" s="712" t="s">
        <v>13</v>
      </c>
      <c r="L1490" s="710" t="s">
        <v>14</v>
      </c>
      <c r="M1490" s="711" t="s">
        <v>15</v>
      </c>
      <c r="N1490" s="1014"/>
      <c r="O1490" s="1016"/>
    </row>
    <row r="1491" spans="1:15" ht="24" thickBot="1" x14ac:dyDescent="0.35">
      <c r="A1491" s="271" t="s">
        <v>110</v>
      </c>
      <c r="B1491" s="956" t="s">
        <v>16</v>
      </c>
      <c r="C1491" s="272" t="s">
        <v>424</v>
      </c>
      <c r="D1491" s="272" t="s">
        <v>425</v>
      </c>
      <c r="E1491" s="273">
        <v>20000</v>
      </c>
      <c r="F1491" s="274"/>
      <c r="G1491" s="335">
        <f>+H1491+I1491</f>
        <v>0</v>
      </c>
      <c r="H1491" s="275"/>
      <c r="I1491" s="275"/>
      <c r="J1491" s="354"/>
      <c r="K1491" s="461">
        <f>+L1491+M1491</f>
        <v>20432</v>
      </c>
      <c r="L1491" s="732">
        <f>+H1491+L1384</f>
        <v>19840</v>
      </c>
      <c r="M1491" s="732">
        <f>+I1491+M1384</f>
        <v>592</v>
      </c>
      <c r="N1491" s="339">
        <f>IFERROR(K1491/E1491,"-")</f>
        <v>1.0216000000000001</v>
      </c>
      <c r="O1491" s="346">
        <f t="shared" ref="O1491:O1492" si="1836">IFERROR(M1491/K1491,"-")</f>
        <v>2.8974158183241974E-2</v>
      </c>
    </row>
    <row r="1492" spans="1:15" ht="23.4" x14ac:dyDescent="0.3">
      <c r="A1492" s="277" t="s">
        <v>110</v>
      </c>
      <c r="B1492" s="957"/>
      <c r="C1492" s="278" t="s">
        <v>438</v>
      </c>
      <c r="D1492" s="278" t="s">
        <v>437</v>
      </c>
      <c r="E1492" s="279">
        <v>50000</v>
      </c>
      <c r="F1492" s="280"/>
      <c r="G1492" s="336">
        <f t="shared" ref="G1492:G1494" si="1837">+H1492+I1492</f>
        <v>0</v>
      </c>
      <c r="H1492" s="281"/>
      <c r="I1492" s="281"/>
      <c r="J1492" s="355" t="str">
        <f>IFERROR(G1492/#REF!,"-")</f>
        <v>-</v>
      </c>
      <c r="K1492" s="734">
        <f t="shared" ref="K1492:K1494" si="1838">+L1492+M1492</f>
        <v>48806</v>
      </c>
      <c r="L1492" s="532">
        <f t="shared" ref="L1492:M1492" si="1839">+H1492+L1385</f>
        <v>48381</v>
      </c>
      <c r="M1492" s="463">
        <f t="shared" si="1839"/>
        <v>425</v>
      </c>
      <c r="N1492" s="340">
        <f t="shared" ref="N1492:N1494" si="1840">IFERROR(K1492/E1492,"-")</f>
        <v>0.97611999999999999</v>
      </c>
      <c r="O1492" s="268">
        <f t="shared" si="1836"/>
        <v>8.7079457443756912E-3</v>
      </c>
    </row>
    <row r="1493" spans="1:15" s="862" customFormat="1" ht="23.4" x14ac:dyDescent="0.3">
      <c r="A1493" s="277" t="s">
        <v>110</v>
      </c>
      <c r="B1493" s="957"/>
      <c r="C1493" s="580" t="s">
        <v>540</v>
      </c>
      <c r="D1493" s="580" t="s">
        <v>410</v>
      </c>
      <c r="E1493" s="859">
        <v>0</v>
      </c>
      <c r="F1493" s="860"/>
      <c r="G1493" s="336">
        <f t="shared" si="1837"/>
        <v>0</v>
      </c>
      <c r="H1493" s="861"/>
      <c r="I1493" s="861"/>
      <c r="J1493" s="355" t="str">
        <f>IFERROR(G1493/#REF!,"-")</f>
        <v>-</v>
      </c>
      <c r="K1493" s="734">
        <f t="shared" si="1838"/>
        <v>28600</v>
      </c>
      <c r="L1493" s="859">
        <f t="shared" ref="L1493:M1493" si="1841">+H1493+L1386</f>
        <v>28600</v>
      </c>
      <c r="M1493" s="534">
        <f t="shared" si="1841"/>
        <v>0</v>
      </c>
      <c r="N1493" s="340" t="str">
        <f t="shared" si="1840"/>
        <v>-</v>
      </c>
      <c r="O1493" s="268">
        <f>IFERROR(M1493/K1493,"-")</f>
        <v>0</v>
      </c>
    </row>
    <row r="1494" spans="1:15" ht="24" thickBot="1" x14ac:dyDescent="0.35">
      <c r="A1494" s="277" t="s">
        <v>110</v>
      </c>
      <c r="B1494" s="958"/>
      <c r="C1494" s="282" t="s">
        <v>525</v>
      </c>
      <c r="D1494" s="282" t="s">
        <v>436</v>
      </c>
      <c r="E1494" s="283">
        <v>30000</v>
      </c>
      <c r="F1494" s="284"/>
      <c r="G1494" s="337">
        <f t="shared" si="1837"/>
        <v>0</v>
      </c>
      <c r="H1494" s="275"/>
      <c r="I1494" s="275"/>
      <c r="J1494" s="356" t="str">
        <f>IFERROR(G1494/#REF!,"-")</f>
        <v>-</v>
      </c>
      <c r="K1494" s="735">
        <f t="shared" si="1838"/>
        <v>25135</v>
      </c>
      <c r="L1494" s="535">
        <f t="shared" ref="L1494:M1494" si="1842">+H1494+L1387</f>
        <v>23296</v>
      </c>
      <c r="M1494" s="466">
        <f t="shared" si="1842"/>
        <v>1839</v>
      </c>
      <c r="N1494" s="341">
        <f t="shared" si="1840"/>
        <v>0.83783333333333332</v>
      </c>
      <c r="O1494" s="347">
        <f t="shared" ref="O1494:O1512" si="1843">IFERROR(M1494/K1494,"-")</f>
        <v>7.3164909488760699E-2</v>
      </c>
    </row>
    <row r="1495" spans="1:15" ht="24" thickBot="1" x14ac:dyDescent="0.35">
      <c r="A1495" s="277" t="s">
        <v>110</v>
      </c>
      <c r="B1495" s="967" t="s">
        <v>47</v>
      </c>
      <c r="C1495" s="968"/>
      <c r="D1495" s="969"/>
      <c r="E1495" s="323">
        <f>SUM(E1491:E1494)</f>
        <v>100000</v>
      </c>
      <c r="F1495" s="288">
        <v>15000</v>
      </c>
      <c r="G1495" s="323">
        <f>SUM(G1491:G1494)</f>
        <v>0</v>
      </c>
      <c r="H1495" s="324">
        <f t="shared" ref="H1495:I1495" si="1844">SUM(H1491:H1494)</f>
        <v>0</v>
      </c>
      <c r="I1495" s="324">
        <f t="shared" si="1844"/>
        <v>0</v>
      </c>
      <c r="J1495" s="348">
        <f>+G1495/F1495</f>
        <v>0</v>
      </c>
      <c r="K1495" s="323">
        <f t="shared" ref="K1495:M1495" si="1845">SUM(K1491:K1494)</f>
        <v>122973</v>
      </c>
      <c r="L1495" s="736">
        <f t="shared" si="1845"/>
        <v>120117</v>
      </c>
      <c r="M1495" s="737">
        <f t="shared" si="1845"/>
        <v>2856</v>
      </c>
      <c r="N1495" s="342">
        <f>IFERROR(K1495/E1495,"-")</f>
        <v>1.22973</v>
      </c>
      <c r="O1495" s="348">
        <f t="shared" si="1843"/>
        <v>2.3224610280305431E-2</v>
      </c>
    </row>
    <row r="1496" spans="1:15" ht="23.4" x14ac:dyDescent="0.3">
      <c r="A1496" s="277" t="s">
        <v>110</v>
      </c>
      <c r="B1496" s="956" t="s">
        <v>17</v>
      </c>
      <c r="C1496" s="272" t="s">
        <v>320</v>
      </c>
      <c r="D1496" s="272"/>
      <c r="E1496" s="273">
        <v>0</v>
      </c>
      <c r="F1496" s="274"/>
      <c r="G1496" s="335">
        <f t="shared" ref="G1496:G1502" si="1846">+H1496+I1496</f>
        <v>0</v>
      </c>
      <c r="H1496" s="275"/>
      <c r="I1496" s="275"/>
      <c r="J1496" s="354" t="str">
        <f>IFERROR(G1496/#REF!,"-")</f>
        <v>-</v>
      </c>
      <c r="K1496" s="738">
        <f t="shared" ref="K1496:K1502" si="1847">+L1496+M1496</f>
        <v>196646</v>
      </c>
      <c r="L1496" s="532">
        <f t="shared" ref="L1496:M1496" si="1848">+H1496+L1389</f>
        <v>195840</v>
      </c>
      <c r="M1496" s="463">
        <f t="shared" si="1848"/>
        <v>806</v>
      </c>
      <c r="N1496" s="339" t="str">
        <f t="shared" ref="N1496:N1502" si="1849">IFERROR(K1496/E1496,"-")</f>
        <v>-</v>
      </c>
      <c r="O1496" s="349">
        <f t="shared" si="1843"/>
        <v>4.0987357993551863E-3</v>
      </c>
    </row>
    <row r="1497" spans="1:15" ht="23.4" x14ac:dyDescent="0.3">
      <c r="A1497" s="277" t="s">
        <v>110</v>
      </c>
      <c r="B1497" s="957"/>
      <c r="C1497" s="278" t="s">
        <v>382</v>
      </c>
      <c r="D1497" s="278" t="s">
        <v>252</v>
      </c>
      <c r="E1497" s="279">
        <v>2000000</v>
      </c>
      <c r="F1497" s="280"/>
      <c r="G1497" s="336">
        <f t="shared" si="1846"/>
        <v>0</v>
      </c>
      <c r="H1497" s="281"/>
      <c r="I1497" s="281"/>
      <c r="J1497" s="355" t="str">
        <f>IFERROR(G1497/#REF!,"-")</f>
        <v>-</v>
      </c>
      <c r="K1497" s="734">
        <f t="shared" si="1847"/>
        <v>606212</v>
      </c>
      <c r="L1497" s="279">
        <f t="shared" ref="L1497:M1497" si="1850">+H1497+L1390</f>
        <v>602743</v>
      </c>
      <c r="M1497" s="439">
        <f t="shared" si="1850"/>
        <v>3469</v>
      </c>
      <c r="N1497" s="340">
        <f t="shared" si="1849"/>
        <v>0.30310599999999999</v>
      </c>
      <c r="O1497" s="264">
        <f t="shared" si="1843"/>
        <v>5.7224205393492707E-3</v>
      </c>
    </row>
    <row r="1498" spans="1:15" ht="23.4" x14ac:dyDescent="0.3">
      <c r="A1498" s="277" t="s">
        <v>110</v>
      </c>
      <c r="B1498" s="957"/>
      <c r="C1498" s="278" t="s">
        <v>422</v>
      </c>
      <c r="D1498" s="278" t="s">
        <v>201</v>
      </c>
      <c r="E1498" s="279">
        <v>1000000</v>
      </c>
      <c r="F1498" s="280"/>
      <c r="G1498" s="336">
        <f t="shared" si="1846"/>
        <v>0</v>
      </c>
      <c r="H1498" s="281"/>
      <c r="I1498" s="281"/>
      <c r="J1498" s="355" t="str">
        <f>IFERROR(G1498/#REF!,"-")</f>
        <v>-</v>
      </c>
      <c r="K1498" s="734">
        <f t="shared" si="1847"/>
        <v>459333</v>
      </c>
      <c r="L1498" s="279">
        <f t="shared" ref="L1498:M1498" si="1851">+H1498+L1391</f>
        <v>454716</v>
      </c>
      <c r="M1498" s="439">
        <f t="shared" si="1851"/>
        <v>4617</v>
      </c>
      <c r="N1498" s="340">
        <f t="shared" si="1849"/>
        <v>0.45933299999999999</v>
      </c>
      <c r="O1498" s="264">
        <f t="shared" si="1843"/>
        <v>1.0051531242040088E-2</v>
      </c>
    </row>
    <row r="1499" spans="1:15" ht="23.4" x14ac:dyDescent="0.3">
      <c r="A1499" s="277" t="s">
        <v>110</v>
      </c>
      <c r="B1499" s="957"/>
      <c r="C1499" s="278" t="s">
        <v>319</v>
      </c>
      <c r="D1499" s="278" t="s">
        <v>202</v>
      </c>
      <c r="E1499" s="279">
        <v>0</v>
      </c>
      <c r="F1499" s="280"/>
      <c r="G1499" s="336">
        <f t="shared" si="1846"/>
        <v>141322</v>
      </c>
      <c r="H1499" s="281">
        <v>140760</v>
      </c>
      <c r="I1499" s="281">
        <v>562</v>
      </c>
      <c r="J1499" s="355" t="str">
        <f>IFERROR(G1499/#REF!,"-")</f>
        <v>-</v>
      </c>
      <c r="K1499" s="734">
        <f t="shared" si="1847"/>
        <v>258061</v>
      </c>
      <c r="L1499" s="279">
        <f t="shared" ref="L1499:M1499" si="1852">+H1499+L1392</f>
        <v>257040</v>
      </c>
      <c r="M1499" s="439">
        <f t="shared" si="1852"/>
        <v>1021</v>
      </c>
      <c r="N1499" s="340" t="str">
        <f t="shared" si="1849"/>
        <v>-</v>
      </c>
      <c r="O1499" s="264">
        <f t="shared" si="1843"/>
        <v>3.9564289063438486E-3</v>
      </c>
    </row>
    <row r="1500" spans="1:15" ht="23.4" x14ac:dyDescent="0.3">
      <c r="A1500" s="277" t="s">
        <v>110</v>
      </c>
      <c r="B1500" s="957"/>
      <c r="C1500" s="278" t="s">
        <v>358</v>
      </c>
      <c r="D1500" s="278" t="s">
        <v>352</v>
      </c>
      <c r="E1500" s="279">
        <v>500000</v>
      </c>
      <c r="F1500" s="280"/>
      <c r="G1500" s="336">
        <f t="shared" si="1846"/>
        <v>0</v>
      </c>
      <c r="H1500" s="281"/>
      <c r="I1500" s="281"/>
      <c r="J1500" s="355" t="str">
        <f>IFERROR(G1500/#REF!,"-")</f>
        <v>-</v>
      </c>
      <c r="K1500" s="734">
        <f t="shared" si="1847"/>
        <v>503292</v>
      </c>
      <c r="L1500" s="279">
        <f t="shared" ref="L1500:M1500" si="1853">+H1500+L1393</f>
        <v>500882</v>
      </c>
      <c r="M1500" s="439">
        <f t="shared" si="1853"/>
        <v>2410</v>
      </c>
      <c r="N1500" s="340">
        <f t="shared" si="1849"/>
        <v>1.0065839999999999</v>
      </c>
      <c r="O1500" s="264">
        <f t="shared" si="1843"/>
        <v>4.7884726957710434E-3</v>
      </c>
    </row>
    <row r="1501" spans="1:15" ht="23.4" x14ac:dyDescent="0.3">
      <c r="A1501" s="277" t="s">
        <v>110</v>
      </c>
      <c r="B1501" s="957"/>
      <c r="C1501" s="278" t="s">
        <v>392</v>
      </c>
      <c r="D1501" s="278" t="s">
        <v>203</v>
      </c>
      <c r="E1501" s="279">
        <v>0</v>
      </c>
      <c r="F1501" s="280"/>
      <c r="G1501" s="336">
        <f t="shared" si="1846"/>
        <v>0</v>
      </c>
      <c r="H1501" s="281"/>
      <c r="I1501" s="281"/>
      <c r="J1501" s="355" t="str">
        <f>IFERROR(G1501/#REF!,"-")</f>
        <v>-</v>
      </c>
      <c r="K1501" s="734">
        <f t="shared" si="1847"/>
        <v>0</v>
      </c>
      <c r="L1501" s="279">
        <f t="shared" ref="L1501:M1501" si="1854">+H1501+L1394</f>
        <v>0</v>
      </c>
      <c r="M1501" s="439">
        <f t="shared" si="1854"/>
        <v>0</v>
      </c>
      <c r="N1501" s="340" t="str">
        <f t="shared" si="1849"/>
        <v>-</v>
      </c>
      <c r="O1501" s="264" t="str">
        <f t="shared" si="1843"/>
        <v>-</v>
      </c>
    </row>
    <row r="1502" spans="1:15" ht="24" thickBot="1" x14ac:dyDescent="0.35">
      <c r="A1502" s="277" t="s">
        <v>110</v>
      </c>
      <c r="B1502" s="958"/>
      <c r="C1502" s="282" t="s">
        <v>379</v>
      </c>
      <c r="D1502" s="282" t="s">
        <v>252</v>
      </c>
      <c r="E1502" s="283">
        <v>0</v>
      </c>
      <c r="F1502" s="284"/>
      <c r="G1502" s="337">
        <f t="shared" si="1846"/>
        <v>0</v>
      </c>
      <c r="H1502" s="285"/>
      <c r="I1502" s="285"/>
      <c r="J1502" s="356" t="str">
        <f>IFERROR(G1502/#REF!,"-")</f>
        <v>-</v>
      </c>
      <c r="K1502" s="735">
        <f t="shared" si="1847"/>
        <v>0</v>
      </c>
      <c r="L1502" s="535">
        <f t="shared" ref="L1502:M1502" si="1855">+H1502+L1395</f>
        <v>0</v>
      </c>
      <c r="M1502" s="466">
        <f t="shared" si="1855"/>
        <v>0</v>
      </c>
      <c r="N1502" s="341" t="str">
        <f t="shared" si="1849"/>
        <v>-</v>
      </c>
      <c r="O1502" s="350" t="str">
        <f t="shared" si="1843"/>
        <v>-</v>
      </c>
    </row>
    <row r="1503" spans="1:15" ht="24" thickBot="1" x14ac:dyDescent="0.35">
      <c r="A1503" s="277" t="s">
        <v>110</v>
      </c>
      <c r="B1503" s="967" t="s">
        <v>48</v>
      </c>
      <c r="C1503" s="968"/>
      <c r="D1503" s="969"/>
      <c r="E1503" s="323">
        <f>SUM(E1496:E1502)</f>
        <v>3500000</v>
      </c>
      <c r="F1503" s="288">
        <v>200000</v>
      </c>
      <c r="G1503" s="323">
        <f>SUM(G1496:G1502)</f>
        <v>141322</v>
      </c>
      <c r="H1503" s="324">
        <f t="shared" ref="H1503:I1503" si="1856">SUM(H1496:H1502)</f>
        <v>140760</v>
      </c>
      <c r="I1503" s="324">
        <f t="shared" si="1856"/>
        <v>562</v>
      </c>
      <c r="J1503" s="348">
        <f>+G1503/F1503</f>
        <v>0.70660999999999996</v>
      </c>
      <c r="K1503" s="323">
        <f>SUM(K1496:K1502)</f>
        <v>2023544</v>
      </c>
      <c r="L1503" s="524">
        <f>SUM(L1496:L1502)</f>
        <v>2011221</v>
      </c>
      <c r="M1503" s="733">
        <f t="shared" ref="M1503" si="1857">SUM(M1496:M1502)</f>
        <v>12323</v>
      </c>
      <c r="N1503" s="342">
        <f>IFERROR(K1503/E1503,"-")</f>
        <v>0.57815542857142854</v>
      </c>
      <c r="O1503" s="348">
        <f t="shared" si="1843"/>
        <v>6.0898107478760035E-3</v>
      </c>
    </row>
    <row r="1504" spans="1:15" ht="23.4" x14ac:dyDescent="0.3">
      <c r="A1504" s="277" t="s">
        <v>110</v>
      </c>
      <c r="B1504" s="956" t="s">
        <v>18</v>
      </c>
      <c r="C1504" s="272" t="s">
        <v>344</v>
      </c>
      <c r="D1504" s="272" t="s">
        <v>99</v>
      </c>
      <c r="E1504" s="273">
        <v>0</v>
      </c>
      <c r="F1504" s="274"/>
      <c r="G1504" s="335">
        <f t="shared" ref="G1504:G1510" si="1858">+H1504+I1504</f>
        <v>0</v>
      </c>
      <c r="H1504" s="275"/>
      <c r="I1504" s="275"/>
      <c r="J1504" s="354" t="str">
        <f>IFERROR(G1504/#REF!,"-")</f>
        <v>-</v>
      </c>
      <c r="K1504" s="335">
        <f t="shared" ref="K1504:K1510" si="1859">+L1504+M1504</f>
        <v>0</v>
      </c>
      <c r="L1504" s="275">
        <f t="shared" ref="L1504:M1504" si="1860">+H1504+L1397</f>
        <v>0</v>
      </c>
      <c r="M1504" s="276">
        <f t="shared" si="1860"/>
        <v>0</v>
      </c>
      <c r="N1504" s="339" t="str">
        <f t="shared" ref="N1504:N1511" si="1861">IFERROR(K1504/E1504,"-")</f>
        <v>-</v>
      </c>
      <c r="O1504" s="349" t="str">
        <f t="shared" si="1843"/>
        <v>-</v>
      </c>
    </row>
    <row r="1505" spans="1:15" ht="23.4" x14ac:dyDescent="0.3">
      <c r="A1505" s="277" t="s">
        <v>110</v>
      </c>
      <c r="B1505" s="957"/>
      <c r="C1505" s="278" t="s">
        <v>253</v>
      </c>
      <c r="D1505" s="278" t="s">
        <v>254</v>
      </c>
      <c r="E1505" s="279">
        <v>0</v>
      </c>
      <c r="F1505" s="280"/>
      <c r="G1505" s="336">
        <f t="shared" si="1858"/>
        <v>0</v>
      </c>
      <c r="H1505" s="281"/>
      <c r="I1505" s="281"/>
      <c r="J1505" s="355" t="str">
        <f>IFERROR(G1505/#REF!,"-")</f>
        <v>-</v>
      </c>
      <c r="K1505" s="336">
        <f t="shared" si="1859"/>
        <v>0</v>
      </c>
      <c r="L1505" s="275">
        <f t="shared" ref="L1505:M1505" si="1862">+H1505+L1398</f>
        <v>0</v>
      </c>
      <c r="M1505" s="276">
        <f t="shared" si="1862"/>
        <v>0</v>
      </c>
      <c r="N1505" s="340" t="str">
        <f t="shared" si="1861"/>
        <v>-</v>
      </c>
      <c r="O1505" s="264" t="str">
        <f t="shared" si="1843"/>
        <v>-</v>
      </c>
    </row>
    <row r="1506" spans="1:15" ht="23.4" x14ac:dyDescent="0.3">
      <c r="A1506" s="277" t="s">
        <v>110</v>
      </c>
      <c r="B1506" s="957"/>
      <c r="C1506" s="278" t="s">
        <v>122</v>
      </c>
      <c r="D1506" s="278"/>
      <c r="E1506" s="279">
        <v>0</v>
      </c>
      <c r="F1506" s="280"/>
      <c r="G1506" s="336">
        <f t="shared" si="1858"/>
        <v>0</v>
      </c>
      <c r="H1506" s="281"/>
      <c r="I1506" s="281"/>
      <c r="J1506" s="355" t="str">
        <f>IFERROR(G1506/#REF!,"-")</f>
        <v>-</v>
      </c>
      <c r="K1506" s="336">
        <f t="shared" si="1859"/>
        <v>0</v>
      </c>
      <c r="L1506" s="275">
        <f t="shared" ref="L1506:M1506" si="1863">+H1506+L1399</f>
        <v>0</v>
      </c>
      <c r="M1506" s="276">
        <f t="shared" si="1863"/>
        <v>0</v>
      </c>
      <c r="N1506" s="340" t="str">
        <f t="shared" si="1861"/>
        <v>-</v>
      </c>
      <c r="O1506" s="264" t="str">
        <f t="shared" si="1843"/>
        <v>-</v>
      </c>
    </row>
    <row r="1507" spans="1:15" ht="23.4" x14ac:dyDescent="0.3">
      <c r="A1507" s="277" t="s">
        <v>110</v>
      </c>
      <c r="B1507" s="957"/>
      <c r="C1507" s="278" t="s">
        <v>129</v>
      </c>
      <c r="D1507" s="278"/>
      <c r="E1507" s="279">
        <v>0</v>
      </c>
      <c r="F1507" s="280"/>
      <c r="G1507" s="336">
        <f t="shared" si="1858"/>
        <v>0</v>
      </c>
      <c r="H1507" s="281"/>
      <c r="I1507" s="281"/>
      <c r="J1507" s="355" t="str">
        <f>IFERROR(G1507/#REF!,"-")</f>
        <v>-</v>
      </c>
      <c r="K1507" s="336">
        <f t="shared" si="1859"/>
        <v>0</v>
      </c>
      <c r="L1507" s="275">
        <f t="shared" ref="L1507:M1507" si="1864">+H1507+L1400</f>
        <v>0</v>
      </c>
      <c r="M1507" s="276">
        <f t="shared" si="1864"/>
        <v>0</v>
      </c>
      <c r="N1507" s="340" t="str">
        <f t="shared" si="1861"/>
        <v>-</v>
      </c>
      <c r="O1507" s="264" t="str">
        <f t="shared" si="1843"/>
        <v>-</v>
      </c>
    </row>
    <row r="1508" spans="1:15" ht="23.4" x14ac:dyDescent="0.3">
      <c r="A1508" s="277" t="s">
        <v>110</v>
      </c>
      <c r="B1508" s="957"/>
      <c r="C1508" s="278" t="s">
        <v>189</v>
      </c>
      <c r="D1508" s="278" t="s">
        <v>190</v>
      </c>
      <c r="E1508" s="279">
        <v>0</v>
      </c>
      <c r="F1508" s="280"/>
      <c r="G1508" s="336">
        <f t="shared" si="1858"/>
        <v>0</v>
      </c>
      <c r="H1508" s="281"/>
      <c r="I1508" s="281"/>
      <c r="J1508" s="355" t="str">
        <f>IFERROR(G1508/#REF!,"-")</f>
        <v>-</v>
      </c>
      <c r="K1508" s="336">
        <f t="shared" si="1859"/>
        <v>0</v>
      </c>
      <c r="L1508" s="275">
        <f t="shared" ref="L1508:M1508" si="1865">+H1508+L1401</f>
        <v>0</v>
      </c>
      <c r="M1508" s="276">
        <f t="shared" si="1865"/>
        <v>0</v>
      </c>
      <c r="N1508" s="340" t="str">
        <f t="shared" si="1861"/>
        <v>-</v>
      </c>
      <c r="O1508" s="264" t="str">
        <f t="shared" si="1843"/>
        <v>-</v>
      </c>
    </row>
    <row r="1509" spans="1:15" ht="23.4" x14ac:dyDescent="0.3">
      <c r="A1509" s="277" t="s">
        <v>110</v>
      </c>
      <c r="B1509" s="957"/>
      <c r="C1509" s="278" t="s">
        <v>192</v>
      </c>
      <c r="D1509" s="278" t="s">
        <v>191</v>
      </c>
      <c r="E1509" s="279">
        <v>0</v>
      </c>
      <c r="F1509" s="280"/>
      <c r="G1509" s="336">
        <f t="shared" si="1858"/>
        <v>0</v>
      </c>
      <c r="H1509" s="281"/>
      <c r="I1509" s="281"/>
      <c r="J1509" s="355" t="str">
        <f>IFERROR(G1509/#REF!,"-")</f>
        <v>-</v>
      </c>
      <c r="K1509" s="336">
        <f t="shared" si="1859"/>
        <v>0</v>
      </c>
      <c r="L1509" s="275">
        <f t="shared" ref="L1509:M1509" si="1866">+H1509+L1402</f>
        <v>0</v>
      </c>
      <c r="M1509" s="276">
        <f t="shared" si="1866"/>
        <v>0</v>
      </c>
      <c r="N1509" s="340" t="str">
        <f t="shared" si="1861"/>
        <v>-</v>
      </c>
      <c r="O1509" s="264" t="str">
        <f t="shared" si="1843"/>
        <v>-</v>
      </c>
    </row>
    <row r="1510" spans="1:15" ht="24" thickBot="1" x14ac:dyDescent="0.35">
      <c r="A1510" s="277" t="s">
        <v>110</v>
      </c>
      <c r="B1510" s="958"/>
      <c r="C1510" s="289" t="s">
        <v>193</v>
      </c>
      <c r="D1510" s="289" t="s">
        <v>114</v>
      </c>
      <c r="E1510" s="283">
        <v>0</v>
      </c>
      <c r="F1510" s="284"/>
      <c r="G1510" s="337">
        <f t="shared" si="1858"/>
        <v>0</v>
      </c>
      <c r="H1510" s="285"/>
      <c r="I1510" s="285"/>
      <c r="J1510" s="356" t="str">
        <f>IFERROR(G1510/#REF!,"-")</f>
        <v>-</v>
      </c>
      <c r="K1510" s="337">
        <f t="shared" si="1859"/>
        <v>0</v>
      </c>
      <c r="L1510" s="275">
        <f t="shared" ref="L1510:M1510" si="1867">+H1510+L1403</f>
        <v>0</v>
      </c>
      <c r="M1510" s="276">
        <f t="shared" si="1867"/>
        <v>0</v>
      </c>
      <c r="N1510" s="341" t="str">
        <f t="shared" si="1861"/>
        <v>-</v>
      </c>
      <c r="O1510" s="350" t="str">
        <f t="shared" si="1843"/>
        <v>-</v>
      </c>
    </row>
    <row r="1511" spans="1:15" ht="24" thickBot="1" x14ac:dyDescent="0.35">
      <c r="A1511" s="277" t="s">
        <v>110</v>
      </c>
      <c r="B1511" s="967" t="s">
        <v>29</v>
      </c>
      <c r="C1511" s="968"/>
      <c r="D1511" s="969"/>
      <c r="E1511" s="323">
        <f t="shared" ref="E1511" si="1868">SUM(E1504:E1510)</f>
        <v>0</v>
      </c>
      <c r="F1511" s="288">
        <v>80000</v>
      </c>
      <c r="G1511" s="323">
        <f>SUM(G1504:G1510)</f>
        <v>0</v>
      </c>
      <c r="H1511" s="324">
        <f t="shared" ref="H1511:I1511" si="1869">SUM(H1504:H1510)</f>
        <v>0</v>
      </c>
      <c r="I1511" s="324">
        <f t="shared" si="1869"/>
        <v>0</v>
      </c>
      <c r="J1511" s="348">
        <f>+G1511/F1511</f>
        <v>0</v>
      </c>
      <c r="K1511" s="323">
        <f t="shared" ref="K1511:M1511" si="1870">SUM(K1504:K1510)</f>
        <v>0</v>
      </c>
      <c r="L1511" s="324">
        <f t="shared" si="1870"/>
        <v>0</v>
      </c>
      <c r="M1511" s="325">
        <f t="shared" si="1870"/>
        <v>0</v>
      </c>
      <c r="N1511" s="342" t="str">
        <f t="shared" si="1861"/>
        <v>-</v>
      </c>
      <c r="O1511" s="348" t="str">
        <f t="shared" si="1843"/>
        <v>-</v>
      </c>
    </row>
    <row r="1512" spans="1:15" ht="24" thickBot="1" x14ac:dyDescent="0.35">
      <c r="A1512" s="252" t="s">
        <v>110</v>
      </c>
      <c r="B1512" s="985" t="s">
        <v>19</v>
      </c>
      <c r="C1512" s="653" t="s">
        <v>255</v>
      </c>
      <c r="D1512" s="690" t="s">
        <v>190</v>
      </c>
      <c r="E1512" s="695">
        <v>0</v>
      </c>
      <c r="F1512" s="692">
        <v>110000</v>
      </c>
      <c r="G1512" s="656">
        <f t="shared" ref="G1512:G1514" si="1871">+H1512+I1512</f>
        <v>0</v>
      </c>
      <c r="H1512" s="462"/>
      <c r="I1512" s="462"/>
      <c r="J1512" s="536" t="str">
        <f>IFERROR(G1512/#REF!,"-")</f>
        <v>-</v>
      </c>
      <c r="K1512" s="461">
        <f>+L1512+M1512</f>
        <v>0</v>
      </c>
      <c r="L1512" s="462">
        <f t="shared" ref="L1512:M1512" si="1872">+H1512+L1405</f>
        <v>0</v>
      </c>
      <c r="M1512" s="463">
        <f t="shared" si="1872"/>
        <v>0</v>
      </c>
      <c r="N1512" s="658" t="str">
        <f>IFERROR(K1512/E1512,"-")</f>
        <v>-</v>
      </c>
      <c r="O1512" s="659" t="str">
        <f t="shared" si="1843"/>
        <v>-</v>
      </c>
    </row>
    <row r="1513" spans="1:15" ht="24" thickBot="1" x14ac:dyDescent="0.35">
      <c r="A1513" s="252"/>
      <c r="B1513" s="986"/>
      <c r="C1513" s="299" t="s">
        <v>440</v>
      </c>
      <c r="D1513" s="657" t="s">
        <v>515</v>
      </c>
      <c r="E1513" s="696">
        <v>1000000</v>
      </c>
      <c r="F1513" s="693">
        <v>110000</v>
      </c>
      <c r="G1513" s="652">
        <f t="shared" si="1871"/>
        <v>0</v>
      </c>
      <c r="H1513" s="275"/>
      <c r="I1513" s="275"/>
      <c r="J1513" s="354" t="str">
        <f>IFERROR(G1513/#REF!,"-")</f>
        <v>-</v>
      </c>
      <c r="K1513" s="338">
        <f>+L1513+M1513</f>
        <v>19773</v>
      </c>
      <c r="L1513" s="462">
        <f t="shared" ref="L1513:M1513" si="1873">+H1513+L1406</f>
        <v>19536</v>
      </c>
      <c r="M1513" s="463">
        <f t="shared" si="1873"/>
        <v>237</v>
      </c>
      <c r="N1513" s="343">
        <f t="shared" ref="N1513:N1514" si="1874">IFERROR(K1513/E1513,"-")</f>
        <v>1.9772999999999999E-2</v>
      </c>
      <c r="O1513" s="651">
        <f>IFERROR(M1513/K1513,"-")</f>
        <v>1.1986041571840389E-2</v>
      </c>
    </row>
    <row r="1514" spans="1:15" ht="24" thickBot="1" x14ac:dyDescent="0.35">
      <c r="A1514" s="252"/>
      <c r="B1514" s="987"/>
      <c r="C1514" s="647" t="s">
        <v>380</v>
      </c>
      <c r="D1514" s="691"/>
      <c r="E1514" s="697">
        <v>150000</v>
      </c>
      <c r="F1514" s="694">
        <v>110000</v>
      </c>
      <c r="G1514" s="599">
        <f t="shared" si="1871"/>
        <v>0</v>
      </c>
      <c r="H1514" s="285"/>
      <c r="I1514" s="285"/>
      <c r="J1514" s="356"/>
      <c r="K1514" s="464">
        <f>+L1514+M1514</f>
        <v>0</v>
      </c>
      <c r="L1514" s="462">
        <f t="shared" ref="L1514:M1514" si="1875">+H1514+L1407</f>
        <v>0</v>
      </c>
      <c r="M1514" s="463">
        <f t="shared" si="1875"/>
        <v>0</v>
      </c>
      <c r="N1514" s="341">
        <f t="shared" si="1874"/>
        <v>0</v>
      </c>
      <c r="O1514" s="648" t="str">
        <f t="shared" ref="O1514:O1565" si="1876">IFERROR(M1514/K1514,"-")</f>
        <v>-</v>
      </c>
    </row>
    <row r="1515" spans="1:15" ht="24" thickBot="1" x14ac:dyDescent="0.35">
      <c r="A1515" s="277" t="s">
        <v>110</v>
      </c>
      <c r="B1515" s="988" t="s">
        <v>49</v>
      </c>
      <c r="C1515" s="968"/>
      <c r="D1515" s="969"/>
      <c r="E1515" s="323">
        <f>SUM(E1512:E1514)</f>
        <v>1150000</v>
      </c>
      <c r="F1515" s="326">
        <f t="shared" ref="F1515" si="1877">SUM(F1512)</f>
        <v>110000</v>
      </c>
      <c r="G1515" s="323">
        <f>SUM(G1512)</f>
        <v>0</v>
      </c>
      <c r="H1515" s="324">
        <f>SUM(H1512:H1514)</f>
        <v>0</v>
      </c>
      <c r="I1515" s="324">
        <f>SUM(I1512:I1514)</f>
        <v>0</v>
      </c>
      <c r="J1515" s="348">
        <f>+G1515/F1515</f>
        <v>0</v>
      </c>
      <c r="K1515" s="649">
        <f>SUM(K1512:K1513)</f>
        <v>19773</v>
      </c>
      <c r="L1515" s="324">
        <f>SUM(L1512:L1513)</f>
        <v>19536</v>
      </c>
      <c r="M1515" s="325">
        <f>SUM(M1512:M1513)</f>
        <v>237</v>
      </c>
      <c r="N1515" s="342">
        <f>IFERROR(K1515/E1515,"-")</f>
        <v>1.7193913043478261E-2</v>
      </c>
      <c r="O1515" s="348">
        <f t="shared" si="1876"/>
        <v>1.1986041571840389E-2</v>
      </c>
    </row>
    <row r="1516" spans="1:15" ht="23.4" x14ac:dyDescent="0.3">
      <c r="A1516" s="277" t="s">
        <v>110</v>
      </c>
      <c r="B1516" s="956" t="s">
        <v>20</v>
      </c>
      <c r="C1516" s="294" t="s">
        <v>351</v>
      </c>
      <c r="D1516" s="294" t="s">
        <v>313</v>
      </c>
      <c r="E1516" s="273">
        <v>0</v>
      </c>
      <c r="F1516" s="274"/>
      <c r="G1516" s="335">
        <f t="shared" ref="G1516:G1518" si="1878">+H1516+I1516</f>
        <v>0</v>
      </c>
      <c r="H1516" s="275"/>
      <c r="I1516" s="275"/>
      <c r="J1516" s="354" t="str">
        <f>IFERROR(G1516/#REF!,"-")</f>
        <v>-</v>
      </c>
      <c r="K1516" s="335">
        <f t="shared" ref="K1516:K1518" si="1879">+L1516+M1516</f>
        <v>0</v>
      </c>
      <c r="L1516" s="275">
        <f t="shared" ref="L1516:M1516" si="1880">+H1516+L1409</f>
        <v>0</v>
      </c>
      <c r="M1516" s="276">
        <f t="shared" si="1880"/>
        <v>0</v>
      </c>
      <c r="N1516" s="339" t="str">
        <f t="shared" ref="N1516:N1519" si="1881">IFERROR(K1516/E1516,"-")</f>
        <v>-</v>
      </c>
      <c r="O1516" s="349" t="str">
        <f t="shared" si="1876"/>
        <v>-</v>
      </c>
    </row>
    <row r="1517" spans="1:15" ht="23.4" x14ac:dyDescent="0.3">
      <c r="A1517" s="277" t="s">
        <v>110</v>
      </c>
      <c r="B1517" s="957"/>
      <c r="C1517" s="295" t="s">
        <v>121</v>
      </c>
      <c r="D1517" s="295"/>
      <c r="E1517" s="279">
        <v>0</v>
      </c>
      <c r="F1517" s="280"/>
      <c r="G1517" s="336">
        <f t="shared" si="1878"/>
        <v>0</v>
      </c>
      <c r="H1517" s="281"/>
      <c r="I1517" s="281"/>
      <c r="J1517" s="355" t="str">
        <f>IFERROR(G1517/#REF!,"-")</f>
        <v>-</v>
      </c>
      <c r="K1517" s="336">
        <f t="shared" si="1879"/>
        <v>0</v>
      </c>
      <c r="L1517" s="275">
        <f t="shared" ref="L1517:M1517" si="1882">+H1517+L1410</f>
        <v>0</v>
      </c>
      <c r="M1517" s="276">
        <f t="shared" si="1882"/>
        <v>0</v>
      </c>
      <c r="N1517" s="340" t="str">
        <f t="shared" si="1881"/>
        <v>-</v>
      </c>
      <c r="O1517" s="264" t="str">
        <f t="shared" si="1876"/>
        <v>-</v>
      </c>
    </row>
    <row r="1518" spans="1:15" ht="24" thickBot="1" x14ac:dyDescent="0.35">
      <c r="A1518" s="277" t="s">
        <v>110</v>
      </c>
      <c r="B1518" s="958"/>
      <c r="C1518" s="296" t="s">
        <v>127</v>
      </c>
      <c r="D1518" s="296"/>
      <c r="E1518" s="283">
        <v>0</v>
      </c>
      <c r="F1518" s="284"/>
      <c r="G1518" s="337">
        <f t="shared" si="1878"/>
        <v>0</v>
      </c>
      <c r="H1518" s="285"/>
      <c r="I1518" s="285"/>
      <c r="J1518" s="356" t="str">
        <f>IFERROR(G1518/#REF!,"-")</f>
        <v>-</v>
      </c>
      <c r="K1518" s="337">
        <f t="shared" si="1879"/>
        <v>0</v>
      </c>
      <c r="L1518" s="275">
        <f t="shared" ref="L1518:M1518" si="1883">+H1518+L1411</f>
        <v>0</v>
      </c>
      <c r="M1518" s="276">
        <f t="shared" si="1883"/>
        <v>0</v>
      </c>
      <c r="N1518" s="341" t="str">
        <f t="shared" si="1881"/>
        <v>-</v>
      </c>
      <c r="O1518" s="350" t="str">
        <f t="shared" si="1876"/>
        <v>-</v>
      </c>
    </row>
    <row r="1519" spans="1:15" ht="24" thickBot="1" x14ac:dyDescent="0.35">
      <c r="A1519" s="277" t="s">
        <v>110</v>
      </c>
      <c r="B1519" s="968" t="s">
        <v>50</v>
      </c>
      <c r="C1519" s="968"/>
      <c r="D1519" s="989"/>
      <c r="E1519" s="323">
        <f t="shared" ref="E1519" si="1884">SUM(E1516:E1518)</f>
        <v>0</v>
      </c>
      <c r="F1519" s="288">
        <v>50000</v>
      </c>
      <c r="G1519" s="323">
        <f>SUM(G1516:G1518)</f>
        <v>0</v>
      </c>
      <c r="H1519" s="324">
        <f t="shared" ref="H1519:I1519" si="1885">SUM(H1516:H1518)</f>
        <v>0</v>
      </c>
      <c r="I1519" s="324">
        <f t="shared" si="1885"/>
        <v>0</v>
      </c>
      <c r="J1519" s="348">
        <f>+G1519/F1519</f>
        <v>0</v>
      </c>
      <c r="K1519" s="323">
        <f t="shared" ref="K1519:M1519" si="1886">SUM(K1516:K1518)</f>
        <v>0</v>
      </c>
      <c r="L1519" s="324">
        <f t="shared" si="1886"/>
        <v>0</v>
      </c>
      <c r="M1519" s="325">
        <f t="shared" si="1886"/>
        <v>0</v>
      </c>
      <c r="N1519" s="342" t="str">
        <f t="shared" si="1881"/>
        <v>-</v>
      </c>
      <c r="O1519" s="348" t="str">
        <f t="shared" si="1876"/>
        <v>-</v>
      </c>
    </row>
    <row r="1520" spans="1:15" ht="24" thickBot="1" x14ac:dyDescent="0.35">
      <c r="A1520" s="277" t="s">
        <v>110</v>
      </c>
      <c r="B1520" s="981" t="s">
        <v>21</v>
      </c>
      <c r="C1520" s="982"/>
      <c r="D1520" s="983"/>
      <c r="E1520" s="329">
        <f>+E1495+E1503+E1511+E1515+E1519</f>
        <v>4750000</v>
      </c>
      <c r="F1520" s="330">
        <f>+F1495+F1503+F1511+F1515+F1519</f>
        <v>455000</v>
      </c>
      <c r="G1520" s="329">
        <f>+G1495+G1503+G1511+G1515+G1519</f>
        <v>141322</v>
      </c>
      <c r="H1520" s="327">
        <f>+H1495+H1503+H1511+H1515+H1519</f>
        <v>140760</v>
      </c>
      <c r="I1520" s="327">
        <f>+I1495+I1503+I1511+I1515+I1519</f>
        <v>562</v>
      </c>
      <c r="J1520" s="352">
        <f>+G1520/F1520</f>
        <v>0.3105978021978022</v>
      </c>
      <c r="K1520" s="329">
        <f>+K1495+K1503+K1511+K1515+K1519</f>
        <v>2166290</v>
      </c>
      <c r="L1520" s="327">
        <f>+L1495+L1503+L1511+L1515+L1519</f>
        <v>2150874</v>
      </c>
      <c r="M1520" s="328">
        <f>+M1495+M1503+M1511+M1515+M1519</f>
        <v>15416</v>
      </c>
      <c r="N1520" s="344">
        <f>IFERROR(K1520/E1520,"-")</f>
        <v>0.45606105263157892</v>
      </c>
      <c r="O1520" s="352">
        <f t="shared" si="1876"/>
        <v>7.1163140669070158E-3</v>
      </c>
    </row>
    <row r="1521" spans="1:15" ht="23.4" x14ac:dyDescent="0.3">
      <c r="A1521" s="277" t="s">
        <v>110</v>
      </c>
      <c r="B1521" s="956" t="s">
        <v>481</v>
      </c>
      <c r="C1521" s="272" t="s">
        <v>132</v>
      </c>
      <c r="D1521" s="272"/>
      <c r="E1521" s="273">
        <v>0</v>
      </c>
      <c r="F1521" s="274"/>
      <c r="G1521" s="335">
        <f t="shared" ref="G1521:G1524" si="1887">+H1521+I1521</f>
        <v>0</v>
      </c>
      <c r="H1521" s="275"/>
      <c r="I1521" s="275"/>
      <c r="J1521" s="354" t="str">
        <f>IFERROR(G1521/#REF!,"-")</f>
        <v>-</v>
      </c>
      <c r="K1521" s="335">
        <f t="shared" ref="K1521:K1524" si="1888">+L1521+M1521</f>
        <v>0</v>
      </c>
      <c r="L1521" s="275">
        <f t="shared" ref="L1521:M1521" si="1889">+H1521+L1414</f>
        <v>0</v>
      </c>
      <c r="M1521" s="276">
        <f t="shared" si="1889"/>
        <v>0</v>
      </c>
      <c r="N1521" s="339" t="str">
        <f t="shared" ref="N1521:N1535" si="1890">IFERROR(K1521/E1521,"-")</f>
        <v>-</v>
      </c>
      <c r="O1521" s="349" t="str">
        <f t="shared" si="1876"/>
        <v>-</v>
      </c>
    </row>
    <row r="1522" spans="1:15" ht="23.4" x14ac:dyDescent="0.3">
      <c r="A1522" s="277" t="s">
        <v>110</v>
      </c>
      <c r="B1522" s="957"/>
      <c r="C1522" s="298" t="s">
        <v>283</v>
      </c>
      <c r="D1522" s="298" t="s">
        <v>194</v>
      </c>
      <c r="E1522" s="279">
        <v>0</v>
      </c>
      <c r="F1522" s="280"/>
      <c r="G1522" s="336">
        <f t="shared" si="1887"/>
        <v>0</v>
      </c>
      <c r="H1522" s="281"/>
      <c r="I1522" s="281"/>
      <c r="J1522" s="355" t="str">
        <f>IFERROR(G1522/#REF!,"-")</f>
        <v>-</v>
      </c>
      <c r="K1522" s="336">
        <f t="shared" si="1888"/>
        <v>0</v>
      </c>
      <c r="L1522" s="275">
        <f t="shared" ref="L1522:M1522" si="1891">+H1522+L1415</f>
        <v>0</v>
      </c>
      <c r="M1522" s="276">
        <f t="shared" si="1891"/>
        <v>0</v>
      </c>
      <c r="N1522" s="340" t="str">
        <f t="shared" si="1890"/>
        <v>-</v>
      </c>
      <c r="O1522" s="264" t="str">
        <f t="shared" si="1876"/>
        <v>-</v>
      </c>
    </row>
    <row r="1523" spans="1:15" ht="23.4" x14ac:dyDescent="0.3">
      <c r="A1523" s="277" t="s">
        <v>110</v>
      </c>
      <c r="B1523" s="957"/>
      <c r="C1523" s="298" t="s">
        <v>405</v>
      </c>
      <c r="D1523" s="298" t="s">
        <v>194</v>
      </c>
      <c r="E1523" s="279">
        <v>1000000</v>
      </c>
      <c r="F1523" s="280"/>
      <c r="G1523" s="336">
        <f t="shared" si="1887"/>
        <v>0</v>
      </c>
      <c r="H1523" s="281"/>
      <c r="I1523" s="281"/>
      <c r="J1523" s="355" t="str">
        <f>IFERROR(G1523/#REF!,"-")</f>
        <v>-</v>
      </c>
      <c r="K1523" s="336">
        <f t="shared" si="1888"/>
        <v>362579</v>
      </c>
      <c r="L1523" s="275">
        <f t="shared" ref="L1523:M1523" si="1892">+H1523+L1416</f>
        <v>359670</v>
      </c>
      <c r="M1523" s="276">
        <f t="shared" si="1892"/>
        <v>2909</v>
      </c>
      <c r="N1523" s="340">
        <f t="shared" si="1890"/>
        <v>0.36257899999999998</v>
      </c>
      <c r="O1523" s="264">
        <f t="shared" si="1876"/>
        <v>8.0230791082770928E-3</v>
      </c>
    </row>
    <row r="1524" spans="1:15" ht="24" thickBot="1" x14ac:dyDescent="0.35">
      <c r="A1524" s="277" t="s">
        <v>110</v>
      </c>
      <c r="B1524" s="958"/>
      <c r="C1524" s="282" t="s">
        <v>195</v>
      </c>
      <c r="D1524" s="282" t="s">
        <v>100</v>
      </c>
      <c r="E1524" s="283">
        <v>0</v>
      </c>
      <c r="F1524" s="284"/>
      <c r="G1524" s="337">
        <f t="shared" si="1887"/>
        <v>0</v>
      </c>
      <c r="H1524" s="285"/>
      <c r="I1524" s="285"/>
      <c r="J1524" s="356" t="str">
        <f>IFERROR(G1524/#REF!,"-")</f>
        <v>-</v>
      </c>
      <c r="K1524" s="337">
        <f t="shared" si="1888"/>
        <v>0</v>
      </c>
      <c r="L1524" s="275">
        <f t="shared" ref="L1524:M1524" si="1893">+H1524+L1417</f>
        <v>0</v>
      </c>
      <c r="M1524" s="276">
        <f t="shared" si="1893"/>
        <v>0</v>
      </c>
      <c r="N1524" s="341" t="str">
        <f t="shared" si="1890"/>
        <v>-</v>
      </c>
      <c r="O1524" s="350" t="str">
        <f t="shared" si="1876"/>
        <v>-</v>
      </c>
    </row>
    <row r="1525" spans="1:15" ht="24" thickBot="1" x14ac:dyDescent="0.35">
      <c r="A1525" s="277" t="s">
        <v>110</v>
      </c>
      <c r="B1525" s="967" t="s">
        <v>51</v>
      </c>
      <c r="C1525" s="968"/>
      <c r="D1525" s="969"/>
      <c r="E1525" s="287">
        <f>SUM(E1521:E1524)</f>
        <v>1000000</v>
      </c>
      <c r="F1525" s="288">
        <v>80000</v>
      </c>
      <c r="G1525" s="323">
        <f>SUM(G1521:G1524)</f>
        <v>0</v>
      </c>
      <c r="H1525" s="324">
        <f t="shared" ref="H1525:I1525" si="1894">SUM(H1521:H1524)</f>
        <v>0</v>
      </c>
      <c r="I1525" s="324">
        <f t="shared" si="1894"/>
        <v>0</v>
      </c>
      <c r="J1525" s="348">
        <f>+G1525/F1525</f>
        <v>0</v>
      </c>
      <c r="K1525" s="323">
        <f t="shared" ref="K1525:M1525" si="1895">SUM(K1521:K1524)</f>
        <v>362579</v>
      </c>
      <c r="L1525" s="324">
        <f t="shared" si="1895"/>
        <v>359670</v>
      </c>
      <c r="M1525" s="325">
        <f t="shared" si="1895"/>
        <v>2909</v>
      </c>
      <c r="N1525" s="342">
        <f t="shared" si="1890"/>
        <v>0.36257899999999998</v>
      </c>
      <c r="O1525" s="348">
        <f t="shared" si="1876"/>
        <v>8.0230791082770928E-3</v>
      </c>
    </row>
    <row r="1526" spans="1:15" ht="23.4" x14ac:dyDescent="0.3">
      <c r="A1526" s="277" t="s">
        <v>110</v>
      </c>
      <c r="B1526" s="956" t="s">
        <v>23</v>
      </c>
      <c r="C1526" s="299" t="s">
        <v>556</v>
      </c>
      <c r="D1526" s="299" t="s">
        <v>258</v>
      </c>
      <c r="E1526" s="273">
        <f>25000+10875+6000</f>
        <v>41875</v>
      </c>
      <c r="F1526" s="274"/>
      <c r="G1526" s="335">
        <f t="shared" ref="G1526:G1533" si="1896">+H1526+I1526</f>
        <v>8737</v>
      </c>
      <c r="H1526" s="275">
        <v>8687</v>
      </c>
      <c r="I1526" s="275">
        <v>50</v>
      </c>
      <c r="J1526" s="354" t="str">
        <f>IFERROR(G1526/#REF!,"-")</f>
        <v>-</v>
      </c>
      <c r="K1526" s="335">
        <f t="shared" ref="K1526:K1533" si="1897">+L1526+M1526</f>
        <v>8737</v>
      </c>
      <c r="L1526" s="275">
        <f t="shared" ref="L1526:M1526" si="1898">+H1526+L1419</f>
        <v>8687</v>
      </c>
      <c r="M1526" s="276">
        <f t="shared" si="1898"/>
        <v>50</v>
      </c>
      <c r="N1526" s="339">
        <f t="shared" si="1890"/>
        <v>0.20864477611940299</v>
      </c>
      <c r="O1526" s="349">
        <f t="shared" si="1876"/>
        <v>5.7227881423829686E-3</v>
      </c>
    </row>
    <row r="1527" spans="1:15" ht="23.4" x14ac:dyDescent="0.3">
      <c r="A1527" s="277" t="s">
        <v>110</v>
      </c>
      <c r="B1527" s="957"/>
      <c r="C1527" s="278" t="s">
        <v>24</v>
      </c>
      <c r="D1527" s="278" t="s">
        <v>258</v>
      </c>
      <c r="E1527" s="279">
        <v>97500</v>
      </c>
      <c r="F1527" s="280"/>
      <c r="G1527" s="336">
        <f t="shared" si="1896"/>
        <v>0</v>
      </c>
      <c r="H1527" s="281"/>
      <c r="I1527" s="281"/>
      <c r="J1527" s="355" t="str">
        <f>IFERROR(G1527/#REF!,"-")</f>
        <v>-</v>
      </c>
      <c r="K1527" s="336">
        <f t="shared" si="1897"/>
        <v>0</v>
      </c>
      <c r="L1527" s="275">
        <f t="shared" ref="L1527:M1527" si="1899">+H1527+L1420</f>
        <v>0</v>
      </c>
      <c r="M1527" s="276">
        <f t="shared" si="1899"/>
        <v>0</v>
      </c>
      <c r="N1527" s="340">
        <f t="shared" si="1890"/>
        <v>0</v>
      </c>
      <c r="O1527" s="264" t="str">
        <f t="shared" si="1876"/>
        <v>-</v>
      </c>
    </row>
    <row r="1528" spans="1:15" ht="23.4" x14ac:dyDescent="0.3">
      <c r="A1528" s="277" t="s">
        <v>110</v>
      </c>
      <c r="B1528" s="957"/>
      <c r="C1528" s="278" t="s">
        <v>256</v>
      </c>
      <c r="D1528" s="278" t="s">
        <v>258</v>
      </c>
      <c r="E1528" s="279">
        <v>17750</v>
      </c>
      <c r="F1528" s="280"/>
      <c r="G1528" s="336">
        <f t="shared" si="1896"/>
        <v>0</v>
      </c>
      <c r="H1528" s="281"/>
      <c r="I1528" s="281"/>
      <c r="J1528" s="355" t="str">
        <f>IFERROR(G1528/#REF!,"-")</f>
        <v>-</v>
      </c>
      <c r="K1528" s="336">
        <f t="shared" si="1897"/>
        <v>19656</v>
      </c>
      <c r="L1528" s="275">
        <f t="shared" ref="L1528:M1528" si="1900">+H1528+L1421</f>
        <v>19545</v>
      </c>
      <c r="M1528" s="276">
        <f t="shared" si="1900"/>
        <v>111</v>
      </c>
      <c r="N1528" s="340">
        <f t="shared" si="1890"/>
        <v>1.1073802816901408</v>
      </c>
      <c r="O1528" s="264">
        <f t="shared" si="1876"/>
        <v>5.647130647130647E-3</v>
      </c>
    </row>
    <row r="1529" spans="1:15" ht="23.4" x14ac:dyDescent="0.3">
      <c r="A1529" s="277" t="s">
        <v>110</v>
      </c>
      <c r="B1529" s="957"/>
      <c r="C1529" s="278" t="s">
        <v>257</v>
      </c>
      <c r="D1529" s="278" t="s">
        <v>258</v>
      </c>
      <c r="E1529" s="279">
        <v>20000</v>
      </c>
      <c r="F1529" s="280"/>
      <c r="G1529" s="336">
        <f t="shared" si="1896"/>
        <v>0</v>
      </c>
      <c r="H1529" s="281"/>
      <c r="I1529" s="281"/>
      <c r="J1529" s="355" t="str">
        <f>IFERROR(G1529/#REF!,"-")</f>
        <v>-</v>
      </c>
      <c r="K1529" s="336">
        <f t="shared" si="1897"/>
        <v>20512</v>
      </c>
      <c r="L1529" s="275">
        <f t="shared" ref="L1529:M1529" si="1901">+H1529+L1422</f>
        <v>20361</v>
      </c>
      <c r="M1529" s="276">
        <f t="shared" si="1901"/>
        <v>151</v>
      </c>
      <c r="N1529" s="340">
        <f t="shared" si="1890"/>
        <v>1.0256000000000001</v>
      </c>
      <c r="O1529" s="264">
        <f t="shared" si="1876"/>
        <v>7.3615444617784707E-3</v>
      </c>
    </row>
    <row r="1530" spans="1:15" ht="23.4" x14ac:dyDescent="0.3">
      <c r="A1530" s="277" t="s">
        <v>110</v>
      </c>
      <c r="B1530" s="957"/>
      <c r="C1530" s="298" t="s">
        <v>475</v>
      </c>
      <c r="D1530" s="278" t="s">
        <v>258</v>
      </c>
      <c r="E1530" s="279">
        <v>10000</v>
      </c>
      <c r="F1530" s="280"/>
      <c r="G1530" s="336">
        <f t="shared" si="1896"/>
        <v>0</v>
      </c>
      <c r="H1530" s="281"/>
      <c r="I1530" s="281"/>
      <c r="J1530" s="355" t="str">
        <f>IFERROR(G1530/#REF!,"-")</f>
        <v>-</v>
      </c>
      <c r="K1530" s="336">
        <f t="shared" si="1897"/>
        <v>12327</v>
      </c>
      <c r="L1530" s="275">
        <f t="shared" ref="L1530:M1530" si="1902">+H1530+L1423</f>
        <v>12307</v>
      </c>
      <c r="M1530" s="276">
        <f t="shared" si="1902"/>
        <v>20</v>
      </c>
      <c r="N1530" s="340">
        <f t="shared" si="1890"/>
        <v>1.2326999999999999</v>
      </c>
      <c r="O1530" s="264">
        <f t="shared" si="1876"/>
        <v>1.6224547740731727E-3</v>
      </c>
    </row>
    <row r="1531" spans="1:15" ht="23.4" x14ac:dyDescent="0.3">
      <c r="A1531" s="277" t="s">
        <v>110</v>
      </c>
      <c r="B1531" s="957"/>
      <c r="C1531" s="298" t="s">
        <v>506</v>
      </c>
      <c r="D1531" s="278" t="s">
        <v>258</v>
      </c>
      <c r="E1531" s="279">
        <v>9000</v>
      </c>
      <c r="F1531" s="280"/>
      <c r="G1531" s="336">
        <f t="shared" si="1896"/>
        <v>0</v>
      </c>
      <c r="H1531" s="281"/>
      <c r="I1531" s="281"/>
      <c r="J1531" s="355" t="str">
        <f>IFERROR(G1531/#REF!,"-")</f>
        <v>-</v>
      </c>
      <c r="K1531" s="336">
        <f t="shared" si="1897"/>
        <v>26750</v>
      </c>
      <c r="L1531" s="275">
        <f t="shared" ref="L1531:M1531" si="1903">+H1531+L1424</f>
        <v>26682</v>
      </c>
      <c r="M1531" s="276">
        <f t="shared" si="1903"/>
        <v>68</v>
      </c>
      <c r="N1531" s="340">
        <f t="shared" si="1890"/>
        <v>2.9722222222222223</v>
      </c>
      <c r="O1531" s="264">
        <f t="shared" si="1876"/>
        <v>2.542056074766355E-3</v>
      </c>
    </row>
    <row r="1532" spans="1:15" ht="23.4" x14ac:dyDescent="0.3">
      <c r="A1532" s="277" t="s">
        <v>110</v>
      </c>
      <c r="B1532" s="957"/>
      <c r="C1532" s="298" t="s">
        <v>261</v>
      </c>
      <c r="D1532" s="278" t="s">
        <v>263</v>
      </c>
      <c r="E1532" s="279">
        <v>22500</v>
      </c>
      <c r="F1532" s="280"/>
      <c r="G1532" s="336">
        <f t="shared" si="1896"/>
        <v>0</v>
      </c>
      <c r="H1532" s="281"/>
      <c r="I1532" s="281"/>
      <c r="J1532" s="355" t="str">
        <f>IFERROR(G1532/#REF!,"-")</f>
        <v>-</v>
      </c>
      <c r="K1532" s="336">
        <f t="shared" si="1897"/>
        <v>23536</v>
      </c>
      <c r="L1532" s="275">
        <f t="shared" ref="L1532:M1532" si="1904">+H1532+L1425</f>
        <v>23490</v>
      </c>
      <c r="M1532" s="276">
        <f t="shared" si="1904"/>
        <v>46</v>
      </c>
      <c r="N1532" s="340">
        <f t="shared" si="1890"/>
        <v>1.0460444444444446</v>
      </c>
      <c r="O1532" s="264">
        <f t="shared" si="1876"/>
        <v>1.954452753229096E-3</v>
      </c>
    </row>
    <row r="1533" spans="1:15" ht="24" thickBot="1" x14ac:dyDescent="0.35">
      <c r="A1533" s="277" t="s">
        <v>110</v>
      </c>
      <c r="B1533" s="958"/>
      <c r="C1533" s="298" t="s">
        <v>262</v>
      </c>
      <c r="D1533" s="278" t="s">
        <v>258</v>
      </c>
      <c r="E1533" s="283">
        <v>33500</v>
      </c>
      <c r="F1533" s="284"/>
      <c r="G1533" s="337">
        <f t="shared" si="1896"/>
        <v>5571</v>
      </c>
      <c r="H1533" s="285">
        <v>5505</v>
      </c>
      <c r="I1533" s="285">
        <v>66</v>
      </c>
      <c r="J1533" s="356" t="str">
        <f>IFERROR(G1533/#REF!,"-")</f>
        <v>-</v>
      </c>
      <c r="K1533" s="337">
        <f t="shared" si="1897"/>
        <v>35336</v>
      </c>
      <c r="L1533" s="275">
        <f t="shared" ref="L1533:M1533" si="1905">+H1533+L1426</f>
        <v>35130</v>
      </c>
      <c r="M1533" s="276">
        <f t="shared" si="1905"/>
        <v>206</v>
      </c>
      <c r="N1533" s="341">
        <f t="shared" si="1890"/>
        <v>1.0548059701492538</v>
      </c>
      <c r="O1533" s="350">
        <f t="shared" si="1876"/>
        <v>5.8297486982114557E-3</v>
      </c>
    </row>
    <row r="1534" spans="1:15" ht="24" thickBot="1" x14ac:dyDescent="0.35">
      <c r="A1534" s="277" t="s">
        <v>110</v>
      </c>
      <c r="B1534" s="967" t="s">
        <v>52</v>
      </c>
      <c r="C1534" s="968"/>
      <c r="D1534" s="969"/>
      <c r="E1534" s="287">
        <f>SUM(E1526:E1533)</f>
        <v>252125</v>
      </c>
      <c r="F1534" s="288">
        <v>14000</v>
      </c>
      <c r="G1534" s="323">
        <f>SUM(G1526:G1533)</f>
        <v>14308</v>
      </c>
      <c r="H1534" s="324">
        <f t="shared" ref="H1534:I1534" si="1906">SUM(H1526:H1533)</f>
        <v>14192</v>
      </c>
      <c r="I1534" s="324">
        <f t="shared" si="1906"/>
        <v>116</v>
      </c>
      <c r="J1534" s="348">
        <f>+G1535/F1535</f>
        <v>0.15221276595744682</v>
      </c>
      <c r="K1534" s="323">
        <f>SUM(K1526:K1533)</f>
        <v>146854</v>
      </c>
      <c r="L1534" s="324">
        <f t="shared" ref="L1534:M1534" si="1907">SUM(L1526:L1533)</f>
        <v>146202</v>
      </c>
      <c r="M1534" s="325">
        <f t="shared" si="1907"/>
        <v>652</v>
      </c>
      <c r="N1534" s="342">
        <f t="shared" si="1890"/>
        <v>0.58246504709965297</v>
      </c>
      <c r="O1534" s="348">
        <f t="shared" si="1876"/>
        <v>4.4397837307802307E-3</v>
      </c>
    </row>
    <row r="1535" spans="1:15" ht="24" thickBot="1" x14ac:dyDescent="0.35">
      <c r="A1535" s="277" t="s">
        <v>110</v>
      </c>
      <c r="B1535" s="981" t="s">
        <v>25</v>
      </c>
      <c r="C1535" s="982"/>
      <c r="D1535" s="983"/>
      <c r="E1535" s="329">
        <f t="shared" ref="E1535:F1535" si="1908">+E1525+E1534</f>
        <v>1252125</v>
      </c>
      <c r="F1535" s="330">
        <f t="shared" si="1908"/>
        <v>94000</v>
      </c>
      <c r="G1535" s="329">
        <f>+G1525+G1534</f>
        <v>14308</v>
      </c>
      <c r="H1535" s="327">
        <f t="shared" ref="H1535:I1535" si="1909">+H1525+H1534</f>
        <v>14192</v>
      </c>
      <c r="I1535" s="327">
        <f t="shared" si="1909"/>
        <v>116</v>
      </c>
      <c r="J1535" s="352" t="str">
        <f>IFERROR(G1535/#REF!,"-")</f>
        <v>-</v>
      </c>
      <c r="K1535" s="329">
        <f t="shared" ref="K1535" si="1910">+K1525+K1534</f>
        <v>509433</v>
      </c>
      <c r="L1535" s="327">
        <f>+L1525+L1534</f>
        <v>505872</v>
      </c>
      <c r="M1535" s="328">
        <f t="shared" ref="M1535" si="1911">+M1525+M1534</f>
        <v>3561</v>
      </c>
      <c r="N1535" s="344">
        <f t="shared" si="1890"/>
        <v>0.40685474693021861</v>
      </c>
      <c r="O1535" s="352">
        <f t="shared" si="1876"/>
        <v>6.9901243146792613E-3</v>
      </c>
    </row>
    <row r="1536" spans="1:15" ht="24" thickBot="1" x14ac:dyDescent="0.35">
      <c r="A1536" s="277" t="s">
        <v>110</v>
      </c>
      <c r="B1536" s="984" t="s">
        <v>180</v>
      </c>
      <c r="C1536" s="962"/>
      <c r="D1536" s="963"/>
      <c r="E1536" s="333">
        <f>+E1520+E1535</f>
        <v>6002125</v>
      </c>
      <c r="F1536" s="334">
        <f t="shared" ref="F1536:I1536" si="1912">+F1520+F1535</f>
        <v>549000</v>
      </c>
      <c r="G1536" s="333">
        <f t="shared" si="1912"/>
        <v>155630</v>
      </c>
      <c r="H1536" s="331">
        <f t="shared" si="1912"/>
        <v>154952</v>
      </c>
      <c r="I1536" s="331">
        <f t="shared" si="1912"/>
        <v>678</v>
      </c>
      <c r="J1536" s="353">
        <f>+G1536/F1536</f>
        <v>0.28347905282331509</v>
      </c>
      <c r="K1536" s="333">
        <f>+K1520+K1535</f>
        <v>2675723</v>
      </c>
      <c r="L1536" s="331">
        <f t="shared" ref="L1536:M1536" si="1913">+L1520+L1535</f>
        <v>2656746</v>
      </c>
      <c r="M1536" s="332">
        <f t="shared" si="1913"/>
        <v>18977</v>
      </c>
      <c r="N1536" s="345">
        <f>IFERROR(K1536/E1536,"-")</f>
        <v>0.44579594726867566</v>
      </c>
      <c r="O1536" s="353">
        <f t="shared" si="1876"/>
        <v>7.0922887010351965E-3</v>
      </c>
    </row>
    <row r="1537" spans="1:15" ht="23.4" x14ac:dyDescent="0.3">
      <c r="A1537" s="271" t="s">
        <v>108</v>
      </c>
      <c r="B1537" s="977" t="s">
        <v>26</v>
      </c>
      <c r="C1537" s="300" t="s">
        <v>323</v>
      </c>
      <c r="D1537" s="300" t="s">
        <v>190</v>
      </c>
      <c r="E1537" s="273">
        <v>0</v>
      </c>
      <c r="F1537" s="274"/>
      <c r="G1537" s="335">
        <f t="shared" ref="G1537:G1546" si="1914">+H1537+I1537</f>
        <v>0</v>
      </c>
      <c r="H1537" s="275"/>
      <c r="I1537" s="275"/>
      <c r="J1537" s="354" t="str">
        <f>IFERROR(G1537/#REF!,"-")</f>
        <v>-</v>
      </c>
      <c r="K1537" s="335">
        <f t="shared" ref="K1537:K1546" si="1915">+L1537+M1537</f>
        <v>0</v>
      </c>
      <c r="L1537" s="275">
        <f t="shared" ref="L1537:M1537" si="1916">+H1537+L1430</f>
        <v>0</v>
      </c>
      <c r="M1537" s="276">
        <f t="shared" si="1916"/>
        <v>0</v>
      </c>
      <c r="N1537" s="339" t="str">
        <f t="shared" ref="N1537:N1538" si="1917">IFERROR(K1537/E1537,"-")</f>
        <v>-</v>
      </c>
      <c r="O1537" s="349" t="str">
        <f t="shared" si="1876"/>
        <v>-</v>
      </c>
    </row>
    <row r="1538" spans="1:15" ht="23.4" x14ac:dyDescent="0.3">
      <c r="A1538" s="277" t="s">
        <v>108</v>
      </c>
      <c r="B1538" s="977"/>
      <c r="C1538" s="301" t="s">
        <v>508</v>
      </c>
      <c r="D1538" s="301" t="s">
        <v>507</v>
      </c>
      <c r="E1538" s="279">
        <v>0</v>
      </c>
      <c r="F1538" s="280"/>
      <c r="G1538" s="336">
        <f t="shared" si="1914"/>
        <v>0</v>
      </c>
      <c r="H1538" s="281"/>
      <c r="I1538" s="281"/>
      <c r="J1538" s="355" t="str">
        <f>IFERROR(G1538/#REF!,"-")</f>
        <v>-</v>
      </c>
      <c r="K1538" s="336">
        <f t="shared" si="1915"/>
        <v>190384</v>
      </c>
      <c r="L1538" s="275">
        <f t="shared" ref="L1538:M1538" si="1918">+H1538+L1431</f>
        <v>186966</v>
      </c>
      <c r="M1538" s="276">
        <f t="shared" si="1918"/>
        <v>3418</v>
      </c>
      <c r="N1538" s="340" t="str">
        <f t="shared" si="1917"/>
        <v>-</v>
      </c>
      <c r="O1538" s="264">
        <f t="shared" si="1876"/>
        <v>1.7953189343642324E-2</v>
      </c>
    </row>
    <row r="1539" spans="1:15" ht="23.4" x14ac:dyDescent="0.3">
      <c r="A1539" s="277" t="s">
        <v>108</v>
      </c>
      <c r="B1539" s="977"/>
      <c r="C1539" s="302" t="s">
        <v>27</v>
      </c>
      <c r="D1539" s="302" t="s">
        <v>370</v>
      </c>
      <c r="E1539" s="283">
        <v>0</v>
      </c>
      <c r="F1539" s="284"/>
      <c r="G1539" s="336">
        <f t="shared" si="1914"/>
        <v>0</v>
      </c>
      <c r="H1539" s="285"/>
      <c r="I1539" s="285"/>
      <c r="J1539" s="356" t="str">
        <f>IFERROR(G1539/#REF!,"-")</f>
        <v>-</v>
      </c>
      <c r="K1539" s="336">
        <f t="shared" si="1915"/>
        <v>15312</v>
      </c>
      <c r="L1539" s="275">
        <f t="shared" ref="L1539:M1539" si="1919">+H1539+L1432</f>
        <v>14492</v>
      </c>
      <c r="M1539" s="276">
        <f t="shared" si="1919"/>
        <v>820</v>
      </c>
      <c r="N1539" s="286"/>
      <c r="O1539" s="264">
        <f t="shared" si="1876"/>
        <v>5.3552769070010449E-2</v>
      </c>
    </row>
    <row r="1540" spans="1:15" ht="23.4" x14ac:dyDescent="0.3">
      <c r="A1540" s="277" t="s">
        <v>108</v>
      </c>
      <c r="B1540" s="977"/>
      <c r="C1540" s="302" t="s">
        <v>27</v>
      </c>
      <c r="D1540" s="302" t="s">
        <v>254</v>
      </c>
      <c r="E1540" s="283">
        <v>0</v>
      </c>
      <c r="F1540" s="284"/>
      <c r="G1540" s="336">
        <f t="shared" si="1914"/>
        <v>0</v>
      </c>
      <c r="H1540" s="285"/>
      <c r="I1540" s="285"/>
      <c r="J1540" s="356" t="str">
        <f>IFERROR(G1540/#REF!,"-")</f>
        <v>-</v>
      </c>
      <c r="K1540" s="336">
        <f t="shared" si="1915"/>
        <v>41904</v>
      </c>
      <c r="L1540" s="275">
        <f t="shared" ref="L1540:M1540" si="1920">+H1540+L1433</f>
        <v>39879</v>
      </c>
      <c r="M1540" s="276">
        <f t="shared" si="1920"/>
        <v>2025</v>
      </c>
      <c r="N1540" s="286"/>
      <c r="O1540" s="264">
        <f t="shared" si="1876"/>
        <v>4.8324742268041239E-2</v>
      </c>
    </row>
    <row r="1541" spans="1:15" ht="23.4" x14ac:dyDescent="0.3">
      <c r="A1541" s="277" t="s">
        <v>108</v>
      </c>
      <c r="B1541" s="977"/>
      <c r="C1541" s="302" t="s">
        <v>27</v>
      </c>
      <c r="D1541" s="302" t="s">
        <v>302</v>
      </c>
      <c r="E1541" s="283">
        <v>0</v>
      </c>
      <c r="F1541" s="284"/>
      <c r="G1541" s="336">
        <f t="shared" si="1914"/>
        <v>0</v>
      </c>
      <c r="H1541" s="285"/>
      <c r="I1541" s="285"/>
      <c r="J1541" s="356" t="str">
        <f>IFERROR(G1541/#REF!,"-")</f>
        <v>-</v>
      </c>
      <c r="K1541" s="336">
        <f t="shared" si="1915"/>
        <v>6345</v>
      </c>
      <c r="L1541" s="275">
        <f t="shared" ref="L1541:M1541" si="1921">+H1541+L1434</f>
        <v>5830</v>
      </c>
      <c r="M1541" s="276">
        <f t="shared" si="1921"/>
        <v>515</v>
      </c>
      <c r="N1541" s="286"/>
      <c r="O1541" s="264">
        <f t="shared" si="1876"/>
        <v>8.1166272655634364E-2</v>
      </c>
    </row>
    <row r="1542" spans="1:15" ht="23.4" x14ac:dyDescent="0.3">
      <c r="A1542" s="277"/>
      <c r="B1542" s="977"/>
      <c r="C1542" s="302" t="s">
        <v>541</v>
      </c>
      <c r="D1542" s="302" t="s">
        <v>191</v>
      </c>
      <c r="E1542" s="283">
        <v>0</v>
      </c>
      <c r="F1542" s="284"/>
      <c r="G1542" s="337">
        <f t="shared" si="1914"/>
        <v>0</v>
      </c>
      <c r="H1542" s="285"/>
      <c r="I1542" s="285"/>
      <c r="J1542" s="356" t="str">
        <f>IFERROR(G1542/#REF!,"-")</f>
        <v>-</v>
      </c>
      <c r="K1542" s="337">
        <f t="shared" si="1915"/>
        <v>4273</v>
      </c>
      <c r="L1542" s="275">
        <f t="shared" ref="L1542:M1542" si="1922">+H1542+L1435</f>
        <v>3978</v>
      </c>
      <c r="M1542" s="276">
        <f t="shared" si="1922"/>
        <v>295</v>
      </c>
      <c r="N1542" s="286"/>
      <c r="O1542" s="264">
        <f t="shared" si="1876"/>
        <v>6.9038146501287145E-2</v>
      </c>
    </row>
    <row r="1543" spans="1:15" ht="23.4" x14ac:dyDescent="0.3">
      <c r="A1543" s="277"/>
      <c r="B1543" s="977"/>
      <c r="C1543" s="302" t="s">
        <v>369</v>
      </c>
      <c r="D1543" s="302" t="s">
        <v>101</v>
      </c>
      <c r="E1543" s="283">
        <v>0</v>
      </c>
      <c r="F1543" s="284"/>
      <c r="G1543" s="337">
        <f t="shared" si="1914"/>
        <v>0</v>
      </c>
      <c r="H1543" s="285"/>
      <c r="I1543" s="285"/>
      <c r="J1543" s="356" t="str">
        <f>IFERROR(G1543/#REF!,"-")</f>
        <v>-</v>
      </c>
      <c r="K1543" s="337">
        <f t="shared" si="1915"/>
        <v>6135</v>
      </c>
      <c r="L1543" s="275">
        <f t="shared" ref="L1543:M1543" si="1923">+H1543+L1436</f>
        <v>5899</v>
      </c>
      <c r="M1543" s="276">
        <f t="shared" si="1923"/>
        <v>236</v>
      </c>
      <c r="N1543" s="286"/>
      <c r="O1543" s="264">
        <f t="shared" si="1876"/>
        <v>3.8467807660961695E-2</v>
      </c>
    </row>
    <row r="1544" spans="1:15" ht="23.4" x14ac:dyDescent="0.3">
      <c r="A1544" s="277"/>
      <c r="B1544" s="977"/>
      <c r="C1544" s="302" t="s">
        <v>542</v>
      </c>
      <c r="D1544" s="302" t="s">
        <v>191</v>
      </c>
      <c r="E1544" s="283">
        <v>0</v>
      </c>
      <c r="F1544" s="284"/>
      <c r="G1544" s="337">
        <f t="shared" si="1914"/>
        <v>0</v>
      </c>
      <c r="H1544" s="285"/>
      <c r="I1544" s="285"/>
      <c r="J1544" s="356" t="str">
        <f>IFERROR(G1544/#REF!,"-")</f>
        <v>-</v>
      </c>
      <c r="K1544" s="337">
        <f t="shared" si="1915"/>
        <v>2448</v>
      </c>
      <c r="L1544" s="275">
        <f t="shared" ref="L1544:M1544" si="1924">+H1544+L1437</f>
        <v>2448</v>
      </c>
      <c r="M1544" s="275">
        <f t="shared" si="1924"/>
        <v>0</v>
      </c>
      <c r="N1544" s="286"/>
      <c r="O1544" s="264">
        <f t="shared" si="1876"/>
        <v>0</v>
      </c>
    </row>
    <row r="1545" spans="1:15" ht="23.4" x14ac:dyDescent="0.3">
      <c r="A1545" s="277"/>
      <c r="B1545" s="977"/>
      <c r="C1545" s="302" t="s">
        <v>452</v>
      </c>
      <c r="D1545" s="302" t="s">
        <v>410</v>
      </c>
      <c r="E1545" s="283">
        <v>0</v>
      </c>
      <c r="F1545" s="284"/>
      <c r="G1545" s="337">
        <f t="shared" si="1914"/>
        <v>0</v>
      </c>
      <c r="H1545" s="285"/>
      <c r="I1545" s="285"/>
      <c r="J1545" s="356" t="str">
        <f>IFERROR(G1545/#REF!,"-")</f>
        <v>-</v>
      </c>
      <c r="K1545" s="337">
        <f t="shared" si="1915"/>
        <v>40370</v>
      </c>
      <c r="L1545" s="275">
        <f t="shared" ref="L1545:M1545" si="1925">+H1545+L1438</f>
        <v>39117</v>
      </c>
      <c r="M1545" s="276">
        <f t="shared" si="1925"/>
        <v>1253</v>
      </c>
      <c r="N1545" s="286"/>
      <c r="O1545" s="264">
        <f t="shared" si="1876"/>
        <v>3.1037899430270001E-2</v>
      </c>
    </row>
    <row r="1546" spans="1:15" ht="24" thickBot="1" x14ac:dyDescent="0.35">
      <c r="A1546" s="277" t="s">
        <v>108</v>
      </c>
      <c r="B1546" s="977"/>
      <c r="C1546" s="303" t="s">
        <v>315</v>
      </c>
      <c r="D1546" s="302" t="s">
        <v>313</v>
      </c>
      <c r="E1546" s="283">
        <v>0</v>
      </c>
      <c r="F1546" s="284"/>
      <c r="G1546" s="337">
        <f t="shared" si="1914"/>
        <v>0</v>
      </c>
      <c r="H1546" s="285"/>
      <c r="I1546" s="285"/>
      <c r="J1546" s="356" t="str">
        <f>IFERROR(G1546/#REF!,"-")</f>
        <v>-</v>
      </c>
      <c r="K1546" s="337">
        <f t="shared" si="1915"/>
        <v>16403</v>
      </c>
      <c r="L1546" s="275">
        <f t="shared" ref="L1546:M1546" si="1926">+H1546+L1439</f>
        <v>15912</v>
      </c>
      <c r="M1546" s="276">
        <f t="shared" si="1926"/>
        <v>491</v>
      </c>
      <c r="N1546" s="341" t="str">
        <f t="shared" ref="N1546:N1553" si="1927">IFERROR(K1546/E1546,"-")</f>
        <v>-</v>
      </c>
      <c r="O1546" s="350">
        <f t="shared" si="1876"/>
        <v>2.9933548741083948E-2</v>
      </c>
    </row>
    <row r="1547" spans="1:15" ht="24" thickBot="1" x14ac:dyDescent="0.35">
      <c r="A1547" s="277" t="s">
        <v>108</v>
      </c>
      <c r="B1547" s="990"/>
      <c r="C1547" s="304"/>
      <c r="D1547" s="305" t="s">
        <v>55</v>
      </c>
      <c r="E1547" s="287">
        <f>SUM(E1537:E1546)</f>
        <v>0</v>
      </c>
      <c r="F1547" s="288">
        <v>80000</v>
      </c>
      <c r="G1547" s="323">
        <f>SUM(G1537:G1546)</f>
        <v>0</v>
      </c>
      <c r="H1547" s="324">
        <f>SUM(H1537:H1546)</f>
        <v>0</v>
      </c>
      <c r="I1547" s="324">
        <f>SUM(I1537:I1546)</f>
        <v>0</v>
      </c>
      <c r="J1547" s="348">
        <f>+G1547/F1547</f>
        <v>0</v>
      </c>
      <c r="K1547" s="323">
        <f>SUM(K1537:K1546)</f>
        <v>323574</v>
      </c>
      <c r="L1547" s="324">
        <f>SUM(L1537:L1546)</f>
        <v>314521</v>
      </c>
      <c r="M1547" s="325">
        <f>SUM(M1537:M1546)</f>
        <v>9053</v>
      </c>
      <c r="N1547" s="342" t="str">
        <f t="shared" si="1927"/>
        <v>-</v>
      </c>
      <c r="O1547" s="348">
        <f t="shared" si="1876"/>
        <v>2.7978144103049069E-2</v>
      </c>
    </row>
    <row r="1548" spans="1:15" ht="23.4" x14ac:dyDescent="0.3">
      <c r="A1548" s="277" t="s">
        <v>108</v>
      </c>
      <c r="B1548" s="976" t="s">
        <v>28</v>
      </c>
      <c r="C1548" s="302" t="s">
        <v>27</v>
      </c>
      <c r="D1548" s="300" t="s">
        <v>191</v>
      </c>
      <c r="E1548" s="273">
        <v>2612056</v>
      </c>
      <c r="F1548" s="274"/>
      <c r="G1548" s="335">
        <f t="shared" ref="G1548:G1552" si="1928">+H1548+I1548</f>
        <v>0</v>
      </c>
      <c r="H1548" s="275"/>
      <c r="I1548" s="275"/>
      <c r="J1548" s="354" t="str">
        <f>IFERROR(G1548/#REF!,"-")</f>
        <v>-</v>
      </c>
      <c r="K1548" s="335">
        <f t="shared" ref="K1548:K1552" si="1929">+L1548+M1548</f>
        <v>21742</v>
      </c>
      <c r="L1548" s="275">
        <f t="shared" ref="L1548:M1548" si="1930">+H1548+L1441</f>
        <v>19890</v>
      </c>
      <c r="M1548" s="276">
        <f t="shared" si="1930"/>
        <v>1852</v>
      </c>
      <c r="N1548" s="339">
        <f t="shared" si="1927"/>
        <v>8.3237112833721792E-3</v>
      </c>
      <c r="O1548" s="349">
        <f t="shared" si="1876"/>
        <v>8.5180756140189495E-2</v>
      </c>
    </row>
    <row r="1549" spans="1:15" ht="23.4" x14ac:dyDescent="0.3">
      <c r="A1549" s="277" t="s">
        <v>108</v>
      </c>
      <c r="B1549" s="977"/>
      <c r="C1549" s="302" t="s">
        <v>455</v>
      </c>
      <c r="D1549" s="302" t="s">
        <v>370</v>
      </c>
      <c r="E1549" s="279">
        <v>0</v>
      </c>
      <c r="F1549" s="280"/>
      <c r="G1549" s="336">
        <f t="shared" si="1928"/>
        <v>148568</v>
      </c>
      <c r="H1549" s="281">
        <v>147186</v>
      </c>
      <c r="I1549" s="281">
        <v>1382</v>
      </c>
      <c r="J1549" s="355" t="str">
        <f>IFERROR(G1549/#REF!,"-")</f>
        <v>-</v>
      </c>
      <c r="K1549" s="336">
        <f t="shared" si="1929"/>
        <v>961295</v>
      </c>
      <c r="L1549" s="275">
        <f t="shared" ref="L1549:M1549" si="1931">+H1549+L1442</f>
        <v>950436</v>
      </c>
      <c r="M1549" s="276">
        <f t="shared" si="1931"/>
        <v>10859</v>
      </c>
      <c r="N1549" s="340" t="str">
        <f t="shared" si="1927"/>
        <v>-</v>
      </c>
      <c r="O1549" s="264">
        <f t="shared" si="1876"/>
        <v>1.1296220202955388E-2</v>
      </c>
    </row>
    <row r="1550" spans="1:15" ht="23.4" x14ac:dyDescent="0.3">
      <c r="A1550" s="277" t="s">
        <v>108</v>
      </c>
      <c r="B1550" s="977"/>
      <c r="C1550" s="302" t="s">
        <v>27</v>
      </c>
      <c r="D1550" s="302" t="s">
        <v>370</v>
      </c>
      <c r="E1550" s="279">
        <v>0</v>
      </c>
      <c r="F1550" s="280"/>
      <c r="G1550" s="336">
        <f t="shared" si="1928"/>
        <v>0</v>
      </c>
      <c r="H1550" s="281"/>
      <c r="I1550" s="281"/>
      <c r="J1550" s="355" t="str">
        <f>IFERROR(G1550/#REF!,"-")</f>
        <v>-</v>
      </c>
      <c r="K1550" s="336">
        <f t="shared" si="1929"/>
        <v>65158</v>
      </c>
      <c r="L1550" s="275">
        <f t="shared" ref="L1550:M1550" si="1932">+H1550+L1443</f>
        <v>63648</v>
      </c>
      <c r="M1550" s="276">
        <f t="shared" si="1932"/>
        <v>1510</v>
      </c>
      <c r="N1550" s="340" t="str">
        <f t="shared" si="1927"/>
        <v>-</v>
      </c>
      <c r="O1550" s="264">
        <f t="shared" si="1876"/>
        <v>2.3174437521102549E-2</v>
      </c>
    </row>
    <row r="1551" spans="1:15" ht="23.4" x14ac:dyDescent="0.3">
      <c r="A1551" s="277" t="s">
        <v>108</v>
      </c>
      <c r="B1551" s="977"/>
      <c r="C1551" s="302" t="s">
        <v>452</v>
      </c>
      <c r="D1551" s="303" t="s">
        <v>410</v>
      </c>
      <c r="E1551" s="283">
        <v>0</v>
      </c>
      <c r="F1551" s="284"/>
      <c r="G1551" s="337">
        <f t="shared" si="1928"/>
        <v>0</v>
      </c>
      <c r="H1551" s="285"/>
      <c r="I1551" s="285"/>
      <c r="J1551" s="356" t="str">
        <f>IFERROR(G1551/#REF!,"-")</f>
        <v>-</v>
      </c>
      <c r="K1551" s="337">
        <f t="shared" si="1929"/>
        <v>249713</v>
      </c>
      <c r="L1551" s="275">
        <f t="shared" ref="L1551:M1551" si="1933">+H1551+L1444</f>
        <v>246636</v>
      </c>
      <c r="M1551" s="755">
        <f t="shared" si="1933"/>
        <v>3077</v>
      </c>
      <c r="N1551" s="341" t="str">
        <f t="shared" si="1927"/>
        <v>-</v>
      </c>
      <c r="O1551" s="350">
        <f t="shared" si="1876"/>
        <v>1.2322145823405269E-2</v>
      </c>
    </row>
    <row r="1552" spans="1:15" ht="24" thickBot="1" x14ac:dyDescent="0.35">
      <c r="A1552" s="277" t="s">
        <v>108</v>
      </c>
      <c r="B1552" s="977"/>
      <c r="C1552" s="302" t="s">
        <v>27</v>
      </c>
      <c r="D1552" s="303" t="s">
        <v>254</v>
      </c>
      <c r="E1552" s="283">
        <v>0</v>
      </c>
      <c r="F1552" s="284"/>
      <c r="G1552" s="337">
        <f t="shared" si="1928"/>
        <v>0</v>
      </c>
      <c r="H1552" s="285"/>
      <c r="I1552" s="285"/>
      <c r="J1552" s="356" t="str">
        <f>IFERROR(G1552/#REF!,"-")</f>
        <v>-</v>
      </c>
      <c r="K1552" s="337">
        <f t="shared" si="1929"/>
        <v>767509</v>
      </c>
      <c r="L1552" s="275">
        <f t="shared" ref="L1552:M1552" si="1934">+H1552+L1445</f>
        <v>758574</v>
      </c>
      <c r="M1552" s="755">
        <f t="shared" si="1934"/>
        <v>8935</v>
      </c>
      <c r="N1552" s="341" t="str">
        <f t="shared" si="1927"/>
        <v>-</v>
      </c>
      <c r="O1552" s="350">
        <f t="shared" si="1876"/>
        <v>1.164155729769944E-2</v>
      </c>
    </row>
    <row r="1553" spans="1:15" ht="24" thickBot="1" x14ac:dyDescent="0.35">
      <c r="A1553" s="277" t="s">
        <v>108</v>
      </c>
      <c r="B1553" s="977"/>
      <c r="C1553" s="307"/>
      <c r="D1553" s="308" t="s">
        <v>55</v>
      </c>
      <c r="E1553" s="309">
        <f>SUM(E1548:E1552)</f>
        <v>2612056</v>
      </c>
      <c r="F1553" s="310">
        <v>160000</v>
      </c>
      <c r="G1553" s="369">
        <f>SUM(G1548:G1552)</f>
        <v>148568</v>
      </c>
      <c r="H1553" s="368">
        <f>SUM(H1548:H1552)</f>
        <v>147186</v>
      </c>
      <c r="I1553" s="368">
        <f>SUM(I1548:I1552)</f>
        <v>1382</v>
      </c>
      <c r="J1553" s="359">
        <f>+G1553/F1553</f>
        <v>0.92854999999999999</v>
      </c>
      <c r="K1553" s="369">
        <f>SUM(K1548:K1552)</f>
        <v>2065417</v>
      </c>
      <c r="L1553" s="368">
        <f>SUM(L1548:L1552)</f>
        <v>2039184</v>
      </c>
      <c r="M1553" s="370">
        <f>SUM(M1548:M1552)</f>
        <v>26233</v>
      </c>
      <c r="N1553" s="358">
        <f t="shared" si="1927"/>
        <v>0.79072462458691539</v>
      </c>
      <c r="O1553" s="359">
        <f t="shared" si="1876"/>
        <v>1.2701067145278654E-2</v>
      </c>
    </row>
    <row r="1554" spans="1:15" ht="24" thickBot="1" x14ac:dyDescent="0.35">
      <c r="A1554" s="878" t="s">
        <v>108</v>
      </c>
      <c r="B1554" s="978" t="s">
        <v>170</v>
      </c>
      <c r="C1554" s="979"/>
      <c r="D1554" s="980"/>
      <c r="E1554" s="311">
        <f>+E1553+E1547</f>
        <v>2612056</v>
      </c>
      <c r="F1554" s="312">
        <v>240000</v>
      </c>
      <c r="G1554" s="372">
        <f>+G1547+G1553</f>
        <v>148568</v>
      </c>
      <c r="H1554" s="371">
        <f>+H1547+H1553</f>
        <v>147186</v>
      </c>
      <c r="I1554" s="371">
        <f>+I1547+I1553</f>
        <v>1382</v>
      </c>
      <c r="J1554" s="361">
        <f>+G1554/F1554</f>
        <v>0.61903333333333332</v>
      </c>
      <c r="K1554" s="372">
        <f>+K1547+K1553</f>
        <v>2388991</v>
      </c>
      <c r="L1554" s="371">
        <f>+L1547+L1553</f>
        <v>2353705</v>
      </c>
      <c r="M1554" s="373">
        <f>+M1547+M1553</f>
        <v>35286</v>
      </c>
      <c r="N1554" s="360">
        <f>IFERROR(K1554/E1554,"-")</f>
        <v>0.91460175432685975</v>
      </c>
      <c r="O1554" s="361">
        <f t="shared" si="1876"/>
        <v>1.4770252378514611E-2</v>
      </c>
    </row>
    <row r="1555" spans="1:15" ht="23.4" x14ac:dyDescent="0.3">
      <c r="A1555" s="277" t="s">
        <v>108</v>
      </c>
      <c r="B1555" s="977" t="s">
        <v>30</v>
      </c>
      <c r="C1555" s="306" t="s">
        <v>372</v>
      </c>
      <c r="D1555" s="300" t="s">
        <v>191</v>
      </c>
      <c r="E1555" s="273">
        <v>0</v>
      </c>
      <c r="F1555" s="274"/>
      <c r="G1555" s="335">
        <f t="shared" ref="G1555:G1557" si="1935">+H1555+I1555</f>
        <v>0</v>
      </c>
      <c r="H1555" s="275"/>
      <c r="I1555" s="275"/>
      <c r="J1555" s="354" t="str">
        <f>IFERROR(G1555/#REF!,"-")</f>
        <v>-</v>
      </c>
      <c r="K1555" s="335">
        <f t="shared" ref="K1555:K1557" si="1936">+L1555+M1555</f>
        <v>0</v>
      </c>
      <c r="L1555" s="275">
        <f t="shared" ref="L1555:M1555" si="1937">+H1555+L1448</f>
        <v>0</v>
      </c>
      <c r="M1555" s="276">
        <f t="shared" si="1937"/>
        <v>0</v>
      </c>
      <c r="N1555" s="339" t="str">
        <f t="shared" ref="N1555:N1565" si="1938">IFERROR(K1555/E1555,"-")</f>
        <v>-</v>
      </c>
      <c r="O1555" s="349" t="str">
        <f t="shared" si="1876"/>
        <v>-</v>
      </c>
    </row>
    <row r="1556" spans="1:15" ht="23.4" x14ac:dyDescent="0.3">
      <c r="A1556" s="277" t="s">
        <v>108</v>
      </c>
      <c r="B1556" s="977"/>
      <c r="C1556" s="303" t="s">
        <v>531</v>
      </c>
      <c r="D1556" s="306" t="s">
        <v>410</v>
      </c>
      <c r="E1556" s="279">
        <v>0</v>
      </c>
      <c r="F1556" s="280"/>
      <c r="G1556" s="336">
        <f t="shared" si="1935"/>
        <v>34270</v>
      </c>
      <c r="H1556" s="281">
        <v>33696</v>
      </c>
      <c r="I1556" s="281">
        <v>574</v>
      </c>
      <c r="J1556" s="355" t="str">
        <f>IFERROR(G1556/#REF!,"-")</f>
        <v>-</v>
      </c>
      <c r="K1556" s="336">
        <f t="shared" si="1936"/>
        <v>70229</v>
      </c>
      <c r="L1556" s="275">
        <f t="shared" ref="L1556:M1556" si="1939">+H1556+L1449</f>
        <v>69264</v>
      </c>
      <c r="M1556" s="276">
        <f t="shared" si="1939"/>
        <v>965</v>
      </c>
      <c r="N1556" s="340" t="str">
        <f t="shared" si="1938"/>
        <v>-</v>
      </c>
      <c r="O1556" s="264">
        <f t="shared" si="1876"/>
        <v>1.3740762363126343E-2</v>
      </c>
    </row>
    <row r="1557" spans="1:15" ht="24" thickBot="1" x14ac:dyDescent="0.35">
      <c r="A1557" s="277" t="s">
        <v>108</v>
      </c>
      <c r="B1557" s="977"/>
      <c r="C1557" s="303" t="s">
        <v>316</v>
      </c>
      <c r="D1557" s="303" t="s">
        <v>410</v>
      </c>
      <c r="E1557" s="283">
        <v>0</v>
      </c>
      <c r="F1557" s="284"/>
      <c r="G1557" s="337">
        <f t="shared" si="1935"/>
        <v>0</v>
      </c>
      <c r="H1557" s="285"/>
      <c r="I1557" s="285"/>
      <c r="J1557" s="356" t="str">
        <f>IFERROR(G1557/#REF!,"-")</f>
        <v>-</v>
      </c>
      <c r="K1557" s="337">
        <f t="shared" si="1936"/>
        <v>171639</v>
      </c>
      <c r="L1557" s="275">
        <f t="shared" ref="L1557:M1557" si="1940">+H1557+L1450</f>
        <v>166608</v>
      </c>
      <c r="M1557" s="276">
        <f t="shared" si="1940"/>
        <v>5031</v>
      </c>
      <c r="N1557" s="341" t="str">
        <f t="shared" si="1938"/>
        <v>-</v>
      </c>
      <c r="O1557" s="350">
        <f t="shared" si="1876"/>
        <v>2.9311520109066121E-2</v>
      </c>
    </row>
    <row r="1558" spans="1:15" ht="24" thickBot="1" x14ac:dyDescent="0.35">
      <c r="A1558" s="277" t="s">
        <v>108</v>
      </c>
      <c r="B1558" s="977"/>
      <c r="C1558" s="304"/>
      <c r="D1558" s="305" t="s">
        <v>53</v>
      </c>
      <c r="E1558" s="287">
        <v>0</v>
      </c>
      <c r="F1558" s="288">
        <v>50000</v>
      </c>
      <c r="G1558" s="323">
        <f>SUM(G1555:G1557)</f>
        <v>34270</v>
      </c>
      <c r="H1558" s="324">
        <f>SUM(H1555:H1557)</f>
        <v>33696</v>
      </c>
      <c r="I1558" s="324">
        <f>SUM(I1555:I1557)</f>
        <v>574</v>
      </c>
      <c r="J1558" s="348">
        <f>+H1558/G1558</f>
        <v>0.98325065655091914</v>
      </c>
      <c r="K1558" s="323">
        <f>SUM(K1555:K1557)</f>
        <v>241868</v>
      </c>
      <c r="L1558" s="324">
        <f>SUM(L1555:L1557)</f>
        <v>235872</v>
      </c>
      <c r="M1558" s="325">
        <f>SUM(M1555:M1557)</f>
        <v>5996</v>
      </c>
      <c r="N1558" s="342" t="str">
        <f t="shared" si="1938"/>
        <v>-</v>
      </c>
      <c r="O1558" s="348">
        <f t="shared" si="1876"/>
        <v>2.4790381530421551E-2</v>
      </c>
    </row>
    <row r="1559" spans="1:15" ht="23.4" x14ac:dyDescent="0.3">
      <c r="A1559" s="277" t="s">
        <v>108</v>
      </c>
      <c r="B1559" s="977"/>
      <c r="C1559" s="300" t="s">
        <v>543</v>
      </c>
      <c r="D1559" s="300" t="s">
        <v>99</v>
      </c>
      <c r="E1559" s="273">
        <v>500000</v>
      </c>
      <c r="F1559" s="274"/>
      <c r="G1559" s="335">
        <f t="shared" ref="G1559:G1561" si="1941">+H1559+I1559</f>
        <v>0</v>
      </c>
      <c r="H1559" s="275"/>
      <c r="I1559" s="275"/>
      <c r="J1559" s="354" t="str">
        <f>IFERROR(G1559/#REF!,"-")</f>
        <v>-</v>
      </c>
      <c r="K1559" s="335">
        <f t="shared" ref="K1559:K1561" si="1942">+L1559+M1559</f>
        <v>956</v>
      </c>
      <c r="L1559" s="275">
        <f t="shared" ref="L1559:M1559" si="1943">+H1559+L1452</f>
        <v>956</v>
      </c>
      <c r="M1559" s="276">
        <f t="shared" si="1943"/>
        <v>0</v>
      </c>
      <c r="N1559" s="339">
        <f t="shared" si="1938"/>
        <v>1.9120000000000001E-3</v>
      </c>
      <c r="O1559" s="349">
        <f t="shared" si="1876"/>
        <v>0</v>
      </c>
    </row>
    <row r="1560" spans="1:15" ht="23.4" x14ac:dyDescent="0.3">
      <c r="A1560" s="277" t="s">
        <v>108</v>
      </c>
      <c r="B1560" s="977"/>
      <c r="C1560" s="306" t="s">
        <v>373</v>
      </c>
      <c r="D1560" s="306" t="s">
        <v>254</v>
      </c>
      <c r="E1560" s="279">
        <v>0</v>
      </c>
      <c r="F1560" s="280"/>
      <c r="G1560" s="336">
        <f t="shared" si="1941"/>
        <v>0</v>
      </c>
      <c r="H1560" s="281"/>
      <c r="I1560" s="281"/>
      <c r="J1560" s="355" t="str">
        <f>IFERROR(G1560/#REF!,"-")</f>
        <v>-</v>
      </c>
      <c r="K1560" s="336">
        <f t="shared" si="1942"/>
        <v>13599</v>
      </c>
      <c r="L1560" s="275">
        <f t="shared" ref="L1560:M1560" si="1944">+H1560+L1453</f>
        <v>13321</v>
      </c>
      <c r="M1560" s="276">
        <f t="shared" si="1944"/>
        <v>278</v>
      </c>
      <c r="N1560" s="340" t="str">
        <f t="shared" si="1938"/>
        <v>-</v>
      </c>
      <c r="O1560" s="264">
        <f t="shared" si="1876"/>
        <v>2.0442679608794763E-2</v>
      </c>
    </row>
    <row r="1561" spans="1:15" ht="24" thickBot="1" x14ac:dyDescent="0.35">
      <c r="A1561" s="277" t="s">
        <v>108</v>
      </c>
      <c r="B1561" s="977"/>
      <c r="C1561" s="303" t="s">
        <v>544</v>
      </c>
      <c r="D1561" s="303" t="s">
        <v>507</v>
      </c>
      <c r="E1561" s="283">
        <v>0</v>
      </c>
      <c r="F1561" s="284"/>
      <c r="G1561" s="337">
        <f t="shared" si="1941"/>
        <v>0</v>
      </c>
      <c r="H1561" s="285"/>
      <c r="I1561" s="285"/>
      <c r="J1561" s="356" t="str">
        <f>IFERROR(G1561/#REF!,"-")</f>
        <v>-</v>
      </c>
      <c r="K1561" s="337">
        <f t="shared" si="1942"/>
        <v>845</v>
      </c>
      <c r="L1561" s="275">
        <f t="shared" ref="L1561:M1561" si="1945">+H1561+L1454</f>
        <v>845</v>
      </c>
      <c r="M1561" s="276">
        <f t="shared" si="1945"/>
        <v>0</v>
      </c>
      <c r="N1561" s="341" t="str">
        <f t="shared" si="1938"/>
        <v>-</v>
      </c>
      <c r="O1561" s="350">
        <f t="shared" si="1876"/>
        <v>0</v>
      </c>
    </row>
    <row r="1562" spans="1:15" ht="24" thickBot="1" x14ac:dyDescent="0.35">
      <c r="A1562" s="277" t="s">
        <v>108</v>
      </c>
      <c r="B1562" s="977"/>
      <c r="C1562" s="307"/>
      <c r="D1562" s="308" t="s">
        <v>54</v>
      </c>
      <c r="E1562" s="309">
        <f>SUM(E1559)</f>
        <v>500000</v>
      </c>
      <c r="F1562" s="310">
        <v>50000</v>
      </c>
      <c r="G1562" s="369">
        <f>SUM(G1559:G1561)</f>
        <v>0</v>
      </c>
      <c r="H1562" s="368">
        <f t="shared" ref="H1562:I1562" si="1946">SUM(H1559:H1561)</f>
        <v>0</v>
      </c>
      <c r="I1562" s="368">
        <f t="shared" si="1946"/>
        <v>0</v>
      </c>
      <c r="J1562" s="359">
        <f>+G1562/F1562</f>
        <v>0</v>
      </c>
      <c r="K1562" s="369">
        <f t="shared" ref="K1562:M1562" si="1947">SUM(K1559:K1561)</f>
        <v>15400</v>
      </c>
      <c r="L1562" s="368">
        <f t="shared" si="1947"/>
        <v>15122</v>
      </c>
      <c r="M1562" s="370">
        <f t="shared" si="1947"/>
        <v>278</v>
      </c>
      <c r="N1562" s="358">
        <f t="shared" si="1938"/>
        <v>3.0800000000000001E-2</v>
      </c>
      <c r="O1562" s="359">
        <f t="shared" si="1876"/>
        <v>1.8051948051948052E-2</v>
      </c>
    </row>
    <row r="1563" spans="1:15" ht="24" thickBot="1" x14ac:dyDescent="0.35">
      <c r="A1563" s="277" t="s">
        <v>108</v>
      </c>
      <c r="B1563" s="978" t="s">
        <v>171</v>
      </c>
      <c r="C1563" s="979"/>
      <c r="D1563" s="980"/>
      <c r="E1563" s="311">
        <f>+E1562+E1558</f>
        <v>500000</v>
      </c>
      <c r="F1563" s="312">
        <v>50000</v>
      </c>
      <c r="G1563" s="372">
        <f>+G1558+G1562</f>
        <v>34270</v>
      </c>
      <c r="H1563" s="371">
        <f t="shared" ref="H1563:I1563" si="1948">+H1558+H1562</f>
        <v>33696</v>
      </c>
      <c r="I1563" s="371">
        <f t="shared" si="1948"/>
        <v>574</v>
      </c>
      <c r="J1563" s="361">
        <f>+G1563/F1563</f>
        <v>0.68540000000000001</v>
      </c>
      <c r="K1563" s="372">
        <f t="shared" ref="K1563:M1563" si="1949">+K1558+K1562</f>
        <v>257268</v>
      </c>
      <c r="L1563" s="371">
        <f t="shared" si="1949"/>
        <v>250994</v>
      </c>
      <c r="M1563" s="373">
        <f t="shared" si="1949"/>
        <v>6274</v>
      </c>
      <c r="N1563" s="360">
        <f t="shared" si="1938"/>
        <v>0.51453599999999999</v>
      </c>
      <c r="O1563" s="361">
        <f t="shared" si="1876"/>
        <v>2.4387020538893293E-2</v>
      </c>
    </row>
    <row r="1564" spans="1:15" ht="24" thickBot="1" x14ac:dyDescent="0.35">
      <c r="A1564" s="277" t="s">
        <v>108</v>
      </c>
      <c r="B1564" s="608" t="s">
        <v>32</v>
      </c>
      <c r="C1564" s="874"/>
      <c r="D1564" s="313" t="s">
        <v>32</v>
      </c>
      <c r="E1564" s="290">
        <v>0</v>
      </c>
      <c r="F1564" s="291">
        <v>110000</v>
      </c>
      <c r="G1564" s="338">
        <f t="shared" ref="G1564" si="1950">+H1564+I1564</f>
        <v>0</v>
      </c>
      <c r="H1564" s="292"/>
      <c r="I1564" s="292"/>
      <c r="J1564" s="357" t="str">
        <f>IFERROR(G1564/#REF!,"-")</f>
        <v>-</v>
      </c>
      <c r="K1564" s="338">
        <f>+L1564+M1564</f>
        <v>0</v>
      </c>
      <c r="L1564" s="292">
        <f>+H1564+L1457</f>
        <v>0</v>
      </c>
      <c r="M1564" s="293">
        <f>+I1564+M1457</f>
        <v>0</v>
      </c>
      <c r="N1564" s="343" t="str">
        <f t="shared" si="1938"/>
        <v>-</v>
      </c>
      <c r="O1564" s="351" t="str">
        <f t="shared" si="1876"/>
        <v>-</v>
      </c>
    </row>
    <row r="1565" spans="1:15" ht="24" thickBot="1" x14ac:dyDescent="0.35">
      <c r="A1565" s="277" t="s">
        <v>108</v>
      </c>
      <c r="B1565" s="981" t="s">
        <v>21</v>
      </c>
      <c r="C1565" s="982"/>
      <c r="D1565" s="983"/>
      <c r="E1565" s="329">
        <f>+E1554+E1563+E1564</f>
        <v>3112056</v>
      </c>
      <c r="F1565" s="330">
        <f>+F1554+F1563+F1564</f>
        <v>400000</v>
      </c>
      <c r="G1565" s="329">
        <f>+G1554+G1563+G1564</f>
        <v>182838</v>
      </c>
      <c r="H1565" s="327">
        <f>+H1554+H1563+H1564</f>
        <v>180882</v>
      </c>
      <c r="I1565" s="327">
        <f>+I1554+I1563+I1564</f>
        <v>1956</v>
      </c>
      <c r="J1565" s="352">
        <f>+G1565/F1565</f>
        <v>0.45709499999999997</v>
      </c>
      <c r="K1565" s="329">
        <f>+K1554+K1563+K1564</f>
        <v>2646259</v>
      </c>
      <c r="L1565" s="327">
        <f>+L1554+L1563+L1564</f>
        <v>2604699</v>
      </c>
      <c r="M1565" s="328">
        <f>+M1554+M1563+M1564</f>
        <v>41560</v>
      </c>
      <c r="N1565" s="344">
        <f t="shared" si="1938"/>
        <v>0.8503249941517762</v>
      </c>
      <c r="O1565" s="352">
        <f t="shared" si="1876"/>
        <v>1.570518985481013E-2</v>
      </c>
    </row>
    <row r="1566" spans="1:15" ht="24" thickBot="1" x14ac:dyDescent="0.35">
      <c r="A1566" s="277" t="s">
        <v>108</v>
      </c>
      <c r="B1566" s="984" t="s">
        <v>179</v>
      </c>
      <c r="C1566" s="962"/>
      <c r="D1566" s="963"/>
      <c r="E1566" s="333">
        <f>+E1565</f>
        <v>3112056</v>
      </c>
      <c r="F1566" s="334">
        <f t="shared" ref="F1566:I1566" si="1951">+F1565</f>
        <v>400000</v>
      </c>
      <c r="G1566" s="333">
        <f t="shared" si="1951"/>
        <v>182838</v>
      </c>
      <c r="H1566" s="331">
        <f t="shared" si="1951"/>
        <v>180882</v>
      </c>
      <c r="I1566" s="331">
        <f t="shared" si="1951"/>
        <v>1956</v>
      </c>
      <c r="J1566" s="353">
        <f>+J1565</f>
        <v>0.45709499999999997</v>
      </c>
      <c r="K1566" s="333">
        <f>+K1565</f>
        <v>2646259</v>
      </c>
      <c r="L1566" s="331">
        <f t="shared" ref="L1566" si="1952">+L1565</f>
        <v>2604699</v>
      </c>
      <c r="M1566" s="332">
        <f>+M1565</f>
        <v>41560</v>
      </c>
      <c r="N1566" s="345">
        <f t="shared" ref="N1566:O1566" si="1953">+N1565</f>
        <v>0.8503249941517762</v>
      </c>
      <c r="O1566" s="353">
        <f t="shared" si="1953"/>
        <v>1.570518985481013E-2</v>
      </c>
    </row>
    <row r="1567" spans="1:15" ht="23.4" x14ac:dyDescent="0.3">
      <c r="A1567" s="271" t="s">
        <v>109</v>
      </c>
      <c r="B1567" s="970" t="s">
        <v>482</v>
      </c>
      <c r="C1567" s="314" t="s">
        <v>120</v>
      </c>
      <c r="D1567" s="314"/>
      <c r="E1567" s="273">
        <v>34000</v>
      </c>
      <c r="F1567" s="274"/>
      <c r="G1567" s="335">
        <f t="shared" ref="G1567:G1569" si="1954">+H1567+I1567</f>
        <v>0</v>
      </c>
      <c r="H1567" s="275"/>
      <c r="I1567" s="275"/>
      <c r="J1567" s="354" t="str">
        <f>IFERROR(G1567/#REF!,"-")</f>
        <v>-</v>
      </c>
      <c r="K1567" s="335">
        <f t="shared" ref="K1567:K1569" si="1955">+L1567+M1567</f>
        <v>0</v>
      </c>
      <c r="L1567" s="275">
        <f t="shared" ref="L1567:M1567" si="1956">+H1567+L1460</f>
        <v>0</v>
      </c>
      <c r="M1567" s="276">
        <f t="shared" si="1956"/>
        <v>0</v>
      </c>
      <c r="N1567" s="339">
        <f t="shared" ref="N1567:N1574" si="1957">IFERROR(K1567/E1567,"-")</f>
        <v>0</v>
      </c>
      <c r="O1567" s="349" t="str">
        <f t="shared" ref="O1567:O1592" si="1958">IFERROR(M1567/K1567,"-")</f>
        <v>-</v>
      </c>
    </row>
    <row r="1568" spans="1:15" ht="23.4" x14ac:dyDescent="0.3">
      <c r="A1568" s="277" t="s">
        <v>109</v>
      </c>
      <c r="B1568" s="972"/>
      <c r="C1568" s="315" t="s">
        <v>267</v>
      </c>
      <c r="D1568" s="315"/>
      <c r="E1568" s="279">
        <v>0</v>
      </c>
      <c r="F1568" s="280"/>
      <c r="G1568" s="336">
        <f t="shared" si="1954"/>
        <v>920</v>
      </c>
      <c r="H1568" s="281">
        <v>640</v>
      </c>
      <c r="I1568" s="281">
        <v>280</v>
      </c>
      <c r="J1568" s="355" t="str">
        <f>IFERROR(G1568/#REF!,"-")</f>
        <v>-</v>
      </c>
      <c r="K1568" s="336">
        <f t="shared" si="1955"/>
        <v>18942</v>
      </c>
      <c r="L1568" s="275">
        <f t="shared" ref="L1568:M1568" si="1959">+H1568+L1461</f>
        <v>18240</v>
      </c>
      <c r="M1568" s="276">
        <f t="shared" si="1959"/>
        <v>702</v>
      </c>
      <c r="N1568" s="340" t="str">
        <f t="shared" si="1957"/>
        <v>-</v>
      </c>
      <c r="O1568" s="264">
        <f t="shared" si="1958"/>
        <v>3.7060500475134622E-2</v>
      </c>
    </row>
    <row r="1569" spans="1:15" ht="24" thickBot="1" x14ac:dyDescent="0.35">
      <c r="A1569" s="277" t="s">
        <v>109</v>
      </c>
      <c r="B1569" s="971"/>
      <c r="C1569" s="316" t="s">
        <v>34</v>
      </c>
      <c r="D1569" s="316"/>
      <c r="E1569" s="283">
        <v>0</v>
      </c>
      <c r="F1569" s="284"/>
      <c r="G1569" s="337">
        <f t="shared" si="1954"/>
        <v>0</v>
      </c>
      <c r="H1569" s="285"/>
      <c r="I1569" s="285"/>
      <c r="J1569" s="356" t="str">
        <f>IFERROR(G1569/#REF!,"-")</f>
        <v>-</v>
      </c>
      <c r="K1569" s="337">
        <f t="shared" si="1955"/>
        <v>0</v>
      </c>
      <c r="L1569" s="275">
        <f t="shared" ref="L1569:M1569" si="1960">+H1569+L1462</f>
        <v>0</v>
      </c>
      <c r="M1569" s="276">
        <f t="shared" si="1960"/>
        <v>0</v>
      </c>
      <c r="N1569" s="341" t="str">
        <f t="shared" si="1957"/>
        <v>-</v>
      </c>
      <c r="O1569" s="350" t="str">
        <f t="shared" si="1958"/>
        <v>-</v>
      </c>
    </row>
    <row r="1570" spans="1:15" ht="24" thickBot="1" x14ac:dyDescent="0.35">
      <c r="A1570" s="277" t="s">
        <v>109</v>
      </c>
      <c r="B1570" s="967" t="s">
        <v>35</v>
      </c>
      <c r="C1570" s="968"/>
      <c r="D1570" s="969"/>
      <c r="E1570" s="287">
        <f>SUM(E1567:E1569)</f>
        <v>34000</v>
      </c>
      <c r="F1570" s="288">
        <v>6500</v>
      </c>
      <c r="G1570" s="323">
        <f>SUM(G1567:G1569)</f>
        <v>920</v>
      </c>
      <c r="H1570" s="324">
        <f t="shared" ref="H1570:I1570" si="1961">SUM(H1567:H1569)</f>
        <v>640</v>
      </c>
      <c r="I1570" s="324">
        <f t="shared" si="1961"/>
        <v>280</v>
      </c>
      <c r="J1570" s="348" t="str">
        <f>IFERROR(G1570/#REF!,"-")</f>
        <v>-</v>
      </c>
      <c r="K1570" s="323">
        <f t="shared" ref="K1570:M1570" si="1962">SUM(K1567:K1569)</f>
        <v>18942</v>
      </c>
      <c r="L1570" s="324">
        <f t="shared" si="1962"/>
        <v>18240</v>
      </c>
      <c r="M1570" s="325">
        <f t="shared" si="1962"/>
        <v>702</v>
      </c>
      <c r="N1570" s="342">
        <f t="shared" si="1957"/>
        <v>0.5571176470588235</v>
      </c>
      <c r="O1570" s="348">
        <f t="shared" si="1958"/>
        <v>3.7060500475134622E-2</v>
      </c>
    </row>
    <row r="1571" spans="1:15" ht="23.4" x14ac:dyDescent="0.3">
      <c r="A1571" s="277" t="s">
        <v>109</v>
      </c>
      <c r="B1571" s="970" t="s">
        <v>36</v>
      </c>
      <c r="C1571" s="314" t="s">
        <v>120</v>
      </c>
      <c r="D1571" s="314"/>
      <c r="E1571" s="273">
        <v>64360</v>
      </c>
      <c r="F1571" s="274"/>
      <c r="G1571" s="335">
        <f t="shared" ref="G1571:G1574" si="1963">+H1571+I1571</f>
        <v>0</v>
      </c>
      <c r="H1571" s="275"/>
      <c r="I1571" s="275"/>
      <c r="J1571" s="354" t="str">
        <f>IFERROR(G1571/#REF!,"-")</f>
        <v>-</v>
      </c>
      <c r="K1571" s="335">
        <f t="shared" ref="K1571:K1574" si="1964">+L1571+M1571</f>
        <v>0</v>
      </c>
      <c r="L1571" s="275">
        <f t="shared" ref="L1571:M1571" si="1965">+H1571+L1464</f>
        <v>0</v>
      </c>
      <c r="M1571" s="276">
        <f t="shared" si="1965"/>
        <v>0</v>
      </c>
      <c r="N1571" s="339">
        <f t="shared" si="1957"/>
        <v>0</v>
      </c>
      <c r="O1571" s="349" t="str">
        <f t="shared" si="1958"/>
        <v>-</v>
      </c>
    </row>
    <row r="1572" spans="1:15" ht="23.4" x14ac:dyDescent="0.3">
      <c r="A1572" s="277" t="s">
        <v>109</v>
      </c>
      <c r="B1572" s="972"/>
      <c r="C1572" s="315" t="s">
        <v>267</v>
      </c>
      <c r="D1572" s="315"/>
      <c r="E1572" s="279">
        <v>0</v>
      </c>
      <c r="F1572" s="280"/>
      <c r="G1572" s="336">
        <f t="shared" si="1963"/>
        <v>5280</v>
      </c>
      <c r="H1572" s="281">
        <v>5120</v>
      </c>
      <c r="I1572" s="281">
        <v>160</v>
      </c>
      <c r="J1572" s="355" t="str">
        <f>IFERROR(G1572/#REF!,"-")</f>
        <v>-</v>
      </c>
      <c r="K1572" s="336">
        <f t="shared" si="1964"/>
        <v>37728</v>
      </c>
      <c r="L1572" s="275">
        <f t="shared" ref="L1572:M1572" si="1966">+H1572+L1465</f>
        <v>36457</v>
      </c>
      <c r="M1572" s="276">
        <f t="shared" si="1966"/>
        <v>1271</v>
      </c>
      <c r="N1572" s="340" t="str">
        <f t="shared" si="1957"/>
        <v>-</v>
      </c>
      <c r="O1572" s="264">
        <f t="shared" si="1958"/>
        <v>3.3688507209499577E-2</v>
      </c>
    </row>
    <row r="1573" spans="1:15" ht="23.4" x14ac:dyDescent="0.3">
      <c r="A1573" s="277" t="s">
        <v>109</v>
      </c>
      <c r="B1573" s="972"/>
      <c r="C1573" s="315" t="s">
        <v>198</v>
      </c>
      <c r="D1573" s="315"/>
      <c r="E1573" s="279">
        <v>0</v>
      </c>
      <c r="F1573" s="280"/>
      <c r="G1573" s="336">
        <f t="shared" si="1963"/>
        <v>0</v>
      </c>
      <c r="H1573" s="281"/>
      <c r="I1573" s="281"/>
      <c r="J1573" s="355" t="str">
        <f>IFERROR(G1573/#REF!,"-")</f>
        <v>-</v>
      </c>
      <c r="K1573" s="336">
        <f t="shared" si="1964"/>
        <v>0</v>
      </c>
      <c r="L1573" s="275">
        <f t="shared" ref="L1573:M1573" si="1967">+H1573+L1466</f>
        <v>0</v>
      </c>
      <c r="M1573" s="276">
        <f t="shared" si="1967"/>
        <v>0</v>
      </c>
      <c r="N1573" s="340" t="str">
        <f t="shared" si="1957"/>
        <v>-</v>
      </c>
      <c r="O1573" s="264" t="str">
        <f t="shared" si="1958"/>
        <v>-</v>
      </c>
    </row>
    <row r="1574" spans="1:15" ht="24" thickBot="1" x14ac:dyDescent="0.35">
      <c r="A1574" s="277" t="s">
        <v>109</v>
      </c>
      <c r="B1574" s="971"/>
      <c r="C1574" s="316" t="s">
        <v>37</v>
      </c>
      <c r="D1574" s="316"/>
      <c r="E1574" s="283">
        <v>0</v>
      </c>
      <c r="F1574" s="284"/>
      <c r="G1574" s="337">
        <f t="shared" si="1963"/>
        <v>0</v>
      </c>
      <c r="H1574" s="285"/>
      <c r="I1574" s="285"/>
      <c r="J1574" s="356" t="str">
        <f>IFERROR(G1574/#REF!,"-")</f>
        <v>-</v>
      </c>
      <c r="K1574" s="337">
        <f t="shared" si="1964"/>
        <v>0</v>
      </c>
      <c r="L1574" s="275">
        <f t="shared" ref="L1574:M1574" si="1968">+H1574+L1467</f>
        <v>0</v>
      </c>
      <c r="M1574" s="276">
        <f t="shared" si="1968"/>
        <v>0</v>
      </c>
      <c r="N1574" s="341" t="str">
        <f t="shared" si="1957"/>
        <v>-</v>
      </c>
      <c r="O1574" s="350" t="str">
        <f t="shared" si="1958"/>
        <v>-</v>
      </c>
    </row>
    <row r="1575" spans="1:15" ht="24" thickBot="1" x14ac:dyDescent="0.35">
      <c r="A1575" s="277" t="s">
        <v>109</v>
      </c>
      <c r="B1575" s="967" t="s">
        <v>38</v>
      </c>
      <c r="C1575" s="968"/>
      <c r="D1575" s="969"/>
      <c r="E1575" s="287">
        <f>SUM(E1571:E1574)</f>
        <v>64360</v>
      </c>
      <c r="F1575" s="288">
        <v>6500</v>
      </c>
      <c r="G1575" s="323">
        <f>SUM(G1571:G1574)</f>
        <v>5280</v>
      </c>
      <c r="H1575" s="324">
        <f t="shared" ref="H1575:I1575" si="1969">SUM(H1571:H1574)</f>
        <v>5120</v>
      </c>
      <c r="I1575" s="324">
        <f t="shared" si="1969"/>
        <v>160</v>
      </c>
      <c r="J1575" s="348" t="str">
        <f>IFERROR(G1575/#REF!,"-")</f>
        <v>-</v>
      </c>
      <c r="K1575" s="323">
        <f t="shared" ref="K1575:M1575" si="1970">SUM(K1571:K1574)</f>
        <v>37728</v>
      </c>
      <c r="L1575" s="324">
        <f t="shared" si="1970"/>
        <v>36457</v>
      </c>
      <c r="M1575" s="325">
        <f t="shared" si="1970"/>
        <v>1271</v>
      </c>
      <c r="N1575" s="342">
        <f>IFERROR(K1575/E1575,"-")</f>
        <v>0.58620261031696708</v>
      </c>
      <c r="O1575" s="348">
        <f t="shared" si="1958"/>
        <v>3.3688507209499577E-2</v>
      </c>
    </row>
    <row r="1576" spans="1:15" ht="23.4" x14ac:dyDescent="0.3">
      <c r="A1576" s="277" t="s">
        <v>109</v>
      </c>
      <c r="B1576" s="970" t="s">
        <v>483</v>
      </c>
      <c r="C1576" s="317" t="s">
        <v>123</v>
      </c>
      <c r="D1576" s="317"/>
      <c r="E1576" s="273">
        <v>39800</v>
      </c>
      <c r="F1576" s="274"/>
      <c r="G1576" s="335">
        <f t="shared" ref="G1576:G1577" si="1971">+H1576+I1576</f>
        <v>0</v>
      </c>
      <c r="H1576" s="275"/>
      <c r="I1576" s="275"/>
      <c r="J1576" s="354" t="str">
        <f>IFERROR(G1576/#REF!,"-")</f>
        <v>-</v>
      </c>
      <c r="K1576" s="335">
        <f t="shared" ref="K1576:K1577" si="1972">+L1576+M1576</f>
        <v>144</v>
      </c>
      <c r="L1576" s="275">
        <f t="shared" ref="L1576:M1576" si="1973">+H1576+L1469</f>
        <v>144</v>
      </c>
      <c r="M1576" s="276">
        <f t="shared" si="1973"/>
        <v>0</v>
      </c>
      <c r="N1576" s="339">
        <f t="shared" ref="N1576:N1592" si="1974">IFERROR(K1576/E1576,"-")</f>
        <v>3.6180904522613066E-3</v>
      </c>
      <c r="O1576" s="349">
        <f t="shared" si="1958"/>
        <v>0</v>
      </c>
    </row>
    <row r="1577" spans="1:15" ht="24" thickBot="1" x14ac:dyDescent="0.35">
      <c r="A1577" s="277" t="s">
        <v>109</v>
      </c>
      <c r="B1577" s="971"/>
      <c r="C1577" s="289" t="s">
        <v>139</v>
      </c>
      <c r="D1577" s="289"/>
      <c r="E1577" s="283">
        <v>0</v>
      </c>
      <c r="F1577" s="284"/>
      <c r="G1577" s="337">
        <f t="shared" si="1971"/>
        <v>0</v>
      </c>
      <c r="H1577" s="285"/>
      <c r="I1577" s="285"/>
      <c r="J1577" s="356" t="str">
        <f>IFERROR(G1577/#REF!,"-")</f>
        <v>-</v>
      </c>
      <c r="K1577" s="337">
        <f t="shared" si="1972"/>
        <v>240</v>
      </c>
      <c r="L1577" s="275">
        <f t="shared" ref="L1577:M1577" si="1975">+H1577+L1470</f>
        <v>240</v>
      </c>
      <c r="M1577" s="276">
        <f t="shared" si="1975"/>
        <v>0</v>
      </c>
      <c r="N1577" s="341" t="str">
        <f t="shared" si="1974"/>
        <v>-</v>
      </c>
      <c r="O1577" s="350">
        <f t="shared" si="1958"/>
        <v>0</v>
      </c>
    </row>
    <row r="1578" spans="1:15" ht="24" thickBot="1" x14ac:dyDescent="0.35">
      <c r="A1578" s="878" t="s">
        <v>109</v>
      </c>
      <c r="B1578" s="967" t="s">
        <v>40</v>
      </c>
      <c r="C1578" s="968"/>
      <c r="D1578" s="969"/>
      <c r="E1578" s="287">
        <f>SUM(E1576:E1577)</f>
        <v>39800</v>
      </c>
      <c r="F1578" s="288">
        <v>2800</v>
      </c>
      <c r="G1578" s="323">
        <f>SUM(G1576:G1577)</f>
        <v>0</v>
      </c>
      <c r="H1578" s="324">
        <f t="shared" ref="H1578:I1578" si="1976">SUM(H1576:H1577)</f>
        <v>0</v>
      </c>
      <c r="I1578" s="324">
        <f t="shared" si="1976"/>
        <v>0</v>
      </c>
      <c r="J1578" s="348" t="str">
        <f>IFERROR(G1578/#REF!,"-")</f>
        <v>-</v>
      </c>
      <c r="K1578" s="323">
        <f t="shared" ref="K1578:M1578" si="1977">SUM(K1576:K1577)</f>
        <v>384</v>
      </c>
      <c r="L1578" s="324">
        <f t="shared" si="1977"/>
        <v>384</v>
      </c>
      <c r="M1578" s="325">
        <f t="shared" si="1977"/>
        <v>0</v>
      </c>
      <c r="N1578" s="342">
        <f t="shared" si="1974"/>
        <v>9.6482412060301514E-3</v>
      </c>
      <c r="O1578" s="348">
        <f t="shared" si="1958"/>
        <v>0</v>
      </c>
    </row>
    <row r="1579" spans="1:15" ht="23.4" x14ac:dyDescent="0.3">
      <c r="A1579" s="277" t="s">
        <v>109</v>
      </c>
      <c r="B1579" s="970" t="s">
        <v>484</v>
      </c>
      <c r="C1579" s="272" t="s">
        <v>335</v>
      </c>
      <c r="D1579" s="272"/>
      <c r="E1579" s="273">
        <v>916640</v>
      </c>
      <c r="F1579" s="318"/>
      <c r="G1579" s="335">
        <f t="shared" ref="G1579:G1583" si="1978">+H1579+I1579</f>
        <v>28561</v>
      </c>
      <c r="H1579" s="275">
        <v>28356</v>
      </c>
      <c r="I1579" s="275">
        <v>205</v>
      </c>
      <c r="J1579" s="374" t="str">
        <f>IFERROR(G1579/#REF!,"-")</f>
        <v>-</v>
      </c>
      <c r="K1579" s="335">
        <f t="shared" ref="K1579:K1583" si="1979">+L1579+M1579</f>
        <v>371464</v>
      </c>
      <c r="L1579" s="275">
        <f t="shared" ref="L1579:M1579" si="1980">+H1579+L1472</f>
        <v>366792</v>
      </c>
      <c r="M1579" s="275">
        <f t="shared" si="1980"/>
        <v>4672</v>
      </c>
      <c r="N1579" s="362">
        <f t="shared" si="1974"/>
        <v>0.40524524349799268</v>
      </c>
      <c r="O1579" s="363">
        <f t="shared" si="1958"/>
        <v>1.2577261861176319E-2</v>
      </c>
    </row>
    <row r="1580" spans="1:15" ht="23.4" x14ac:dyDescent="0.3">
      <c r="A1580" s="277" t="s">
        <v>109</v>
      </c>
      <c r="B1580" s="972"/>
      <c r="C1580" s="272" t="s">
        <v>336</v>
      </c>
      <c r="D1580" s="278"/>
      <c r="E1580" s="279">
        <v>0</v>
      </c>
      <c r="F1580" s="319"/>
      <c r="G1580" s="336">
        <f t="shared" si="1978"/>
        <v>0</v>
      </c>
      <c r="H1580" s="281"/>
      <c r="I1580" s="281"/>
      <c r="J1580" s="375" t="str">
        <f>IFERROR(G1580/#REF!,"-")</f>
        <v>-</v>
      </c>
      <c r="K1580" s="336">
        <f t="shared" si="1979"/>
        <v>0</v>
      </c>
      <c r="L1580" s="275">
        <f t="shared" ref="L1580:M1580" si="1981">+H1580+L1473</f>
        <v>0</v>
      </c>
      <c r="M1580" s="276">
        <f t="shared" si="1981"/>
        <v>0</v>
      </c>
      <c r="N1580" s="364" t="str">
        <f t="shared" si="1974"/>
        <v>-</v>
      </c>
      <c r="O1580" s="365" t="str">
        <f t="shared" si="1958"/>
        <v>-</v>
      </c>
    </row>
    <row r="1581" spans="1:15" ht="23.4" x14ac:dyDescent="0.3">
      <c r="A1581" s="277" t="s">
        <v>109</v>
      </c>
      <c r="B1581" s="972"/>
      <c r="C1581" s="278" t="s">
        <v>383</v>
      </c>
      <c r="D1581" s="278"/>
      <c r="E1581" s="279">
        <v>40000</v>
      </c>
      <c r="F1581" s="319"/>
      <c r="G1581" s="336">
        <f t="shared" si="1978"/>
        <v>0</v>
      </c>
      <c r="H1581" s="281"/>
      <c r="I1581" s="281"/>
      <c r="J1581" s="375" t="str">
        <f>IFERROR(G1581/#REF!,"-")</f>
        <v>-</v>
      </c>
      <c r="K1581" s="336">
        <f t="shared" si="1979"/>
        <v>0</v>
      </c>
      <c r="L1581" s="275">
        <f t="shared" ref="L1581:M1581" si="1982">+H1581+L1474</f>
        <v>0</v>
      </c>
      <c r="M1581" s="276">
        <f t="shared" si="1982"/>
        <v>0</v>
      </c>
      <c r="N1581" s="364">
        <f t="shared" si="1974"/>
        <v>0</v>
      </c>
      <c r="O1581" s="365" t="str">
        <f t="shared" si="1958"/>
        <v>-</v>
      </c>
    </row>
    <row r="1582" spans="1:15" ht="23.4" x14ac:dyDescent="0.3">
      <c r="A1582" s="277" t="s">
        <v>109</v>
      </c>
      <c r="B1582" s="972"/>
      <c r="C1582" s="278" t="s">
        <v>165</v>
      </c>
      <c r="D1582" s="278"/>
      <c r="E1582" s="279">
        <v>0</v>
      </c>
      <c r="F1582" s="319"/>
      <c r="G1582" s="336">
        <f t="shared" si="1978"/>
        <v>0</v>
      </c>
      <c r="H1582" s="281"/>
      <c r="I1582" s="281"/>
      <c r="J1582" s="375" t="str">
        <f>IFERROR(G1582/#REF!,"-")</f>
        <v>-</v>
      </c>
      <c r="K1582" s="336">
        <f t="shared" si="1979"/>
        <v>0</v>
      </c>
      <c r="L1582" s="275">
        <f t="shared" ref="L1582:M1582" si="1983">+H1582+L1475</f>
        <v>0</v>
      </c>
      <c r="M1582" s="276">
        <f t="shared" si="1983"/>
        <v>0</v>
      </c>
      <c r="N1582" s="364" t="str">
        <f t="shared" si="1974"/>
        <v>-</v>
      </c>
      <c r="O1582" s="365" t="str">
        <f t="shared" si="1958"/>
        <v>-</v>
      </c>
    </row>
    <row r="1583" spans="1:15" ht="24" thickBot="1" x14ac:dyDescent="0.35">
      <c r="A1583" s="277" t="s">
        <v>109</v>
      </c>
      <c r="B1583" s="971"/>
      <c r="C1583" s="282" t="s">
        <v>166</v>
      </c>
      <c r="D1583" s="282"/>
      <c r="E1583" s="283">
        <v>0</v>
      </c>
      <c r="F1583" s="320"/>
      <c r="G1583" s="337">
        <f t="shared" si="1978"/>
        <v>0</v>
      </c>
      <c r="H1583" s="285"/>
      <c r="I1583" s="285"/>
      <c r="J1583" s="376" t="str">
        <f>IFERROR(G1583/#REF!,"-")</f>
        <v>-</v>
      </c>
      <c r="K1583" s="337">
        <f t="shared" si="1979"/>
        <v>0</v>
      </c>
      <c r="L1583" s="275">
        <f t="shared" ref="L1583:M1583" si="1984">+H1583+L1476</f>
        <v>0</v>
      </c>
      <c r="M1583" s="276">
        <f t="shared" si="1984"/>
        <v>0</v>
      </c>
      <c r="N1583" s="366" t="str">
        <f t="shared" si="1974"/>
        <v>-</v>
      </c>
      <c r="O1583" s="367" t="str">
        <f t="shared" si="1958"/>
        <v>-</v>
      </c>
    </row>
    <row r="1584" spans="1:15" ht="24" thickBot="1" x14ac:dyDescent="0.35">
      <c r="A1584" s="277" t="s">
        <v>109</v>
      </c>
      <c r="B1584" s="967" t="s">
        <v>42</v>
      </c>
      <c r="C1584" s="968"/>
      <c r="D1584" s="969"/>
      <c r="E1584" s="323">
        <f>SUM(E1579:E1583)</f>
        <v>956640</v>
      </c>
      <c r="F1584" s="288">
        <v>25000</v>
      </c>
      <c r="G1584" s="323">
        <f>SUM(G1579:G1583)</f>
        <v>28561</v>
      </c>
      <c r="H1584" s="324">
        <f>SUM(H1579:H1583)</f>
        <v>28356</v>
      </c>
      <c r="I1584" s="324">
        <f>SUM(I1579:I1583)</f>
        <v>205</v>
      </c>
      <c r="J1584" s="348" t="str">
        <f>IFERROR(G1584/#REF!,"-")</f>
        <v>-</v>
      </c>
      <c r="K1584" s="323">
        <f>SUM(K1579:K1583)</f>
        <v>371464</v>
      </c>
      <c r="L1584" s="324">
        <f>SUM(L1579:L1583)</f>
        <v>366792</v>
      </c>
      <c r="M1584" s="325">
        <f>SUM(M1579:M1583)</f>
        <v>4672</v>
      </c>
      <c r="N1584" s="342">
        <f t="shared" si="1974"/>
        <v>0.38830071918380998</v>
      </c>
      <c r="O1584" s="348">
        <f t="shared" si="1958"/>
        <v>1.2577261861176319E-2</v>
      </c>
    </row>
    <row r="1585" spans="1:15" ht="23.4" x14ac:dyDescent="0.3">
      <c r="A1585" s="277" t="s">
        <v>109</v>
      </c>
      <c r="B1585" s="970" t="s">
        <v>485</v>
      </c>
      <c r="C1585" s="272" t="s">
        <v>200</v>
      </c>
      <c r="D1585" s="272"/>
      <c r="E1585" s="273">
        <v>0</v>
      </c>
      <c r="F1585" s="274"/>
      <c r="G1585" s="335">
        <f t="shared" ref="G1585:G1587" si="1985">+H1585+I1585</f>
        <v>0</v>
      </c>
      <c r="H1585" s="275"/>
      <c r="I1585" s="275"/>
      <c r="J1585" s="354" t="str">
        <f>IFERROR(G1585/#REF!,"-")</f>
        <v>-</v>
      </c>
      <c r="K1585" s="335">
        <f t="shared" ref="K1585:K1587" si="1986">+L1585+M1585</f>
        <v>0</v>
      </c>
      <c r="L1585" s="275">
        <f t="shared" ref="L1585:M1585" si="1987">+H1585+L1478</f>
        <v>0</v>
      </c>
      <c r="M1585" s="276">
        <f t="shared" si="1987"/>
        <v>0</v>
      </c>
      <c r="N1585" s="339" t="str">
        <f t="shared" si="1974"/>
        <v>-</v>
      </c>
      <c r="O1585" s="349" t="str">
        <f t="shared" si="1958"/>
        <v>-</v>
      </c>
    </row>
    <row r="1586" spans="1:15" ht="23.4" x14ac:dyDescent="0.3">
      <c r="A1586" s="277" t="s">
        <v>109</v>
      </c>
      <c r="B1586" s="972"/>
      <c r="C1586" s="278" t="s">
        <v>167</v>
      </c>
      <c r="D1586" s="278"/>
      <c r="E1586" s="279">
        <v>50000</v>
      </c>
      <c r="F1586" s="280"/>
      <c r="G1586" s="336">
        <f t="shared" si="1985"/>
        <v>3010</v>
      </c>
      <c r="H1586" s="281">
        <v>2880</v>
      </c>
      <c r="I1586" s="281">
        <v>130</v>
      </c>
      <c r="J1586" s="375" t="str">
        <f>IFERROR(G1586/#REF!,"-")</f>
        <v>-</v>
      </c>
      <c r="K1586" s="336">
        <f t="shared" si="1986"/>
        <v>173665</v>
      </c>
      <c r="L1586" s="794">
        <f t="shared" ref="L1586:M1586" si="1988">+H1586+L1479</f>
        <v>169296</v>
      </c>
      <c r="M1586" s="276">
        <f t="shared" si="1988"/>
        <v>4369</v>
      </c>
      <c r="N1586" s="364">
        <f t="shared" si="1974"/>
        <v>3.4733000000000001</v>
      </c>
      <c r="O1586" s="365">
        <f t="shared" si="1958"/>
        <v>2.5157631071315464E-2</v>
      </c>
    </row>
    <row r="1587" spans="1:15" ht="24" thickBot="1" x14ac:dyDescent="0.35">
      <c r="A1587" s="277" t="s">
        <v>109</v>
      </c>
      <c r="B1587" s="971"/>
      <c r="C1587" s="282" t="s">
        <v>200</v>
      </c>
      <c r="D1587" s="282"/>
      <c r="E1587" s="283">
        <v>0</v>
      </c>
      <c r="F1587" s="284"/>
      <c r="G1587" s="337">
        <f t="shared" si="1985"/>
        <v>0</v>
      </c>
      <c r="H1587" s="285"/>
      <c r="I1587" s="285"/>
      <c r="J1587" s="376" t="str">
        <f>IFERROR(G1587/#REF!,"-")</f>
        <v>-</v>
      </c>
      <c r="K1587" s="337">
        <f t="shared" si="1986"/>
        <v>0</v>
      </c>
      <c r="L1587" s="275">
        <f t="shared" ref="L1587:M1587" si="1989">+H1587+L1480</f>
        <v>0</v>
      </c>
      <c r="M1587" s="276">
        <f t="shared" si="1989"/>
        <v>0</v>
      </c>
      <c r="N1587" s="366" t="str">
        <f t="shared" si="1974"/>
        <v>-</v>
      </c>
      <c r="O1587" s="367" t="str">
        <f t="shared" si="1958"/>
        <v>-</v>
      </c>
    </row>
    <row r="1588" spans="1:15" ht="24" thickBot="1" x14ac:dyDescent="0.35">
      <c r="A1588" s="277" t="s">
        <v>109</v>
      </c>
      <c r="B1588" s="973" t="s">
        <v>44</v>
      </c>
      <c r="C1588" s="974"/>
      <c r="D1588" s="975"/>
      <c r="E1588" s="323">
        <f>SUM(E1585:E1587)</f>
        <v>50000</v>
      </c>
      <c r="F1588" s="288"/>
      <c r="G1588" s="323">
        <f>SUM(G1585:G1587)</f>
        <v>3010</v>
      </c>
      <c r="H1588" s="324">
        <f t="shared" ref="H1588:I1588" si="1990">SUM(H1585:H1587)</f>
        <v>2880</v>
      </c>
      <c r="I1588" s="324">
        <f t="shared" si="1990"/>
        <v>130</v>
      </c>
      <c r="J1588" s="348" t="str">
        <f>IFERROR(G1588/#REF!,"-")</f>
        <v>-</v>
      </c>
      <c r="K1588" s="323">
        <f t="shared" ref="K1588:M1588" si="1991">SUM(K1585:K1587)</f>
        <v>173665</v>
      </c>
      <c r="L1588" s="368">
        <f t="shared" si="1991"/>
        <v>169296</v>
      </c>
      <c r="M1588" s="370">
        <f t="shared" si="1991"/>
        <v>4369</v>
      </c>
      <c r="N1588" s="342">
        <f t="shared" si="1974"/>
        <v>3.4733000000000001</v>
      </c>
      <c r="O1588" s="348">
        <f t="shared" si="1958"/>
        <v>2.5157631071315464E-2</v>
      </c>
    </row>
    <row r="1589" spans="1:15" ht="23.4" x14ac:dyDescent="0.3">
      <c r="A1589" s="277" t="s">
        <v>109</v>
      </c>
      <c r="B1589" s="970" t="s">
        <v>45</v>
      </c>
      <c r="C1589" s="272" t="s">
        <v>168</v>
      </c>
      <c r="D1589" s="272"/>
      <c r="E1589" s="273">
        <v>0</v>
      </c>
      <c r="F1589" s="274"/>
      <c r="G1589" s="335">
        <f t="shared" ref="G1589:G1590" si="1992">+H1589+I1589</f>
        <v>0</v>
      </c>
      <c r="H1589" s="275"/>
      <c r="I1589" s="275"/>
      <c r="J1589" s="374" t="str">
        <f>IFERROR(G1589/#REF!,"-")</f>
        <v>-</v>
      </c>
      <c r="K1589" s="739">
        <f t="shared" ref="K1589:K1590" si="1993">+L1589+M1589</f>
        <v>0</v>
      </c>
      <c r="L1589" s="532">
        <f t="shared" ref="L1589:M1589" si="1994">+H1589+L1482</f>
        <v>0</v>
      </c>
      <c r="M1589" s="247">
        <f t="shared" si="1994"/>
        <v>0</v>
      </c>
      <c r="N1589" s="362" t="str">
        <f t="shared" si="1974"/>
        <v>-</v>
      </c>
      <c r="O1589" s="363" t="str">
        <f t="shared" si="1958"/>
        <v>-</v>
      </c>
    </row>
    <row r="1590" spans="1:15" ht="24" thickBot="1" x14ac:dyDescent="0.35">
      <c r="A1590" s="277" t="s">
        <v>109</v>
      </c>
      <c r="B1590" s="971"/>
      <c r="C1590" s="282" t="s">
        <v>169</v>
      </c>
      <c r="D1590" s="282"/>
      <c r="E1590" s="283">
        <v>0</v>
      </c>
      <c r="F1590" s="284"/>
      <c r="G1590" s="337">
        <f t="shared" si="1992"/>
        <v>0</v>
      </c>
      <c r="H1590" s="285"/>
      <c r="I1590" s="285"/>
      <c r="J1590" s="376" t="str">
        <f>IFERROR(G1590/#REF!,"-")</f>
        <v>-</v>
      </c>
      <c r="K1590" s="740">
        <f t="shared" si="1993"/>
        <v>0</v>
      </c>
      <c r="L1590" s="535">
        <f t="shared" ref="L1590:M1590" si="1995">+H1590+L1483</f>
        <v>0</v>
      </c>
      <c r="M1590" s="258">
        <f t="shared" si="1995"/>
        <v>0</v>
      </c>
      <c r="N1590" s="366" t="str">
        <f t="shared" si="1974"/>
        <v>-</v>
      </c>
      <c r="O1590" s="367" t="str">
        <f t="shared" si="1958"/>
        <v>-</v>
      </c>
    </row>
    <row r="1591" spans="1:15" ht="24" thickBot="1" x14ac:dyDescent="0.35">
      <c r="A1591" s="277" t="s">
        <v>109</v>
      </c>
      <c r="B1591" s="973" t="s">
        <v>46</v>
      </c>
      <c r="C1591" s="974"/>
      <c r="D1591" s="975"/>
      <c r="E1591" s="287">
        <v>0</v>
      </c>
      <c r="F1591" s="288">
        <v>25000</v>
      </c>
      <c r="G1591" s="323">
        <f>SUM(G1589:G1590)</f>
        <v>0</v>
      </c>
      <c r="H1591" s="324">
        <f t="shared" ref="H1591:I1591" si="1996">SUM(H1589:H1590)</f>
        <v>0</v>
      </c>
      <c r="I1591" s="324">
        <f t="shared" si="1996"/>
        <v>0</v>
      </c>
      <c r="J1591" s="348" t="str">
        <f>IFERROR(G1591/#REF!,"-")</f>
        <v>-</v>
      </c>
      <c r="K1591" s="323">
        <f t="shared" ref="K1591:M1591" si="1997">SUM(K1589:K1590)</f>
        <v>0</v>
      </c>
      <c r="L1591" s="524">
        <f t="shared" si="1997"/>
        <v>0</v>
      </c>
      <c r="M1591" s="733">
        <f t="shared" si="1997"/>
        <v>0</v>
      </c>
      <c r="N1591" s="342" t="str">
        <f t="shared" si="1974"/>
        <v>-</v>
      </c>
      <c r="O1591" s="348" t="str">
        <f t="shared" si="1958"/>
        <v>-</v>
      </c>
    </row>
    <row r="1592" spans="1:15" ht="24" thickBot="1" x14ac:dyDescent="0.35">
      <c r="A1592" s="277" t="s">
        <v>109</v>
      </c>
      <c r="B1592" s="959" t="s">
        <v>25</v>
      </c>
      <c r="C1592" s="960"/>
      <c r="D1592" s="961"/>
      <c r="E1592" s="329">
        <f t="shared" ref="E1592:F1592" si="1998">+E1570+E1575+E1578+E1584+E1588+E1591</f>
        <v>1144800</v>
      </c>
      <c r="F1592" s="330">
        <f t="shared" si="1998"/>
        <v>65800</v>
      </c>
      <c r="G1592" s="329">
        <f>+G1570+G1575+G1578+G1584+G1588+G1591</f>
        <v>37771</v>
      </c>
      <c r="H1592" s="327">
        <f>+H1570+H1575+H1578+H1584+H1588+H1591</f>
        <v>36996</v>
      </c>
      <c r="I1592" s="327">
        <f t="shared" ref="I1592" si="1999">+I1570+I1575+I1578+I1584+I1588+I1591</f>
        <v>775</v>
      </c>
      <c r="J1592" s="352" t="str">
        <f>IFERROR(G1592/#REF!,"-")</f>
        <v>-</v>
      </c>
      <c r="K1592" s="329">
        <f>+K1570+K1575+K1578+K1584+K1588+K1591</f>
        <v>602183</v>
      </c>
      <c r="L1592" s="327">
        <f t="shared" ref="L1592:M1592" si="2000">+L1570+L1575+L1578+L1584+L1588+L1591</f>
        <v>591169</v>
      </c>
      <c r="M1592" s="328">
        <f t="shared" si="2000"/>
        <v>11014</v>
      </c>
      <c r="N1592" s="344">
        <f t="shared" si="1974"/>
        <v>0.52601589797344517</v>
      </c>
      <c r="O1592" s="352">
        <f t="shared" si="1958"/>
        <v>1.8290121109363764E-2</v>
      </c>
    </row>
    <row r="1593" spans="1:15" ht="24" thickBot="1" x14ac:dyDescent="0.35">
      <c r="A1593" s="321" t="s">
        <v>109</v>
      </c>
      <c r="B1593" s="962" t="s">
        <v>181</v>
      </c>
      <c r="C1593" s="962"/>
      <c r="D1593" s="963"/>
      <c r="E1593" s="333">
        <f>+E1592</f>
        <v>1144800</v>
      </c>
      <c r="F1593" s="334">
        <f t="shared" ref="F1593:O1593" si="2001">+F1592</f>
        <v>65800</v>
      </c>
      <c r="G1593" s="333">
        <f t="shared" si="2001"/>
        <v>37771</v>
      </c>
      <c r="H1593" s="331">
        <f t="shared" si="2001"/>
        <v>36996</v>
      </c>
      <c r="I1593" s="331">
        <f t="shared" si="2001"/>
        <v>775</v>
      </c>
      <c r="J1593" s="353" t="str">
        <f t="shared" si="2001"/>
        <v>-</v>
      </c>
      <c r="K1593" s="333">
        <f t="shared" si="2001"/>
        <v>602183</v>
      </c>
      <c r="L1593" s="331">
        <f t="shared" si="2001"/>
        <v>591169</v>
      </c>
      <c r="M1593" s="332">
        <f t="shared" si="2001"/>
        <v>11014</v>
      </c>
      <c r="N1593" s="345">
        <f t="shared" si="2001"/>
        <v>0.52601589797344517</v>
      </c>
      <c r="O1593" s="353">
        <f t="shared" si="2001"/>
        <v>1.8290121109363764E-2</v>
      </c>
    </row>
    <row r="1594" spans="1:15" ht="24.6" thickBot="1" x14ac:dyDescent="0.35">
      <c r="A1594" s="322"/>
      <c r="B1594" s="964" t="s">
        <v>182</v>
      </c>
      <c r="C1594" s="965"/>
      <c r="D1594" s="966"/>
      <c r="E1594" s="377">
        <f>+E1536+E1566+E1593</f>
        <v>10258981</v>
      </c>
      <c r="F1594" s="377">
        <f>+F1536+F1566+F1593</f>
        <v>1014800</v>
      </c>
      <c r="G1594" s="377">
        <f>+G1536+G1566+G1593</f>
        <v>376239</v>
      </c>
      <c r="H1594" s="377">
        <f>+H1536+H1566+H1593</f>
        <v>372830</v>
      </c>
      <c r="I1594" s="377">
        <f>+I1536+I1566+I1593</f>
        <v>3409</v>
      </c>
      <c r="J1594" s="378" t="str">
        <f>IFERROR(G1594/#REF!,"-")</f>
        <v>-</v>
      </c>
      <c r="K1594" s="377">
        <f>+K1536+K1566+K1593</f>
        <v>5924165</v>
      </c>
      <c r="L1594" s="377">
        <f>+L1536+L1566+L1593</f>
        <v>5852614</v>
      </c>
      <c r="M1594" s="377">
        <f>+M1536+M1566+M1593</f>
        <v>71551</v>
      </c>
      <c r="N1594" s="378">
        <f>IFERROR(K1594/E1594,"-")</f>
        <v>0.5774613482567128</v>
      </c>
      <c r="O1594" s="378">
        <f>IFERROR(M1594/K1594,"-")</f>
        <v>1.2077820249773597E-2</v>
      </c>
    </row>
    <row r="1595" spans="1:15" ht="23.4" x14ac:dyDescent="0.3">
      <c r="A1595" s="991" t="s">
        <v>1</v>
      </c>
      <c r="B1595" s="994" t="s">
        <v>2</v>
      </c>
      <c r="C1595" s="997" t="s">
        <v>477</v>
      </c>
      <c r="D1595" s="997" t="s">
        <v>478</v>
      </c>
      <c r="E1595" s="1000" t="s">
        <v>4</v>
      </c>
      <c r="F1595" s="1001"/>
      <c r="G1595" s="1001"/>
      <c r="H1595" s="1001"/>
      <c r="I1595" s="1001"/>
      <c r="J1595" s="1001"/>
      <c r="K1595" s="1001"/>
      <c r="L1595" s="1001"/>
      <c r="M1595" s="1001"/>
      <c r="N1595" s="1001"/>
      <c r="O1595" s="1002"/>
    </row>
    <row r="1596" spans="1:15" ht="23.4" x14ac:dyDescent="0.3">
      <c r="A1596" s="992"/>
      <c r="B1596" s="995"/>
      <c r="C1596" s="998"/>
      <c r="D1596" s="998"/>
      <c r="E1596" s="1003" t="s">
        <v>7</v>
      </c>
      <c r="F1596" s="1005" t="s">
        <v>115</v>
      </c>
      <c r="G1596" s="1007" t="s">
        <v>557</v>
      </c>
      <c r="H1596" s="1008"/>
      <c r="I1596" s="1008"/>
      <c r="J1596" s="1009"/>
      <c r="K1596" s="1010" t="s">
        <v>479</v>
      </c>
      <c r="L1596" s="1011"/>
      <c r="M1596" s="1012"/>
      <c r="N1596" s="1013" t="s">
        <v>480</v>
      </c>
      <c r="O1596" s="1015" t="s">
        <v>172</v>
      </c>
    </row>
    <row r="1597" spans="1:15" ht="41.4" thickBot="1" x14ac:dyDescent="0.35">
      <c r="A1597" s="993"/>
      <c r="B1597" s="996"/>
      <c r="C1597" s="999"/>
      <c r="D1597" s="999"/>
      <c r="E1597" s="1004"/>
      <c r="F1597" s="1006"/>
      <c r="G1597" s="455" t="s">
        <v>13</v>
      </c>
      <c r="H1597" s="456" t="s">
        <v>14</v>
      </c>
      <c r="I1597" s="456" t="s">
        <v>15</v>
      </c>
      <c r="J1597" s="457" t="s">
        <v>174</v>
      </c>
      <c r="K1597" s="712" t="s">
        <v>13</v>
      </c>
      <c r="L1597" s="710" t="s">
        <v>14</v>
      </c>
      <c r="M1597" s="711" t="s">
        <v>15</v>
      </c>
      <c r="N1597" s="1014"/>
      <c r="O1597" s="1016"/>
    </row>
    <row r="1598" spans="1:15" ht="24" thickBot="1" x14ac:dyDescent="0.35">
      <c r="A1598" s="271" t="s">
        <v>110</v>
      </c>
      <c r="B1598" s="956" t="s">
        <v>16</v>
      </c>
      <c r="C1598" s="272" t="s">
        <v>424</v>
      </c>
      <c r="D1598" s="272" t="s">
        <v>425</v>
      </c>
      <c r="E1598" s="273">
        <v>20000</v>
      </c>
      <c r="F1598" s="274"/>
      <c r="G1598" s="335">
        <f>+H1598+I1598</f>
        <v>0</v>
      </c>
      <c r="H1598" s="275"/>
      <c r="I1598" s="275"/>
      <c r="J1598" s="354"/>
      <c r="K1598" s="461">
        <f>+L1598+M1598</f>
        <v>20432</v>
      </c>
      <c r="L1598" s="732">
        <f>+H1598+L1491</f>
        <v>19840</v>
      </c>
      <c r="M1598" s="732">
        <f>+I1598+M1491</f>
        <v>592</v>
      </c>
      <c r="N1598" s="339">
        <f>IFERROR(K1598/E1598,"-")</f>
        <v>1.0216000000000001</v>
      </c>
      <c r="O1598" s="346">
        <f t="shared" ref="O1598:O1599" si="2002">IFERROR(M1598/K1598,"-")</f>
        <v>2.8974158183241974E-2</v>
      </c>
    </row>
    <row r="1599" spans="1:15" ht="23.4" x14ac:dyDescent="0.3">
      <c r="A1599" s="277" t="s">
        <v>110</v>
      </c>
      <c r="B1599" s="957"/>
      <c r="C1599" s="278" t="s">
        <v>438</v>
      </c>
      <c r="D1599" s="278" t="s">
        <v>437</v>
      </c>
      <c r="E1599" s="279">
        <v>50000</v>
      </c>
      <c r="F1599" s="280"/>
      <c r="G1599" s="336">
        <f t="shared" ref="G1599:G1601" si="2003">+H1599+I1599</f>
        <v>0</v>
      </c>
      <c r="H1599" s="281"/>
      <c r="I1599" s="281"/>
      <c r="J1599" s="355" t="str">
        <f>IFERROR(G1599/#REF!,"-")</f>
        <v>-</v>
      </c>
      <c r="K1599" s="734">
        <f t="shared" ref="K1599:K1601" si="2004">+L1599+M1599</f>
        <v>48806</v>
      </c>
      <c r="L1599" s="532">
        <f t="shared" ref="L1599:L1601" si="2005">+H1599+L1492</f>
        <v>48381</v>
      </c>
      <c r="M1599" s="463">
        <f t="shared" ref="M1599:M1601" si="2006">+I1599+M1492</f>
        <v>425</v>
      </c>
      <c r="N1599" s="340">
        <f t="shared" ref="N1599:N1601" si="2007">IFERROR(K1599/E1599,"-")</f>
        <v>0.97611999999999999</v>
      </c>
      <c r="O1599" s="268">
        <f t="shared" si="2002"/>
        <v>8.7079457443756912E-3</v>
      </c>
    </row>
    <row r="1600" spans="1:15" s="862" customFormat="1" ht="23.4" x14ac:dyDescent="0.3">
      <c r="A1600" s="277" t="s">
        <v>110</v>
      </c>
      <c r="B1600" s="957"/>
      <c r="C1600" s="580" t="s">
        <v>540</v>
      </c>
      <c r="D1600" s="580" t="s">
        <v>410</v>
      </c>
      <c r="E1600" s="859">
        <v>0</v>
      </c>
      <c r="F1600" s="860"/>
      <c r="G1600" s="336">
        <f t="shared" si="2003"/>
        <v>0</v>
      </c>
      <c r="H1600" s="861"/>
      <c r="I1600" s="861"/>
      <c r="J1600" s="355" t="str">
        <f>IFERROR(G1600/#REF!,"-")</f>
        <v>-</v>
      </c>
      <c r="K1600" s="734">
        <f t="shared" si="2004"/>
        <v>28600</v>
      </c>
      <c r="L1600" s="859">
        <f t="shared" si="2005"/>
        <v>28600</v>
      </c>
      <c r="M1600" s="534">
        <f t="shared" si="2006"/>
        <v>0</v>
      </c>
      <c r="N1600" s="340" t="str">
        <f t="shared" si="2007"/>
        <v>-</v>
      </c>
      <c r="O1600" s="268">
        <f>IFERROR(M1600/K1600,"-")</f>
        <v>0</v>
      </c>
    </row>
    <row r="1601" spans="1:15" ht="24" thickBot="1" x14ac:dyDescent="0.35">
      <c r="A1601" s="277" t="s">
        <v>110</v>
      </c>
      <c r="B1601" s="958"/>
      <c r="C1601" s="282" t="s">
        <v>525</v>
      </c>
      <c r="D1601" s="282" t="s">
        <v>436</v>
      </c>
      <c r="E1601" s="283">
        <v>30000</v>
      </c>
      <c r="F1601" s="284"/>
      <c r="G1601" s="337">
        <f t="shared" si="2003"/>
        <v>0</v>
      </c>
      <c r="H1601" s="275"/>
      <c r="I1601" s="275"/>
      <c r="J1601" s="356" t="str">
        <f>IFERROR(G1601/#REF!,"-")</f>
        <v>-</v>
      </c>
      <c r="K1601" s="735">
        <f t="shared" si="2004"/>
        <v>25135</v>
      </c>
      <c r="L1601" s="535">
        <f t="shared" si="2005"/>
        <v>23296</v>
      </c>
      <c r="M1601" s="466">
        <f t="shared" si="2006"/>
        <v>1839</v>
      </c>
      <c r="N1601" s="341">
        <f t="shared" si="2007"/>
        <v>0.83783333333333332</v>
      </c>
      <c r="O1601" s="347">
        <f t="shared" ref="O1601:O1619" si="2008">IFERROR(M1601/K1601,"-")</f>
        <v>7.3164909488760699E-2</v>
      </c>
    </row>
    <row r="1602" spans="1:15" ht="24" thickBot="1" x14ac:dyDescent="0.35">
      <c r="A1602" s="277" t="s">
        <v>110</v>
      </c>
      <c r="B1602" s="967" t="s">
        <v>47</v>
      </c>
      <c r="C1602" s="968"/>
      <c r="D1602" s="969"/>
      <c r="E1602" s="323">
        <f>SUM(E1598:E1601)</f>
        <v>100000</v>
      </c>
      <c r="F1602" s="288">
        <v>15000</v>
      </c>
      <c r="G1602" s="323">
        <f>SUM(G1598:G1601)</f>
        <v>0</v>
      </c>
      <c r="H1602" s="324">
        <f t="shared" ref="H1602:I1602" si="2009">SUM(H1598:H1601)</f>
        <v>0</v>
      </c>
      <c r="I1602" s="324">
        <f t="shared" si="2009"/>
        <v>0</v>
      </c>
      <c r="J1602" s="348">
        <f>+G1602/F1602</f>
        <v>0</v>
      </c>
      <c r="K1602" s="323">
        <f t="shared" ref="K1602:M1602" si="2010">SUM(K1598:K1601)</f>
        <v>122973</v>
      </c>
      <c r="L1602" s="736">
        <f t="shared" si="2010"/>
        <v>120117</v>
      </c>
      <c r="M1602" s="737">
        <f t="shared" si="2010"/>
        <v>2856</v>
      </c>
      <c r="N1602" s="342">
        <f>IFERROR(K1602/E1602,"-")</f>
        <v>1.22973</v>
      </c>
      <c r="O1602" s="348">
        <f t="shared" si="2008"/>
        <v>2.3224610280305431E-2</v>
      </c>
    </row>
    <row r="1603" spans="1:15" ht="23.4" x14ac:dyDescent="0.3">
      <c r="A1603" s="277" t="s">
        <v>110</v>
      </c>
      <c r="B1603" s="956" t="s">
        <v>17</v>
      </c>
      <c r="C1603" s="272" t="s">
        <v>320</v>
      </c>
      <c r="D1603" s="272"/>
      <c r="E1603" s="273">
        <v>0</v>
      </c>
      <c r="F1603" s="274"/>
      <c r="G1603" s="335">
        <f t="shared" ref="G1603:G1609" si="2011">+H1603+I1603</f>
        <v>0</v>
      </c>
      <c r="H1603" s="275"/>
      <c r="I1603" s="275"/>
      <c r="J1603" s="354" t="str">
        <f>IFERROR(G1603/#REF!,"-")</f>
        <v>-</v>
      </c>
      <c r="K1603" s="738">
        <f t="shared" ref="K1603:K1609" si="2012">+L1603+M1603</f>
        <v>196646</v>
      </c>
      <c r="L1603" s="532">
        <f t="shared" ref="L1603:L1609" si="2013">+H1603+L1496</f>
        <v>195840</v>
      </c>
      <c r="M1603" s="463">
        <f t="shared" ref="M1603:M1609" si="2014">+I1603+M1496</f>
        <v>806</v>
      </c>
      <c r="N1603" s="339" t="str">
        <f t="shared" ref="N1603:N1609" si="2015">IFERROR(K1603/E1603,"-")</f>
        <v>-</v>
      </c>
      <c r="O1603" s="349">
        <f t="shared" si="2008"/>
        <v>4.0987357993551863E-3</v>
      </c>
    </row>
    <row r="1604" spans="1:15" ht="23.4" x14ac:dyDescent="0.3">
      <c r="A1604" s="277" t="s">
        <v>110</v>
      </c>
      <c r="B1604" s="957"/>
      <c r="C1604" s="278" t="s">
        <v>382</v>
      </c>
      <c r="D1604" s="278" t="s">
        <v>252</v>
      </c>
      <c r="E1604" s="279">
        <v>2000000</v>
      </c>
      <c r="F1604" s="280"/>
      <c r="G1604" s="336">
        <f t="shared" si="2011"/>
        <v>67555</v>
      </c>
      <c r="H1604" s="281">
        <v>67320</v>
      </c>
      <c r="I1604" s="281">
        <v>235</v>
      </c>
      <c r="J1604" s="355" t="str">
        <f>IFERROR(G1604/#REF!,"-")</f>
        <v>-</v>
      </c>
      <c r="K1604" s="734">
        <f t="shared" si="2012"/>
        <v>673767</v>
      </c>
      <c r="L1604" s="279">
        <f t="shared" si="2013"/>
        <v>670063</v>
      </c>
      <c r="M1604" s="439">
        <f t="shared" si="2014"/>
        <v>3704</v>
      </c>
      <c r="N1604" s="340">
        <f t="shared" si="2015"/>
        <v>0.3368835</v>
      </c>
      <c r="O1604" s="264">
        <f t="shared" si="2008"/>
        <v>5.4974494150054837E-3</v>
      </c>
    </row>
    <row r="1605" spans="1:15" ht="23.4" x14ac:dyDescent="0.3">
      <c r="A1605" s="277" t="s">
        <v>110</v>
      </c>
      <c r="B1605" s="957"/>
      <c r="C1605" s="278" t="s">
        <v>422</v>
      </c>
      <c r="D1605" s="278" t="s">
        <v>201</v>
      </c>
      <c r="E1605" s="279">
        <v>1000000</v>
      </c>
      <c r="F1605" s="280"/>
      <c r="G1605" s="336">
        <f t="shared" si="2011"/>
        <v>0</v>
      </c>
      <c r="H1605" s="281"/>
      <c r="I1605" s="281"/>
      <c r="J1605" s="355" t="str">
        <f>IFERROR(G1605/#REF!,"-")</f>
        <v>-</v>
      </c>
      <c r="K1605" s="734">
        <f t="shared" si="2012"/>
        <v>459333</v>
      </c>
      <c r="L1605" s="279">
        <f t="shared" si="2013"/>
        <v>454716</v>
      </c>
      <c r="M1605" s="439">
        <f t="shared" si="2014"/>
        <v>4617</v>
      </c>
      <c r="N1605" s="340">
        <f t="shared" si="2015"/>
        <v>0.45933299999999999</v>
      </c>
      <c r="O1605" s="264">
        <f t="shared" si="2008"/>
        <v>1.0051531242040088E-2</v>
      </c>
    </row>
    <row r="1606" spans="1:15" ht="23.4" x14ac:dyDescent="0.3">
      <c r="A1606" s="277" t="s">
        <v>110</v>
      </c>
      <c r="B1606" s="957"/>
      <c r="C1606" s="278" t="s">
        <v>319</v>
      </c>
      <c r="D1606" s="278" t="s">
        <v>202</v>
      </c>
      <c r="E1606" s="279">
        <v>0</v>
      </c>
      <c r="F1606" s="280"/>
      <c r="G1606" s="336">
        <f t="shared" si="2011"/>
        <v>39350</v>
      </c>
      <c r="H1606" s="281">
        <v>39112</v>
      </c>
      <c r="I1606" s="281">
        <v>238</v>
      </c>
      <c r="J1606" s="355" t="str">
        <f>IFERROR(G1606/#REF!,"-")</f>
        <v>-</v>
      </c>
      <c r="K1606" s="734">
        <f t="shared" si="2012"/>
        <v>297411</v>
      </c>
      <c r="L1606" s="279">
        <f t="shared" si="2013"/>
        <v>296152</v>
      </c>
      <c r="M1606" s="439">
        <f t="shared" si="2014"/>
        <v>1259</v>
      </c>
      <c r="N1606" s="340" t="str">
        <f t="shared" si="2015"/>
        <v>-</v>
      </c>
      <c r="O1606" s="264">
        <f t="shared" si="2008"/>
        <v>4.2331991755516774E-3</v>
      </c>
    </row>
    <row r="1607" spans="1:15" ht="23.4" x14ac:dyDescent="0.3">
      <c r="A1607" s="277" t="s">
        <v>110</v>
      </c>
      <c r="B1607" s="957"/>
      <c r="C1607" s="278" t="s">
        <v>358</v>
      </c>
      <c r="D1607" s="278" t="s">
        <v>352</v>
      </c>
      <c r="E1607" s="279">
        <v>500000</v>
      </c>
      <c r="F1607" s="280"/>
      <c r="G1607" s="336">
        <f t="shared" si="2011"/>
        <v>0</v>
      </c>
      <c r="H1607" s="281"/>
      <c r="I1607" s="281"/>
      <c r="J1607" s="355" t="str">
        <f>IFERROR(G1607/#REF!,"-")</f>
        <v>-</v>
      </c>
      <c r="K1607" s="734">
        <f t="shared" si="2012"/>
        <v>503292</v>
      </c>
      <c r="L1607" s="279">
        <f t="shared" si="2013"/>
        <v>500882</v>
      </c>
      <c r="M1607" s="439">
        <f t="shared" si="2014"/>
        <v>2410</v>
      </c>
      <c r="N1607" s="340">
        <f t="shared" si="2015"/>
        <v>1.0065839999999999</v>
      </c>
      <c r="O1607" s="264">
        <f t="shared" si="2008"/>
        <v>4.7884726957710434E-3</v>
      </c>
    </row>
    <row r="1608" spans="1:15" ht="23.4" x14ac:dyDescent="0.3">
      <c r="A1608" s="277" t="s">
        <v>110</v>
      </c>
      <c r="B1608" s="957"/>
      <c r="C1608" s="278" t="s">
        <v>392</v>
      </c>
      <c r="D1608" s="278" t="s">
        <v>203</v>
      </c>
      <c r="E1608" s="279">
        <v>0</v>
      </c>
      <c r="F1608" s="280"/>
      <c r="G1608" s="336">
        <f t="shared" si="2011"/>
        <v>0</v>
      </c>
      <c r="H1608" s="281"/>
      <c r="I1608" s="281"/>
      <c r="J1608" s="355" t="str">
        <f>IFERROR(G1608/#REF!,"-")</f>
        <v>-</v>
      </c>
      <c r="K1608" s="734">
        <f t="shared" si="2012"/>
        <v>0</v>
      </c>
      <c r="L1608" s="279">
        <f t="shared" si="2013"/>
        <v>0</v>
      </c>
      <c r="M1608" s="439">
        <f t="shared" si="2014"/>
        <v>0</v>
      </c>
      <c r="N1608" s="340" t="str">
        <f t="shared" si="2015"/>
        <v>-</v>
      </c>
      <c r="O1608" s="264" t="str">
        <f t="shared" si="2008"/>
        <v>-</v>
      </c>
    </row>
    <row r="1609" spans="1:15" ht="24" thickBot="1" x14ac:dyDescent="0.35">
      <c r="A1609" s="277" t="s">
        <v>110</v>
      </c>
      <c r="B1609" s="958"/>
      <c r="C1609" s="282" t="s">
        <v>379</v>
      </c>
      <c r="D1609" s="282" t="s">
        <v>252</v>
      </c>
      <c r="E1609" s="283">
        <v>0</v>
      </c>
      <c r="F1609" s="284"/>
      <c r="G1609" s="337">
        <f t="shared" si="2011"/>
        <v>0</v>
      </c>
      <c r="H1609" s="285"/>
      <c r="I1609" s="285"/>
      <c r="J1609" s="356" t="str">
        <f>IFERROR(G1609/#REF!,"-")</f>
        <v>-</v>
      </c>
      <c r="K1609" s="735">
        <f t="shared" si="2012"/>
        <v>0</v>
      </c>
      <c r="L1609" s="535">
        <f t="shared" si="2013"/>
        <v>0</v>
      </c>
      <c r="M1609" s="466">
        <f t="shared" si="2014"/>
        <v>0</v>
      </c>
      <c r="N1609" s="341" t="str">
        <f t="shared" si="2015"/>
        <v>-</v>
      </c>
      <c r="O1609" s="350" t="str">
        <f t="shared" si="2008"/>
        <v>-</v>
      </c>
    </row>
    <row r="1610" spans="1:15" ht="24" thickBot="1" x14ac:dyDescent="0.35">
      <c r="A1610" s="277" t="s">
        <v>110</v>
      </c>
      <c r="B1610" s="967" t="s">
        <v>48</v>
      </c>
      <c r="C1610" s="968"/>
      <c r="D1610" s="969"/>
      <c r="E1610" s="323">
        <f>SUM(E1603:E1609)</f>
        <v>3500000</v>
      </c>
      <c r="F1610" s="288">
        <v>200000</v>
      </c>
      <c r="G1610" s="323">
        <f>SUM(G1603:G1609)</f>
        <v>106905</v>
      </c>
      <c r="H1610" s="324">
        <f t="shared" ref="H1610:I1610" si="2016">SUM(H1603:H1609)</f>
        <v>106432</v>
      </c>
      <c r="I1610" s="324">
        <f t="shared" si="2016"/>
        <v>473</v>
      </c>
      <c r="J1610" s="348">
        <f>+G1610/F1610</f>
        <v>0.53452500000000003</v>
      </c>
      <c r="K1610" s="323">
        <f>SUM(K1603:K1609)</f>
        <v>2130449</v>
      </c>
      <c r="L1610" s="524">
        <f>SUM(L1603:L1609)</f>
        <v>2117653</v>
      </c>
      <c r="M1610" s="733">
        <f t="shared" ref="M1610" si="2017">SUM(M1603:M1609)</f>
        <v>12796</v>
      </c>
      <c r="N1610" s="342">
        <f>IFERROR(K1610/E1610,"-")</f>
        <v>0.60869971428571423</v>
      </c>
      <c r="O1610" s="348">
        <f t="shared" si="2008"/>
        <v>6.0062456317893555E-3</v>
      </c>
    </row>
    <row r="1611" spans="1:15" ht="23.4" x14ac:dyDescent="0.3">
      <c r="A1611" s="277" t="s">
        <v>110</v>
      </c>
      <c r="B1611" s="956" t="s">
        <v>18</v>
      </c>
      <c r="C1611" s="272" t="s">
        <v>344</v>
      </c>
      <c r="D1611" s="272" t="s">
        <v>99</v>
      </c>
      <c r="E1611" s="273">
        <v>0</v>
      </c>
      <c r="F1611" s="274"/>
      <c r="G1611" s="335">
        <f t="shared" ref="G1611:G1617" si="2018">+H1611+I1611</f>
        <v>0</v>
      </c>
      <c r="H1611" s="275"/>
      <c r="I1611" s="275"/>
      <c r="J1611" s="354" t="str">
        <f>IFERROR(G1611/#REF!,"-")</f>
        <v>-</v>
      </c>
      <c r="K1611" s="335">
        <f t="shared" ref="K1611:K1617" si="2019">+L1611+M1611</f>
        <v>0</v>
      </c>
      <c r="L1611" s="275">
        <f t="shared" ref="L1611:L1617" si="2020">+H1611+L1504</f>
        <v>0</v>
      </c>
      <c r="M1611" s="276">
        <f t="shared" ref="M1611:M1617" si="2021">+I1611+M1504</f>
        <v>0</v>
      </c>
      <c r="N1611" s="339" t="str">
        <f t="shared" ref="N1611:N1618" si="2022">IFERROR(K1611/E1611,"-")</f>
        <v>-</v>
      </c>
      <c r="O1611" s="349" t="str">
        <f t="shared" si="2008"/>
        <v>-</v>
      </c>
    </row>
    <row r="1612" spans="1:15" ht="23.4" x14ac:dyDescent="0.3">
      <c r="A1612" s="277" t="s">
        <v>110</v>
      </c>
      <c r="B1612" s="957"/>
      <c r="C1612" s="278" t="s">
        <v>253</v>
      </c>
      <c r="D1612" s="278" t="s">
        <v>254</v>
      </c>
      <c r="E1612" s="279">
        <v>0</v>
      </c>
      <c r="F1612" s="280"/>
      <c r="G1612" s="336">
        <f t="shared" si="2018"/>
        <v>0</v>
      </c>
      <c r="H1612" s="281"/>
      <c r="I1612" s="281"/>
      <c r="J1612" s="355" t="str">
        <f>IFERROR(G1612/#REF!,"-")</f>
        <v>-</v>
      </c>
      <c r="K1612" s="336">
        <f t="shared" si="2019"/>
        <v>0</v>
      </c>
      <c r="L1612" s="275">
        <f t="shared" si="2020"/>
        <v>0</v>
      </c>
      <c r="M1612" s="276">
        <f t="shared" si="2021"/>
        <v>0</v>
      </c>
      <c r="N1612" s="340" t="str">
        <f t="shared" si="2022"/>
        <v>-</v>
      </c>
      <c r="O1612" s="264" t="str">
        <f t="shared" si="2008"/>
        <v>-</v>
      </c>
    </row>
    <row r="1613" spans="1:15" ht="23.4" x14ac:dyDescent="0.3">
      <c r="A1613" s="277" t="s">
        <v>110</v>
      </c>
      <c r="B1613" s="957"/>
      <c r="C1613" s="278" t="s">
        <v>122</v>
      </c>
      <c r="D1613" s="278"/>
      <c r="E1613" s="279">
        <v>0</v>
      </c>
      <c r="F1613" s="280"/>
      <c r="G1613" s="336">
        <f t="shared" si="2018"/>
        <v>0</v>
      </c>
      <c r="H1613" s="281"/>
      <c r="I1613" s="281"/>
      <c r="J1613" s="355" t="str">
        <f>IFERROR(G1613/#REF!,"-")</f>
        <v>-</v>
      </c>
      <c r="K1613" s="336">
        <f t="shared" si="2019"/>
        <v>0</v>
      </c>
      <c r="L1613" s="275">
        <f t="shared" si="2020"/>
        <v>0</v>
      </c>
      <c r="M1613" s="276">
        <f t="shared" si="2021"/>
        <v>0</v>
      </c>
      <c r="N1613" s="340" t="str">
        <f t="shared" si="2022"/>
        <v>-</v>
      </c>
      <c r="O1613" s="264" t="str">
        <f t="shared" si="2008"/>
        <v>-</v>
      </c>
    </row>
    <row r="1614" spans="1:15" ht="23.4" x14ac:dyDescent="0.3">
      <c r="A1614" s="277" t="s">
        <v>110</v>
      </c>
      <c r="B1614" s="957"/>
      <c r="C1614" s="278" t="s">
        <v>129</v>
      </c>
      <c r="D1614" s="278"/>
      <c r="E1614" s="279">
        <v>0</v>
      </c>
      <c r="F1614" s="280"/>
      <c r="G1614" s="336">
        <f t="shared" si="2018"/>
        <v>0</v>
      </c>
      <c r="H1614" s="281"/>
      <c r="I1614" s="281"/>
      <c r="J1614" s="355" t="str">
        <f>IFERROR(G1614/#REF!,"-")</f>
        <v>-</v>
      </c>
      <c r="K1614" s="336">
        <f t="shared" si="2019"/>
        <v>0</v>
      </c>
      <c r="L1614" s="275">
        <f t="shared" si="2020"/>
        <v>0</v>
      </c>
      <c r="M1614" s="276">
        <f t="shared" si="2021"/>
        <v>0</v>
      </c>
      <c r="N1614" s="340" t="str">
        <f t="shared" si="2022"/>
        <v>-</v>
      </c>
      <c r="O1614" s="264" t="str">
        <f t="shared" si="2008"/>
        <v>-</v>
      </c>
    </row>
    <row r="1615" spans="1:15" ht="23.4" x14ac:dyDescent="0.3">
      <c r="A1615" s="277" t="s">
        <v>110</v>
      </c>
      <c r="B1615" s="957"/>
      <c r="C1615" s="278" t="s">
        <v>189</v>
      </c>
      <c r="D1615" s="278" t="s">
        <v>190</v>
      </c>
      <c r="E1615" s="279">
        <v>0</v>
      </c>
      <c r="F1615" s="280"/>
      <c r="G1615" s="336">
        <f t="shared" si="2018"/>
        <v>0</v>
      </c>
      <c r="H1615" s="281"/>
      <c r="I1615" s="281"/>
      <c r="J1615" s="355" t="str">
        <f>IFERROR(G1615/#REF!,"-")</f>
        <v>-</v>
      </c>
      <c r="K1615" s="336">
        <f t="shared" si="2019"/>
        <v>0</v>
      </c>
      <c r="L1615" s="275">
        <f t="shared" si="2020"/>
        <v>0</v>
      </c>
      <c r="M1615" s="276">
        <f t="shared" si="2021"/>
        <v>0</v>
      </c>
      <c r="N1615" s="340" t="str">
        <f t="shared" si="2022"/>
        <v>-</v>
      </c>
      <c r="O1615" s="264" t="str">
        <f t="shared" si="2008"/>
        <v>-</v>
      </c>
    </row>
    <row r="1616" spans="1:15" ht="23.4" x14ac:dyDescent="0.3">
      <c r="A1616" s="277" t="s">
        <v>110</v>
      </c>
      <c r="B1616" s="957"/>
      <c r="C1616" s="278" t="s">
        <v>192</v>
      </c>
      <c r="D1616" s="278" t="s">
        <v>191</v>
      </c>
      <c r="E1616" s="279">
        <v>0</v>
      </c>
      <c r="F1616" s="280"/>
      <c r="G1616" s="336">
        <f t="shared" si="2018"/>
        <v>0</v>
      </c>
      <c r="H1616" s="281"/>
      <c r="I1616" s="281"/>
      <c r="J1616" s="355" t="str">
        <f>IFERROR(G1616/#REF!,"-")</f>
        <v>-</v>
      </c>
      <c r="K1616" s="336">
        <f t="shared" si="2019"/>
        <v>0</v>
      </c>
      <c r="L1616" s="275">
        <f t="shared" si="2020"/>
        <v>0</v>
      </c>
      <c r="M1616" s="276">
        <f t="shared" si="2021"/>
        <v>0</v>
      </c>
      <c r="N1616" s="340" t="str">
        <f t="shared" si="2022"/>
        <v>-</v>
      </c>
      <c r="O1616" s="264" t="str">
        <f t="shared" si="2008"/>
        <v>-</v>
      </c>
    </row>
    <row r="1617" spans="1:15" ht="24" thickBot="1" x14ac:dyDescent="0.35">
      <c r="A1617" s="277" t="s">
        <v>110</v>
      </c>
      <c r="B1617" s="958"/>
      <c r="C1617" s="289" t="s">
        <v>193</v>
      </c>
      <c r="D1617" s="289" t="s">
        <v>114</v>
      </c>
      <c r="E1617" s="283">
        <v>0</v>
      </c>
      <c r="F1617" s="284"/>
      <c r="G1617" s="337">
        <f t="shared" si="2018"/>
        <v>0</v>
      </c>
      <c r="H1617" s="285"/>
      <c r="I1617" s="285"/>
      <c r="J1617" s="356" t="str">
        <f>IFERROR(G1617/#REF!,"-")</f>
        <v>-</v>
      </c>
      <c r="K1617" s="337">
        <f t="shared" si="2019"/>
        <v>0</v>
      </c>
      <c r="L1617" s="275">
        <f t="shared" si="2020"/>
        <v>0</v>
      </c>
      <c r="M1617" s="276">
        <f t="shared" si="2021"/>
        <v>0</v>
      </c>
      <c r="N1617" s="341" t="str">
        <f t="shared" si="2022"/>
        <v>-</v>
      </c>
      <c r="O1617" s="350" t="str">
        <f t="shared" si="2008"/>
        <v>-</v>
      </c>
    </row>
    <row r="1618" spans="1:15" ht="24" thickBot="1" x14ac:dyDescent="0.35">
      <c r="A1618" s="277" t="s">
        <v>110</v>
      </c>
      <c r="B1618" s="967" t="s">
        <v>29</v>
      </c>
      <c r="C1618" s="968"/>
      <c r="D1618" s="969"/>
      <c r="E1618" s="323">
        <f t="shared" ref="E1618" si="2023">SUM(E1611:E1617)</f>
        <v>0</v>
      </c>
      <c r="F1618" s="288">
        <v>80000</v>
      </c>
      <c r="G1618" s="323">
        <f>SUM(G1611:G1617)</f>
        <v>0</v>
      </c>
      <c r="H1618" s="324">
        <f t="shared" ref="H1618:I1618" si="2024">SUM(H1611:H1617)</f>
        <v>0</v>
      </c>
      <c r="I1618" s="324">
        <f t="shared" si="2024"/>
        <v>0</v>
      </c>
      <c r="J1618" s="348">
        <f>+G1618/F1618</f>
        <v>0</v>
      </c>
      <c r="K1618" s="323">
        <f t="shared" ref="K1618:M1618" si="2025">SUM(K1611:K1617)</f>
        <v>0</v>
      </c>
      <c r="L1618" s="324">
        <f t="shared" si="2025"/>
        <v>0</v>
      </c>
      <c r="M1618" s="325">
        <f t="shared" si="2025"/>
        <v>0</v>
      </c>
      <c r="N1618" s="342" t="str">
        <f t="shared" si="2022"/>
        <v>-</v>
      </c>
      <c r="O1618" s="348" t="str">
        <f t="shared" si="2008"/>
        <v>-</v>
      </c>
    </row>
    <row r="1619" spans="1:15" ht="24" thickBot="1" x14ac:dyDescent="0.35">
      <c r="A1619" s="252" t="s">
        <v>110</v>
      </c>
      <c r="B1619" s="985" t="s">
        <v>19</v>
      </c>
      <c r="C1619" s="653" t="s">
        <v>255</v>
      </c>
      <c r="D1619" s="690" t="s">
        <v>190</v>
      </c>
      <c r="E1619" s="695">
        <v>0</v>
      </c>
      <c r="F1619" s="692">
        <v>110000</v>
      </c>
      <c r="G1619" s="656">
        <f t="shared" ref="G1619:G1621" si="2026">+H1619+I1619</f>
        <v>0</v>
      </c>
      <c r="H1619" s="462"/>
      <c r="I1619" s="462"/>
      <c r="J1619" s="536" t="str">
        <f>IFERROR(G1619/#REF!,"-")</f>
        <v>-</v>
      </c>
      <c r="K1619" s="461">
        <f>+L1619+M1619</f>
        <v>0</v>
      </c>
      <c r="L1619" s="462">
        <f t="shared" ref="L1619:L1621" si="2027">+H1619+L1512</f>
        <v>0</v>
      </c>
      <c r="M1619" s="463">
        <f t="shared" ref="M1619:M1621" si="2028">+I1619+M1512</f>
        <v>0</v>
      </c>
      <c r="N1619" s="658" t="str">
        <f>IFERROR(K1619/E1619,"-")</f>
        <v>-</v>
      </c>
      <c r="O1619" s="659" t="str">
        <f t="shared" si="2008"/>
        <v>-</v>
      </c>
    </row>
    <row r="1620" spans="1:15" ht="24" thickBot="1" x14ac:dyDescent="0.35">
      <c r="A1620" s="252"/>
      <c r="B1620" s="986"/>
      <c r="C1620" s="299" t="s">
        <v>440</v>
      </c>
      <c r="D1620" s="657" t="s">
        <v>515</v>
      </c>
      <c r="E1620" s="696">
        <v>1000000</v>
      </c>
      <c r="F1620" s="693">
        <v>110000</v>
      </c>
      <c r="G1620" s="652">
        <f t="shared" si="2026"/>
        <v>17038</v>
      </c>
      <c r="H1620" s="275">
        <v>16896</v>
      </c>
      <c r="I1620" s="275">
        <v>142</v>
      </c>
      <c r="J1620" s="354" t="str">
        <f>IFERROR(G1620/#REF!,"-")</f>
        <v>-</v>
      </c>
      <c r="K1620" s="338">
        <f>+L1620+M1620</f>
        <v>36811</v>
      </c>
      <c r="L1620" s="462">
        <f t="shared" si="2027"/>
        <v>36432</v>
      </c>
      <c r="M1620" s="463">
        <f t="shared" si="2028"/>
        <v>379</v>
      </c>
      <c r="N1620" s="343">
        <f t="shared" ref="N1620:N1621" si="2029">IFERROR(K1620/E1620,"-")</f>
        <v>3.6811000000000003E-2</v>
      </c>
      <c r="O1620" s="651">
        <f>IFERROR(M1620/K1620,"-")</f>
        <v>1.0295835483958599E-2</v>
      </c>
    </row>
    <row r="1621" spans="1:15" ht="24" thickBot="1" x14ac:dyDescent="0.35">
      <c r="A1621" s="252"/>
      <c r="B1621" s="987"/>
      <c r="C1621" s="647" t="s">
        <v>380</v>
      </c>
      <c r="D1621" s="691"/>
      <c r="E1621" s="697">
        <v>150000</v>
      </c>
      <c r="F1621" s="694">
        <v>110000</v>
      </c>
      <c r="G1621" s="599">
        <f t="shared" si="2026"/>
        <v>0</v>
      </c>
      <c r="H1621" s="285"/>
      <c r="I1621" s="285"/>
      <c r="J1621" s="356"/>
      <c r="K1621" s="464">
        <f>+L1621+M1621</f>
        <v>0</v>
      </c>
      <c r="L1621" s="462">
        <f t="shared" si="2027"/>
        <v>0</v>
      </c>
      <c r="M1621" s="463">
        <f t="shared" si="2028"/>
        <v>0</v>
      </c>
      <c r="N1621" s="341">
        <f t="shared" si="2029"/>
        <v>0</v>
      </c>
      <c r="O1621" s="648" t="str">
        <f t="shared" ref="O1621:O1672" si="2030">IFERROR(M1621/K1621,"-")</f>
        <v>-</v>
      </c>
    </row>
    <row r="1622" spans="1:15" ht="24" thickBot="1" x14ac:dyDescent="0.35">
      <c r="A1622" s="277" t="s">
        <v>110</v>
      </c>
      <c r="B1622" s="988" t="s">
        <v>49</v>
      </c>
      <c r="C1622" s="968"/>
      <c r="D1622" s="969"/>
      <c r="E1622" s="323">
        <f>SUM(E1619:E1621)</f>
        <v>1150000</v>
      </c>
      <c r="F1622" s="326">
        <f t="shared" ref="F1622" si="2031">SUM(F1619)</f>
        <v>110000</v>
      </c>
      <c r="G1622" s="323">
        <f>SUM(G1619)</f>
        <v>0</v>
      </c>
      <c r="H1622" s="324">
        <f>SUM(H1619:H1621)</f>
        <v>16896</v>
      </c>
      <c r="I1622" s="324">
        <f>SUM(I1619:I1621)</f>
        <v>142</v>
      </c>
      <c r="J1622" s="348">
        <f>+G1622/F1622</f>
        <v>0</v>
      </c>
      <c r="K1622" s="649">
        <f>SUM(K1619:K1620)</f>
        <v>36811</v>
      </c>
      <c r="L1622" s="324">
        <f>SUM(L1619:L1620)</f>
        <v>36432</v>
      </c>
      <c r="M1622" s="325">
        <f>SUM(M1619:M1620)</f>
        <v>379</v>
      </c>
      <c r="N1622" s="342">
        <f>IFERROR(K1622/E1622,"-")</f>
        <v>3.2009565217391303E-2</v>
      </c>
      <c r="O1622" s="348">
        <f t="shared" si="2030"/>
        <v>1.0295835483958599E-2</v>
      </c>
    </row>
    <row r="1623" spans="1:15" ht="23.4" x14ac:dyDescent="0.3">
      <c r="A1623" s="277" t="s">
        <v>110</v>
      </c>
      <c r="B1623" s="956" t="s">
        <v>20</v>
      </c>
      <c r="C1623" s="294" t="s">
        <v>351</v>
      </c>
      <c r="D1623" s="294" t="s">
        <v>313</v>
      </c>
      <c r="E1623" s="273">
        <v>0</v>
      </c>
      <c r="F1623" s="274"/>
      <c r="G1623" s="335">
        <f t="shared" ref="G1623:G1625" si="2032">+H1623+I1623</f>
        <v>0</v>
      </c>
      <c r="H1623" s="275"/>
      <c r="I1623" s="275"/>
      <c r="J1623" s="354" t="str">
        <f>IFERROR(G1623/#REF!,"-")</f>
        <v>-</v>
      </c>
      <c r="K1623" s="335">
        <f t="shared" ref="K1623:K1625" si="2033">+L1623+M1623</f>
        <v>0</v>
      </c>
      <c r="L1623" s="275">
        <f t="shared" ref="L1623:L1625" si="2034">+H1623+L1516</f>
        <v>0</v>
      </c>
      <c r="M1623" s="276">
        <f t="shared" ref="M1623:M1625" si="2035">+I1623+M1516</f>
        <v>0</v>
      </c>
      <c r="N1623" s="339" t="str">
        <f t="shared" ref="N1623:N1626" si="2036">IFERROR(K1623/E1623,"-")</f>
        <v>-</v>
      </c>
      <c r="O1623" s="349" t="str">
        <f t="shared" si="2030"/>
        <v>-</v>
      </c>
    </row>
    <row r="1624" spans="1:15" ht="23.4" x14ac:dyDescent="0.3">
      <c r="A1624" s="277" t="s">
        <v>110</v>
      </c>
      <c r="B1624" s="957"/>
      <c r="C1624" s="295" t="s">
        <v>121</v>
      </c>
      <c r="D1624" s="295"/>
      <c r="E1624" s="279">
        <v>0</v>
      </c>
      <c r="F1624" s="280"/>
      <c r="G1624" s="336">
        <f t="shared" si="2032"/>
        <v>0</v>
      </c>
      <c r="H1624" s="281"/>
      <c r="I1624" s="281"/>
      <c r="J1624" s="355" t="str">
        <f>IFERROR(G1624/#REF!,"-")</f>
        <v>-</v>
      </c>
      <c r="K1624" s="336">
        <f t="shared" si="2033"/>
        <v>0</v>
      </c>
      <c r="L1624" s="275">
        <f t="shared" si="2034"/>
        <v>0</v>
      </c>
      <c r="M1624" s="276">
        <f t="shared" si="2035"/>
        <v>0</v>
      </c>
      <c r="N1624" s="340" t="str">
        <f t="shared" si="2036"/>
        <v>-</v>
      </c>
      <c r="O1624" s="264" t="str">
        <f t="shared" si="2030"/>
        <v>-</v>
      </c>
    </row>
    <row r="1625" spans="1:15" ht="24" thickBot="1" x14ac:dyDescent="0.35">
      <c r="A1625" s="277" t="s">
        <v>110</v>
      </c>
      <c r="B1625" s="958"/>
      <c r="C1625" s="296" t="s">
        <v>127</v>
      </c>
      <c r="D1625" s="296"/>
      <c r="E1625" s="283">
        <v>0</v>
      </c>
      <c r="F1625" s="284"/>
      <c r="G1625" s="337">
        <f t="shared" si="2032"/>
        <v>0</v>
      </c>
      <c r="H1625" s="285"/>
      <c r="I1625" s="285"/>
      <c r="J1625" s="356" t="str">
        <f>IFERROR(G1625/#REF!,"-")</f>
        <v>-</v>
      </c>
      <c r="K1625" s="337">
        <f t="shared" si="2033"/>
        <v>0</v>
      </c>
      <c r="L1625" s="275">
        <f t="shared" si="2034"/>
        <v>0</v>
      </c>
      <c r="M1625" s="276">
        <f t="shared" si="2035"/>
        <v>0</v>
      </c>
      <c r="N1625" s="341" t="str">
        <f t="shared" si="2036"/>
        <v>-</v>
      </c>
      <c r="O1625" s="350" t="str">
        <f t="shared" si="2030"/>
        <v>-</v>
      </c>
    </row>
    <row r="1626" spans="1:15" ht="24" thickBot="1" x14ac:dyDescent="0.35">
      <c r="A1626" s="277" t="s">
        <v>110</v>
      </c>
      <c r="B1626" s="968" t="s">
        <v>50</v>
      </c>
      <c r="C1626" s="968"/>
      <c r="D1626" s="989"/>
      <c r="E1626" s="323">
        <f t="shared" ref="E1626" si="2037">SUM(E1623:E1625)</f>
        <v>0</v>
      </c>
      <c r="F1626" s="288">
        <v>50000</v>
      </c>
      <c r="G1626" s="323">
        <f>SUM(G1623:G1625)</f>
        <v>0</v>
      </c>
      <c r="H1626" s="324">
        <f t="shared" ref="H1626:I1626" si="2038">SUM(H1623:H1625)</f>
        <v>0</v>
      </c>
      <c r="I1626" s="324">
        <f t="shared" si="2038"/>
        <v>0</v>
      </c>
      <c r="J1626" s="348">
        <f>+G1626/F1626</f>
        <v>0</v>
      </c>
      <c r="K1626" s="323">
        <f t="shared" ref="K1626:M1626" si="2039">SUM(K1623:K1625)</f>
        <v>0</v>
      </c>
      <c r="L1626" s="324">
        <f t="shared" si="2039"/>
        <v>0</v>
      </c>
      <c r="M1626" s="325">
        <f t="shared" si="2039"/>
        <v>0</v>
      </c>
      <c r="N1626" s="342" t="str">
        <f t="shared" si="2036"/>
        <v>-</v>
      </c>
      <c r="O1626" s="348" t="str">
        <f t="shared" si="2030"/>
        <v>-</v>
      </c>
    </row>
    <row r="1627" spans="1:15" ht="24" thickBot="1" x14ac:dyDescent="0.35">
      <c r="A1627" s="277" t="s">
        <v>110</v>
      </c>
      <c r="B1627" s="981" t="s">
        <v>21</v>
      </c>
      <c r="C1627" s="982"/>
      <c r="D1627" s="983"/>
      <c r="E1627" s="329">
        <f>+E1602+E1610+E1618+E1622+E1626</f>
        <v>4750000</v>
      </c>
      <c r="F1627" s="330">
        <f>+F1602+F1610+F1618+F1622+F1626</f>
        <v>455000</v>
      </c>
      <c r="G1627" s="329">
        <f>+G1602+G1610+G1618+G1622+G1626</f>
        <v>106905</v>
      </c>
      <c r="H1627" s="327">
        <f>+H1602+H1610+H1618+H1622+H1626</f>
        <v>123328</v>
      </c>
      <c r="I1627" s="327">
        <f>+I1602+I1610+I1618+I1622+I1626</f>
        <v>615</v>
      </c>
      <c r="J1627" s="352">
        <f>+G1627/F1627</f>
        <v>0.23495604395604397</v>
      </c>
      <c r="K1627" s="329">
        <f>+K1602+K1610+K1618+K1622+K1626</f>
        <v>2290233</v>
      </c>
      <c r="L1627" s="327">
        <f>+L1602+L1610+L1618+L1622+L1626</f>
        <v>2274202</v>
      </c>
      <c r="M1627" s="328">
        <f>+M1602+M1610+M1618+M1622+M1626</f>
        <v>16031</v>
      </c>
      <c r="N1627" s="344">
        <f>IFERROR(K1627/E1627,"-")</f>
        <v>0.48215431578947371</v>
      </c>
      <c r="O1627" s="352">
        <f t="shared" si="2030"/>
        <v>6.9997244821815071E-3</v>
      </c>
    </row>
    <row r="1628" spans="1:15" ht="23.4" x14ac:dyDescent="0.3">
      <c r="A1628" s="277" t="s">
        <v>110</v>
      </c>
      <c r="B1628" s="956" t="s">
        <v>481</v>
      </c>
      <c r="C1628" s="272" t="s">
        <v>132</v>
      </c>
      <c r="D1628" s="272"/>
      <c r="E1628" s="273">
        <v>0</v>
      </c>
      <c r="F1628" s="274"/>
      <c r="G1628" s="335">
        <f t="shared" ref="G1628:G1631" si="2040">+H1628+I1628</f>
        <v>0</v>
      </c>
      <c r="H1628" s="275"/>
      <c r="I1628" s="275"/>
      <c r="J1628" s="354" t="str">
        <f>IFERROR(G1628/#REF!,"-")</f>
        <v>-</v>
      </c>
      <c r="K1628" s="335">
        <f t="shared" ref="K1628:K1631" si="2041">+L1628+M1628</f>
        <v>0</v>
      </c>
      <c r="L1628" s="275">
        <f t="shared" ref="L1628:L1631" si="2042">+H1628+L1521</f>
        <v>0</v>
      </c>
      <c r="M1628" s="276">
        <f t="shared" ref="M1628:M1631" si="2043">+I1628+M1521</f>
        <v>0</v>
      </c>
      <c r="N1628" s="339" t="str">
        <f t="shared" ref="N1628:N1642" si="2044">IFERROR(K1628/E1628,"-")</f>
        <v>-</v>
      </c>
      <c r="O1628" s="349" t="str">
        <f t="shared" si="2030"/>
        <v>-</v>
      </c>
    </row>
    <row r="1629" spans="1:15" ht="23.4" x14ac:dyDescent="0.3">
      <c r="A1629" s="277" t="s">
        <v>110</v>
      </c>
      <c r="B1629" s="957"/>
      <c r="C1629" s="298" t="s">
        <v>283</v>
      </c>
      <c r="D1629" s="298" t="s">
        <v>194</v>
      </c>
      <c r="E1629" s="279">
        <v>0</v>
      </c>
      <c r="F1629" s="280"/>
      <c r="G1629" s="336">
        <f t="shared" si="2040"/>
        <v>0</v>
      </c>
      <c r="H1629" s="281"/>
      <c r="I1629" s="281"/>
      <c r="J1629" s="355" t="str">
        <f>IFERROR(G1629/#REF!,"-")</f>
        <v>-</v>
      </c>
      <c r="K1629" s="336">
        <f t="shared" si="2041"/>
        <v>0</v>
      </c>
      <c r="L1629" s="275">
        <f t="shared" si="2042"/>
        <v>0</v>
      </c>
      <c r="M1629" s="276">
        <f t="shared" si="2043"/>
        <v>0</v>
      </c>
      <c r="N1629" s="340" t="str">
        <f t="shared" si="2044"/>
        <v>-</v>
      </c>
      <c r="O1629" s="264" t="str">
        <f t="shared" si="2030"/>
        <v>-</v>
      </c>
    </row>
    <row r="1630" spans="1:15" ht="23.4" x14ac:dyDescent="0.3">
      <c r="A1630" s="277" t="s">
        <v>110</v>
      </c>
      <c r="B1630" s="957"/>
      <c r="C1630" s="298" t="s">
        <v>405</v>
      </c>
      <c r="D1630" s="298" t="s">
        <v>194</v>
      </c>
      <c r="E1630" s="279">
        <v>1000000</v>
      </c>
      <c r="F1630" s="280"/>
      <c r="G1630" s="336">
        <f t="shared" si="2040"/>
        <v>0</v>
      </c>
      <c r="H1630" s="281"/>
      <c r="I1630" s="281"/>
      <c r="J1630" s="355" t="str">
        <f>IFERROR(G1630/#REF!,"-")</f>
        <v>-</v>
      </c>
      <c r="K1630" s="336">
        <f t="shared" si="2041"/>
        <v>362579</v>
      </c>
      <c r="L1630" s="275">
        <f t="shared" si="2042"/>
        <v>359670</v>
      </c>
      <c r="M1630" s="276">
        <f t="shared" si="2043"/>
        <v>2909</v>
      </c>
      <c r="N1630" s="340">
        <f t="shared" si="2044"/>
        <v>0.36257899999999998</v>
      </c>
      <c r="O1630" s="264">
        <f t="shared" si="2030"/>
        <v>8.0230791082770928E-3</v>
      </c>
    </row>
    <row r="1631" spans="1:15" ht="24" thickBot="1" x14ac:dyDescent="0.35">
      <c r="A1631" s="277" t="s">
        <v>110</v>
      </c>
      <c r="B1631" s="958"/>
      <c r="C1631" s="282" t="s">
        <v>195</v>
      </c>
      <c r="D1631" s="282" t="s">
        <v>100</v>
      </c>
      <c r="E1631" s="283">
        <v>0</v>
      </c>
      <c r="F1631" s="284"/>
      <c r="G1631" s="337">
        <f t="shared" si="2040"/>
        <v>0</v>
      </c>
      <c r="H1631" s="285"/>
      <c r="I1631" s="285"/>
      <c r="J1631" s="356" t="str">
        <f>IFERROR(G1631/#REF!,"-")</f>
        <v>-</v>
      </c>
      <c r="K1631" s="337">
        <f t="shared" si="2041"/>
        <v>0</v>
      </c>
      <c r="L1631" s="275">
        <f t="shared" si="2042"/>
        <v>0</v>
      </c>
      <c r="M1631" s="276">
        <f t="shared" si="2043"/>
        <v>0</v>
      </c>
      <c r="N1631" s="341" t="str">
        <f t="shared" si="2044"/>
        <v>-</v>
      </c>
      <c r="O1631" s="350" t="str">
        <f t="shared" si="2030"/>
        <v>-</v>
      </c>
    </row>
    <row r="1632" spans="1:15" ht="24" thickBot="1" x14ac:dyDescent="0.35">
      <c r="A1632" s="277" t="s">
        <v>110</v>
      </c>
      <c r="B1632" s="967" t="s">
        <v>51</v>
      </c>
      <c r="C1632" s="968"/>
      <c r="D1632" s="969"/>
      <c r="E1632" s="287">
        <f>SUM(E1628:E1631)</f>
        <v>1000000</v>
      </c>
      <c r="F1632" s="288">
        <v>80000</v>
      </c>
      <c r="G1632" s="323">
        <f>SUM(G1628:G1631)</f>
        <v>0</v>
      </c>
      <c r="H1632" s="324">
        <f t="shared" ref="H1632:I1632" si="2045">SUM(H1628:H1631)</f>
        <v>0</v>
      </c>
      <c r="I1632" s="324">
        <f t="shared" si="2045"/>
        <v>0</v>
      </c>
      <c r="J1632" s="348">
        <f>+G1632/F1632</f>
        <v>0</v>
      </c>
      <c r="K1632" s="323">
        <f t="shared" ref="K1632:M1632" si="2046">SUM(K1628:K1631)</f>
        <v>362579</v>
      </c>
      <c r="L1632" s="324">
        <f t="shared" si="2046"/>
        <v>359670</v>
      </c>
      <c r="M1632" s="325">
        <f t="shared" si="2046"/>
        <v>2909</v>
      </c>
      <c r="N1632" s="342">
        <f t="shared" si="2044"/>
        <v>0.36257899999999998</v>
      </c>
      <c r="O1632" s="348">
        <f t="shared" si="2030"/>
        <v>8.0230791082770928E-3</v>
      </c>
    </row>
    <row r="1633" spans="1:15" ht="23.4" x14ac:dyDescent="0.3">
      <c r="A1633" s="277" t="s">
        <v>110</v>
      </c>
      <c r="B1633" s="956" t="s">
        <v>23</v>
      </c>
      <c r="C1633" s="278" t="s">
        <v>260</v>
      </c>
      <c r="D1633" s="299" t="s">
        <v>258</v>
      </c>
      <c r="E1633" s="273">
        <f>25000+10875+6000</f>
        <v>41875</v>
      </c>
      <c r="F1633" s="274"/>
      <c r="G1633" s="335">
        <f t="shared" ref="G1633:G1640" si="2047">+H1633+I1633</f>
        <v>2423</v>
      </c>
      <c r="H1633" s="275">
        <v>2325</v>
      </c>
      <c r="I1633" s="275">
        <v>98</v>
      </c>
      <c r="J1633" s="354" t="str">
        <f>IFERROR(G1633/#REF!,"-")</f>
        <v>-</v>
      </c>
      <c r="K1633" s="335">
        <f t="shared" ref="K1633:K1640" si="2048">+L1633+M1633</f>
        <v>11160</v>
      </c>
      <c r="L1633" s="275">
        <f t="shared" ref="L1633:L1640" si="2049">+H1633+L1526</f>
        <v>11012</v>
      </c>
      <c r="M1633" s="276">
        <f t="shared" ref="M1633:M1640" si="2050">+I1633+M1526</f>
        <v>148</v>
      </c>
      <c r="N1633" s="339">
        <f t="shared" si="2044"/>
        <v>0.26650746268656716</v>
      </c>
      <c r="O1633" s="349">
        <f t="shared" si="2030"/>
        <v>1.3261648745519713E-2</v>
      </c>
    </row>
    <row r="1634" spans="1:15" ht="23.4" x14ac:dyDescent="0.3">
      <c r="A1634" s="277" t="s">
        <v>110</v>
      </c>
      <c r="B1634" s="957"/>
      <c r="C1634" s="278" t="s">
        <v>24</v>
      </c>
      <c r="D1634" s="278" t="s">
        <v>258</v>
      </c>
      <c r="E1634" s="279">
        <v>97500</v>
      </c>
      <c r="F1634" s="280"/>
      <c r="G1634" s="336">
        <f t="shared" si="2047"/>
        <v>13245</v>
      </c>
      <c r="H1634" s="281">
        <v>13235</v>
      </c>
      <c r="I1634" s="281">
        <v>10</v>
      </c>
      <c r="J1634" s="355" t="str">
        <f>IFERROR(G1634/#REF!,"-")</f>
        <v>-</v>
      </c>
      <c r="K1634" s="336">
        <f t="shared" si="2048"/>
        <v>13245</v>
      </c>
      <c r="L1634" s="275">
        <f t="shared" si="2049"/>
        <v>13235</v>
      </c>
      <c r="M1634" s="276">
        <f t="shared" si="2050"/>
        <v>10</v>
      </c>
      <c r="N1634" s="340">
        <f t="shared" si="2044"/>
        <v>0.13584615384615384</v>
      </c>
      <c r="O1634" s="264">
        <f t="shared" si="2030"/>
        <v>7.5500188750471874E-4</v>
      </c>
    </row>
    <row r="1635" spans="1:15" ht="23.4" x14ac:dyDescent="0.3">
      <c r="A1635" s="277" t="s">
        <v>110</v>
      </c>
      <c r="B1635" s="957"/>
      <c r="C1635" s="278" t="s">
        <v>256</v>
      </c>
      <c r="D1635" s="278" t="s">
        <v>258</v>
      </c>
      <c r="E1635" s="279">
        <v>17750</v>
      </c>
      <c r="F1635" s="280"/>
      <c r="G1635" s="336">
        <f t="shared" si="2047"/>
        <v>0</v>
      </c>
      <c r="H1635" s="281"/>
      <c r="I1635" s="281"/>
      <c r="J1635" s="355" t="str">
        <f>IFERROR(G1635/#REF!,"-")</f>
        <v>-</v>
      </c>
      <c r="K1635" s="336">
        <f t="shared" si="2048"/>
        <v>19656</v>
      </c>
      <c r="L1635" s="275">
        <f t="shared" si="2049"/>
        <v>19545</v>
      </c>
      <c r="M1635" s="276">
        <f t="shared" si="2050"/>
        <v>111</v>
      </c>
      <c r="N1635" s="340">
        <f t="shared" si="2044"/>
        <v>1.1073802816901408</v>
      </c>
      <c r="O1635" s="264">
        <f t="shared" si="2030"/>
        <v>5.647130647130647E-3</v>
      </c>
    </row>
    <row r="1636" spans="1:15" ht="23.4" x14ac:dyDescent="0.3">
      <c r="A1636" s="277" t="s">
        <v>110</v>
      </c>
      <c r="B1636" s="957"/>
      <c r="C1636" s="278" t="s">
        <v>257</v>
      </c>
      <c r="D1636" s="278" t="s">
        <v>258</v>
      </c>
      <c r="E1636" s="279">
        <v>20000</v>
      </c>
      <c r="F1636" s="280"/>
      <c r="G1636" s="336">
        <f t="shared" si="2047"/>
        <v>0</v>
      </c>
      <c r="H1636" s="281"/>
      <c r="I1636" s="281"/>
      <c r="J1636" s="355" t="str">
        <f>IFERROR(G1636/#REF!,"-")</f>
        <v>-</v>
      </c>
      <c r="K1636" s="336">
        <f t="shared" si="2048"/>
        <v>20512</v>
      </c>
      <c r="L1636" s="275">
        <f t="shared" si="2049"/>
        <v>20361</v>
      </c>
      <c r="M1636" s="276">
        <f t="shared" si="2050"/>
        <v>151</v>
      </c>
      <c r="N1636" s="340">
        <f t="shared" si="2044"/>
        <v>1.0256000000000001</v>
      </c>
      <c r="O1636" s="264">
        <f t="shared" si="2030"/>
        <v>7.3615444617784707E-3</v>
      </c>
    </row>
    <row r="1637" spans="1:15" ht="23.4" x14ac:dyDescent="0.3">
      <c r="A1637" s="277" t="s">
        <v>110</v>
      </c>
      <c r="B1637" s="957"/>
      <c r="C1637" s="298" t="s">
        <v>475</v>
      </c>
      <c r="D1637" s="278" t="s">
        <v>258</v>
      </c>
      <c r="E1637" s="279">
        <v>10000</v>
      </c>
      <c r="F1637" s="280"/>
      <c r="G1637" s="336">
        <f t="shared" si="2047"/>
        <v>0</v>
      </c>
      <c r="H1637" s="281"/>
      <c r="I1637" s="281"/>
      <c r="J1637" s="355" t="str">
        <f>IFERROR(G1637/#REF!,"-")</f>
        <v>-</v>
      </c>
      <c r="K1637" s="336">
        <f t="shared" si="2048"/>
        <v>12327</v>
      </c>
      <c r="L1637" s="275">
        <f t="shared" si="2049"/>
        <v>12307</v>
      </c>
      <c r="M1637" s="276">
        <f t="shared" si="2050"/>
        <v>20</v>
      </c>
      <c r="N1637" s="340">
        <f t="shared" si="2044"/>
        <v>1.2326999999999999</v>
      </c>
      <c r="O1637" s="264">
        <f t="shared" si="2030"/>
        <v>1.6224547740731727E-3</v>
      </c>
    </row>
    <row r="1638" spans="1:15" ht="23.4" x14ac:dyDescent="0.3">
      <c r="A1638" s="277" t="s">
        <v>110</v>
      </c>
      <c r="B1638" s="957"/>
      <c r="C1638" s="298" t="s">
        <v>506</v>
      </c>
      <c r="D1638" s="278" t="s">
        <v>258</v>
      </c>
      <c r="E1638" s="279">
        <v>9000</v>
      </c>
      <c r="F1638" s="280"/>
      <c r="G1638" s="336">
        <f t="shared" si="2047"/>
        <v>0</v>
      </c>
      <c r="H1638" s="281"/>
      <c r="I1638" s="281"/>
      <c r="J1638" s="355" t="str">
        <f>IFERROR(G1638/#REF!,"-")</f>
        <v>-</v>
      </c>
      <c r="K1638" s="336">
        <f t="shared" si="2048"/>
        <v>26750</v>
      </c>
      <c r="L1638" s="275">
        <f t="shared" si="2049"/>
        <v>26682</v>
      </c>
      <c r="M1638" s="276">
        <f t="shared" si="2050"/>
        <v>68</v>
      </c>
      <c r="N1638" s="340">
        <f t="shared" si="2044"/>
        <v>2.9722222222222223</v>
      </c>
      <c r="O1638" s="264">
        <f t="shared" si="2030"/>
        <v>2.542056074766355E-3</v>
      </c>
    </row>
    <row r="1639" spans="1:15" ht="23.4" x14ac:dyDescent="0.3">
      <c r="A1639" s="277" t="s">
        <v>110</v>
      </c>
      <c r="B1639" s="957"/>
      <c r="C1639" s="298" t="s">
        <v>261</v>
      </c>
      <c r="D1639" s="278" t="s">
        <v>263</v>
      </c>
      <c r="E1639" s="279">
        <v>22500</v>
      </c>
      <c r="F1639" s="280"/>
      <c r="G1639" s="336">
        <f t="shared" si="2047"/>
        <v>0</v>
      </c>
      <c r="H1639" s="281"/>
      <c r="I1639" s="281"/>
      <c r="J1639" s="355" t="str">
        <f>IFERROR(G1639/#REF!,"-")</f>
        <v>-</v>
      </c>
      <c r="K1639" s="336">
        <f t="shared" si="2048"/>
        <v>23536</v>
      </c>
      <c r="L1639" s="275">
        <f t="shared" si="2049"/>
        <v>23490</v>
      </c>
      <c r="M1639" s="276">
        <f t="shared" si="2050"/>
        <v>46</v>
      </c>
      <c r="N1639" s="340">
        <f t="shared" si="2044"/>
        <v>1.0460444444444446</v>
      </c>
      <c r="O1639" s="264">
        <f t="shared" si="2030"/>
        <v>1.954452753229096E-3</v>
      </c>
    </row>
    <row r="1640" spans="1:15" ht="24" thickBot="1" x14ac:dyDescent="0.35">
      <c r="A1640" s="277" t="s">
        <v>110</v>
      </c>
      <c r="B1640" s="958"/>
      <c r="C1640" s="298" t="s">
        <v>262</v>
      </c>
      <c r="D1640" s="278" t="s">
        <v>258</v>
      </c>
      <c r="E1640" s="283">
        <v>33500</v>
      </c>
      <c r="F1640" s="284"/>
      <c r="G1640" s="337">
        <f t="shared" si="2047"/>
        <v>0</v>
      </c>
      <c r="H1640" s="285"/>
      <c r="I1640" s="285"/>
      <c r="J1640" s="356" t="str">
        <f>IFERROR(G1640/#REF!,"-")</f>
        <v>-</v>
      </c>
      <c r="K1640" s="337">
        <f t="shared" si="2048"/>
        <v>35336</v>
      </c>
      <c r="L1640" s="275">
        <f t="shared" si="2049"/>
        <v>35130</v>
      </c>
      <c r="M1640" s="276">
        <f t="shared" si="2050"/>
        <v>206</v>
      </c>
      <c r="N1640" s="341">
        <f t="shared" si="2044"/>
        <v>1.0548059701492538</v>
      </c>
      <c r="O1640" s="350">
        <f t="shared" si="2030"/>
        <v>5.8297486982114557E-3</v>
      </c>
    </row>
    <row r="1641" spans="1:15" ht="24" thickBot="1" x14ac:dyDescent="0.35">
      <c r="A1641" s="277" t="s">
        <v>110</v>
      </c>
      <c r="B1641" s="967" t="s">
        <v>52</v>
      </c>
      <c r="C1641" s="968"/>
      <c r="D1641" s="969"/>
      <c r="E1641" s="287">
        <f>SUM(E1633:E1640)</f>
        <v>252125</v>
      </c>
      <c r="F1641" s="288">
        <v>14000</v>
      </c>
      <c r="G1641" s="323">
        <f>SUM(G1633:G1640)</f>
        <v>15668</v>
      </c>
      <c r="H1641" s="324">
        <f t="shared" ref="H1641:I1641" si="2051">SUM(H1633:H1640)</f>
        <v>15560</v>
      </c>
      <c r="I1641" s="324">
        <f t="shared" si="2051"/>
        <v>108</v>
      </c>
      <c r="J1641" s="348">
        <f>+G1642/F1642</f>
        <v>0.16668085106382979</v>
      </c>
      <c r="K1641" s="323">
        <f>SUM(K1633:K1640)</f>
        <v>162522</v>
      </c>
      <c r="L1641" s="324">
        <f t="shared" ref="L1641:M1641" si="2052">SUM(L1633:L1640)</f>
        <v>161762</v>
      </c>
      <c r="M1641" s="325">
        <f t="shared" si="2052"/>
        <v>760</v>
      </c>
      <c r="N1641" s="342">
        <f t="shared" si="2044"/>
        <v>0.6446088249876053</v>
      </c>
      <c r="O1641" s="348">
        <f t="shared" si="2030"/>
        <v>4.6762899792028153E-3</v>
      </c>
    </row>
    <row r="1642" spans="1:15" ht="24" thickBot="1" x14ac:dyDescent="0.35">
      <c r="A1642" s="277" t="s">
        <v>110</v>
      </c>
      <c r="B1642" s="981" t="s">
        <v>25</v>
      </c>
      <c r="C1642" s="982"/>
      <c r="D1642" s="983"/>
      <c r="E1642" s="329">
        <f t="shared" ref="E1642:F1642" si="2053">+E1632+E1641</f>
        <v>1252125</v>
      </c>
      <c r="F1642" s="330">
        <f t="shared" si="2053"/>
        <v>94000</v>
      </c>
      <c r="G1642" s="329">
        <f>+G1632+G1641</f>
        <v>15668</v>
      </c>
      <c r="H1642" s="327">
        <f t="shared" ref="H1642:I1642" si="2054">+H1632+H1641</f>
        <v>15560</v>
      </c>
      <c r="I1642" s="327">
        <f t="shared" si="2054"/>
        <v>108</v>
      </c>
      <c r="J1642" s="352" t="str">
        <f>IFERROR(G1642/#REF!,"-")</f>
        <v>-</v>
      </c>
      <c r="K1642" s="329">
        <f t="shared" ref="K1642" si="2055">+K1632+K1641</f>
        <v>525101</v>
      </c>
      <c r="L1642" s="327">
        <f>+L1632+L1641</f>
        <v>521432</v>
      </c>
      <c r="M1642" s="328">
        <f t="shared" ref="M1642" si="2056">+M1632+M1641</f>
        <v>3669</v>
      </c>
      <c r="N1642" s="344">
        <f t="shared" si="2044"/>
        <v>0.41936787461315761</v>
      </c>
      <c r="O1642" s="352">
        <f t="shared" si="2030"/>
        <v>6.9872272191445076E-3</v>
      </c>
    </row>
    <row r="1643" spans="1:15" ht="24" thickBot="1" x14ac:dyDescent="0.35">
      <c r="A1643" s="277" t="s">
        <v>110</v>
      </c>
      <c r="B1643" s="984" t="s">
        <v>180</v>
      </c>
      <c r="C1643" s="962"/>
      <c r="D1643" s="963"/>
      <c r="E1643" s="333">
        <f>+E1627+E1642</f>
        <v>6002125</v>
      </c>
      <c r="F1643" s="334">
        <f t="shared" ref="F1643:I1643" si="2057">+F1627+F1642</f>
        <v>549000</v>
      </c>
      <c r="G1643" s="333">
        <f t="shared" si="2057"/>
        <v>122573</v>
      </c>
      <c r="H1643" s="331">
        <f t="shared" si="2057"/>
        <v>138888</v>
      </c>
      <c r="I1643" s="331">
        <f t="shared" si="2057"/>
        <v>723</v>
      </c>
      <c r="J1643" s="353">
        <f>+G1643/F1643</f>
        <v>0.22326593806921677</v>
      </c>
      <c r="K1643" s="333">
        <f>+K1627+K1642</f>
        <v>2815334</v>
      </c>
      <c r="L1643" s="331">
        <f t="shared" ref="L1643:M1643" si="2058">+L1627+L1642</f>
        <v>2795634</v>
      </c>
      <c r="M1643" s="332">
        <f t="shared" si="2058"/>
        <v>19700</v>
      </c>
      <c r="N1643" s="345">
        <f>IFERROR(K1643/E1643,"-")</f>
        <v>0.4690562092592207</v>
      </c>
      <c r="O1643" s="353">
        <f t="shared" si="2030"/>
        <v>6.9973935596984232E-3</v>
      </c>
    </row>
    <row r="1644" spans="1:15" ht="23.4" x14ac:dyDescent="0.3">
      <c r="A1644" s="271" t="s">
        <v>108</v>
      </c>
      <c r="B1644" s="977" t="s">
        <v>26</v>
      </c>
      <c r="C1644" s="300" t="s">
        <v>323</v>
      </c>
      <c r="D1644" s="300" t="s">
        <v>190</v>
      </c>
      <c r="E1644" s="273">
        <v>0</v>
      </c>
      <c r="F1644" s="274"/>
      <c r="G1644" s="335">
        <f t="shared" ref="G1644:G1653" si="2059">+H1644+I1644</f>
        <v>0</v>
      </c>
      <c r="H1644" s="275"/>
      <c r="I1644" s="275"/>
      <c r="J1644" s="354" t="str">
        <f>IFERROR(G1644/#REF!,"-")</f>
        <v>-</v>
      </c>
      <c r="K1644" s="335">
        <f t="shared" ref="K1644:K1653" si="2060">+L1644+M1644</f>
        <v>0</v>
      </c>
      <c r="L1644" s="275">
        <f t="shared" ref="L1644:L1653" si="2061">+H1644+L1537</f>
        <v>0</v>
      </c>
      <c r="M1644" s="276">
        <f t="shared" ref="M1644:M1653" si="2062">+I1644+M1537</f>
        <v>0</v>
      </c>
      <c r="N1644" s="339" t="str">
        <f t="shared" ref="N1644:N1645" si="2063">IFERROR(K1644/E1644,"-")</f>
        <v>-</v>
      </c>
      <c r="O1644" s="349" t="str">
        <f t="shared" si="2030"/>
        <v>-</v>
      </c>
    </row>
    <row r="1645" spans="1:15" ht="23.4" x14ac:dyDescent="0.3">
      <c r="A1645" s="277" t="s">
        <v>108</v>
      </c>
      <c r="B1645" s="977"/>
      <c r="C1645" s="301" t="s">
        <v>508</v>
      </c>
      <c r="D1645" s="301" t="s">
        <v>507</v>
      </c>
      <c r="E1645" s="279">
        <v>0</v>
      </c>
      <c r="F1645" s="280"/>
      <c r="G1645" s="336">
        <f t="shared" si="2059"/>
        <v>0</v>
      </c>
      <c r="H1645" s="281"/>
      <c r="I1645" s="281"/>
      <c r="J1645" s="355" t="str">
        <f>IFERROR(G1645/#REF!,"-")</f>
        <v>-</v>
      </c>
      <c r="K1645" s="336">
        <f t="shared" si="2060"/>
        <v>190384</v>
      </c>
      <c r="L1645" s="275">
        <f t="shared" si="2061"/>
        <v>186966</v>
      </c>
      <c r="M1645" s="276">
        <f t="shared" si="2062"/>
        <v>3418</v>
      </c>
      <c r="N1645" s="340" t="str">
        <f t="shared" si="2063"/>
        <v>-</v>
      </c>
      <c r="O1645" s="264">
        <f t="shared" si="2030"/>
        <v>1.7953189343642324E-2</v>
      </c>
    </row>
    <row r="1646" spans="1:15" ht="23.4" x14ac:dyDescent="0.3">
      <c r="A1646" s="277" t="s">
        <v>108</v>
      </c>
      <c r="B1646" s="977"/>
      <c r="C1646" s="302" t="s">
        <v>27</v>
      </c>
      <c r="D1646" s="302" t="s">
        <v>370</v>
      </c>
      <c r="E1646" s="283">
        <v>0</v>
      </c>
      <c r="F1646" s="284"/>
      <c r="G1646" s="336">
        <f t="shared" si="2059"/>
        <v>0</v>
      </c>
      <c r="H1646" s="285"/>
      <c r="I1646" s="285"/>
      <c r="J1646" s="356" t="str">
        <f>IFERROR(G1646/#REF!,"-")</f>
        <v>-</v>
      </c>
      <c r="K1646" s="336">
        <f t="shared" si="2060"/>
        <v>15312</v>
      </c>
      <c r="L1646" s="275">
        <f t="shared" si="2061"/>
        <v>14492</v>
      </c>
      <c r="M1646" s="276">
        <f t="shared" si="2062"/>
        <v>820</v>
      </c>
      <c r="N1646" s="286"/>
      <c r="O1646" s="264">
        <f t="shared" si="2030"/>
        <v>5.3552769070010449E-2</v>
      </c>
    </row>
    <row r="1647" spans="1:15" ht="23.4" x14ac:dyDescent="0.3">
      <c r="A1647" s="277" t="s">
        <v>108</v>
      </c>
      <c r="B1647" s="977"/>
      <c r="C1647" s="302" t="s">
        <v>27</v>
      </c>
      <c r="D1647" s="302" t="s">
        <v>254</v>
      </c>
      <c r="E1647" s="283">
        <v>0</v>
      </c>
      <c r="F1647" s="284"/>
      <c r="G1647" s="336">
        <f t="shared" si="2059"/>
        <v>0</v>
      </c>
      <c r="H1647" s="285"/>
      <c r="I1647" s="285"/>
      <c r="J1647" s="356" t="str">
        <f>IFERROR(G1647/#REF!,"-")</f>
        <v>-</v>
      </c>
      <c r="K1647" s="336">
        <f t="shared" si="2060"/>
        <v>41904</v>
      </c>
      <c r="L1647" s="275">
        <f t="shared" si="2061"/>
        <v>39879</v>
      </c>
      <c r="M1647" s="276">
        <f t="shared" si="2062"/>
        <v>2025</v>
      </c>
      <c r="N1647" s="286"/>
      <c r="O1647" s="264">
        <f t="shared" si="2030"/>
        <v>4.8324742268041239E-2</v>
      </c>
    </row>
    <row r="1648" spans="1:15" ht="23.4" x14ac:dyDescent="0.3">
      <c r="A1648" s="277" t="s">
        <v>108</v>
      </c>
      <c r="B1648" s="977"/>
      <c r="C1648" s="302" t="s">
        <v>27</v>
      </c>
      <c r="D1648" s="302" t="s">
        <v>302</v>
      </c>
      <c r="E1648" s="283">
        <v>0</v>
      </c>
      <c r="F1648" s="284"/>
      <c r="G1648" s="336">
        <f t="shared" si="2059"/>
        <v>0</v>
      </c>
      <c r="H1648" s="285"/>
      <c r="I1648" s="285"/>
      <c r="J1648" s="356" t="str">
        <f>IFERROR(G1648/#REF!,"-")</f>
        <v>-</v>
      </c>
      <c r="K1648" s="336">
        <f t="shared" si="2060"/>
        <v>6345</v>
      </c>
      <c r="L1648" s="275">
        <f t="shared" si="2061"/>
        <v>5830</v>
      </c>
      <c r="M1648" s="276">
        <f t="shared" si="2062"/>
        <v>515</v>
      </c>
      <c r="N1648" s="286"/>
      <c r="O1648" s="264">
        <f t="shared" si="2030"/>
        <v>8.1166272655634364E-2</v>
      </c>
    </row>
    <row r="1649" spans="1:15" ht="23.4" x14ac:dyDescent="0.3">
      <c r="A1649" s="277"/>
      <c r="B1649" s="977"/>
      <c r="C1649" s="302" t="s">
        <v>541</v>
      </c>
      <c r="D1649" s="302" t="s">
        <v>191</v>
      </c>
      <c r="E1649" s="283">
        <v>0</v>
      </c>
      <c r="F1649" s="284"/>
      <c r="G1649" s="337">
        <f t="shared" si="2059"/>
        <v>0</v>
      </c>
      <c r="H1649" s="285"/>
      <c r="I1649" s="285"/>
      <c r="J1649" s="356" t="str">
        <f>IFERROR(G1649/#REF!,"-")</f>
        <v>-</v>
      </c>
      <c r="K1649" s="337">
        <f t="shared" si="2060"/>
        <v>4273</v>
      </c>
      <c r="L1649" s="275">
        <f t="shared" si="2061"/>
        <v>3978</v>
      </c>
      <c r="M1649" s="276">
        <f t="shared" si="2062"/>
        <v>295</v>
      </c>
      <c r="N1649" s="286"/>
      <c r="O1649" s="264">
        <f t="shared" si="2030"/>
        <v>6.9038146501287145E-2</v>
      </c>
    </row>
    <row r="1650" spans="1:15" ht="23.4" x14ac:dyDescent="0.3">
      <c r="A1650" s="277"/>
      <c r="B1650" s="977"/>
      <c r="C1650" s="302" t="s">
        <v>369</v>
      </c>
      <c r="D1650" s="302" t="s">
        <v>101</v>
      </c>
      <c r="E1650" s="283">
        <v>0</v>
      </c>
      <c r="F1650" s="284"/>
      <c r="G1650" s="337">
        <f t="shared" si="2059"/>
        <v>0</v>
      </c>
      <c r="H1650" s="285"/>
      <c r="I1650" s="285"/>
      <c r="J1650" s="356" t="str">
        <f>IFERROR(G1650/#REF!,"-")</f>
        <v>-</v>
      </c>
      <c r="K1650" s="337">
        <f t="shared" si="2060"/>
        <v>6135</v>
      </c>
      <c r="L1650" s="275">
        <f t="shared" si="2061"/>
        <v>5899</v>
      </c>
      <c r="M1650" s="276">
        <f t="shared" si="2062"/>
        <v>236</v>
      </c>
      <c r="N1650" s="286"/>
      <c r="O1650" s="264">
        <f t="shared" si="2030"/>
        <v>3.8467807660961695E-2</v>
      </c>
    </row>
    <row r="1651" spans="1:15" ht="23.4" x14ac:dyDescent="0.3">
      <c r="A1651" s="277"/>
      <c r="B1651" s="977"/>
      <c r="C1651" s="302" t="s">
        <v>542</v>
      </c>
      <c r="D1651" s="302" t="s">
        <v>191</v>
      </c>
      <c r="E1651" s="283">
        <v>0</v>
      </c>
      <c r="F1651" s="284"/>
      <c r="G1651" s="337">
        <f t="shared" si="2059"/>
        <v>0</v>
      </c>
      <c r="H1651" s="285"/>
      <c r="I1651" s="285"/>
      <c r="J1651" s="356" t="str">
        <f>IFERROR(G1651/#REF!,"-")</f>
        <v>-</v>
      </c>
      <c r="K1651" s="337">
        <f t="shared" si="2060"/>
        <v>2448</v>
      </c>
      <c r="L1651" s="275">
        <f t="shared" si="2061"/>
        <v>2448</v>
      </c>
      <c r="M1651" s="275">
        <f t="shared" si="2062"/>
        <v>0</v>
      </c>
      <c r="N1651" s="286"/>
      <c r="O1651" s="264">
        <f t="shared" si="2030"/>
        <v>0</v>
      </c>
    </row>
    <row r="1652" spans="1:15" ht="23.4" x14ac:dyDescent="0.3">
      <c r="A1652" s="277"/>
      <c r="B1652" s="977"/>
      <c r="C1652" s="302" t="s">
        <v>452</v>
      </c>
      <c r="D1652" s="302" t="s">
        <v>410</v>
      </c>
      <c r="E1652" s="283">
        <v>0</v>
      </c>
      <c r="F1652" s="284"/>
      <c r="G1652" s="337">
        <f t="shared" si="2059"/>
        <v>0</v>
      </c>
      <c r="H1652" s="285"/>
      <c r="I1652" s="285"/>
      <c r="J1652" s="356" t="str">
        <f>IFERROR(G1652/#REF!,"-")</f>
        <v>-</v>
      </c>
      <c r="K1652" s="337">
        <f t="shared" si="2060"/>
        <v>40370</v>
      </c>
      <c r="L1652" s="275">
        <f t="shared" si="2061"/>
        <v>39117</v>
      </c>
      <c r="M1652" s="276">
        <f t="shared" si="2062"/>
        <v>1253</v>
      </c>
      <c r="N1652" s="286"/>
      <c r="O1652" s="264">
        <f t="shared" si="2030"/>
        <v>3.1037899430270001E-2</v>
      </c>
    </row>
    <row r="1653" spans="1:15" ht="24" thickBot="1" x14ac:dyDescent="0.35">
      <c r="A1653" s="277" t="s">
        <v>108</v>
      </c>
      <c r="B1653" s="977"/>
      <c r="C1653" s="303" t="s">
        <v>315</v>
      </c>
      <c r="D1653" s="302" t="s">
        <v>313</v>
      </c>
      <c r="E1653" s="283">
        <v>0</v>
      </c>
      <c r="F1653" s="284"/>
      <c r="G1653" s="337">
        <f t="shared" si="2059"/>
        <v>0</v>
      </c>
      <c r="H1653" s="285"/>
      <c r="I1653" s="285"/>
      <c r="J1653" s="356" t="str">
        <f>IFERROR(G1653/#REF!,"-")</f>
        <v>-</v>
      </c>
      <c r="K1653" s="337">
        <f t="shared" si="2060"/>
        <v>16403</v>
      </c>
      <c r="L1653" s="275">
        <f t="shared" si="2061"/>
        <v>15912</v>
      </c>
      <c r="M1653" s="276">
        <f t="shared" si="2062"/>
        <v>491</v>
      </c>
      <c r="N1653" s="341" t="str">
        <f t="shared" ref="N1653:N1660" si="2064">IFERROR(K1653/E1653,"-")</f>
        <v>-</v>
      </c>
      <c r="O1653" s="350">
        <f t="shared" si="2030"/>
        <v>2.9933548741083948E-2</v>
      </c>
    </row>
    <row r="1654" spans="1:15" ht="24" thickBot="1" x14ac:dyDescent="0.35">
      <c r="A1654" s="277" t="s">
        <v>108</v>
      </c>
      <c r="B1654" s="990"/>
      <c r="C1654" s="304"/>
      <c r="D1654" s="305" t="s">
        <v>55</v>
      </c>
      <c r="E1654" s="287">
        <f>SUM(E1644:E1653)</f>
        <v>0</v>
      </c>
      <c r="F1654" s="288">
        <v>80000</v>
      </c>
      <c r="G1654" s="323">
        <f>SUM(G1644:G1653)</f>
        <v>0</v>
      </c>
      <c r="H1654" s="324">
        <f>SUM(H1644:H1653)</f>
        <v>0</v>
      </c>
      <c r="I1654" s="324">
        <f>SUM(I1644:I1653)</f>
        <v>0</v>
      </c>
      <c r="J1654" s="348">
        <f>+G1654/F1654</f>
        <v>0</v>
      </c>
      <c r="K1654" s="323">
        <f>SUM(K1644:K1653)</f>
        <v>323574</v>
      </c>
      <c r="L1654" s="324">
        <f>SUM(L1644:L1653)</f>
        <v>314521</v>
      </c>
      <c r="M1654" s="325">
        <f>SUM(M1644:M1653)</f>
        <v>9053</v>
      </c>
      <c r="N1654" s="342" t="str">
        <f t="shared" si="2064"/>
        <v>-</v>
      </c>
      <c r="O1654" s="348">
        <f t="shared" si="2030"/>
        <v>2.7978144103049069E-2</v>
      </c>
    </row>
    <row r="1655" spans="1:15" ht="23.4" x14ac:dyDescent="0.3">
      <c r="A1655" s="277" t="s">
        <v>108</v>
      </c>
      <c r="B1655" s="976" t="s">
        <v>28</v>
      </c>
      <c r="C1655" s="302" t="s">
        <v>27</v>
      </c>
      <c r="D1655" s="300" t="s">
        <v>191</v>
      </c>
      <c r="E1655" s="273">
        <v>2612056</v>
      </c>
      <c r="F1655" s="274"/>
      <c r="G1655" s="335">
        <f t="shared" ref="G1655:G1659" si="2065">+H1655+I1655</f>
        <v>44273</v>
      </c>
      <c r="H1655" s="275">
        <v>43758</v>
      </c>
      <c r="I1655" s="275">
        <v>515</v>
      </c>
      <c r="J1655" s="354" t="str">
        <f>IFERROR(G1655/#REF!,"-")</f>
        <v>-</v>
      </c>
      <c r="K1655" s="335">
        <f t="shared" ref="K1655:K1659" si="2066">+L1655+M1655</f>
        <v>66015</v>
      </c>
      <c r="L1655" s="275">
        <f t="shared" ref="L1655:L1659" si="2067">+H1655+L1548</f>
        <v>63648</v>
      </c>
      <c r="M1655" s="276">
        <f t="shared" ref="M1655:M1659" si="2068">+I1655+M1548</f>
        <v>2367</v>
      </c>
      <c r="N1655" s="339">
        <f t="shared" si="2064"/>
        <v>2.5273194755395748E-2</v>
      </c>
      <c r="O1655" s="349">
        <f t="shared" si="2030"/>
        <v>3.5855487389229723E-2</v>
      </c>
    </row>
    <row r="1656" spans="1:15" ht="23.4" x14ac:dyDescent="0.3">
      <c r="A1656" s="277" t="s">
        <v>108</v>
      </c>
      <c r="B1656" s="977"/>
      <c r="C1656" s="302" t="s">
        <v>455</v>
      </c>
      <c r="D1656" s="302" t="s">
        <v>370</v>
      </c>
      <c r="E1656" s="279">
        <v>0</v>
      </c>
      <c r="F1656" s="280"/>
      <c r="G1656" s="336">
        <f t="shared" si="2065"/>
        <v>40680</v>
      </c>
      <c r="H1656" s="281">
        <v>39780</v>
      </c>
      <c r="I1656" s="281">
        <v>900</v>
      </c>
      <c r="J1656" s="355" t="str">
        <f>IFERROR(G1656/#REF!,"-")</f>
        <v>-</v>
      </c>
      <c r="K1656" s="336">
        <f t="shared" si="2066"/>
        <v>1001975</v>
      </c>
      <c r="L1656" s="275">
        <f t="shared" si="2067"/>
        <v>990216</v>
      </c>
      <c r="M1656" s="276">
        <f t="shared" si="2068"/>
        <v>11759</v>
      </c>
      <c r="N1656" s="340" t="str">
        <f t="shared" si="2064"/>
        <v>-</v>
      </c>
      <c r="O1656" s="264">
        <f t="shared" si="2030"/>
        <v>1.1735821752039721E-2</v>
      </c>
    </row>
    <row r="1657" spans="1:15" ht="23.4" x14ac:dyDescent="0.3">
      <c r="A1657" s="277" t="s">
        <v>108</v>
      </c>
      <c r="B1657" s="977"/>
      <c r="C1657" s="302" t="s">
        <v>27</v>
      </c>
      <c r="D1657" s="302" t="s">
        <v>370</v>
      </c>
      <c r="E1657" s="279">
        <v>0</v>
      </c>
      <c r="F1657" s="280"/>
      <c r="G1657" s="336">
        <f t="shared" si="2065"/>
        <v>0</v>
      </c>
      <c r="H1657" s="281"/>
      <c r="I1657" s="281"/>
      <c r="J1657" s="355" t="str">
        <f>IFERROR(G1657/#REF!,"-")</f>
        <v>-</v>
      </c>
      <c r="K1657" s="336">
        <f t="shared" si="2066"/>
        <v>65158</v>
      </c>
      <c r="L1657" s="275">
        <f t="shared" si="2067"/>
        <v>63648</v>
      </c>
      <c r="M1657" s="276">
        <f t="shared" si="2068"/>
        <v>1510</v>
      </c>
      <c r="N1657" s="340" t="str">
        <f t="shared" si="2064"/>
        <v>-</v>
      </c>
      <c r="O1657" s="264">
        <f t="shared" si="2030"/>
        <v>2.3174437521102549E-2</v>
      </c>
    </row>
    <row r="1658" spans="1:15" ht="23.4" x14ac:dyDescent="0.3">
      <c r="A1658" s="277" t="s">
        <v>108</v>
      </c>
      <c r="B1658" s="977"/>
      <c r="C1658" s="302" t="s">
        <v>452</v>
      </c>
      <c r="D1658" s="303" t="s">
        <v>410</v>
      </c>
      <c r="E1658" s="283">
        <v>0</v>
      </c>
      <c r="F1658" s="284"/>
      <c r="G1658" s="337">
        <f t="shared" si="2065"/>
        <v>0</v>
      </c>
      <c r="H1658" s="285"/>
      <c r="I1658" s="285"/>
      <c r="J1658" s="356" t="str">
        <f>IFERROR(G1658/#REF!,"-")</f>
        <v>-</v>
      </c>
      <c r="K1658" s="337">
        <f t="shared" si="2066"/>
        <v>249713</v>
      </c>
      <c r="L1658" s="275">
        <f t="shared" si="2067"/>
        <v>246636</v>
      </c>
      <c r="M1658" s="755">
        <f t="shared" si="2068"/>
        <v>3077</v>
      </c>
      <c r="N1658" s="341" t="str">
        <f t="shared" si="2064"/>
        <v>-</v>
      </c>
      <c r="O1658" s="350">
        <f t="shared" si="2030"/>
        <v>1.2322145823405269E-2</v>
      </c>
    </row>
    <row r="1659" spans="1:15" ht="24" thickBot="1" x14ac:dyDescent="0.35">
      <c r="A1659" s="277" t="s">
        <v>108</v>
      </c>
      <c r="B1659" s="977"/>
      <c r="C1659" s="302" t="s">
        <v>27</v>
      </c>
      <c r="D1659" s="303" t="s">
        <v>254</v>
      </c>
      <c r="E1659" s="283">
        <v>0</v>
      </c>
      <c r="F1659" s="284"/>
      <c r="G1659" s="337">
        <f t="shared" si="2065"/>
        <v>0</v>
      </c>
      <c r="H1659" s="285"/>
      <c r="I1659" s="285"/>
      <c r="J1659" s="356" t="str">
        <f>IFERROR(G1659/#REF!,"-")</f>
        <v>-</v>
      </c>
      <c r="K1659" s="337">
        <f t="shared" si="2066"/>
        <v>767509</v>
      </c>
      <c r="L1659" s="275">
        <f t="shared" si="2067"/>
        <v>758574</v>
      </c>
      <c r="M1659" s="755">
        <f t="shared" si="2068"/>
        <v>8935</v>
      </c>
      <c r="N1659" s="341" t="str">
        <f t="shared" si="2064"/>
        <v>-</v>
      </c>
      <c r="O1659" s="350">
        <f t="shared" si="2030"/>
        <v>1.164155729769944E-2</v>
      </c>
    </row>
    <row r="1660" spans="1:15" ht="24" thickBot="1" x14ac:dyDescent="0.35">
      <c r="A1660" s="277" t="s">
        <v>108</v>
      </c>
      <c r="B1660" s="977"/>
      <c r="C1660" s="307"/>
      <c r="D1660" s="308" t="s">
        <v>55</v>
      </c>
      <c r="E1660" s="309">
        <f>SUM(E1655:E1659)</f>
        <v>2612056</v>
      </c>
      <c r="F1660" s="310">
        <v>160000</v>
      </c>
      <c r="G1660" s="369">
        <f>SUM(G1655:G1659)</f>
        <v>84953</v>
      </c>
      <c r="H1660" s="368">
        <f>SUM(H1655:H1659)</f>
        <v>83538</v>
      </c>
      <c r="I1660" s="368">
        <f>SUM(I1655:I1659)</f>
        <v>1415</v>
      </c>
      <c r="J1660" s="359">
        <f>+G1660/F1660</f>
        <v>0.53095625000000002</v>
      </c>
      <c r="K1660" s="369">
        <f>SUM(K1655:K1659)</f>
        <v>2150370</v>
      </c>
      <c r="L1660" s="368">
        <f>SUM(L1655:L1659)</f>
        <v>2122722</v>
      </c>
      <c r="M1660" s="370">
        <f>SUM(M1655:M1659)</f>
        <v>27648</v>
      </c>
      <c r="N1660" s="358">
        <f t="shared" si="2064"/>
        <v>0.82324804674938057</v>
      </c>
      <c r="O1660" s="359">
        <f t="shared" si="2030"/>
        <v>1.2857322228267694E-2</v>
      </c>
    </row>
    <row r="1661" spans="1:15" ht="24" thickBot="1" x14ac:dyDescent="0.35">
      <c r="A1661" s="886" t="s">
        <v>108</v>
      </c>
      <c r="B1661" s="978" t="s">
        <v>170</v>
      </c>
      <c r="C1661" s="979"/>
      <c r="D1661" s="980"/>
      <c r="E1661" s="311">
        <f>+E1660+E1654</f>
        <v>2612056</v>
      </c>
      <c r="F1661" s="312">
        <v>240000</v>
      </c>
      <c r="G1661" s="372">
        <f>+G1654+G1660</f>
        <v>84953</v>
      </c>
      <c r="H1661" s="371">
        <f>+H1654+H1660</f>
        <v>83538</v>
      </c>
      <c r="I1661" s="371">
        <f>+I1654+I1660</f>
        <v>1415</v>
      </c>
      <c r="J1661" s="361">
        <f>+G1661/F1661</f>
        <v>0.35397083333333335</v>
      </c>
      <c r="K1661" s="372">
        <f>+K1654+K1660</f>
        <v>2473944</v>
      </c>
      <c r="L1661" s="371">
        <f>+L1654+L1660</f>
        <v>2437243</v>
      </c>
      <c r="M1661" s="373">
        <f>+M1654+M1660</f>
        <v>36701</v>
      </c>
      <c r="N1661" s="360">
        <f>IFERROR(K1661/E1661,"-")</f>
        <v>0.94712517648932493</v>
      </c>
      <c r="O1661" s="361">
        <f t="shared" si="2030"/>
        <v>1.4835016475716507E-2</v>
      </c>
    </row>
    <row r="1662" spans="1:15" ht="23.4" x14ac:dyDescent="0.3">
      <c r="A1662" s="277" t="s">
        <v>108</v>
      </c>
      <c r="B1662" s="977" t="s">
        <v>30</v>
      </c>
      <c r="C1662" s="306" t="s">
        <v>372</v>
      </c>
      <c r="D1662" s="300" t="s">
        <v>191</v>
      </c>
      <c r="E1662" s="273">
        <v>0</v>
      </c>
      <c r="F1662" s="274"/>
      <c r="G1662" s="335">
        <f t="shared" ref="G1662:G1664" si="2069">+H1662+I1662</f>
        <v>0</v>
      </c>
      <c r="H1662" s="275"/>
      <c r="I1662" s="275"/>
      <c r="J1662" s="354" t="str">
        <f>IFERROR(G1662/#REF!,"-")</f>
        <v>-</v>
      </c>
      <c r="K1662" s="335">
        <f t="shared" ref="K1662:K1664" si="2070">+L1662+M1662</f>
        <v>0</v>
      </c>
      <c r="L1662" s="275">
        <f t="shared" ref="L1662:L1664" si="2071">+H1662+L1555</f>
        <v>0</v>
      </c>
      <c r="M1662" s="276">
        <f t="shared" ref="M1662:M1664" si="2072">+I1662+M1555</f>
        <v>0</v>
      </c>
      <c r="N1662" s="339" t="str">
        <f t="shared" ref="N1662:N1672" si="2073">IFERROR(K1662/E1662,"-")</f>
        <v>-</v>
      </c>
      <c r="O1662" s="349" t="str">
        <f t="shared" si="2030"/>
        <v>-</v>
      </c>
    </row>
    <row r="1663" spans="1:15" ht="23.4" x14ac:dyDescent="0.3">
      <c r="A1663" s="277" t="s">
        <v>108</v>
      </c>
      <c r="B1663" s="977"/>
      <c r="C1663" s="303" t="s">
        <v>531</v>
      </c>
      <c r="D1663" s="306" t="s">
        <v>410</v>
      </c>
      <c r="E1663" s="279">
        <v>0</v>
      </c>
      <c r="F1663" s="280"/>
      <c r="G1663" s="336">
        <f t="shared" si="2069"/>
        <v>51403</v>
      </c>
      <c r="H1663" s="281">
        <v>50544</v>
      </c>
      <c r="I1663" s="281">
        <v>859</v>
      </c>
      <c r="J1663" s="355" t="str">
        <f>IFERROR(G1663/#REF!,"-")</f>
        <v>-</v>
      </c>
      <c r="K1663" s="336">
        <f t="shared" si="2070"/>
        <v>121632</v>
      </c>
      <c r="L1663" s="275">
        <f t="shared" si="2071"/>
        <v>119808</v>
      </c>
      <c r="M1663" s="276">
        <f t="shared" si="2072"/>
        <v>1824</v>
      </c>
      <c r="N1663" s="340" t="str">
        <f t="shared" si="2073"/>
        <v>-</v>
      </c>
      <c r="O1663" s="264">
        <f t="shared" si="2030"/>
        <v>1.499605367008682E-2</v>
      </c>
    </row>
    <row r="1664" spans="1:15" ht="24" thickBot="1" x14ac:dyDescent="0.35">
      <c r="A1664" s="277" t="s">
        <v>108</v>
      </c>
      <c r="B1664" s="977"/>
      <c r="C1664" s="303" t="s">
        <v>316</v>
      </c>
      <c r="D1664" s="303" t="s">
        <v>410</v>
      </c>
      <c r="E1664" s="283">
        <v>0</v>
      </c>
      <c r="F1664" s="284"/>
      <c r="G1664" s="337">
        <f t="shared" si="2069"/>
        <v>0</v>
      </c>
      <c r="H1664" s="285"/>
      <c r="I1664" s="285"/>
      <c r="J1664" s="356" t="str">
        <f>IFERROR(G1664/#REF!,"-")</f>
        <v>-</v>
      </c>
      <c r="K1664" s="337">
        <f t="shared" si="2070"/>
        <v>171639</v>
      </c>
      <c r="L1664" s="275">
        <f t="shared" si="2071"/>
        <v>166608</v>
      </c>
      <c r="M1664" s="276">
        <f t="shared" si="2072"/>
        <v>5031</v>
      </c>
      <c r="N1664" s="341" t="str">
        <f t="shared" si="2073"/>
        <v>-</v>
      </c>
      <c r="O1664" s="350">
        <f t="shared" si="2030"/>
        <v>2.9311520109066121E-2</v>
      </c>
    </row>
    <row r="1665" spans="1:15" ht="24" thickBot="1" x14ac:dyDescent="0.35">
      <c r="A1665" s="277" t="s">
        <v>108</v>
      </c>
      <c r="B1665" s="977"/>
      <c r="C1665" s="304"/>
      <c r="D1665" s="305" t="s">
        <v>53</v>
      </c>
      <c r="E1665" s="287">
        <v>0</v>
      </c>
      <c r="F1665" s="288">
        <v>50000</v>
      </c>
      <c r="G1665" s="323">
        <f>SUM(G1662:G1664)</f>
        <v>51403</v>
      </c>
      <c r="H1665" s="324">
        <f>SUM(H1662:H1664)</f>
        <v>50544</v>
      </c>
      <c r="I1665" s="324">
        <f>SUM(I1662:I1664)</f>
        <v>859</v>
      </c>
      <c r="J1665" s="348">
        <f>+H1665/G1665</f>
        <v>0.98328891309845734</v>
      </c>
      <c r="K1665" s="323">
        <f>SUM(K1662:K1664)</f>
        <v>293271</v>
      </c>
      <c r="L1665" s="324">
        <f>SUM(L1662:L1664)</f>
        <v>286416</v>
      </c>
      <c r="M1665" s="325">
        <f>SUM(M1662:M1664)</f>
        <v>6855</v>
      </c>
      <c r="N1665" s="342" t="str">
        <f t="shared" si="2073"/>
        <v>-</v>
      </c>
      <c r="O1665" s="348">
        <f t="shared" si="2030"/>
        <v>2.3374285217426884E-2</v>
      </c>
    </row>
    <row r="1666" spans="1:15" ht="23.4" x14ac:dyDescent="0.3">
      <c r="A1666" s="277" t="s">
        <v>108</v>
      </c>
      <c r="B1666" s="977"/>
      <c r="C1666" s="300" t="s">
        <v>543</v>
      </c>
      <c r="D1666" s="300" t="s">
        <v>99</v>
      </c>
      <c r="E1666" s="273">
        <v>500000</v>
      </c>
      <c r="F1666" s="274"/>
      <c r="G1666" s="335">
        <f t="shared" ref="G1666:G1668" si="2074">+H1666+I1666</f>
        <v>0</v>
      </c>
      <c r="H1666" s="275"/>
      <c r="I1666" s="275"/>
      <c r="J1666" s="354" t="str">
        <f>IFERROR(G1666/#REF!,"-")</f>
        <v>-</v>
      </c>
      <c r="K1666" s="335">
        <f t="shared" ref="K1666:K1668" si="2075">+L1666+M1666</f>
        <v>956</v>
      </c>
      <c r="L1666" s="275">
        <f t="shared" ref="L1666:L1668" si="2076">+H1666+L1559</f>
        <v>956</v>
      </c>
      <c r="M1666" s="276">
        <f t="shared" ref="M1666:M1668" si="2077">+I1666+M1559</f>
        <v>0</v>
      </c>
      <c r="N1666" s="339">
        <f t="shared" si="2073"/>
        <v>1.9120000000000001E-3</v>
      </c>
      <c r="O1666" s="349">
        <f t="shared" si="2030"/>
        <v>0</v>
      </c>
    </row>
    <row r="1667" spans="1:15" ht="23.4" x14ac:dyDescent="0.3">
      <c r="A1667" s="277" t="s">
        <v>108</v>
      </c>
      <c r="B1667" s="977"/>
      <c r="C1667" s="306" t="s">
        <v>373</v>
      </c>
      <c r="D1667" s="306" t="s">
        <v>254</v>
      </c>
      <c r="E1667" s="279">
        <v>0</v>
      </c>
      <c r="F1667" s="280"/>
      <c r="G1667" s="336">
        <f t="shared" si="2074"/>
        <v>0</v>
      </c>
      <c r="H1667" s="281"/>
      <c r="I1667" s="281"/>
      <c r="J1667" s="355" t="str">
        <f>IFERROR(G1667/#REF!,"-")</f>
        <v>-</v>
      </c>
      <c r="K1667" s="336">
        <f t="shared" si="2075"/>
        <v>13599</v>
      </c>
      <c r="L1667" s="275">
        <f t="shared" si="2076"/>
        <v>13321</v>
      </c>
      <c r="M1667" s="276">
        <f t="shared" si="2077"/>
        <v>278</v>
      </c>
      <c r="N1667" s="340" t="str">
        <f t="shared" si="2073"/>
        <v>-</v>
      </c>
      <c r="O1667" s="264">
        <f t="shared" si="2030"/>
        <v>2.0442679608794763E-2</v>
      </c>
    </row>
    <row r="1668" spans="1:15" ht="24" thickBot="1" x14ac:dyDescent="0.35">
      <c r="A1668" s="277" t="s">
        <v>108</v>
      </c>
      <c r="B1668" s="977"/>
      <c r="C1668" s="303" t="s">
        <v>544</v>
      </c>
      <c r="D1668" s="303" t="s">
        <v>507</v>
      </c>
      <c r="E1668" s="283">
        <v>0</v>
      </c>
      <c r="F1668" s="284"/>
      <c r="G1668" s="337">
        <f t="shared" si="2074"/>
        <v>0</v>
      </c>
      <c r="H1668" s="285"/>
      <c r="I1668" s="285"/>
      <c r="J1668" s="356" t="str">
        <f>IFERROR(G1668/#REF!,"-")</f>
        <v>-</v>
      </c>
      <c r="K1668" s="337">
        <f t="shared" si="2075"/>
        <v>845</v>
      </c>
      <c r="L1668" s="275">
        <f t="shared" si="2076"/>
        <v>845</v>
      </c>
      <c r="M1668" s="276">
        <f t="shared" si="2077"/>
        <v>0</v>
      </c>
      <c r="N1668" s="341" t="str">
        <f t="shared" si="2073"/>
        <v>-</v>
      </c>
      <c r="O1668" s="350">
        <f t="shared" si="2030"/>
        <v>0</v>
      </c>
    </row>
    <row r="1669" spans="1:15" ht="24" thickBot="1" x14ac:dyDescent="0.35">
      <c r="A1669" s="277" t="s">
        <v>108</v>
      </c>
      <c r="B1669" s="977"/>
      <c r="C1669" s="307"/>
      <c r="D1669" s="308" t="s">
        <v>54</v>
      </c>
      <c r="E1669" s="309">
        <f>SUM(E1666)</f>
        <v>500000</v>
      </c>
      <c r="F1669" s="310">
        <v>50000</v>
      </c>
      <c r="G1669" s="369">
        <f>SUM(G1666:G1668)</f>
        <v>0</v>
      </c>
      <c r="H1669" s="368">
        <f t="shared" ref="H1669:I1669" si="2078">SUM(H1666:H1668)</f>
        <v>0</v>
      </c>
      <c r="I1669" s="368">
        <f t="shared" si="2078"/>
        <v>0</v>
      </c>
      <c r="J1669" s="359">
        <f>+G1669/F1669</f>
        <v>0</v>
      </c>
      <c r="K1669" s="369">
        <f t="shared" ref="K1669:M1669" si="2079">SUM(K1666:K1668)</f>
        <v>15400</v>
      </c>
      <c r="L1669" s="368">
        <f t="shared" si="2079"/>
        <v>15122</v>
      </c>
      <c r="M1669" s="370">
        <f t="shared" si="2079"/>
        <v>278</v>
      </c>
      <c r="N1669" s="358">
        <f t="shared" si="2073"/>
        <v>3.0800000000000001E-2</v>
      </c>
      <c r="O1669" s="359">
        <f t="shared" si="2030"/>
        <v>1.8051948051948052E-2</v>
      </c>
    </row>
    <row r="1670" spans="1:15" ht="24" thickBot="1" x14ac:dyDescent="0.35">
      <c r="A1670" s="277" t="s">
        <v>108</v>
      </c>
      <c r="B1670" s="978" t="s">
        <v>171</v>
      </c>
      <c r="C1670" s="979"/>
      <c r="D1670" s="980"/>
      <c r="E1670" s="311">
        <f>+E1669+E1665</f>
        <v>500000</v>
      </c>
      <c r="F1670" s="312">
        <v>50000</v>
      </c>
      <c r="G1670" s="372">
        <f>+G1665+G1669</f>
        <v>51403</v>
      </c>
      <c r="H1670" s="371">
        <f t="shared" ref="H1670:I1670" si="2080">+H1665+H1669</f>
        <v>50544</v>
      </c>
      <c r="I1670" s="371">
        <f t="shared" si="2080"/>
        <v>859</v>
      </c>
      <c r="J1670" s="361">
        <f>+G1670/F1670</f>
        <v>1.02806</v>
      </c>
      <c r="K1670" s="372">
        <f t="shared" ref="K1670:M1670" si="2081">+K1665+K1669</f>
        <v>308671</v>
      </c>
      <c r="L1670" s="371">
        <f t="shared" si="2081"/>
        <v>301538</v>
      </c>
      <c r="M1670" s="373">
        <f t="shared" si="2081"/>
        <v>7133</v>
      </c>
      <c r="N1670" s="360">
        <f t="shared" si="2073"/>
        <v>0.61734199999999995</v>
      </c>
      <c r="O1670" s="361">
        <f t="shared" si="2030"/>
        <v>2.3108746853445904E-2</v>
      </c>
    </row>
    <row r="1671" spans="1:15" ht="24" thickBot="1" x14ac:dyDescent="0.35">
      <c r="A1671" s="277" t="s">
        <v>108</v>
      </c>
      <c r="B1671" s="608" t="s">
        <v>32</v>
      </c>
      <c r="C1671" s="882"/>
      <c r="D1671" s="313" t="s">
        <v>32</v>
      </c>
      <c r="E1671" s="290">
        <v>0</v>
      </c>
      <c r="F1671" s="291">
        <v>110000</v>
      </c>
      <c r="G1671" s="338">
        <f t="shared" ref="G1671" si="2082">+H1671+I1671</f>
        <v>0</v>
      </c>
      <c r="H1671" s="292"/>
      <c r="I1671" s="292"/>
      <c r="J1671" s="357" t="str">
        <f>IFERROR(G1671/#REF!,"-")</f>
        <v>-</v>
      </c>
      <c r="K1671" s="338">
        <f>+L1671+M1671</f>
        <v>0</v>
      </c>
      <c r="L1671" s="292">
        <f>+H1671+L1564</f>
        <v>0</v>
      </c>
      <c r="M1671" s="293">
        <f>+I1671+M1564</f>
        <v>0</v>
      </c>
      <c r="N1671" s="343" t="str">
        <f t="shared" si="2073"/>
        <v>-</v>
      </c>
      <c r="O1671" s="351" t="str">
        <f t="shared" si="2030"/>
        <v>-</v>
      </c>
    </row>
    <row r="1672" spans="1:15" ht="24" thickBot="1" x14ac:dyDescent="0.35">
      <c r="A1672" s="277" t="s">
        <v>108</v>
      </c>
      <c r="B1672" s="981" t="s">
        <v>21</v>
      </c>
      <c r="C1672" s="982"/>
      <c r="D1672" s="983"/>
      <c r="E1672" s="329">
        <f>+E1661+E1670+E1671</f>
        <v>3112056</v>
      </c>
      <c r="F1672" s="330">
        <f>+F1661+F1670+F1671</f>
        <v>400000</v>
      </c>
      <c r="G1672" s="329">
        <f>+G1661+G1670+G1671</f>
        <v>136356</v>
      </c>
      <c r="H1672" s="327">
        <f>+H1661+H1670+H1671</f>
        <v>134082</v>
      </c>
      <c r="I1672" s="327">
        <f>+I1661+I1670+I1671</f>
        <v>2274</v>
      </c>
      <c r="J1672" s="352">
        <f>+G1672/F1672</f>
        <v>0.34089000000000003</v>
      </c>
      <c r="K1672" s="329">
        <f>+K1661+K1670+K1671</f>
        <v>2782615</v>
      </c>
      <c r="L1672" s="327">
        <f>+L1661+L1670+L1671</f>
        <v>2738781</v>
      </c>
      <c r="M1672" s="328">
        <f>+M1661+M1670+M1671</f>
        <v>43834</v>
      </c>
      <c r="N1672" s="344">
        <f t="shared" si="2073"/>
        <v>0.89414040107247428</v>
      </c>
      <c r="O1672" s="352">
        <f t="shared" si="2030"/>
        <v>1.5752808060044241E-2</v>
      </c>
    </row>
    <row r="1673" spans="1:15" ht="24" thickBot="1" x14ac:dyDescent="0.35">
      <c r="A1673" s="277" t="s">
        <v>108</v>
      </c>
      <c r="B1673" s="984" t="s">
        <v>179</v>
      </c>
      <c r="C1673" s="962"/>
      <c r="D1673" s="963"/>
      <c r="E1673" s="333">
        <f>+E1672</f>
        <v>3112056</v>
      </c>
      <c r="F1673" s="334">
        <f t="shared" ref="F1673:I1673" si="2083">+F1672</f>
        <v>400000</v>
      </c>
      <c r="G1673" s="333">
        <f t="shared" si="2083"/>
        <v>136356</v>
      </c>
      <c r="H1673" s="331">
        <f t="shared" si="2083"/>
        <v>134082</v>
      </c>
      <c r="I1673" s="331">
        <f t="shared" si="2083"/>
        <v>2274</v>
      </c>
      <c r="J1673" s="353">
        <f>+J1672</f>
        <v>0.34089000000000003</v>
      </c>
      <c r="K1673" s="333">
        <f>+K1672</f>
        <v>2782615</v>
      </c>
      <c r="L1673" s="331">
        <f t="shared" ref="L1673" si="2084">+L1672</f>
        <v>2738781</v>
      </c>
      <c r="M1673" s="332">
        <f>+M1672</f>
        <v>43834</v>
      </c>
      <c r="N1673" s="345">
        <f t="shared" ref="N1673:O1673" si="2085">+N1672</f>
        <v>0.89414040107247428</v>
      </c>
      <c r="O1673" s="353">
        <f t="shared" si="2085"/>
        <v>1.5752808060044241E-2</v>
      </c>
    </row>
    <row r="1674" spans="1:15" ht="23.4" x14ac:dyDescent="0.3">
      <c r="A1674" s="271" t="s">
        <v>109</v>
      </c>
      <c r="B1674" s="970" t="s">
        <v>482</v>
      </c>
      <c r="C1674" s="314" t="s">
        <v>120</v>
      </c>
      <c r="D1674" s="314"/>
      <c r="E1674" s="273">
        <v>34000</v>
      </c>
      <c r="F1674" s="274"/>
      <c r="G1674" s="335">
        <f t="shared" ref="G1674:G1676" si="2086">+H1674+I1674</f>
        <v>0</v>
      </c>
      <c r="H1674" s="275"/>
      <c r="I1674" s="275"/>
      <c r="J1674" s="354" t="str">
        <f>IFERROR(G1674/#REF!,"-")</f>
        <v>-</v>
      </c>
      <c r="K1674" s="335">
        <f t="shared" ref="K1674:K1676" si="2087">+L1674+M1674</f>
        <v>0</v>
      </c>
      <c r="L1674" s="275">
        <f t="shared" ref="L1674:L1676" si="2088">+H1674+L1567</f>
        <v>0</v>
      </c>
      <c r="M1674" s="276">
        <f t="shared" ref="M1674:M1676" si="2089">+I1674+M1567</f>
        <v>0</v>
      </c>
      <c r="N1674" s="339">
        <f t="shared" ref="N1674:N1681" si="2090">IFERROR(K1674/E1674,"-")</f>
        <v>0</v>
      </c>
      <c r="O1674" s="349" t="str">
        <f t="shared" ref="O1674:O1699" si="2091">IFERROR(M1674/K1674,"-")</f>
        <v>-</v>
      </c>
    </row>
    <row r="1675" spans="1:15" ht="23.4" x14ac:dyDescent="0.3">
      <c r="A1675" s="277" t="s">
        <v>109</v>
      </c>
      <c r="B1675" s="972"/>
      <c r="C1675" s="315" t="s">
        <v>267</v>
      </c>
      <c r="D1675" s="315"/>
      <c r="E1675" s="279">
        <v>0</v>
      </c>
      <c r="F1675" s="280"/>
      <c r="G1675" s="336">
        <f t="shared" si="2086"/>
        <v>390</v>
      </c>
      <c r="H1675" s="281">
        <v>320</v>
      </c>
      <c r="I1675" s="281">
        <v>70</v>
      </c>
      <c r="J1675" s="355" t="str">
        <f>IFERROR(G1675/#REF!,"-")</f>
        <v>-</v>
      </c>
      <c r="K1675" s="336">
        <f t="shared" si="2087"/>
        <v>19332</v>
      </c>
      <c r="L1675" s="275">
        <f t="shared" si="2088"/>
        <v>18560</v>
      </c>
      <c r="M1675" s="276">
        <f t="shared" si="2089"/>
        <v>772</v>
      </c>
      <c r="N1675" s="340" t="str">
        <f t="shared" si="2090"/>
        <v>-</v>
      </c>
      <c r="O1675" s="264">
        <f t="shared" si="2091"/>
        <v>3.993378853714049E-2</v>
      </c>
    </row>
    <row r="1676" spans="1:15" ht="24" thickBot="1" x14ac:dyDescent="0.35">
      <c r="A1676" s="277" t="s">
        <v>109</v>
      </c>
      <c r="B1676" s="971"/>
      <c r="C1676" s="316" t="s">
        <v>34</v>
      </c>
      <c r="D1676" s="316"/>
      <c r="E1676" s="283">
        <v>0</v>
      </c>
      <c r="F1676" s="284"/>
      <c r="G1676" s="337">
        <f t="shared" si="2086"/>
        <v>0</v>
      </c>
      <c r="H1676" s="285"/>
      <c r="I1676" s="285"/>
      <c r="J1676" s="356" t="str">
        <f>IFERROR(G1676/#REF!,"-")</f>
        <v>-</v>
      </c>
      <c r="K1676" s="337">
        <f t="shared" si="2087"/>
        <v>0</v>
      </c>
      <c r="L1676" s="275">
        <f t="shared" si="2088"/>
        <v>0</v>
      </c>
      <c r="M1676" s="276">
        <f t="shared" si="2089"/>
        <v>0</v>
      </c>
      <c r="N1676" s="341" t="str">
        <f t="shared" si="2090"/>
        <v>-</v>
      </c>
      <c r="O1676" s="350" t="str">
        <f t="shared" si="2091"/>
        <v>-</v>
      </c>
    </row>
    <row r="1677" spans="1:15" ht="24" thickBot="1" x14ac:dyDescent="0.35">
      <c r="A1677" s="277" t="s">
        <v>109</v>
      </c>
      <c r="B1677" s="967" t="s">
        <v>35</v>
      </c>
      <c r="C1677" s="968"/>
      <c r="D1677" s="969"/>
      <c r="E1677" s="287">
        <f>SUM(E1674:E1676)</f>
        <v>34000</v>
      </c>
      <c r="F1677" s="288">
        <v>6500</v>
      </c>
      <c r="G1677" s="323">
        <f>SUM(G1674:G1676)</f>
        <v>390</v>
      </c>
      <c r="H1677" s="324">
        <f t="shared" ref="H1677:I1677" si="2092">SUM(H1674:H1676)</f>
        <v>320</v>
      </c>
      <c r="I1677" s="324">
        <f t="shared" si="2092"/>
        <v>70</v>
      </c>
      <c r="J1677" s="348" t="str">
        <f>IFERROR(G1677/#REF!,"-")</f>
        <v>-</v>
      </c>
      <c r="K1677" s="323">
        <f t="shared" ref="K1677:M1677" si="2093">SUM(K1674:K1676)</f>
        <v>19332</v>
      </c>
      <c r="L1677" s="324">
        <f t="shared" si="2093"/>
        <v>18560</v>
      </c>
      <c r="M1677" s="325">
        <f t="shared" si="2093"/>
        <v>772</v>
      </c>
      <c r="N1677" s="342">
        <f t="shared" si="2090"/>
        <v>0.56858823529411762</v>
      </c>
      <c r="O1677" s="348">
        <f t="shared" si="2091"/>
        <v>3.993378853714049E-2</v>
      </c>
    </row>
    <row r="1678" spans="1:15" ht="23.4" x14ac:dyDescent="0.3">
      <c r="A1678" s="277" t="s">
        <v>109</v>
      </c>
      <c r="B1678" s="970" t="s">
        <v>36</v>
      </c>
      <c r="C1678" s="314" t="s">
        <v>120</v>
      </c>
      <c r="D1678" s="314"/>
      <c r="E1678" s="273">
        <v>64360</v>
      </c>
      <c r="F1678" s="274"/>
      <c r="G1678" s="335">
        <f t="shared" ref="G1678:G1681" si="2094">+H1678+I1678</f>
        <v>0</v>
      </c>
      <c r="H1678" s="275"/>
      <c r="I1678" s="275"/>
      <c r="J1678" s="354" t="str">
        <f>IFERROR(G1678/#REF!,"-")</f>
        <v>-</v>
      </c>
      <c r="K1678" s="335">
        <f t="shared" ref="K1678:K1681" si="2095">+L1678+M1678</f>
        <v>0</v>
      </c>
      <c r="L1678" s="275">
        <f t="shared" ref="L1678:L1681" si="2096">+H1678+L1571</f>
        <v>0</v>
      </c>
      <c r="M1678" s="276">
        <f t="shared" ref="M1678:M1681" si="2097">+I1678+M1571</f>
        <v>0</v>
      </c>
      <c r="N1678" s="339">
        <f t="shared" si="2090"/>
        <v>0</v>
      </c>
      <c r="O1678" s="349" t="str">
        <f t="shared" si="2091"/>
        <v>-</v>
      </c>
    </row>
    <row r="1679" spans="1:15" ht="23.4" x14ac:dyDescent="0.3">
      <c r="A1679" s="277" t="s">
        <v>109</v>
      </c>
      <c r="B1679" s="972"/>
      <c r="C1679" s="315" t="s">
        <v>267</v>
      </c>
      <c r="D1679" s="315"/>
      <c r="E1679" s="279">
        <v>0</v>
      </c>
      <c r="F1679" s="280"/>
      <c r="G1679" s="336">
        <f t="shared" si="2094"/>
        <v>7650</v>
      </c>
      <c r="H1679" s="281">
        <v>7380</v>
      </c>
      <c r="I1679" s="281">
        <v>270</v>
      </c>
      <c r="J1679" s="355" t="str">
        <f>IFERROR(G1679/#REF!,"-")</f>
        <v>-</v>
      </c>
      <c r="K1679" s="336">
        <f t="shared" si="2095"/>
        <v>45378</v>
      </c>
      <c r="L1679" s="275">
        <f t="shared" si="2096"/>
        <v>43837</v>
      </c>
      <c r="M1679" s="276">
        <f t="shared" si="2097"/>
        <v>1541</v>
      </c>
      <c r="N1679" s="340" t="str">
        <f t="shared" si="2090"/>
        <v>-</v>
      </c>
      <c r="O1679" s="264">
        <f t="shared" si="2091"/>
        <v>3.3959187271364981E-2</v>
      </c>
    </row>
    <row r="1680" spans="1:15" ht="23.4" x14ac:dyDescent="0.3">
      <c r="A1680" s="277" t="s">
        <v>109</v>
      </c>
      <c r="B1680" s="972"/>
      <c r="C1680" s="315" t="s">
        <v>198</v>
      </c>
      <c r="D1680" s="315"/>
      <c r="E1680" s="279">
        <v>0</v>
      </c>
      <c r="F1680" s="280"/>
      <c r="G1680" s="336">
        <f t="shared" si="2094"/>
        <v>0</v>
      </c>
      <c r="H1680" s="281"/>
      <c r="I1680" s="281"/>
      <c r="J1680" s="355" t="str">
        <f>IFERROR(G1680/#REF!,"-")</f>
        <v>-</v>
      </c>
      <c r="K1680" s="336">
        <f t="shared" si="2095"/>
        <v>0</v>
      </c>
      <c r="L1680" s="275">
        <f t="shared" si="2096"/>
        <v>0</v>
      </c>
      <c r="M1680" s="276">
        <f t="shared" si="2097"/>
        <v>0</v>
      </c>
      <c r="N1680" s="340" t="str">
        <f t="shared" si="2090"/>
        <v>-</v>
      </c>
      <c r="O1680" s="264" t="str">
        <f t="shared" si="2091"/>
        <v>-</v>
      </c>
    </row>
    <row r="1681" spans="1:15" ht="24" thickBot="1" x14ac:dyDescent="0.35">
      <c r="A1681" s="277" t="s">
        <v>109</v>
      </c>
      <c r="B1681" s="971"/>
      <c r="C1681" s="316" t="s">
        <v>37</v>
      </c>
      <c r="D1681" s="316"/>
      <c r="E1681" s="283">
        <v>0</v>
      </c>
      <c r="F1681" s="284"/>
      <c r="G1681" s="337">
        <f t="shared" si="2094"/>
        <v>0</v>
      </c>
      <c r="H1681" s="285"/>
      <c r="I1681" s="285"/>
      <c r="J1681" s="356" t="str">
        <f>IFERROR(G1681/#REF!,"-")</f>
        <v>-</v>
      </c>
      <c r="K1681" s="337">
        <f t="shared" si="2095"/>
        <v>0</v>
      </c>
      <c r="L1681" s="275">
        <f t="shared" si="2096"/>
        <v>0</v>
      </c>
      <c r="M1681" s="276">
        <f t="shared" si="2097"/>
        <v>0</v>
      </c>
      <c r="N1681" s="341" t="str">
        <f t="shared" si="2090"/>
        <v>-</v>
      </c>
      <c r="O1681" s="350" t="str">
        <f t="shared" si="2091"/>
        <v>-</v>
      </c>
    </row>
    <row r="1682" spans="1:15" ht="24" thickBot="1" x14ac:dyDescent="0.35">
      <c r="A1682" s="277" t="s">
        <v>109</v>
      </c>
      <c r="B1682" s="967" t="s">
        <v>38</v>
      </c>
      <c r="C1682" s="968"/>
      <c r="D1682" s="969"/>
      <c r="E1682" s="287">
        <f>SUM(E1678:E1681)</f>
        <v>64360</v>
      </c>
      <c r="F1682" s="288">
        <v>6500</v>
      </c>
      <c r="G1682" s="323">
        <f>SUM(G1678:G1681)</f>
        <v>7650</v>
      </c>
      <c r="H1682" s="324">
        <f t="shared" ref="H1682:I1682" si="2098">SUM(H1678:H1681)</f>
        <v>7380</v>
      </c>
      <c r="I1682" s="324">
        <f t="shared" si="2098"/>
        <v>270</v>
      </c>
      <c r="J1682" s="348" t="str">
        <f>IFERROR(G1682/#REF!,"-")</f>
        <v>-</v>
      </c>
      <c r="K1682" s="323">
        <f t="shared" ref="K1682:M1682" si="2099">SUM(K1678:K1681)</f>
        <v>45378</v>
      </c>
      <c r="L1682" s="324">
        <f t="shared" si="2099"/>
        <v>43837</v>
      </c>
      <c r="M1682" s="325">
        <f t="shared" si="2099"/>
        <v>1541</v>
      </c>
      <c r="N1682" s="342">
        <f>IFERROR(K1682/E1682,"-")</f>
        <v>0.70506525792417651</v>
      </c>
      <c r="O1682" s="348">
        <f t="shared" si="2091"/>
        <v>3.3959187271364981E-2</v>
      </c>
    </row>
    <row r="1683" spans="1:15" ht="23.4" x14ac:dyDescent="0.3">
      <c r="A1683" s="277" t="s">
        <v>109</v>
      </c>
      <c r="B1683" s="970" t="s">
        <v>483</v>
      </c>
      <c r="C1683" s="317" t="s">
        <v>123</v>
      </c>
      <c r="D1683" s="317"/>
      <c r="E1683" s="273">
        <v>39800</v>
      </c>
      <c r="F1683" s="274"/>
      <c r="G1683" s="335">
        <f t="shared" ref="G1683:G1684" si="2100">+H1683+I1683</f>
        <v>0</v>
      </c>
      <c r="H1683" s="275"/>
      <c r="I1683" s="275"/>
      <c r="J1683" s="354" t="str">
        <f>IFERROR(G1683/#REF!,"-")</f>
        <v>-</v>
      </c>
      <c r="K1683" s="335">
        <f t="shared" ref="K1683:K1684" si="2101">+L1683+M1683</f>
        <v>144</v>
      </c>
      <c r="L1683" s="275">
        <f t="shared" ref="L1683:L1684" si="2102">+H1683+L1576</f>
        <v>144</v>
      </c>
      <c r="M1683" s="276">
        <f t="shared" ref="M1683:M1684" si="2103">+I1683+M1576</f>
        <v>0</v>
      </c>
      <c r="N1683" s="339">
        <f t="shared" ref="N1683:N1699" si="2104">IFERROR(K1683/E1683,"-")</f>
        <v>3.6180904522613066E-3</v>
      </c>
      <c r="O1683" s="349">
        <f t="shared" si="2091"/>
        <v>0</v>
      </c>
    </row>
    <row r="1684" spans="1:15" ht="24" thickBot="1" x14ac:dyDescent="0.35">
      <c r="A1684" s="277" t="s">
        <v>109</v>
      </c>
      <c r="B1684" s="971"/>
      <c r="C1684" s="289" t="s">
        <v>139</v>
      </c>
      <c r="D1684" s="289"/>
      <c r="E1684" s="283">
        <v>0</v>
      </c>
      <c r="F1684" s="284"/>
      <c r="G1684" s="337">
        <f t="shared" si="2100"/>
        <v>1910</v>
      </c>
      <c r="H1684" s="285">
        <v>1600</v>
      </c>
      <c r="I1684" s="285">
        <v>310</v>
      </c>
      <c r="J1684" s="356" t="str">
        <f>IFERROR(G1684/#REF!,"-")</f>
        <v>-</v>
      </c>
      <c r="K1684" s="337">
        <f t="shared" si="2101"/>
        <v>2150</v>
      </c>
      <c r="L1684" s="275">
        <f t="shared" si="2102"/>
        <v>1840</v>
      </c>
      <c r="M1684" s="276">
        <f t="shared" si="2103"/>
        <v>310</v>
      </c>
      <c r="N1684" s="341" t="str">
        <f t="shared" si="2104"/>
        <v>-</v>
      </c>
      <c r="O1684" s="350">
        <f t="shared" si="2091"/>
        <v>0.14418604651162792</v>
      </c>
    </row>
    <row r="1685" spans="1:15" ht="24" thickBot="1" x14ac:dyDescent="0.35">
      <c r="A1685" s="886" t="s">
        <v>109</v>
      </c>
      <c r="B1685" s="967" t="s">
        <v>40</v>
      </c>
      <c r="C1685" s="968"/>
      <c r="D1685" s="969"/>
      <c r="E1685" s="287">
        <f>SUM(E1683:E1684)</f>
        <v>39800</v>
      </c>
      <c r="F1685" s="288">
        <v>2800</v>
      </c>
      <c r="G1685" s="323">
        <f>SUM(G1683:G1684)</f>
        <v>1910</v>
      </c>
      <c r="H1685" s="324">
        <f t="shared" ref="H1685:I1685" si="2105">SUM(H1683:H1684)</f>
        <v>1600</v>
      </c>
      <c r="I1685" s="324">
        <f t="shared" si="2105"/>
        <v>310</v>
      </c>
      <c r="J1685" s="348" t="str">
        <f>IFERROR(G1685/#REF!,"-")</f>
        <v>-</v>
      </c>
      <c r="K1685" s="323">
        <f t="shared" ref="K1685:M1685" si="2106">SUM(K1683:K1684)</f>
        <v>2294</v>
      </c>
      <c r="L1685" s="324">
        <f t="shared" si="2106"/>
        <v>1984</v>
      </c>
      <c r="M1685" s="325">
        <f t="shared" si="2106"/>
        <v>310</v>
      </c>
      <c r="N1685" s="342">
        <f t="shared" si="2104"/>
        <v>5.763819095477387E-2</v>
      </c>
      <c r="O1685" s="348">
        <f t="shared" si="2091"/>
        <v>0.13513513513513514</v>
      </c>
    </row>
    <row r="1686" spans="1:15" ht="23.4" x14ac:dyDescent="0.3">
      <c r="A1686" s="277" t="s">
        <v>109</v>
      </c>
      <c r="B1686" s="970" t="s">
        <v>484</v>
      </c>
      <c r="C1686" s="272" t="s">
        <v>335</v>
      </c>
      <c r="D1686" s="272"/>
      <c r="E1686" s="273">
        <v>916640</v>
      </c>
      <c r="F1686" s="318"/>
      <c r="G1686" s="335">
        <f t="shared" ref="G1686:G1690" si="2107">+H1686+I1686</f>
        <v>33784</v>
      </c>
      <c r="H1686" s="275">
        <v>33600</v>
      </c>
      <c r="I1686" s="275">
        <v>184</v>
      </c>
      <c r="J1686" s="374" t="str">
        <f>IFERROR(G1686/#REF!,"-")</f>
        <v>-</v>
      </c>
      <c r="K1686" s="335">
        <f t="shared" ref="K1686:K1690" si="2108">+L1686+M1686</f>
        <v>405248</v>
      </c>
      <c r="L1686" s="275">
        <f t="shared" ref="L1686:L1690" si="2109">+H1686+L1579</f>
        <v>400392</v>
      </c>
      <c r="M1686" s="275">
        <f t="shared" ref="M1686:M1690" si="2110">+I1686+M1579</f>
        <v>4856</v>
      </c>
      <c r="N1686" s="362">
        <f t="shared" si="2104"/>
        <v>0.44210158840984465</v>
      </c>
      <c r="O1686" s="363">
        <f t="shared" si="2091"/>
        <v>1.1982785849652558E-2</v>
      </c>
    </row>
    <row r="1687" spans="1:15" ht="23.4" x14ac:dyDescent="0.3">
      <c r="A1687" s="277" t="s">
        <v>109</v>
      </c>
      <c r="B1687" s="972"/>
      <c r="C1687" s="272" t="s">
        <v>336</v>
      </c>
      <c r="D1687" s="278"/>
      <c r="E1687" s="279">
        <v>0</v>
      </c>
      <c r="F1687" s="319"/>
      <c r="G1687" s="336">
        <f t="shared" si="2107"/>
        <v>0</v>
      </c>
      <c r="H1687" s="281"/>
      <c r="I1687" s="281"/>
      <c r="J1687" s="375" t="str">
        <f>IFERROR(G1687/#REF!,"-")</f>
        <v>-</v>
      </c>
      <c r="K1687" s="336">
        <f t="shared" si="2108"/>
        <v>0</v>
      </c>
      <c r="L1687" s="275">
        <f t="shared" si="2109"/>
        <v>0</v>
      </c>
      <c r="M1687" s="276">
        <f t="shared" si="2110"/>
        <v>0</v>
      </c>
      <c r="N1687" s="364" t="str">
        <f t="shared" si="2104"/>
        <v>-</v>
      </c>
      <c r="O1687" s="365" t="str">
        <f t="shared" si="2091"/>
        <v>-</v>
      </c>
    </row>
    <row r="1688" spans="1:15" ht="23.4" x14ac:dyDescent="0.3">
      <c r="A1688" s="277" t="s">
        <v>109</v>
      </c>
      <c r="B1688" s="972"/>
      <c r="C1688" s="278" t="s">
        <v>383</v>
      </c>
      <c r="D1688" s="278"/>
      <c r="E1688" s="279">
        <v>40000</v>
      </c>
      <c r="F1688" s="319"/>
      <c r="G1688" s="336">
        <f t="shared" si="2107"/>
        <v>0</v>
      </c>
      <c r="H1688" s="281"/>
      <c r="I1688" s="281"/>
      <c r="J1688" s="375" t="str">
        <f>IFERROR(G1688/#REF!,"-")</f>
        <v>-</v>
      </c>
      <c r="K1688" s="336">
        <f t="shared" si="2108"/>
        <v>0</v>
      </c>
      <c r="L1688" s="275">
        <f t="shared" si="2109"/>
        <v>0</v>
      </c>
      <c r="M1688" s="276">
        <f t="shared" si="2110"/>
        <v>0</v>
      </c>
      <c r="N1688" s="364">
        <f t="shared" si="2104"/>
        <v>0</v>
      </c>
      <c r="O1688" s="365" t="str">
        <f t="shared" si="2091"/>
        <v>-</v>
      </c>
    </row>
    <row r="1689" spans="1:15" ht="23.4" x14ac:dyDescent="0.3">
      <c r="A1689" s="277" t="s">
        <v>109</v>
      </c>
      <c r="B1689" s="972"/>
      <c r="C1689" s="278" t="s">
        <v>165</v>
      </c>
      <c r="D1689" s="278"/>
      <c r="E1689" s="279">
        <v>0</v>
      </c>
      <c r="F1689" s="319"/>
      <c r="G1689" s="336">
        <f t="shared" si="2107"/>
        <v>0</v>
      </c>
      <c r="H1689" s="281"/>
      <c r="I1689" s="281"/>
      <c r="J1689" s="375" t="str">
        <f>IFERROR(G1689/#REF!,"-")</f>
        <v>-</v>
      </c>
      <c r="K1689" s="336">
        <f t="shared" si="2108"/>
        <v>0</v>
      </c>
      <c r="L1689" s="275">
        <f t="shared" si="2109"/>
        <v>0</v>
      </c>
      <c r="M1689" s="276">
        <f t="shared" si="2110"/>
        <v>0</v>
      </c>
      <c r="N1689" s="364" t="str">
        <f t="shared" si="2104"/>
        <v>-</v>
      </c>
      <c r="O1689" s="365" t="str">
        <f t="shared" si="2091"/>
        <v>-</v>
      </c>
    </row>
    <row r="1690" spans="1:15" ht="24" thickBot="1" x14ac:dyDescent="0.35">
      <c r="A1690" s="277" t="s">
        <v>109</v>
      </c>
      <c r="B1690" s="971"/>
      <c r="C1690" s="282" t="s">
        <v>166</v>
      </c>
      <c r="D1690" s="282"/>
      <c r="E1690" s="283">
        <v>0</v>
      </c>
      <c r="F1690" s="320"/>
      <c r="G1690" s="337">
        <f t="shared" si="2107"/>
        <v>0</v>
      </c>
      <c r="H1690" s="285"/>
      <c r="I1690" s="285"/>
      <c r="J1690" s="376" t="str">
        <f>IFERROR(G1690/#REF!,"-")</f>
        <v>-</v>
      </c>
      <c r="K1690" s="337">
        <f t="shared" si="2108"/>
        <v>0</v>
      </c>
      <c r="L1690" s="275">
        <f t="shared" si="2109"/>
        <v>0</v>
      </c>
      <c r="M1690" s="276">
        <f t="shared" si="2110"/>
        <v>0</v>
      </c>
      <c r="N1690" s="366" t="str">
        <f t="shared" si="2104"/>
        <v>-</v>
      </c>
      <c r="O1690" s="367" t="str">
        <f t="shared" si="2091"/>
        <v>-</v>
      </c>
    </row>
    <row r="1691" spans="1:15" ht="24" thickBot="1" x14ac:dyDescent="0.35">
      <c r="A1691" s="277" t="s">
        <v>109</v>
      </c>
      <c r="B1691" s="967" t="s">
        <v>42</v>
      </c>
      <c r="C1691" s="968"/>
      <c r="D1691" s="969"/>
      <c r="E1691" s="323">
        <f>SUM(E1686:E1690)</f>
        <v>956640</v>
      </c>
      <c r="F1691" s="288">
        <v>25000</v>
      </c>
      <c r="G1691" s="323">
        <f>SUM(G1686:G1690)</f>
        <v>33784</v>
      </c>
      <c r="H1691" s="324">
        <f>SUM(H1686:H1690)</f>
        <v>33600</v>
      </c>
      <c r="I1691" s="324">
        <f>SUM(I1686:I1690)</f>
        <v>184</v>
      </c>
      <c r="J1691" s="348" t="str">
        <f>IFERROR(G1691/#REF!,"-")</f>
        <v>-</v>
      </c>
      <c r="K1691" s="323">
        <f>SUM(K1686:K1690)</f>
        <v>405248</v>
      </c>
      <c r="L1691" s="324">
        <f>SUM(L1686:L1690)</f>
        <v>400392</v>
      </c>
      <c r="M1691" s="325">
        <f>SUM(M1686:M1690)</f>
        <v>4856</v>
      </c>
      <c r="N1691" s="342">
        <f t="shared" si="2104"/>
        <v>0.42361598929586886</v>
      </c>
      <c r="O1691" s="348">
        <f t="shared" si="2091"/>
        <v>1.1982785849652558E-2</v>
      </c>
    </row>
    <row r="1692" spans="1:15" ht="23.4" x14ac:dyDescent="0.3">
      <c r="A1692" s="277" t="s">
        <v>109</v>
      </c>
      <c r="B1692" s="970" t="s">
        <v>485</v>
      </c>
      <c r="C1692" s="272" t="s">
        <v>200</v>
      </c>
      <c r="D1692" s="272"/>
      <c r="E1692" s="273">
        <v>0</v>
      </c>
      <c r="F1692" s="274"/>
      <c r="G1692" s="335">
        <f t="shared" ref="G1692:G1694" si="2111">+H1692+I1692</f>
        <v>0</v>
      </c>
      <c r="H1692" s="275"/>
      <c r="I1692" s="275"/>
      <c r="J1692" s="354" t="str">
        <f>IFERROR(G1692/#REF!,"-")</f>
        <v>-</v>
      </c>
      <c r="K1692" s="335">
        <f t="shared" ref="K1692:K1694" si="2112">+L1692+M1692</f>
        <v>0</v>
      </c>
      <c r="L1692" s="275">
        <f t="shared" ref="L1692:L1694" si="2113">+H1692+L1585</f>
        <v>0</v>
      </c>
      <c r="M1692" s="276">
        <f t="shared" ref="M1692:M1694" si="2114">+I1692+M1585</f>
        <v>0</v>
      </c>
      <c r="N1692" s="339" t="str">
        <f t="shared" si="2104"/>
        <v>-</v>
      </c>
      <c r="O1692" s="349" t="str">
        <f t="shared" si="2091"/>
        <v>-</v>
      </c>
    </row>
    <row r="1693" spans="1:15" ht="23.4" x14ac:dyDescent="0.3">
      <c r="A1693" s="277" t="s">
        <v>109</v>
      </c>
      <c r="B1693" s="972"/>
      <c r="C1693" s="278" t="s">
        <v>167</v>
      </c>
      <c r="D1693" s="278"/>
      <c r="E1693" s="279">
        <v>50000</v>
      </c>
      <c r="F1693" s="280"/>
      <c r="G1693" s="336">
        <f t="shared" si="2111"/>
        <v>2952</v>
      </c>
      <c r="H1693" s="281">
        <v>2880</v>
      </c>
      <c r="I1693" s="281">
        <v>72</v>
      </c>
      <c r="J1693" s="375" t="str">
        <f>IFERROR(G1693/#REF!,"-")</f>
        <v>-</v>
      </c>
      <c r="K1693" s="336">
        <f t="shared" si="2112"/>
        <v>176617</v>
      </c>
      <c r="L1693" s="794">
        <f t="shared" si="2113"/>
        <v>172176</v>
      </c>
      <c r="M1693" s="276">
        <f t="shared" si="2114"/>
        <v>4441</v>
      </c>
      <c r="N1693" s="364">
        <f t="shared" si="2104"/>
        <v>3.53234</v>
      </c>
      <c r="O1693" s="365">
        <f t="shared" si="2091"/>
        <v>2.5144804860234293E-2</v>
      </c>
    </row>
    <row r="1694" spans="1:15" ht="24" thickBot="1" x14ac:dyDescent="0.35">
      <c r="A1694" s="277" t="s">
        <v>109</v>
      </c>
      <c r="B1694" s="971"/>
      <c r="C1694" s="282" t="s">
        <v>200</v>
      </c>
      <c r="D1694" s="282"/>
      <c r="E1694" s="283">
        <v>0</v>
      </c>
      <c r="F1694" s="284"/>
      <c r="G1694" s="337">
        <f t="shared" si="2111"/>
        <v>0</v>
      </c>
      <c r="H1694" s="285"/>
      <c r="I1694" s="285"/>
      <c r="J1694" s="376" t="str">
        <f>IFERROR(G1694/#REF!,"-")</f>
        <v>-</v>
      </c>
      <c r="K1694" s="337">
        <f t="shared" si="2112"/>
        <v>0</v>
      </c>
      <c r="L1694" s="275">
        <f t="shared" si="2113"/>
        <v>0</v>
      </c>
      <c r="M1694" s="276">
        <f t="shared" si="2114"/>
        <v>0</v>
      </c>
      <c r="N1694" s="366" t="str">
        <f t="shared" si="2104"/>
        <v>-</v>
      </c>
      <c r="O1694" s="367" t="str">
        <f t="shared" si="2091"/>
        <v>-</v>
      </c>
    </row>
    <row r="1695" spans="1:15" ht="24" thickBot="1" x14ac:dyDescent="0.35">
      <c r="A1695" s="277" t="s">
        <v>109</v>
      </c>
      <c r="B1695" s="973" t="s">
        <v>44</v>
      </c>
      <c r="C1695" s="974"/>
      <c r="D1695" s="975"/>
      <c r="E1695" s="323">
        <f>SUM(E1692:E1694)</f>
        <v>50000</v>
      </c>
      <c r="F1695" s="288"/>
      <c r="G1695" s="323">
        <f>SUM(G1692:G1694)</f>
        <v>2952</v>
      </c>
      <c r="H1695" s="324">
        <f t="shared" ref="H1695:I1695" si="2115">SUM(H1692:H1694)</f>
        <v>2880</v>
      </c>
      <c r="I1695" s="324">
        <f t="shared" si="2115"/>
        <v>72</v>
      </c>
      <c r="J1695" s="348" t="str">
        <f>IFERROR(G1695/#REF!,"-")</f>
        <v>-</v>
      </c>
      <c r="K1695" s="323">
        <f t="shared" ref="K1695:M1695" si="2116">SUM(K1692:K1694)</f>
        <v>176617</v>
      </c>
      <c r="L1695" s="368">
        <f t="shared" si="2116"/>
        <v>172176</v>
      </c>
      <c r="M1695" s="370">
        <f t="shared" si="2116"/>
        <v>4441</v>
      </c>
      <c r="N1695" s="342">
        <f t="shared" si="2104"/>
        <v>3.53234</v>
      </c>
      <c r="O1695" s="348">
        <f t="shared" si="2091"/>
        <v>2.5144804860234293E-2</v>
      </c>
    </row>
    <row r="1696" spans="1:15" ht="23.4" x14ac:dyDescent="0.3">
      <c r="A1696" s="277" t="s">
        <v>109</v>
      </c>
      <c r="B1696" s="970" t="s">
        <v>45</v>
      </c>
      <c r="C1696" s="272" t="s">
        <v>168</v>
      </c>
      <c r="D1696" s="272"/>
      <c r="E1696" s="273">
        <v>0</v>
      </c>
      <c r="F1696" s="274"/>
      <c r="G1696" s="335">
        <f t="shared" ref="G1696:G1697" si="2117">+H1696+I1696</f>
        <v>0</v>
      </c>
      <c r="H1696" s="275"/>
      <c r="I1696" s="275"/>
      <c r="J1696" s="374" t="str">
        <f>IFERROR(G1696/#REF!,"-")</f>
        <v>-</v>
      </c>
      <c r="K1696" s="739">
        <f t="shared" ref="K1696:K1697" si="2118">+L1696+M1696</f>
        <v>0</v>
      </c>
      <c r="L1696" s="532">
        <f t="shared" ref="L1696:L1697" si="2119">+H1696+L1589</f>
        <v>0</v>
      </c>
      <c r="M1696" s="247">
        <f t="shared" ref="M1696:M1697" si="2120">+I1696+M1589</f>
        <v>0</v>
      </c>
      <c r="N1696" s="362" t="str">
        <f t="shared" si="2104"/>
        <v>-</v>
      </c>
      <c r="O1696" s="363" t="str">
        <f t="shared" si="2091"/>
        <v>-</v>
      </c>
    </row>
    <row r="1697" spans="1:15" ht="24" thickBot="1" x14ac:dyDescent="0.35">
      <c r="A1697" s="277" t="s">
        <v>109</v>
      </c>
      <c r="B1697" s="971"/>
      <c r="C1697" s="282" t="s">
        <v>169</v>
      </c>
      <c r="D1697" s="282"/>
      <c r="E1697" s="283">
        <v>0</v>
      </c>
      <c r="F1697" s="284"/>
      <c r="G1697" s="337">
        <f t="shared" si="2117"/>
        <v>0</v>
      </c>
      <c r="H1697" s="285"/>
      <c r="I1697" s="285"/>
      <c r="J1697" s="376" t="str">
        <f>IFERROR(G1697/#REF!,"-")</f>
        <v>-</v>
      </c>
      <c r="K1697" s="740">
        <f t="shared" si="2118"/>
        <v>0</v>
      </c>
      <c r="L1697" s="535">
        <f t="shared" si="2119"/>
        <v>0</v>
      </c>
      <c r="M1697" s="258">
        <f t="shared" si="2120"/>
        <v>0</v>
      </c>
      <c r="N1697" s="366" t="str">
        <f t="shared" si="2104"/>
        <v>-</v>
      </c>
      <c r="O1697" s="367" t="str">
        <f t="shared" si="2091"/>
        <v>-</v>
      </c>
    </row>
    <row r="1698" spans="1:15" ht="24" thickBot="1" x14ac:dyDescent="0.35">
      <c r="A1698" s="277" t="s">
        <v>109</v>
      </c>
      <c r="B1698" s="973" t="s">
        <v>46</v>
      </c>
      <c r="C1698" s="974"/>
      <c r="D1698" s="975"/>
      <c r="E1698" s="287">
        <v>0</v>
      </c>
      <c r="F1698" s="288">
        <v>25000</v>
      </c>
      <c r="G1698" s="323">
        <f>SUM(G1696:G1697)</f>
        <v>0</v>
      </c>
      <c r="H1698" s="324">
        <f t="shared" ref="H1698:I1698" si="2121">SUM(H1696:H1697)</f>
        <v>0</v>
      </c>
      <c r="I1698" s="324">
        <f t="shared" si="2121"/>
        <v>0</v>
      </c>
      <c r="J1698" s="348" t="str">
        <f>IFERROR(G1698/#REF!,"-")</f>
        <v>-</v>
      </c>
      <c r="K1698" s="323">
        <f t="shared" ref="K1698:M1698" si="2122">SUM(K1696:K1697)</f>
        <v>0</v>
      </c>
      <c r="L1698" s="524">
        <f t="shared" si="2122"/>
        <v>0</v>
      </c>
      <c r="M1698" s="733">
        <f t="shared" si="2122"/>
        <v>0</v>
      </c>
      <c r="N1698" s="342" t="str">
        <f t="shared" si="2104"/>
        <v>-</v>
      </c>
      <c r="O1698" s="348" t="str">
        <f t="shared" si="2091"/>
        <v>-</v>
      </c>
    </row>
    <row r="1699" spans="1:15" ht="24" thickBot="1" x14ac:dyDescent="0.35">
      <c r="A1699" s="277" t="s">
        <v>109</v>
      </c>
      <c r="B1699" s="959" t="s">
        <v>25</v>
      </c>
      <c r="C1699" s="960"/>
      <c r="D1699" s="961"/>
      <c r="E1699" s="329">
        <f t="shared" ref="E1699:F1699" si="2123">+E1677+E1682+E1685+E1691+E1695+E1698</f>
        <v>1144800</v>
      </c>
      <c r="F1699" s="330">
        <f t="shared" si="2123"/>
        <v>65800</v>
      </c>
      <c r="G1699" s="329">
        <f>+G1677+G1682+G1685+G1691+G1695+G1698</f>
        <v>46686</v>
      </c>
      <c r="H1699" s="327">
        <f>+H1677+H1682+H1685+H1691+H1695+H1698</f>
        <v>45780</v>
      </c>
      <c r="I1699" s="327">
        <f t="shared" ref="I1699" si="2124">+I1677+I1682+I1685+I1691+I1695+I1698</f>
        <v>906</v>
      </c>
      <c r="J1699" s="352" t="str">
        <f>IFERROR(G1699/#REF!,"-")</f>
        <v>-</v>
      </c>
      <c r="K1699" s="329">
        <f>+K1677+K1682+K1685+K1691+K1695+K1698</f>
        <v>648869</v>
      </c>
      <c r="L1699" s="327">
        <f t="shared" ref="L1699:M1699" si="2125">+L1677+L1682+L1685+L1691+L1695+L1698</f>
        <v>636949</v>
      </c>
      <c r="M1699" s="328">
        <f t="shared" si="2125"/>
        <v>11920</v>
      </c>
      <c r="N1699" s="344">
        <f t="shared" si="2104"/>
        <v>0.56679682040531099</v>
      </c>
      <c r="O1699" s="352">
        <f t="shared" si="2091"/>
        <v>1.8370426079840459E-2</v>
      </c>
    </row>
    <row r="1700" spans="1:15" ht="24" thickBot="1" x14ac:dyDescent="0.35">
      <c r="A1700" s="321" t="s">
        <v>109</v>
      </c>
      <c r="B1700" s="962" t="s">
        <v>181</v>
      </c>
      <c r="C1700" s="962"/>
      <c r="D1700" s="963"/>
      <c r="E1700" s="333">
        <f>+E1699</f>
        <v>1144800</v>
      </c>
      <c r="F1700" s="334">
        <f t="shared" ref="F1700:O1700" si="2126">+F1699</f>
        <v>65800</v>
      </c>
      <c r="G1700" s="333">
        <f t="shared" si="2126"/>
        <v>46686</v>
      </c>
      <c r="H1700" s="331">
        <f t="shared" si="2126"/>
        <v>45780</v>
      </c>
      <c r="I1700" s="331">
        <f t="shared" si="2126"/>
        <v>906</v>
      </c>
      <c r="J1700" s="353" t="str">
        <f t="shared" si="2126"/>
        <v>-</v>
      </c>
      <c r="K1700" s="333">
        <f t="shared" si="2126"/>
        <v>648869</v>
      </c>
      <c r="L1700" s="331">
        <f t="shared" si="2126"/>
        <v>636949</v>
      </c>
      <c r="M1700" s="332">
        <f t="shared" si="2126"/>
        <v>11920</v>
      </c>
      <c r="N1700" s="345">
        <f t="shared" si="2126"/>
        <v>0.56679682040531099</v>
      </c>
      <c r="O1700" s="353">
        <f t="shared" si="2126"/>
        <v>1.8370426079840459E-2</v>
      </c>
    </row>
    <row r="1701" spans="1:15" ht="24.6" thickBot="1" x14ac:dyDescent="0.35">
      <c r="A1701" s="322"/>
      <c r="B1701" s="964" t="s">
        <v>182</v>
      </c>
      <c r="C1701" s="965"/>
      <c r="D1701" s="966"/>
      <c r="E1701" s="377">
        <f>+E1643+E1673+E1700</f>
        <v>10258981</v>
      </c>
      <c r="F1701" s="377">
        <f>+F1643+F1673+F1700</f>
        <v>1014800</v>
      </c>
      <c r="G1701" s="377">
        <f>+G1643+G1673+G1700</f>
        <v>305615</v>
      </c>
      <c r="H1701" s="377">
        <f>+H1643+H1673+H1700</f>
        <v>318750</v>
      </c>
      <c r="I1701" s="377">
        <f>+I1643+I1673+I1700</f>
        <v>3903</v>
      </c>
      <c r="J1701" s="378" t="str">
        <f>IFERROR(G1701/#REF!,"-")</f>
        <v>-</v>
      </c>
      <c r="K1701" s="377">
        <f>+K1643+K1673+K1700</f>
        <v>6246818</v>
      </c>
      <c r="L1701" s="377">
        <f>+L1643+L1673+L1700</f>
        <v>6171364</v>
      </c>
      <c r="M1701" s="377">
        <f>+M1643+M1673+M1700</f>
        <v>75454</v>
      </c>
      <c r="N1701" s="378">
        <f>IFERROR(K1701/E1701,"-")</f>
        <v>0.60891213269622002</v>
      </c>
      <c r="O1701" s="378">
        <f>IFERROR(M1701/K1701,"-")</f>
        <v>1.2078789553337394E-2</v>
      </c>
    </row>
    <row r="1702" spans="1:15" ht="23.4" x14ac:dyDescent="0.3">
      <c r="A1702" s="991" t="s">
        <v>1</v>
      </c>
      <c r="B1702" s="994" t="s">
        <v>2</v>
      </c>
      <c r="C1702" s="997" t="s">
        <v>477</v>
      </c>
      <c r="D1702" s="997" t="s">
        <v>478</v>
      </c>
      <c r="E1702" s="1000" t="s">
        <v>4</v>
      </c>
      <c r="F1702" s="1001"/>
      <c r="G1702" s="1001"/>
      <c r="H1702" s="1001"/>
      <c r="I1702" s="1001"/>
      <c r="J1702" s="1001"/>
      <c r="K1702" s="1001"/>
      <c r="L1702" s="1001"/>
      <c r="M1702" s="1001"/>
      <c r="N1702" s="1001"/>
      <c r="O1702" s="1002"/>
    </row>
    <row r="1703" spans="1:15" ht="23.4" x14ac:dyDescent="0.3">
      <c r="A1703" s="992"/>
      <c r="B1703" s="995"/>
      <c r="C1703" s="998"/>
      <c r="D1703" s="998"/>
      <c r="E1703" s="1003" t="s">
        <v>7</v>
      </c>
      <c r="F1703" s="1005" t="s">
        <v>115</v>
      </c>
      <c r="G1703" s="1007" t="s">
        <v>567</v>
      </c>
      <c r="H1703" s="1008"/>
      <c r="I1703" s="1008"/>
      <c r="J1703" s="1009"/>
      <c r="K1703" s="1010" t="s">
        <v>479</v>
      </c>
      <c r="L1703" s="1011"/>
      <c r="M1703" s="1012"/>
      <c r="N1703" s="1013" t="s">
        <v>480</v>
      </c>
      <c r="O1703" s="1015" t="s">
        <v>172</v>
      </c>
    </row>
    <row r="1704" spans="1:15" ht="41.4" thickBot="1" x14ac:dyDescent="0.35">
      <c r="A1704" s="993"/>
      <c r="B1704" s="996"/>
      <c r="C1704" s="999"/>
      <c r="D1704" s="999"/>
      <c r="E1704" s="1004"/>
      <c r="F1704" s="1006"/>
      <c r="G1704" s="455" t="s">
        <v>13</v>
      </c>
      <c r="H1704" s="456" t="s">
        <v>14</v>
      </c>
      <c r="I1704" s="456" t="s">
        <v>15</v>
      </c>
      <c r="J1704" s="457" t="s">
        <v>174</v>
      </c>
      <c r="K1704" s="712" t="s">
        <v>13</v>
      </c>
      <c r="L1704" s="710" t="s">
        <v>14</v>
      </c>
      <c r="M1704" s="711" t="s">
        <v>15</v>
      </c>
      <c r="N1704" s="1014"/>
      <c r="O1704" s="1016"/>
    </row>
    <row r="1705" spans="1:15" ht="24" thickBot="1" x14ac:dyDescent="0.35">
      <c r="A1705" s="271" t="s">
        <v>110</v>
      </c>
      <c r="B1705" s="956" t="s">
        <v>16</v>
      </c>
      <c r="C1705" s="272" t="s">
        <v>424</v>
      </c>
      <c r="D1705" s="272" t="s">
        <v>425</v>
      </c>
      <c r="E1705" s="273">
        <v>20000</v>
      </c>
      <c r="F1705" s="274"/>
      <c r="G1705" s="335">
        <f>+H1705+I1705</f>
        <v>0</v>
      </c>
      <c r="H1705" s="275"/>
      <c r="I1705" s="275"/>
      <c r="J1705" s="354"/>
      <c r="K1705" s="461">
        <f>+L1705+M1705</f>
        <v>20432</v>
      </c>
      <c r="L1705" s="732">
        <f>+H1705+L1598</f>
        <v>19840</v>
      </c>
      <c r="M1705" s="732">
        <f>+I1705+M1598</f>
        <v>592</v>
      </c>
      <c r="N1705" s="339">
        <f>IFERROR(K1705/E1705,"-")</f>
        <v>1.0216000000000001</v>
      </c>
      <c r="O1705" s="346">
        <f t="shared" ref="O1705:O1706" si="2127">IFERROR(M1705/K1705,"-")</f>
        <v>2.8974158183241974E-2</v>
      </c>
    </row>
    <row r="1706" spans="1:15" ht="23.4" x14ac:dyDescent="0.3">
      <c r="A1706" s="277" t="s">
        <v>110</v>
      </c>
      <c r="B1706" s="957"/>
      <c r="C1706" s="278" t="s">
        <v>438</v>
      </c>
      <c r="D1706" s="278" t="s">
        <v>437</v>
      </c>
      <c r="E1706" s="279">
        <v>50000</v>
      </c>
      <c r="F1706" s="280"/>
      <c r="G1706" s="336">
        <f t="shared" ref="G1706:G1708" si="2128">+H1706+I1706</f>
        <v>0</v>
      </c>
      <c r="H1706" s="281"/>
      <c r="I1706" s="281"/>
      <c r="J1706" s="355" t="str">
        <f>IFERROR(G1706/#REF!,"-")</f>
        <v>-</v>
      </c>
      <c r="K1706" s="734">
        <f t="shared" ref="K1706:K1708" si="2129">+L1706+M1706</f>
        <v>48806</v>
      </c>
      <c r="L1706" s="532">
        <f t="shared" ref="L1706:L1708" si="2130">+H1706+L1599</f>
        <v>48381</v>
      </c>
      <c r="M1706" s="463">
        <f t="shared" ref="M1706:M1708" si="2131">+I1706+M1599</f>
        <v>425</v>
      </c>
      <c r="N1706" s="340">
        <f t="shared" ref="N1706:N1708" si="2132">IFERROR(K1706/E1706,"-")</f>
        <v>0.97611999999999999</v>
      </c>
      <c r="O1706" s="268">
        <f t="shared" si="2127"/>
        <v>8.7079457443756912E-3</v>
      </c>
    </row>
    <row r="1707" spans="1:15" s="862" customFormat="1" ht="23.4" x14ac:dyDescent="0.3">
      <c r="A1707" s="277" t="s">
        <v>110</v>
      </c>
      <c r="B1707" s="957"/>
      <c r="C1707" s="580" t="s">
        <v>540</v>
      </c>
      <c r="D1707" s="580" t="s">
        <v>410</v>
      </c>
      <c r="E1707" s="859">
        <v>0</v>
      </c>
      <c r="F1707" s="860"/>
      <c r="G1707" s="336">
        <f t="shared" si="2128"/>
        <v>0</v>
      </c>
      <c r="H1707" s="861"/>
      <c r="I1707" s="861"/>
      <c r="J1707" s="355" t="str">
        <f>IFERROR(G1707/#REF!,"-")</f>
        <v>-</v>
      </c>
      <c r="K1707" s="734">
        <f t="shared" si="2129"/>
        <v>28600</v>
      </c>
      <c r="L1707" s="859">
        <f t="shared" si="2130"/>
        <v>28600</v>
      </c>
      <c r="M1707" s="534">
        <f t="shared" si="2131"/>
        <v>0</v>
      </c>
      <c r="N1707" s="340" t="str">
        <f t="shared" si="2132"/>
        <v>-</v>
      </c>
      <c r="O1707" s="268">
        <f>IFERROR(M1707/K1707,"-")</f>
        <v>0</v>
      </c>
    </row>
    <row r="1708" spans="1:15" ht="24" thickBot="1" x14ac:dyDescent="0.35">
      <c r="A1708" s="277" t="s">
        <v>110</v>
      </c>
      <c r="B1708" s="958"/>
      <c r="C1708" s="282" t="s">
        <v>525</v>
      </c>
      <c r="D1708" s="282" t="s">
        <v>436</v>
      </c>
      <c r="E1708" s="283">
        <v>30000</v>
      </c>
      <c r="F1708" s="284"/>
      <c r="G1708" s="337">
        <f t="shared" si="2128"/>
        <v>0</v>
      </c>
      <c r="H1708" s="275"/>
      <c r="I1708" s="275"/>
      <c r="J1708" s="356" t="str">
        <f>IFERROR(G1708/#REF!,"-")</f>
        <v>-</v>
      </c>
      <c r="K1708" s="735">
        <f t="shared" si="2129"/>
        <v>25135</v>
      </c>
      <c r="L1708" s="535">
        <f t="shared" si="2130"/>
        <v>23296</v>
      </c>
      <c r="M1708" s="466">
        <f t="shared" si="2131"/>
        <v>1839</v>
      </c>
      <c r="N1708" s="341">
        <f t="shared" si="2132"/>
        <v>0.83783333333333332</v>
      </c>
      <c r="O1708" s="347">
        <f t="shared" ref="O1708:O1726" si="2133">IFERROR(M1708/K1708,"-")</f>
        <v>7.3164909488760699E-2</v>
      </c>
    </row>
    <row r="1709" spans="1:15" ht="24" thickBot="1" x14ac:dyDescent="0.35">
      <c r="A1709" s="277" t="s">
        <v>110</v>
      </c>
      <c r="B1709" s="967" t="s">
        <v>47</v>
      </c>
      <c r="C1709" s="968"/>
      <c r="D1709" s="969"/>
      <c r="E1709" s="323">
        <f>SUM(E1705:E1708)</f>
        <v>100000</v>
      </c>
      <c r="F1709" s="288">
        <v>15000</v>
      </c>
      <c r="G1709" s="323">
        <f>SUM(G1705:G1708)</f>
        <v>0</v>
      </c>
      <c r="H1709" s="324">
        <f t="shared" ref="H1709:I1709" si="2134">SUM(H1705:H1708)</f>
        <v>0</v>
      </c>
      <c r="I1709" s="324">
        <f t="shared" si="2134"/>
        <v>0</v>
      </c>
      <c r="J1709" s="348">
        <f>+G1709/F1709</f>
        <v>0</v>
      </c>
      <c r="K1709" s="323">
        <f t="shared" ref="K1709:M1709" si="2135">SUM(K1705:K1708)</f>
        <v>122973</v>
      </c>
      <c r="L1709" s="736">
        <f t="shared" si="2135"/>
        <v>120117</v>
      </c>
      <c r="M1709" s="737">
        <f t="shared" si="2135"/>
        <v>2856</v>
      </c>
      <c r="N1709" s="342">
        <f>IFERROR(K1709/E1709,"-")</f>
        <v>1.22973</v>
      </c>
      <c r="O1709" s="348">
        <f t="shared" si="2133"/>
        <v>2.3224610280305431E-2</v>
      </c>
    </row>
    <row r="1710" spans="1:15" ht="23.4" x14ac:dyDescent="0.3">
      <c r="A1710" s="277" t="s">
        <v>110</v>
      </c>
      <c r="B1710" s="956" t="s">
        <v>17</v>
      </c>
      <c r="C1710" s="272" t="s">
        <v>320</v>
      </c>
      <c r="D1710" s="272"/>
      <c r="E1710" s="273">
        <v>0</v>
      </c>
      <c r="F1710" s="274"/>
      <c r="G1710" s="335">
        <f t="shared" ref="G1710:G1716" si="2136">+H1710+I1710</f>
        <v>3812</v>
      </c>
      <c r="H1710" s="275">
        <v>3812</v>
      </c>
      <c r="I1710" s="275"/>
      <c r="J1710" s="354" t="str">
        <f>IFERROR(G1710/#REF!,"-")</f>
        <v>-</v>
      </c>
      <c r="K1710" s="738">
        <f t="shared" ref="K1710:K1716" si="2137">+L1710+M1710</f>
        <v>200458</v>
      </c>
      <c r="L1710" s="532">
        <f t="shared" ref="L1710:L1716" si="2138">+H1710+L1603</f>
        <v>199652</v>
      </c>
      <c r="M1710" s="463">
        <f t="shared" ref="M1710:M1716" si="2139">+I1710+M1603</f>
        <v>806</v>
      </c>
      <c r="N1710" s="339" t="str">
        <f t="shared" ref="N1710:N1716" si="2140">IFERROR(K1710/E1710,"-")</f>
        <v>-</v>
      </c>
      <c r="O1710" s="349">
        <f t="shared" si="2133"/>
        <v>4.0207923854373483E-3</v>
      </c>
    </row>
    <row r="1711" spans="1:15" ht="23.4" x14ac:dyDescent="0.3">
      <c r="A1711" s="277" t="s">
        <v>110</v>
      </c>
      <c r="B1711" s="957"/>
      <c r="C1711" s="278" t="s">
        <v>382</v>
      </c>
      <c r="D1711" s="278" t="s">
        <v>252</v>
      </c>
      <c r="E1711" s="279">
        <v>2000000</v>
      </c>
      <c r="F1711" s="280"/>
      <c r="G1711" s="336">
        <f t="shared" si="2136"/>
        <v>128883</v>
      </c>
      <c r="H1711" s="281">
        <v>128520</v>
      </c>
      <c r="I1711" s="281">
        <v>363</v>
      </c>
      <c r="J1711" s="355" t="str">
        <f>IFERROR(G1711/#REF!,"-")</f>
        <v>-</v>
      </c>
      <c r="K1711" s="734">
        <f t="shared" si="2137"/>
        <v>802650</v>
      </c>
      <c r="L1711" s="279">
        <f t="shared" si="2138"/>
        <v>798583</v>
      </c>
      <c r="M1711" s="439">
        <f t="shared" si="2139"/>
        <v>4067</v>
      </c>
      <c r="N1711" s="340">
        <f t="shared" si="2140"/>
        <v>0.40132499999999999</v>
      </c>
      <c r="O1711" s="264">
        <f t="shared" si="2133"/>
        <v>5.0669656761975958E-3</v>
      </c>
    </row>
    <row r="1712" spans="1:15" ht="23.4" x14ac:dyDescent="0.3">
      <c r="A1712" s="277" t="s">
        <v>110</v>
      </c>
      <c r="B1712" s="957"/>
      <c r="C1712" s="278" t="s">
        <v>422</v>
      </c>
      <c r="D1712" s="278" t="s">
        <v>201</v>
      </c>
      <c r="E1712" s="279">
        <v>1000000</v>
      </c>
      <c r="F1712" s="280"/>
      <c r="G1712" s="336">
        <f t="shared" si="2136"/>
        <v>0</v>
      </c>
      <c r="H1712" s="281"/>
      <c r="I1712" s="281"/>
      <c r="J1712" s="355" t="str">
        <f>IFERROR(G1712/#REF!,"-")</f>
        <v>-</v>
      </c>
      <c r="K1712" s="734">
        <f t="shared" si="2137"/>
        <v>459333</v>
      </c>
      <c r="L1712" s="279">
        <f t="shared" si="2138"/>
        <v>454716</v>
      </c>
      <c r="M1712" s="439">
        <f t="shared" si="2139"/>
        <v>4617</v>
      </c>
      <c r="N1712" s="340">
        <f t="shared" si="2140"/>
        <v>0.45933299999999999</v>
      </c>
      <c r="O1712" s="264">
        <f t="shared" si="2133"/>
        <v>1.0051531242040088E-2</v>
      </c>
    </row>
    <row r="1713" spans="1:15" ht="23.4" x14ac:dyDescent="0.3">
      <c r="A1713" s="277" t="s">
        <v>110</v>
      </c>
      <c r="B1713" s="957"/>
      <c r="C1713" s="278" t="s">
        <v>319</v>
      </c>
      <c r="D1713" s="278" t="s">
        <v>202</v>
      </c>
      <c r="E1713" s="279">
        <v>0</v>
      </c>
      <c r="F1713" s="280"/>
      <c r="G1713" s="336">
        <f t="shared" si="2136"/>
        <v>0</v>
      </c>
      <c r="H1713" s="281"/>
      <c r="I1713" s="281"/>
      <c r="J1713" s="355" t="str">
        <f>IFERROR(G1713/#REF!,"-")</f>
        <v>-</v>
      </c>
      <c r="K1713" s="734">
        <f t="shared" si="2137"/>
        <v>297411</v>
      </c>
      <c r="L1713" s="279">
        <f t="shared" si="2138"/>
        <v>296152</v>
      </c>
      <c r="M1713" s="439">
        <f t="shared" si="2139"/>
        <v>1259</v>
      </c>
      <c r="N1713" s="340" t="str">
        <f t="shared" si="2140"/>
        <v>-</v>
      </c>
      <c r="O1713" s="264">
        <f t="shared" si="2133"/>
        <v>4.2331991755516774E-3</v>
      </c>
    </row>
    <row r="1714" spans="1:15" ht="23.4" x14ac:dyDescent="0.3">
      <c r="A1714" s="277" t="s">
        <v>110</v>
      </c>
      <c r="B1714" s="957"/>
      <c r="C1714" s="278" t="s">
        <v>358</v>
      </c>
      <c r="D1714" s="278" t="s">
        <v>352</v>
      </c>
      <c r="E1714" s="279">
        <v>500000</v>
      </c>
      <c r="F1714" s="280"/>
      <c r="G1714" s="336">
        <f t="shared" si="2136"/>
        <v>0</v>
      </c>
      <c r="H1714" s="281"/>
      <c r="I1714" s="281"/>
      <c r="J1714" s="355" t="str">
        <f>IFERROR(G1714/#REF!,"-")</f>
        <v>-</v>
      </c>
      <c r="K1714" s="734">
        <f t="shared" si="2137"/>
        <v>503292</v>
      </c>
      <c r="L1714" s="279">
        <f t="shared" si="2138"/>
        <v>500882</v>
      </c>
      <c r="M1714" s="439">
        <f t="shared" si="2139"/>
        <v>2410</v>
      </c>
      <c r="N1714" s="340">
        <f t="shared" si="2140"/>
        <v>1.0065839999999999</v>
      </c>
      <c r="O1714" s="264">
        <f t="shared" si="2133"/>
        <v>4.7884726957710434E-3</v>
      </c>
    </row>
    <row r="1715" spans="1:15" ht="23.4" x14ac:dyDescent="0.3">
      <c r="A1715" s="277" t="s">
        <v>110</v>
      </c>
      <c r="B1715" s="957"/>
      <c r="C1715" s="278" t="s">
        <v>392</v>
      </c>
      <c r="D1715" s="278" t="s">
        <v>203</v>
      </c>
      <c r="E1715" s="279">
        <v>0</v>
      </c>
      <c r="F1715" s="280"/>
      <c r="G1715" s="336">
        <f t="shared" si="2136"/>
        <v>0</v>
      </c>
      <c r="H1715" s="281"/>
      <c r="I1715" s="281"/>
      <c r="J1715" s="355" t="str">
        <f>IFERROR(G1715/#REF!,"-")</f>
        <v>-</v>
      </c>
      <c r="K1715" s="734">
        <f t="shared" si="2137"/>
        <v>0</v>
      </c>
      <c r="L1715" s="279">
        <f t="shared" si="2138"/>
        <v>0</v>
      </c>
      <c r="M1715" s="439">
        <f t="shared" si="2139"/>
        <v>0</v>
      </c>
      <c r="N1715" s="340" t="str">
        <f t="shared" si="2140"/>
        <v>-</v>
      </c>
      <c r="O1715" s="264" t="str">
        <f t="shared" si="2133"/>
        <v>-</v>
      </c>
    </row>
    <row r="1716" spans="1:15" ht="24" thickBot="1" x14ac:dyDescent="0.35">
      <c r="A1716" s="277" t="s">
        <v>110</v>
      </c>
      <c r="B1716" s="958"/>
      <c r="C1716" s="282" t="s">
        <v>379</v>
      </c>
      <c r="D1716" s="282" t="s">
        <v>252</v>
      </c>
      <c r="E1716" s="283">
        <v>0</v>
      </c>
      <c r="F1716" s="284"/>
      <c r="G1716" s="337">
        <f t="shared" si="2136"/>
        <v>0</v>
      </c>
      <c r="H1716" s="285"/>
      <c r="I1716" s="285"/>
      <c r="J1716" s="356" t="str">
        <f>IFERROR(G1716/#REF!,"-")</f>
        <v>-</v>
      </c>
      <c r="K1716" s="735">
        <f t="shared" si="2137"/>
        <v>0</v>
      </c>
      <c r="L1716" s="535">
        <f t="shared" si="2138"/>
        <v>0</v>
      </c>
      <c r="M1716" s="466">
        <f t="shared" si="2139"/>
        <v>0</v>
      </c>
      <c r="N1716" s="341" t="str">
        <f t="shared" si="2140"/>
        <v>-</v>
      </c>
      <c r="O1716" s="350" t="str">
        <f t="shared" si="2133"/>
        <v>-</v>
      </c>
    </row>
    <row r="1717" spans="1:15" ht="24" thickBot="1" x14ac:dyDescent="0.35">
      <c r="A1717" s="277" t="s">
        <v>110</v>
      </c>
      <c r="B1717" s="967" t="s">
        <v>48</v>
      </c>
      <c r="C1717" s="968"/>
      <c r="D1717" s="969"/>
      <c r="E1717" s="323">
        <f>SUM(E1710:E1716)</f>
        <v>3500000</v>
      </c>
      <c r="F1717" s="288">
        <v>200000</v>
      </c>
      <c r="G1717" s="323">
        <f>SUM(G1710:G1716)</f>
        <v>132695</v>
      </c>
      <c r="H1717" s="324">
        <f t="shared" ref="H1717:I1717" si="2141">SUM(H1710:H1716)</f>
        <v>132332</v>
      </c>
      <c r="I1717" s="324">
        <f t="shared" si="2141"/>
        <v>363</v>
      </c>
      <c r="J1717" s="348">
        <f>+G1717/F1717</f>
        <v>0.66347500000000004</v>
      </c>
      <c r="K1717" s="323">
        <f>SUM(K1710:K1716)</f>
        <v>2263144</v>
      </c>
      <c r="L1717" s="524">
        <f>SUM(L1710:L1716)</f>
        <v>2249985</v>
      </c>
      <c r="M1717" s="733">
        <f t="shared" ref="M1717" si="2142">SUM(M1710:M1716)</f>
        <v>13159</v>
      </c>
      <c r="N1717" s="342">
        <f>IFERROR(K1717/E1717,"-")</f>
        <v>0.64661257142857143</v>
      </c>
      <c r="O1717" s="348">
        <f t="shared" si="2133"/>
        <v>5.8144775586529184E-3</v>
      </c>
    </row>
    <row r="1718" spans="1:15" ht="23.4" x14ac:dyDescent="0.3">
      <c r="A1718" s="277" t="s">
        <v>110</v>
      </c>
      <c r="B1718" s="956" t="s">
        <v>18</v>
      </c>
      <c r="C1718" s="272" t="s">
        <v>344</v>
      </c>
      <c r="D1718" s="272" t="s">
        <v>99</v>
      </c>
      <c r="E1718" s="273">
        <v>0</v>
      </c>
      <c r="F1718" s="274"/>
      <c r="G1718" s="335">
        <f t="shared" ref="G1718:G1724" si="2143">+H1718+I1718</f>
        <v>0</v>
      </c>
      <c r="H1718" s="275"/>
      <c r="I1718" s="275"/>
      <c r="J1718" s="354" t="str">
        <f>IFERROR(G1718/#REF!,"-")</f>
        <v>-</v>
      </c>
      <c r="K1718" s="335">
        <f t="shared" ref="K1718:K1724" si="2144">+L1718+M1718</f>
        <v>0</v>
      </c>
      <c r="L1718" s="275">
        <f t="shared" ref="L1718:L1724" si="2145">+H1718+L1611</f>
        <v>0</v>
      </c>
      <c r="M1718" s="276">
        <f t="shared" ref="M1718:M1724" si="2146">+I1718+M1611</f>
        <v>0</v>
      </c>
      <c r="N1718" s="339" t="str">
        <f t="shared" ref="N1718:N1725" si="2147">IFERROR(K1718/E1718,"-")</f>
        <v>-</v>
      </c>
      <c r="O1718" s="349" t="str">
        <f t="shared" si="2133"/>
        <v>-</v>
      </c>
    </row>
    <row r="1719" spans="1:15" ht="23.4" x14ac:dyDescent="0.3">
      <c r="A1719" s="277" t="s">
        <v>110</v>
      </c>
      <c r="B1719" s="957"/>
      <c r="C1719" s="278" t="s">
        <v>253</v>
      </c>
      <c r="D1719" s="278" t="s">
        <v>254</v>
      </c>
      <c r="E1719" s="279">
        <v>0</v>
      </c>
      <c r="F1719" s="280"/>
      <c r="G1719" s="336">
        <f t="shared" si="2143"/>
        <v>0</v>
      </c>
      <c r="H1719" s="281"/>
      <c r="I1719" s="281"/>
      <c r="J1719" s="355" t="str">
        <f>IFERROR(G1719/#REF!,"-")</f>
        <v>-</v>
      </c>
      <c r="K1719" s="336">
        <f t="shared" si="2144"/>
        <v>0</v>
      </c>
      <c r="L1719" s="275">
        <f t="shared" si="2145"/>
        <v>0</v>
      </c>
      <c r="M1719" s="276">
        <f t="shared" si="2146"/>
        <v>0</v>
      </c>
      <c r="N1719" s="340" t="str">
        <f t="shared" si="2147"/>
        <v>-</v>
      </c>
      <c r="O1719" s="264" t="str">
        <f t="shared" si="2133"/>
        <v>-</v>
      </c>
    </row>
    <row r="1720" spans="1:15" ht="23.4" x14ac:dyDescent="0.3">
      <c r="A1720" s="277" t="s">
        <v>110</v>
      </c>
      <c r="B1720" s="957"/>
      <c r="C1720" s="278" t="s">
        <v>122</v>
      </c>
      <c r="D1720" s="278"/>
      <c r="E1720" s="279">
        <v>0</v>
      </c>
      <c r="F1720" s="280"/>
      <c r="G1720" s="336">
        <f t="shared" si="2143"/>
        <v>0</v>
      </c>
      <c r="H1720" s="281"/>
      <c r="I1720" s="281"/>
      <c r="J1720" s="355" t="str">
        <f>IFERROR(G1720/#REF!,"-")</f>
        <v>-</v>
      </c>
      <c r="K1720" s="336">
        <f t="shared" si="2144"/>
        <v>0</v>
      </c>
      <c r="L1720" s="275">
        <f t="shared" si="2145"/>
        <v>0</v>
      </c>
      <c r="M1720" s="276">
        <f t="shared" si="2146"/>
        <v>0</v>
      </c>
      <c r="N1720" s="340" t="str">
        <f t="shared" si="2147"/>
        <v>-</v>
      </c>
      <c r="O1720" s="264" t="str">
        <f t="shared" si="2133"/>
        <v>-</v>
      </c>
    </row>
    <row r="1721" spans="1:15" ht="23.4" x14ac:dyDescent="0.3">
      <c r="A1721" s="277" t="s">
        <v>110</v>
      </c>
      <c r="B1721" s="957"/>
      <c r="C1721" s="278" t="s">
        <v>129</v>
      </c>
      <c r="D1721" s="278"/>
      <c r="E1721" s="279">
        <v>0</v>
      </c>
      <c r="F1721" s="280"/>
      <c r="G1721" s="336">
        <f t="shared" si="2143"/>
        <v>0</v>
      </c>
      <c r="H1721" s="281"/>
      <c r="I1721" s="281"/>
      <c r="J1721" s="355" t="str">
        <f>IFERROR(G1721/#REF!,"-")</f>
        <v>-</v>
      </c>
      <c r="K1721" s="336">
        <f t="shared" si="2144"/>
        <v>0</v>
      </c>
      <c r="L1721" s="275">
        <f t="shared" si="2145"/>
        <v>0</v>
      </c>
      <c r="M1721" s="276">
        <f t="shared" si="2146"/>
        <v>0</v>
      </c>
      <c r="N1721" s="340" t="str">
        <f t="shared" si="2147"/>
        <v>-</v>
      </c>
      <c r="O1721" s="264" t="str">
        <f t="shared" si="2133"/>
        <v>-</v>
      </c>
    </row>
    <row r="1722" spans="1:15" ht="23.4" x14ac:dyDescent="0.3">
      <c r="A1722" s="277" t="s">
        <v>110</v>
      </c>
      <c r="B1722" s="957"/>
      <c r="C1722" s="278" t="s">
        <v>189</v>
      </c>
      <c r="D1722" s="278" t="s">
        <v>190</v>
      </c>
      <c r="E1722" s="279">
        <v>0</v>
      </c>
      <c r="F1722" s="280"/>
      <c r="G1722" s="336">
        <f t="shared" si="2143"/>
        <v>0</v>
      </c>
      <c r="H1722" s="281"/>
      <c r="I1722" s="281"/>
      <c r="J1722" s="355" t="str">
        <f>IFERROR(G1722/#REF!,"-")</f>
        <v>-</v>
      </c>
      <c r="K1722" s="336">
        <f t="shared" si="2144"/>
        <v>0</v>
      </c>
      <c r="L1722" s="275">
        <f t="shared" si="2145"/>
        <v>0</v>
      </c>
      <c r="M1722" s="276">
        <f t="shared" si="2146"/>
        <v>0</v>
      </c>
      <c r="N1722" s="340" t="str">
        <f t="shared" si="2147"/>
        <v>-</v>
      </c>
      <c r="O1722" s="264" t="str">
        <f t="shared" si="2133"/>
        <v>-</v>
      </c>
    </row>
    <row r="1723" spans="1:15" ht="23.4" x14ac:dyDescent="0.3">
      <c r="A1723" s="277" t="s">
        <v>110</v>
      </c>
      <c r="B1723" s="957"/>
      <c r="C1723" s="278" t="s">
        <v>192</v>
      </c>
      <c r="D1723" s="278" t="s">
        <v>191</v>
      </c>
      <c r="E1723" s="279">
        <v>0</v>
      </c>
      <c r="F1723" s="280"/>
      <c r="G1723" s="336">
        <f t="shared" si="2143"/>
        <v>0</v>
      </c>
      <c r="H1723" s="281"/>
      <c r="I1723" s="281"/>
      <c r="J1723" s="355" t="str">
        <f>IFERROR(G1723/#REF!,"-")</f>
        <v>-</v>
      </c>
      <c r="K1723" s="336">
        <f t="shared" si="2144"/>
        <v>0</v>
      </c>
      <c r="L1723" s="275">
        <f t="shared" si="2145"/>
        <v>0</v>
      </c>
      <c r="M1723" s="276">
        <f t="shared" si="2146"/>
        <v>0</v>
      </c>
      <c r="N1723" s="340" t="str">
        <f t="shared" si="2147"/>
        <v>-</v>
      </c>
      <c r="O1723" s="264" t="str">
        <f t="shared" si="2133"/>
        <v>-</v>
      </c>
    </row>
    <row r="1724" spans="1:15" ht="24" thickBot="1" x14ac:dyDescent="0.35">
      <c r="A1724" s="277" t="s">
        <v>110</v>
      </c>
      <c r="B1724" s="958"/>
      <c r="C1724" s="289" t="s">
        <v>193</v>
      </c>
      <c r="D1724" s="289" t="s">
        <v>114</v>
      </c>
      <c r="E1724" s="283">
        <v>0</v>
      </c>
      <c r="F1724" s="284"/>
      <c r="G1724" s="337">
        <f t="shared" si="2143"/>
        <v>0</v>
      </c>
      <c r="H1724" s="285"/>
      <c r="I1724" s="285"/>
      <c r="J1724" s="356" t="str">
        <f>IFERROR(G1724/#REF!,"-")</f>
        <v>-</v>
      </c>
      <c r="K1724" s="337">
        <f t="shared" si="2144"/>
        <v>0</v>
      </c>
      <c r="L1724" s="275">
        <f t="shared" si="2145"/>
        <v>0</v>
      </c>
      <c r="M1724" s="276">
        <f t="shared" si="2146"/>
        <v>0</v>
      </c>
      <c r="N1724" s="341" t="str">
        <f t="shared" si="2147"/>
        <v>-</v>
      </c>
      <c r="O1724" s="350" t="str">
        <f t="shared" si="2133"/>
        <v>-</v>
      </c>
    </row>
    <row r="1725" spans="1:15" ht="24" thickBot="1" x14ac:dyDescent="0.35">
      <c r="A1725" s="277" t="s">
        <v>110</v>
      </c>
      <c r="B1725" s="967" t="s">
        <v>29</v>
      </c>
      <c r="C1725" s="968"/>
      <c r="D1725" s="969"/>
      <c r="E1725" s="323">
        <f t="shared" ref="E1725" si="2148">SUM(E1718:E1724)</f>
        <v>0</v>
      </c>
      <c r="F1725" s="288">
        <v>80000</v>
      </c>
      <c r="G1725" s="323">
        <f>SUM(G1718:G1724)</f>
        <v>0</v>
      </c>
      <c r="H1725" s="324">
        <f t="shared" ref="H1725:I1725" si="2149">SUM(H1718:H1724)</f>
        <v>0</v>
      </c>
      <c r="I1725" s="324">
        <f t="shared" si="2149"/>
        <v>0</v>
      </c>
      <c r="J1725" s="348">
        <f>+G1725/F1725</f>
        <v>0</v>
      </c>
      <c r="K1725" s="323">
        <f t="shared" ref="K1725:M1725" si="2150">SUM(K1718:K1724)</f>
        <v>0</v>
      </c>
      <c r="L1725" s="324">
        <f t="shared" si="2150"/>
        <v>0</v>
      </c>
      <c r="M1725" s="325">
        <f t="shared" si="2150"/>
        <v>0</v>
      </c>
      <c r="N1725" s="342" t="str">
        <f t="shared" si="2147"/>
        <v>-</v>
      </c>
      <c r="O1725" s="348" t="str">
        <f t="shared" si="2133"/>
        <v>-</v>
      </c>
    </row>
    <row r="1726" spans="1:15" ht="24" thickBot="1" x14ac:dyDescent="0.35">
      <c r="A1726" s="252" t="s">
        <v>110</v>
      </c>
      <c r="B1726" s="985" t="s">
        <v>19</v>
      </c>
      <c r="C1726" s="653" t="s">
        <v>255</v>
      </c>
      <c r="D1726" s="690" t="s">
        <v>190</v>
      </c>
      <c r="E1726" s="695">
        <v>0</v>
      </c>
      <c r="F1726" s="692">
        <v>110000</v>
      </c>
      <c r="G1726" s="656">
        <f t="shared" ref="G1726:G1728" si="2151">+H1726+I1726</f>
        <v>20219</v>
      </c>
      <c r="H1726" s="462">
        <v>20064</v>
      </c>
      <c r="I1726" s="462">
        <v>155</v>
      </c>
      <c r="J1726" s="536" t="str">
        <f>IFERROR(G1726/#REF!,"-")</f>
        <v>-</v>
      </c>
      <c r="K1726" s="461">
        <f>+L1726+M1726</f>
        <v>20219</v>
      </c>
      <c r="L1726" s="462">
        <f t="shared" ref="L1726:L1728" si="2152">+H1726+L1619</f>
        <v>20064</v>
      </c>
      <c r="M1726" s="463">
        <f t="shared" ref="M1726:M1728" si="2153">+I1726+M1619</f>
        <v>155</v>
      </c>
      <c r="N1726" s="658" t="str">
        <f>IFERROR(K1726/E1726,"-")</f>
        <v>-</v>
      </c>
      <c r="O1726" s="659">
        <f t="shared" si="2133"/>
        <v>7.6660566793609972E-3</v>
      </c>
    </row>
    <row r="1727" spans="1:15" ht="24" thickBot="1" x14ac:dyDescent="0.35">
      <c r="A1727" s="252"/>
      <c r="B1727" s="986"/>
      <c r="C1727" s="299" t="s">
        <v>440</v>
      </c>
      <c r="D1727" s="657" t="s">
        <v>507</v>
      </c>
      <c r="E1727" s="696">
        <v>1000000</v>
      </c>
      <c r="F1727" s="693">
        <v>110000</v>
      </c>
      <c r="G1727" s="652">
        <f t="shared" si="2151"/>
        <v>93148</v>
      </c>
      <c r="H1727" s="275">
        <f>25344+67584</f>
        <v>92928</v>
      </c>
      <c r="I1727" s="275">
        <v>220</v>
      </c>
      <c r="J1727" s="354" t="str">
        <f>IFERROR(G1727/#REF!,"-")</f>
        <v>-</v>
      </c>
      <c r="K1727" s="338">
        <f>+L1727+M1727</f>
        <v>129959</v>
      </c>
      <c r="L1727" s="462">
        <f t="shared" si="2152"/>
        <v>129360</v>
      </c>
      <c r="M1727" s="463">
        <f t="shared" si="2153"/>
        <v>599</v>
      </c>
      <c r="N1727" s="343">
        <f t="shared" ref="N1727:N1728" si="2154">IFERROR(K1727/E1727,"-")</f>
        <v>0.12995899999999999</v>
      </c>
      <c r="O1727" s="651">
        <f>IFERROR(M1727/K1727,"-")</f>
        <v>4.6091459614186012E-3</v>
      </c>
    </row>
    <row r="1728" spans="1:15" ht="24" thickBot="1" x14ac:dyDescent="0.35">
      <c r="A1728" s="252"/>
      <c r="B1728" s="987"/>
      <c r="C1728" s="647" t="s">
        <v>380</v>
      </c>
      <c r="D1728" s="691"/>
      <c r="E1728" s="697">
        <v>150000</v>
      </c>
      <c r="F1728" s="694">
        <v>110000</v>
      </c>
      <c r="G1728" s="599">
        <f t="shared" si="2151"/>
        <v>0</v>
      </c>
      <c r="H1728" s="285"/>
      <c r="I1728" s="285"/>
      <c r="J1728" s="356"/>
      <c r="K1728" s="464">
        <f>+L1728+M1728</f>
        <v>0</v>
      </c>
      <c r="L1728" s="462">
        <f t="shared" si="2152"/>
        <v>0</v>
      </c>
      <c r="M1728" s="463">
        <f t="shared" si="2153"/>
        <v>0</v>
      </c>
      <c r="N1728" s="341">
        <f t="shared" si="2154"/>
        <v>0</v>
      </c>
      <c r="O1728" s="648" t="str">
        <f t="shared" ref="O1728:O1779" si="2155">IFERROR(M1728/K1728,"-")</f>
        <v>-</v>
      </c>
    </row>
    <row r="1729" spans="1:15" ht="24" thickBot="1" x14ac:dyDescent="0.35">
      <c r="A1729" s="277" t="s">
        <v>110</v>
      </c>
      <c r="B1729" s="988" t="s">
        <v>49</v>
      </c>
      <c r="C1729" s="968"/>
      <c r="D1729" s="969"/>
      <c r="E1729" s="323">
        <f>SUM(E1726:E1728)</f>
        <v>1150000</v>
      </c>
      <c r="F1729" s="326">
        <f t="shared" ref="F1729" si="2156">SUM(F1726)</f>
        <v>110000</v>
      </c>
      <c r="G1729" s="323">
        <f>SUM(G1726)</f>
        <v>20219</v>
      </c>
      <c r="H1729" s="324">
        <f>SUM(H1726:H1728)</f>
        <v>112992</v>
      </c>
      <c r="I1729" s="324">
        <f>SUM(I1726:I1728)</f>
        <v>375</v>
      </c>
      <c r="J1729" s="348">
        <f>+G1729/F1729</f>
        <v>0.18380909090909092</v>
      </c>
      <c r="K1729" s="649">
        <f>SUM(K1726:K1727)</f>
        <v>150178</v>
      </c>
      <c r="L1729" s="324">
        <f>SUM(L1726:L1727)</f>
        <v>149424</v>
      </c>
      <c r="M1729" s="325">
        <f>SUM(M1726:M1727)</f>
        <v>754</v>
      </c>
      <c r="N1729" s="342">
        <f>IFERROR(K1729/E1729,"-")</f>
        <v>0.13058956521739132</v>
      </c>
      <c r="O1729" s="348">
        <f t="shared" si="2155"/>
        <v>5.0207087589393918E-3</v>
      </c>
    </row>
    <row r="1730" spans="1:15" ht="23.4" x14ac:dyDescent="0.3">
      <c r="A1730" s="277" t="s">
        <v>110</v>
      </c>
      <c r="B1730" s="956" t="s">
        <v>20</v>
      </c>
      <c r="C1730" s="294" t="s">
        <v>351</v>
      </c>
      <c r="D1730" s="294" t="s">
        <v>313</v>
      </c>
      <c r="E1730" s="273">
        <v>0</v>
      </c>
      <c r="F1730" s="274"/>
      <c r="G1730" s="335">
        <f t="shared" ref="G1730:G1732" si="2157">+H1730+I1730</f>
        <v>0</v>
      </c>
      <c r="H1730" s="275"/>
      <c r="I1730" s="275"/>
      <c r="J1730" s="354" t="str">
        <f>IFERROR(G1730/#REF!,"-")</f>
        <v>-</v>
      </c>
      <c r="K1730" s="335">
        <f t="shared" ref="K1730:K1732" si="2158">+L1730+M1730</f>
        <v>0</v>
      </c>
      <c r="L1730" s="275">
        <f t="shared" ref="L1730:L1732" si="2159">+H1730+L1623</f>
        <v>0</v>
      </c>
      <c r="M1730" s="276">
        <f t="shared" ref="M1730:M1732" si="2160">+I1730+M1623</f>
        <v>0</v>
      </c>
      <c r="N1730" s="339" t="str">
        <f t="shared" ref="N1730:N1733" si="2161">IFERROR(K1730/E1730,"-")</f>
        <v>-</v>
      </c>
      <c r="O1730" s="349" t="str">
        <f t="shared" si="2155"/>
        <v>-</v>
      </c>
    </row>
    <row r="1731" spans="1:15" ht="23.4" x14ac:dyDescent="0.3">
      <c r="A1731" s="277" t="s">
        <v>110</v>
      </c>
      <c r="B1731" s="957"/>
      <c r="C1731" s="295" t="s">
        <v>121</v>
      </c>
      <c r="D1731" s="295"/>
      <c r="E1731" s="279">
        <v>0</v>
      </c>
      <c r="F1731" s="280"/>
      <c r="G1731" s="336">
        <f t="shared" si="2157"/>
        <v>0</v>
      </c>
      <c r="H1731" s="281"/>
      <c r="I1731" s="281"/>
      <c r="J1731" s="355" t="str">
        <f>IFERROR(G1731/#REF!,"-")</f>
        <v>-</v>
      </c>
      <c r="K1731" s="336">
        <f t="shared" si="2158"/>
        <v>0</v>
      </c>
      <c r="L1731" s="275">
        <f t="shared" si="2159"/>
        <v>0</v>
      </c>
      <c r="M1731" s="276">
        <f t="shared" si="2160"/>
        <v>0</v>
      </c>
      <c r="N1731" s="340" t="str">
        <f t="shared" si="2161"/>
        <v>-</v>
      </c>
      <c r="O1731" s="264" t="str">
        <f t="shared" si="2155"/>
        <v>-</v>
      </c>
    </row>
    <row r="1732" spans="1:15" ht="24" thickBot="1" x14ac:dyDescent="0.35">
      <c r="A1732" s="277" t="s">
        <v>110</v>
      </c>
      <c r="B1732" s="958"/>
      <c r="C1732" s="296" t="s">
        <v>127</v>
      </c>
      <c r="D1732" s="296"/>
      <c r="E1732" s="283">
        <v>0</v>
      </c>
      <c r="F1732" s="284"/>
      <c r="G1732" s="337">
        <f t="shared" si="2157"/>
        <v>0</v>
      </c>
      <c r="H1732" s="285"/>
      <c r="I1732" s="285"/>
      <c r="J1732" s="356" t="str">
        <f>IFERROR(G1732/#REF!,"-")</f>
        <v>-</v>
      </c>
      <c r="K1732" s="337">
        <f t="shared" si="2158"/>
        <v>0</v>
      </c>
      <c r="L1732" s="275">
        <f t="shared" si="2159"/>
        <v>0</v>
      </c>
      <c r="M1732" s="276">
        <f t="shared" si="2160"/>
        <v>0</v>
      </c>
      <c r="N1732" s="341" t="str">
        <f t="shared" si="2161"/>
        <v>-</v>
      </c>
      <c r="O1732" s="350" t="str">
        <f t="shared" si="2155"/>
        <v>-</v>
      </c>
    </row>
    <row r="1733" spans="1:15" ht="24" thickBot="1" x14ac:dyDescent="0.35">
      <c r="A1733" s="277" t="s">
        <v>110</v>
      </c>
      <c r="B1733" s="968" t="s">
        <v>50</v>
      </c>
      <c r="C1733" s="968"/>
      <c r="D1733" s="989"/>
      <c r="E1733" s="323">
        <f t="shared" ref="E1733" si="2162">SUM(E1730:E1732)</f>
        <v>0</v>
      </c>
      <c r="F1733" s="288">
        <v>50000</v>
      </c>
      <c r="G1733" s="323">
        <f>SUM(G1730:G1732)</f>
        <v>0</v>
      </c>
      <c r="H1733" s="324">
        <f t="shared" ref="H1733:I1733" si="2163">SUM(H1730:H1732)</f>
        <v>0</v>
      </c>
      <c r="I1733" s="324">
        <f t="shared" si="2163"/>
        <v>0</v>
      </c>
      <c r="J1733" s="348">
        <f>+G1733/F1733</f>
        <v>0</v>
      </c>
      <c r="K1733" s="323">
        <f t="shared" ref="K1733:M1733" si="2164">SUM(K1730:K1732)</f>
        <v>0</v>
      </c>
      <c r="L1733" s="324">
        <f t="shared" si="2164"/>
        <v>0</v>
      </c>
      <c r="M1733" s="325">
        <f t="shared" si="2164"/>
        <v>0</v>
      </c>
      <c r="N1733" s="342" t="str">
        <f t="shared" si="2161"/>
        <v>-</v>
      </c>
      <c r="O1733" s="348" t="str">
        <f t="shared" si="2155"/>
        <v>-</v>
      </c>
    </row>
    <row r="1734" spans="1:15" ht="24" thickBot="1" x14ac:dyDescent="0.35">
      <c r="A1734" s="277" t="s">
        <v>110</v>
      </c>
      <c r="B1734" s="981" t="s">
        <v>21</v>
      </c>
      <c r="C1734" s="982"/>
      <c r="D1734" s="983"/>
      <c r="E1734" s="329">
        <f>+E1709+E1717+E1725+E1729+E1733</f>
        <v>4750000</v>
      </c>
      <c r="F1734" s="330">
        <f>+F1709+F1717+F1725+F1729+F1733</f>
        <v>455000</v>
      </c>
      <c r="G1734" s="329">
        <f>+G1709+G1717+G1725+G1729+G1733</f>
        <v>152914</v>
      </c>
      <c r="H1734" s="327">
        <f>+H1709+H1717+H1725+H1729+H1733</f>
        <v>245324</v>
      </c>
      <c r="I1734" s="327">
        <f>+I1709+I1717+I1725+I1729+I1733</f>
        <v>738</v>
      </c>
      <c r="J1734" s="352">
        <f>+G1734/F1734</f>
        <v>0.33607472527472526</v>
      </c>
      <c r="K1734" s="329">
        <f>+K1709+K1717+K1725+K1729+K1733</f>
        <v>2536295</v>
      </c>
      <c r="L1734" s="327">
        <f>+L1709+L1717+L1725+L1729+L1733</f>
        <v>2519526</v>
      </c>
      <c r="M1734" s="328">
        <f>+M1709+M1717+M1725+M1729+M1733</f>
        <v>16769</v>
      </c>
      <c r="N1734" s="344">
        <f>IFERROR(K1734/E1734,"-")</f>
        <v>0.53395684210526317</v>
      </c>
      <c r="O1734" s="352">
        <f t="shared" si="2155"/>
        <v>6.6116126081548088E-3</v>
      </c>
    </row>
    <row r="1735" spans="1:15" ht="23.4" x14ac:dyDescent="0.3">
      <c r="A1735" s="277" t="s">
        <v>110</v>
      </c>
      <c r="B1735" s="956" t="s">
        <v>481</v>
      </c>
      <c r="C1735" s="272" t="s">
        <v>132</v>
      </c>
      <c r="D1735" s="272"/>
      <c r="E1735" s="273">
        <v>0</v>
      </c>
      <c r="F1735" s="274"/>
      <c r="G1735" s="335">
        <f t="shared" ref="G1735:G1738" si="2165">+H1735+I1735</f>
        <v>0</v>
      </c>
      <c r="H1735" s="275"/>
      <c r="I1735" s="275"/>
      <c r="J1735" s="354" t="str">
        <f>IFERROR(G1735/#REF!,"-")</f>
        <v>-</v>
      </c>
      <c r="K1735" s="335">
        <f t="shared" ref="K1735:K1738" si="2166">+L1735+M1735</f>
        <v>0</v>
      </c>
      <c r="L1735" s="275">
        <f t="shared" ref="L1735:L1738" si="2167">+H1735+L1628</f>
        <v>0</v>
      </c>
      <c r="M1735" s="276">
        <f t="shared" ref="M1735:M1738" si="2168">+I1735+M1628</f>
        <v>0</v>
      </c>
      <c r="N1735" s="339" t="str">
        <f t="shared" ref="N1735:N1749" si="2169">IFERROR(K1735/E1735,"-")</f>
        <v>-</v>
      </c>
      <c r="O1735" s="349" t="str">
        <f t="shared" si="2155"/>
        <v>-</v>
      </c>
    </row>
    <row r="1736" spans="1:15" ht="23.4" x14ac:dyDescent="0.3">
      <c r="A1736" s="277" t="s">
        <v>110</v>
      </c>
      <c r="B1736" s="957"/>
      <c r="C1736" s="298" t="s">
        <v>283</v>
      </c>
      <c r="D1736" s="298" t="s">
        <v>194</v>
      </c>
      <c r="E1736" s="279">
        <v>0</v>
      </c>
      <c r="F1736" s="280"/>
      <c r="G1736" s="336">
        <f t="shared" si="2165"/>
        <v>0</v>
      </c>
      <c r="H1736" s="281"/>
      <c r="I1736" s="281"/>
      <c r="J1736" s="355" t="str">
        <f>IFERROR(G1736/#REF!,"-")</f>
        <v>-</v>
      </c>
      <c r="K1736" s="336">
        <f t="shared" si="2166"/>
        <v>0</v>
      </c>
      <c r="L1736" s="275">
        <f t="shared" si="2167"/>
        <v>0</v>
      </c>
      <c r="M1736" s="276">
        <f t="shared" si="2168"/>
        <v>0</v>
      </c>
      <c r="N1736" s="340" t="str">
        <f t="shared" si="2169"/>
        <v>-</v>
      </c>
      <c r="O1736" s="264" t="str">
        <f t="shared" si="2155"/>
        <v>-</v>
      </c>
    </row>
    <row r="1737" spans="1:15" ht="23.4" x14ac:dyDescent="0.3">
      <c r="A1737" s="277" t="s">
        <v>110</v>
      </c>
      <c r="B1737" s="957"/>
      <c r="C1737" s="298" t="s">
        <v>405</v>
      </c>
      <c r="D1737" s="298" t="s">
        <v>194</v>
      </c>
      <c r="E1737" s="279">
        <v>1000000</v>
      </c>
      <c r="F1737" s="280"/>
      <c r="G1737" s="336">
        <f t="shared" si="2165"/>
        <v>0</v>
      </c>
      <c r="H1737" s="281"/>
      <c r="I1737" s="281"/>
      <c r="J1737" s="355" t="str">
        <f>IFERROR(G1737/#REF!,"-")</f>
        <v>-</v>
      </c>
      <c r="K1737" s="336">
        <f t="shared" si="2166"/>
        <v>362579</v>
      </c>
      <c r="L1737" s="275">
        <f t="shared" si="2167"/>
        <v>359670</v>
      </c>
      <c r="M1737" s="276">
        <f t="shared" si="2168"/>
        <v>2909</v>
      </c>
      <c r="N1737" s="340">
        <f t="shared" si="2169"/>
        <v>0.36257899999999998</v>
      </c>
      <c r="O1737" s="264">
        <f t="shared" si="2155"/>
        <v>8.0230791082770928E-3</v>
      </c>
    </row>
    <row r="1738" spans="1:15" ht="24" thickBot="1" x14ac:dyDescent="0.35">
      <c r="A1738" s="277" t="s">
        <v>110</v>
      </c>
      <c r="B1738" s="958"/>
      <c r="C1738" s="282" t="s">
        <v>195</v>
      </c>
      <c r="D1738" s="282" t="s">
        <v>100</v>
      </c>
      <c r="E1738" s="283">
        <v>0</v>
      </c>
      <c r="F1738" s="284"/>
      <c r="G1738" s="337">
        <f t="shared" si="2165"/>
        <v>0</v>
      </c>
      <c r="H1738" s="285"/>
      <c r="I1738" s="285"/>
      <c r="J1738" s="356" t="str">
        <f>IFERROR(G1738/#REF!,"-")</f>
        <v>-</v>
      </c>
      <c r="K1738" s="337">
        <f t="shared" si="2166"/>
        <v>0</v>
      </c>
      <c r="L1738" s="275">
        <f t="shared" si="2167"/>
        <v>0</v>
      </c>
      <c r="M1738" s="276">
        <f t="shared" si="2168"/>
        <v>0</v>
      </c>
      <c r="N1738" s="341" t="str">
        <f t="shared" si="2169"/>
        <v>-</v>
      </c>
      <c r="O1738" s="350" t="str">
        <f t="shared" si="2155"/>
        <v>-</v>
      </c>
    </row>
    <row r="1739" spans="1:15" ht="24" thickBot="1" x14ac:dyDescent="0.35">
      <c r="A1739" s="277" t="s">
        <v>110</v>
      </c>
      <c r="B1739" s="967" t="s">
        <v>51</v>
      </c>
      <c r="C1739" s="968"/>
      <c r="D1739" s="969"/>
      <c r="E1739" s="287">
        <f>SUM(E1735:E1738)</f>
        <v>1000000</v>
      </c>
      <c r="F1739" s="288">
        <v>80000</v>
      </c>
      <c r="G1739" s="323">
        <f>SUM(G1735:G1738)</f>
        <v>0</v>
      </c>
      <c r="H1739" s="324">
        <f t="shared" ref="H1739:I1739" si="2170">SUM(H1735:H1738)</f>
        <v>0</v>
      </c>
      <c r="I1739" s="324">
        <f t="shared" si="2170"/>
        <v>0</v>
      </c>
      <c r="J1739" s="348">
        <f>+G1739/F1739</f>
        <v>0</v>
      </c>
      <c r="K1739" s="323">
        <f t="shared" ref="K1739:M1739" si="2171">SUM(K1735:K1738)</f>
        <v>362579</v>
      </c>
      <c r="L1739" s="324">
        <f t="shared" si="2171"/>
        <v>359670</v>
      </c>
      <c r="M1739" s="325">
        <f t="shared" si="2171"/>
        <v>2909</v>
      </c>
      <c r="N1739" s="342">
        <f t="shared" si="2169"/>
        <v>0.36257899999999998</v>
      </c>
      <c r="O1739" s="348">
        <f t="shared" si="2155"/>
        <v>8.0230791082770928E-3</v>
      </c>
    </row>
    <row r="1740" spans="1:15" ht="23.4" x14ac:dyDescent="0.3">
      <c r="A1740" s="277" t="s">
        <v>110</v>
      </c>
      <c r="B1740" s="956" t="s">
        <v>23</v>
      </c>
      <c r="C1740" s="278" t="s">
        <v>260</v>
      </c>
      <c r="D1740" s="299" t="s">
        <v>258</v>
      </c>
      <c r="E1740" s="273">
        <f>25000+10875+6000</f>
        <v>41875</v>
      </c>
      <c r="F1740" s="274"/>
      <c r="G1740" s="335">
        <f t="shared" ref="G1740:G1747" si="2172">+H1740+I1740</f>
        <v>0</v>
      </c>
      <c r="H1740" s="275"/>
      <c r="I1740" s="275"/>
      <c r="J1740" s="354" t="str">
        <f>IFERROR(G1740/#REF!,"-")</f>
        <v>-</v>
      </c>
      <c r="K1740" s="335">
        <f t="shared" ref="K1740:K1747" si="2173">+L1740+M1740</f>
        <v>11160</v>
      </c>
      <c r="L1740" s="275">
        <f t="shared" ref="L1740:L1747" si="2174">+H1740+L1633</f>
        <v>11012</v>
      </c>
      <c r="M1740" s="276">
        <f t="shared" ref="M1740:M1747" si="2175">+I1740+M1633</f>
        <v>148</v>
      </c>
      <c r="N1740" s="339">
        <f t="shared" si="2169"/>
        <v>0.26650746268656716</v>
      </c>
      <c r="O1740" s="349">
        <f t="shared" si="2155"/>
        <v>1.3261648745519713E-2</v>
      </c>
    </row>
    <row r="1741" spans="1:15" ht="23.4" x14ac:dyDescent="0.3">
      <c r="A1741" s="277" t="s">
        <v>110</v>
      </c>
      <c r="B1741" s="957"/>
      <c r="C1741" s="278" t="s">
        <v>24</v>
      </c>
      <c r="D1741" s="278" t="s">
        <v>258</v>
      </c>
      <c r="E1741" s="279">
        <v>97500</v>
      </c>
      <c r="F1741" s="280"/>
      <c r="G1741" s="336">
        <f t="shared" si="2172"/>
        <v>15790</v>
      </c>
      <c r="H1741" s="281">
        <v>15750</v>
      </c>
      <c r="I1741" s="281">
        <v>40</v>
      </c>
      <c r="J1741" s="355" t="str">
        <f>IFERROR(G1741/#REF!,"-")</f>
        <v>-</v>
      </c>
      <c r="K1741" s="336">
        <f t="shared" si="2173"/>
        <v>29035</v>
      </c>
      <c r="L1741" s="275">
        <f t="shared" si="2174"/>
        <v>28985</v>
      </c>
      <c r="M1741" s="276">
        <f t="shared" si="2175"/>
        <v>50</v>
      </c>
      <c r="N1741" s="340">
        <f t="shared" si="2169"/>
        <v>0.2977948717948718</v>
      </c>
      <c r="O1741" s="264">
        <f t="shared" si="2155"/>
        <v>1.7220595832615809E-3</v>
      </c>
    </row>
    <row r="1742" spans="1:15" ht="23.4" x14ac:dyDescent="0.3">
      <c r="A1742" s="277" t="s">
        <v>110</v>
      </c>
      <c r="B1742" s="957"/>
      <c r="C1742" s="278" t="s">
        <v>256</v>
      </c>
      <c r="D1742" s="278" t="s">
        <v>258</v>
      </c>
      <c r="E1742" s="279">
        <v>17750</v>
      </c>
      <c r="F1742" s="280"/>
      <c r="G1742" s="336">
        <f t="shared" si="2172"/>
        <v>0</v>
      </c>
      <c r="H1742" s="281"/>
      <c r="I1742" s="281"/>
      <c r="J1742" s="355" t="str">
        <f>IFERROR(G1742/#REF!,"-")</f>
        <v>-</v>
      </c>
      <c r="K1742" s="336">
        <f t="shared" si="2173"/>
        <v>19656</v>
      </c>
      <c r="L1742" s="275">
        <f t="shared" si="2174"/>
        <v>19545</v>
      </c>
      <c r="M1742" s="276">
        <f t="shared" si="2175"/>
        <v>111</v>
      </c>
      <c r="N1742" s="340">
        <f t="shared" si="2169"/>
        <v>1.1073802816901408</v>
      </c>
      <c r="O1742" s="264">
        <f t="shared" si="2155"/>
        <v>5.647130647130647E-3</v>
      </c>
    </row>
    <row r="1743" spans="1:15" ht="23.4" x14ac:dyDescent="0.3">
      <c r="A1743" s="277" t="s">
        <v>110</v>
      </c>
      <c r="B1743" s="957"/>
      <c r="C1743" s="278" t="s">
        <v>257</v>
      </c>
      <c r="D1743" s="278" t="s">
        <v>258</v>
      </c>
      <c r="E1743" s="279">
        <v>20000</v>
      </c>
      <c r="F1743" s="280"/>
      <c r="G1743" s="336">
        <f t="shared" si="2172"/>
        <v>0</v>
      </c>
      <c r="H1743" s="281"/>
      <c r="I1743" s="281"/>
      <c r="J1743" s="355" t="str">
        <f>IFERROR(G1743/#REF!,"-")</f>
        <v>-</v>
      </c>
      <c r="K1743" s="336">
        <f t="shared" si="2173"/>
        <v>20512</v>
      </c>
      <c r="L1743" s="275">
        <f t="shared" si="2174"/>
        <v>20361</v>
      </c>
      <c r="M1743" s="276">
        <f t="shared" si="2175"/>
        <v>151</v>
      </c>
      <c r="N1743" s="340">
        <f t="shared" si="2169"/>
        <v>1.0256000000000001</v>
      </c>
      <c r="O1743" s="264">
        <f t="shared" si="2155"/>
        <v>7.3615444617784707E-3</v>
      </c>
    </row>
    <row r="1744" spans="1:15" ht="23.4" x14ac:dyDescent="0.3">
      <c r="A1744" s="277" t="s">
        <v>110</v>
      </c>
      <c r="B1744" s="957"/>
      <c r="C1744" s="298" t="s">
        <v>475</v>
      </c>
      <c r="D1744" s="278" t="s">
        <v>258</v>
      </c>
      <c r="E1744" s="279">
        <v>10000</v>
      </c>
      <c r="F1744" s="280"/>
      <c r="G1744" s="336">
        <f t="shared" si="2172"/>
        <v>0</v>
      </c>
      <c r="H1744" s="281"/>
      <c r="I1744" s="281"/>
      <c r="J1744" s="355" t="str">
        <f>IFERROR(G1744/#REF!,"-")</f>
        <v>-</v>
      </c>
      <c r="K1744" s="336">
        <f t="shared" si="2173"/>
        <v>12327</v>
      </c>
      <c r="L1744" s="275">
        <f t="shared" si="2174"/>
        <v>12307</v>
      </c>
      <c r="M1744" s="276">
        <f t="shared" si="2175"/>
        <v>20</v>
      </c>
      <c r="N1744" s="340">
        <f t="shared" si="2169"/>
        <v>1.2326999999999999</v>
      </c>
      <c r="O1744" s="264">
        <f t="shared" si="2155"/>
        <v>1.6224547740731727E-3</v>
      </c>
    </row>
    <row r="1745" spans="1:15" ht="23.4" x14ac:dyDescent="0.3">
      <c r="A1745" s="277" t="s">
        <v>110</v>
      </c>
      <c r="B1745" s="957"/>
      <c r="C1745" s="298" t="s">
        <v>506</v>
      </c>
      <c r="D1745" s="278" t="s">
        <v>258</v>
      </c>
      <c r="E1745" s="279">
        <v>9000</v>
      </c>
      <c r="F1745" s="280"/>
      <c r="G1745" s="336">
        <f t="shared" si="2172"/>
        <v>0</v>
      </c>
      <c r="H1745" s="281"/>
      <c r="I1745" s="281"/>
      <c r="J1745" s="355" t="str">
        <f>IFERROR(G1745/#REF!,"-")</f>
        <v>-</v>
      </c>
      <c r="K1745" s="336">
        <f t="shared" si="2173"/>
        <v>26750</v>
      </c>
      <c r="L1745" s="275">
        <f t="shared" si="2174"/>
        <v>26682</v>
      </c>
      <c r="M1745" s="276">
        <f t="shared" si="2175"/>
        <v>68</v>
      </c>
      <c r="N1745" s="340">
        <f t="shared" si="2169"/>
        <v>2.9722222222222223</v>
      </c>
      <c r="O1745" s="264">
        <f t="shared" si="2155"/>
        <v>2.542056074766355E-3</v>
      </c>
    </row>
    <row r="1746" spans="1:15" ht="23.4" x14ac:dyDescent="0.3">
      <c r="A1746" s="277" t="s">
        <v>110</v>
      </c>
      <c r="B1746" s="957"/>
      <c r="C1746" s="298" t="s">
        <v>261</v>
      </c>
      <c r="D1746" s="278" t="s">
        <v>263</v>
      </c>
      <c r="E1746" s="279">
        <v>22500</v>
      </c>
      <c r="F1746" s="280"/>
      <c r="G1746" s="336">
        <f t="shared" si="2172"/>
        <v>0</v>
      </c>
      <c r="H1746" s="281"/>
      <c r="I1746" s="281"/>
      <c r="J1746" s="355" t="str">
        <f>IFERROR(G1746/#REF!,"-")</f>
        <v>-</v>
      </c>
      <c r="K1746" s="336">
        <f t="shared" si="2173"/>
        <v>23536</v>
      </c>
      <c r="L1746" s="275">
        <f t="shared" si="2174"/>
        <v>23490</v>
      </c>
      <c r="M1746" s="276">
        <f t="shared" si="2175"/>
        <v>46</v>
      </c>
      <c r="N1746" s="340">
        <f t="shared" si="2169"/>
        <v>1.0460444444444446</v>
      </c>
      <c r="O1746" s="264">
        <f t="shared" si="2155"/>
        <v>1.954452753229096E-3</v>
      </c>
    </row>
    <row r="1747" spans="1:15" ht="24" thickBot="1" x14ac:dyDescent="0.35">
      <c r="A1747" s="277" t="s">
        <v>110</v>
      </c>
      <c r="B1747" s="958"/>
      <c r="C1747" s="298" t="s">
        <v>262</v>
      </c>
      <c r="D1747" s="278" t="s">
        <v>258</v>
      </c>
      <c r="E1747" s="283">
        <v>33500</v>
      </c>
      <c r="F1747" s="284"/>
      <c r="G1747" s="337">
        <f t="shared" si="2172"/>
        <v>0</v>
      </c>
      <c r="H1747" s="285"/>
      <c r="I1747" s="285"/>
      <c r="J1747" s="356" t="str">
        <f>IFERROR(G1747/#REF!,"-")</f>
        <v>-</v>
      </c>
      <c r="K1747" s="337">
        <f t="shared" si="2173"/>
        <v>35336</v>
      </c>
      <c r="L1747" s="275">
        <f t="shared" si="2174"/>
        <v>35130</v>
      </c>
      <c r="M1747" s="276">
        <f t="shared" si="2175"/>
        <v>206</v>
      </c>
      <c r="N1747" s="341">
        <f t="shared" si="2169"/>
        <v>1.0548059701492538</v>
      </c>
      <c r="O1747" s="350">
        <f t="shared" si="2155"/>
        <v>5.8297486982114557E-3</v>
      </c>
    </row>
    <row r="1748" spans="1:15" ht="24" thickBot="1" x14ac:dyDescent="0.35">
      <c r="A1748" s="277" t="s">
        <v>110</v>
      </c>
      <c r="B1748" s="967" t="s">
        <v>52</v>
      </c>
      <c r="C1748" s="968"/>
      <c r="D1748" s="969"/>
      <c r="E1748" s="287">
        <f>SUM(E1740:E1747)</f>
        <v>252125</v>
      </c>
      <c r="F1748" s="288">
        <v>14000</v>
      </c>
      <c r="G1748" s="323">
        <f>SUM(G1740:G1747)</f>
        <v>15790</v>
      </c>
      <c r="H1748" s="324">
        <f t="shared" ref="H1748:I1748" si="2176">SUM(H1740:H1747)</f>
        <v>15750</v>
      </c>
      <c r="I1748" s="324">
        <f t="shared" si="2176"/>
        <v>40</v>
      </c>
      <c r="J1748" s="348">
        <f>+G1749/F1749</f>
        <v>0.16797872340425532</v>
      </c>
      <c r="K1748" s="323">
        <f>SUM(K1740:K1747)</f>
        <v>178312</v>
      </c>
      <c r="L1748" s="324">
        <f t="shared" ref="L1748:M1748" si="2177">SUM(L1740:L1747)</f>
        <v>177512</v>
      </c>
      <c r="M1748" s="325">
        <f t="shared" si="2177"/>
        <v>800</v>
      </c>
      <c r="N1748" s="342">
        <f t="shared" si="2169"/>
        <v>0.70723648983639065</v>
      </c>
      <c r="O1748" s="348">
        <f t="shared" si="2155"/>
        <v>4.4865180133698236E-3</v>
      </c>
    </row>
    <row r="1749" spans="1:15" ht="24" thickBot="1" x14ac:dyDescent="0.35">
      <c r="A1749" s="277" t="s">
        <v>110</v>
      </c>
      <c r="B1749" s="981" t="s">
        <v>25</v>
      </c>
      <c r="C1749" s="982"/>
      <c r="D1749" s="983"/>
      <c r="E1749" s="329">
        <f t="shared" ref="E1749:F1749" si="2178">+E1739+E1748</f>
        <v>1252125</v>
      </c>
      <c r="F1749" s="330">
        <f t="shared" si="2178"/>
        <v>94000</v>
      </c>
      <c r="G1749" s="329">
        <f>+G1739+G1748</f>
        <v>15790</v>
      </c>
      <c r="H1749" s="327">
        <f t="shared" ref="H1749:I1749" si="2179">+H1739+H1748</f>
        <v>15750</v>
      </c>
      <c r="I1749" s="327">
        <f t="shared" si="2179"/>
        <v>40</v>
      </c>
      <c r="J1749" s="352" t="str">
        <f>IFERROR(G1749/#REF!,"-")</f>
        <v>-</v>
      </c>
      <c r="K1749" s="329">
        <f t="shared" ref="K1749" si="2180">+K1739+K1748</f>
        <v>540891</v>
      </c>
      <c r="L1749" s="327">
        <f>+L1739+L1748</f>
        <v>537182</v>
      </c>
      <c r="M1749" s="328">
        <f t="shared" ref="M1749" si="2181">+M1739+M1748</f>
        <v>3709</v>
      </c>
      <c r="N1749" s="344">
        <f t="shared" si="2169"/>
        <v>0.43197843665768193</v>
      </c>
      <c r="O1749" s="352">
        <f t="shared" si="2155"/>
        <v>6.8572041317012111E-3</v>
      </c>
    </row>
    <row r="1750" spans="1:15" ht="24" thickBot="1" x14ac:dyDescent="0.35">
      <c r="A1750" s="277" t="s">
        <v>110</v>
      </c>
      <c r="B1750" s="984" t="s">
        <v>180</v>
      </c>
      <c r="C1750" s="962"/>
      <c r="D1750" s="963"/>
      <c r="E1750" s="333">
        <f>+E1734+E1749</f>
        <v>6002125</v>
      </c>
      <c r="F1750" s="334">
        <f t="shared" ref="F1750:I1750" si="2182">+F1734+F1749</f>
        <v>549000</v>
      </c>
      <c r="G1750" s="333">
        <f t="shared" si="2182"/>
        <v>168704</v>
      </c>
      <c r="H1750" s="331">
        <f t="shared" si="2182"/>
        <v>261074</v>
      </c>
      <c r="I1750" s="331">
        <f t="shared" si="2182"/>
        <v>778</v>
      </c>
      <c r="J1750" s="353">
        <f>+G1750/F1750</f>
        <v>0.30729326047358835</v>
      </c>
      <c r="K1750" s="333">
        <f>+K1734+K1749</f>
        <v>3077186</v>
      </c>
      <c r="L1750" s="331">
        <f t="shared" ref="L1750:M1750" si="2183">+L1734+L1749</f>
        <v>3056708</v>
      </c>
      <c r="M1750" s="332">
        <f t="shared" si="2183"/>
        <v>20478</v>
      </c>
      <c r="N1750" s="345">
        <f>IFERROR(K1750/E1750,"-")</f>
        <v>0.5126827581898078</v>
      </c>
      <c r="O1750" s="353">
        <f t="shared" si="2155"/>
        <v>6.6547813489337337E-3</v>
      </c>
    </row>
    <row r="1751" spans="1:15" ht="23.4" x14ac:dyDescent="0.3">
      <c r="A1751" s="271" t="s">
        <v>108</v>
      </c>
      <c r="B1751" s="977" t="s">
        <v>26</v>
      </c>
      <c r="C1751" s="300" t="s">
        <v>323</v>
      </c>
      <c r="D1751" s="300" t="s">
        <v>190</v>
      </c>
      <c r="E1751" s="273">
        <v>0</v>
      </c>
      <c r="F1751" s="274"/>
      <c r="G1751" s="335">
        <f t="shared" ref="G1751:G1760" si="2184">+H1751+I1751</f>
        <v>0</v>
      </c>
      <c r="H1751" s="275"/>
      <c r="I1751" s="275"/>
      <c r="J1751" s="354" t="str">
        <f>IFERROR(G1751/#REF!,"-")</f>
        <v>-</v>
      </c>
      <c r="K1751" s="335">
        <f t="shared" ref="K1751:K1760" si="2185">+L1751+M1751</f>
        <v>0</v>
      </c>
      <c r="L1751" s="275">
        <f t="shared" ref="L1751:L1760" si="2186">+H1751+L1644</f>
        <v>0</v>
      </c>
      <c r="M1751" s="276">
        <f t="shared" ref="M1751:M1760" si="2187">+I1751+M1644</f>
        <v>0</v>
      </c>
      <c r="N1751" s="339" t="str">
        <f t="shared" ref="N1751:N1752" si="2188">IFERROR(K1751/E1751,"-")</f>
        <v>-</v>
      </c>
      <c r="O1751" s="349" t="str">
        <f t="shared" si="2155"/>
        <v>-</v>
      </c>
    </row>
    <row r="1752" spans="1:15" ht="23.4" x14ac:dyDescent="0.3">
      <c r="A1752" s="277" t="s">
        <v>108</v>
      </c>
      <c r="B1752" s="977"/>
      <c r="C1752" s="301" t="s">
        <v>508</v>
      </c>
      <c r="D1752" s="301" t="s">
        <v>507</v>
      </c>
      <c r="E1752" s="279">
        <v>0</v>
      </c>
      <c r="F1752" s="280"/>
      <c r="G1752" s="336">
        <f t="shared" si="2184"/>
        <v>0</v>
      </c>
      <c r="H1752" s="281"/>
      <c r="I1752" s="281"/>
      <c r="J1752" s="355" t="str">
        <f>IFERROR(G1752/#REF!,"-")</f>
        <v>-</v>
      </c>
      <c r="K1752" s="336">
        <f t="shared" si="2185"/>
        <v>190384</v>
      </c>
      <c r="L1752" s="275">
        <f t="shared" si="2186"/>
        <v>186966</v>
      </c>
      <c r="M1752" s="276">
        <f t="shared" si="2187"/>
        <v>3418</v>
      </c>
      <c r="N1752" s="340" t="str">
        <f t="shared" si="2188"/>
        <v>-</v>
      </c>
      <c r="O1752" s="264">
        <f t="shared" si="2155"/>
        <v>1.7953189343642324E-2</v>
      </c>
    </row>
    <row r="1753" spans="1:15" ht="23.4" x14ac:dyDescent="0.3">
      <c r="A1753" s="277" t="s">
        <v>108</v>
      </c>
      <c r="B1753" s="977"/>
      <c r="C1753" s="302" t="s">
        <v>27</v>
      </c>
      <c r="D1753" s="302" t="s">
        <v>370</v>
      </c>
      <c r="E1753" s="283">
        <v>0</v>
      </c>
      <c r="F1753" s="284"/>
      <c r="G1753" s="336">
        <f t="shared" si="2184"/>
        <v>0</v>
      </c>
      <c r="H1753" s="285"/>
      <c r="I1753" s="285"/>
      <c r="J1753" s="356" t="str">
        <f>IFERROR(G1753/#REF!,"-")</f>
        <v>-</v>
      </c>
      <c r="K1753" s="336">
        <f t="shared" si="2185"/>
        <v>15312</v>
      </c>
      <c r="L1753" s="275">
        <f t="shared" si="2186"/>
        <v>14492</v>
      </c>
      <c r="M1753" s="276">
        <f t="shared" si="2187"/>
        <v>820</v>
      </c>
      <c r="N1753" s="286"/>
      <c r="O1753" s="264">
        <f t="shared" si="2155"/>
        <v>5.3552769070010449E-2</v>
      </c>
    </row>
    <row r="1754" spans="1:15" ht="23.4" x14ac:dyDescent="0.3">
      <c r="A1754" s="277" t="s">
        <v>108</v>
      </c>
      <c r="B1754" s="977"/>
      <c r="C1754" s="302" t="s">
        <v>27</v>
      </c>
      <c r="D1754" s="302" t="s">
        <v>254</v>
      </c>
      <c r="E1754" s="283">
        <v>0</v>
      </c>
      <c r="F1754" s="284"/>
      <c r="G1754" s="336">
        <f t="shared" si="2184"/>
        <v>0</v>
      </c>
      <c r="H1754" s="285"/>
      <c r="I1754" s="285"/>
      <c r="J1754" s="356" t="str">
        <f>IFERROR(G1754/#REF!,"-")</f>
        <v>-</v>
      </c>
      <c r="K1754" s="336">
        <f t="shared" si="2185"/>
        <v>41904</v>
      </c>
      <c r="L1754" s="275">
        <f t="shared" si="2186"/>
        <v>39879</v>
      </c>
      <c r="M1754" s="276">
        <f t="shared" si="2187"/>
        <v>2025</v>
      </c>
      <c r="N1754" s="286"/>
      <c r="O1754" s="264">
        <f t="shared" si="2155"/>
        <v>4.8324742268041239E-2</v>
      </c>
    </row>
    <row r="1755" spans="1:15" ht="23.4" x14ac:dyDescent="0.3">
      <c r="A1755" s="277" t="s">
        <v>108</v>
      </c>
      <c r="B1755" s="977"/>
      <c r="C1755" s="302" t="s">
        <v>27</v>
      </c>
      <c r="D1755" s="302" t="s">
        <v>302</v>
      </c>
      <c r="E1755" s="283">
        <v>0</v>
      </c>
      <c r="F1755" s="284"/>
      <c r="G1755" s="336">
        <f t="shared" si="2184"/>
        <v>0</v>
      </c>
      <c r="H1755" s="285"/>
      <c r="I1755" s="285"/>
      <c r="J1755" s="356" t="str">
        <f>IFERROR(G1755/#REF!,"-")</f>
        <v>-</v>
      </c>
      <c r="K1755" s="336">
        <f t="shared" si="2185"/>
        <v>6345</v>
      </c>
      <c r="L1755" s="275">
        <f t="shared" si="2186"/>
        <v>5830</v>
      </c>
      <c r="M1755" s="276">
        <f t="shared" si="2187"/>
        <v>515</v>
      </c>
      <c r="N1755" s="286"/>
      <c r="O1755" s="264">
        <f t="shared" si="2155"/>
        <v>8.1166272655634364E-2</v>
      </c>
    </row>
    <row r="1756" spans="1:15" ht="23.4" x14ac:dyDescent="0.3">
      <c r="A1756" s="277"/>
      <c r="B1756" s="977"/>
      <c r="C1756" s="302" t="s">
        <v>541</v>
      </c>
      <c r="D1756" s="302" t="s">
        <v>191</v>
      </c>
      <c r="E1756" s="283">
        <v>0</v>
      </c>
      <c r="F1756" s="284"/>
      <c r="G1756" s="337">
        <f t="shared" si="2184"/>
        <v>0</v>
      </c>
      <c r="H1756" s="285"/>
      <c r="I1756" s="285"/>
      <c r="J1756" s="356" t="str">
        <f>IFERROR(G1756/#REF!,"-")</f>
        <v>-</v>
      </c>
      <c r="K1756" s="337">
        <f t="shared" si="2185"/>
        <v>4273</v>
      </c>
      <c r="L1756" s="275">
        <f t="shared" si="2186"/>
        <v>3978</v>
      </c>
      <c r="M1756" s="276">
        <f t="shared" si="2187"/>
        <v>295</v>
      </c>
      <c r="N1756" s="286"/>
      <c r="O1756" s="264">
        <f t="shared" si="2155"/>
        <v>6.9038146501287145E-2</v>
      </c>
    </row>
    <row r="1757" spans="1:15" ht="23.4" x14ac:dyDescent="0.3">
      <c r="A1757" s="277"/>
      <c r="B1757" s="977"/>
      <c r="C1757" s="302" t="s">
        <v>369</v>
      </c>
      <c r="D1757" s="302" t="s">
        <v>101</v>
      </c>
      <c r="E1757" s="283">
        <v>0</v>
      </c>
      <c r="F1757" s="284"/>
      <c r="G1757" s="337">
        <f t="shared" si="2184"/>
        <v>0</v>
      </c>
      <c r="H1757" s="285"/>
      <c r="I1757" s="285"/>
      <c r="J1757" s="356" t="str">
        <f>IFERROR(G1757/#REF!,"-")</f>
        <v>-</v>
      </c>
      <c r="K1757" s="337">
        <f t="shared" si="2185"/>
        <v>6135</v>
      </c>
      <c r="L1757" s="275">
        <f t="shared" si="2186"/>
        <v>5899</v>
      </c>
      <c r="M1757" s="276">
        <f t="shared" si="2187"/>
        <v>236</v>
      </c>
      <c r="N1757" s="286"/>
      <c r="O1757" s="264">
        <f t="shared" si="2155"/>
        <v>3.8467807660961695E-2</v>
      </c>
    </row>
    <row r="1758" spans="1:15" ht="23.4" x14ac:dyDescent="0.3">
      <c r="A1758" s="277"/>
      <c r="B1758" s="977"/>
      <c r="C1758" s="302" t="s">
        <v>542</v>
      </c>
      <c r="D1758" s="302" t="s">
        <v>191</v>
      </c>
      <c r="E1758" s="283">
        <v>0</v>
      </c>
      <c r="F1758" s="284"/>
      <c r="G1758" s="337">
        <f t="shared" si="2184"/>
        <v>0</v>
      </c>
      <c r="H1758" s="285"/>
      <c r="I1758" s="285"/>
      <c r="J1758" s="356" t="str">
        <f>IFERROR(G1758/#REF!,"-")</f>
        <v>-</v>
      </c>
      <c r="K1758" s="337">
        <f t="shared" si="2185"/>
        <v>2448</v>
      </c>
      <c r="L1758" s="275">
        <f t="shared" si="2186"/>
        <v>2448</v>
      </c>
      <c r="M1758" s="275">
        <f t="shared" si="2187"/>
        <v>0</v>
      </c>
      <c r="N1758" s="286"/>
      <c r="O1758" s="264">
        <f t="shared" si="2155"/>
        <v>0</v>
      </c>
    </row>
    <row r="1759" spans="1:15" ht="23.4" x14ac:dyDescent="0.3">
      <c r="A1759" s="277"/>
      <c r="B1759" s="977"/>
      <c r="C1759" s="302" t="s">
        <v>452</v>
      </c>
      <c r="D1759" s="302" t="s">
        <v>410</v>
      </c>
      <c r="E1759" s="283">
        <v>0</v>
      </c>
      <c r="F1759" s="284"/>
      <c r="G1759" s="337">
        <f t="shared" si="2184"/>
        <v>0</v>
      </c>
      <c r="H1759" s="285"/>
      <c r="I1759" s="285"/>
      <c r="J1759" s="356" t="str">
        <f>IFERROR(G1759/#REF!,"-")</f>
        <v>-</v>
      </c>
      <c r="K1759" s="337">
        <f t="shared" si="2185"/>
        <v>40370</v>
      </c>
      <c r="L1759" s="275">
        <f t="shared" si="2186"/>
        <v>39117</v>
      </c>
      <c r="M1759" s="276">
        <f t="shared" si="2187"/>
        <v>1253</v>
      </c>
      <c r="N1759" s="286"/>
      <c r="O1759" s="264">
        <f t="shared" si="2155"/>
        <v>3.1037899430270001E-2</v>
      </c>
    </row>
    <row r="1760" spans="1:15" ht="24" thickBot="1" x14ac:dyDescent="0.35">
      <c r="A1760" s="277" t="s">
        <v>108</v>
      </c>
      <c r="B1760" s="977"/>
      <c r="C1760" s="303" t="s">
        <v>315</v>
      </c>
      <c r="D1760" s="302" t="s">
        <v>313</v>
      </c>
      <c r="E1760" s="283">
        <v>0</v>
      </c>
      <c r="F1760" s="284"/>
      <c r="G1760" s="337">
        <f t="shared" si="2184"/>
        <v>0</v>
      </c>
      <c r="H1760" s="285"/>
      <c r="I1760" s="285"/>
      <c r="J1760" s="356" t="str">
        <f>IFERROR(G1760/#REF!,"-")</f>
        <v>-</v>
      </c>
      <c r="K1760" s="337">
        <f t="shared" si="2185"/>
        <v>16403</v>
      </c>
      <c r="L1760" s="275">
        <f t="shared" si="2186"/>
        <v>15912</v>
      </c>
      <c r="M1760" s="276">
        <f t="shared" si="2187"/>
        <v>491</v>
      </c>
      <c r="N1760" s="341" t="str">
        <f t="shared" ref="N1760:N1767" si="2189">IFERROR(K1760/E1760,"-")</f>
        <v>-</v>
      </c>
      <c r="O1760" s="350">
        <f t="shared" si="2155"/>
        <v>2.9933548741083948E-2</v>
      </c>
    </row>
    <row r="1761" spans="1:15" ht="24" thickBot="1" x14ac:dyDescent="0.35">
      <c r="A1761" s="277" t="s">
        <v>108</v>
      </c>
      <c r="B1761" s="990"/>
      <c r="C1761" s="304"/>
      <c r="D1761" s="305" t="s">
        <v>55</v>
      </c>
      <c r="E1761" s="287">
        <f>SUM(E1751:E1760)</f>
        <v>0</v>
      </c>
      <c r="F1761" s="288">
        <v>80000</v>
      </c>
      <c r="G1761" s="323">
        <f>SUM(G1751:G1760)</f>
        <v>0</v>
      </c>
      <c r="H1761" s="324">
        <f>SUM(H1751:H1760)</f>
        <v>0</v>
      </c>
      <c r="I1761" s="324">
        <f>SUM(I1751:I1760)</f>
        <v>0</v>
      </c>
      <c r="J1761" s="348">
        <f>+G1761/F1761</f>
        <v>0</v>
      </c>
      <c r="K1761" s="323">
        <f>SUM(K1751:K1760)</f>
        <v>323574</v>
      </c>
      <c r="L1761" s="324">
        <f>SUM(L1751:L1760)</f>
        <v>314521</v>
      </c>
      <c r="M1761" s="325">
        <f>SUM(M1751:M1760)</f>
        <v>9053</v>
      </c>
      <c r="N1761" s="342" t="str">
        <f t="shared" si="2189"/>
        <v>-</v>
      </c>
      <c r="O1761" s="348">
        <f t="shared" si="2155"/>
        <v>2.7978144103049069E-2</v>
      </c>
    </row>
    <row r="1762" spans="1:15" ht="23.4" x14ac:dyDescent="0.3">
      <c r="A1762" s="277" t="s">
        <v>108</v>
      </c>
      <c r="B1762" s="976" t="s">
        <v>28</v>
      </c>
      <c r="C1762" s="302" t="s">
        <v>27</v>
      </c>
      <c r="D1762" s="300" t="s">
        <v>191</v>
      </c>
      <c r="E1762" s="273">
        <v>2612056</v>
      </c>
      <c r="F1762" s="274"/>
      <c r="G1762" s="335">
        <f t="shared" ref="G1762:G1766" si="2190">+H1762+I1762</f>
        <v>100619</v>
      </c>
      <c r="H1762" s="275">
        <f>83538+15912</f>
        <v>99450</v>
      </c>
      <c r="I1762" s="275">
        <f>628+541</f>
        <v>1169</v>
      </c>
      <c r="J1762" s="354" t="str">
        <f>IFERROR(G1762/#REF!,"-")</f>
        <v>-</v>
      </c>
      <c r="K1762" s="335">
        <f t="shared" ref="K1762:K1766" si="2191">+L1762+M1762</f>
        <v>166634</v>
      </c>
      <c r="L1762" s="275">
        <f t="shared" ref="L1762:L1766" si="2192">+H1762+L1655</f>
        <v>163098</v>
      </c>
      <c r="M1762" s="276">
        <f t="shared" ref="M1762:M1766" si="2193">+I1762+M1655</f>
        <v>3536</v>
      </c>
      <c r="N1762" s="339">
        <f t="shared" si="2189"/>
        <v>6.3794191242454223E-2</v>
      </c>
      <c r="O1762" s="349">
        <f t="shared" si="2155"/>
        <v>2.1220159151193633E-2</v>
      </c>
    </row>
    <row r="1763" spans="1:15" ht="23.4" x14ac:dyDescent="0.3">
      <c r="A1763" s="277" t="s">
        <v>108</v>
      </c>
      <c r="B1763" s="977"/>
      <c r="C1763" s="302" t="s">
        <v>455</v>
      </c>
      <c r="D1763" s="302" t="s">
        <v>370</v>
      </c>
      <c r="E1763" s="279">
        <v>0</v>
      </c>
      <c r="F1763" s="280"/>
      <c r="G1763" s="336">
        <f t="shared" si="2190"/>
        <v>48248</v>
      </c>
      <c r="H1763" s="281">
        <f>3978+43758</f>
        <v>47736</v>
      </c>
      <c r="I1763" s="281">
        <v>512</v>
      </c>
      <c r="J1763" s="355" t="str">
        <f>IFERROR(G1763/#REF!,"-")</f>
        <v>-</v>
      </c>
      <c r="K1763" s="336">
        <f t="shared" si="2191"/>
        <v>1050223</v>
      </c>
      <c r="L1763" s="275">
        <f t="shared" si="2192"/>
        <v>1037952</v>
      </c>
      <c r="M1763" s="276">
        <f t="shared" si="2193"/>
        <v>12271</v>
      </c>
      <c r="N1763" s="340" t="str">
        <f t="shared" si="2189"/>
        <v>-</v>
      </c>
      <c r="O1763" s="264">
        <f t="shared" si="2155"/>
        <v>1.1684185168292829E-2</v>
      </c>
    </row>
    <row r="1764" spans="1:15" ht="23.4" x14ac:dyDescent="0.3">
      <c r="A1764" s="277" t="s">
        <v>108</v>
      </c>
      <c r="B1764" s="977"/>
      <c r="C1764" s="302" t="s">
        <v>27</v>
      </c>
      <c r="D1764" s="302" t="s">
        <v>370</v>
      </c>
      <c r="E1764" s="279">
        <v>0</v>
      </c>
      <c r="F1764" s="280"/>
      <c r="G1764" s="336">
        <f t="shared" si="2190"/>
        <v>3978</v>
      </c>
      <c r="H1764" s="281">
        <v>3978</v>
      </c>
      <c r="I1764" s="281"/>
      <c r="J1764" s="355" t="str">
        <f>IFERROR(G1764/#REF!,"-")</f>
        <v>-</v>
      </c>
      <c r="K1764" s="336">
        <f t="shared" si="2191"/>
        <v>69136</v>
      </c>
      <c r="L1764" s="275">
        <f t="shared" si="2192"/>
        <v>67626</v>
      </c>
      <c r="M1764" s="276">
        <f t="shared" si="2193"/>
        <v>1510</v>
      </c>
      <c r="N1764" s="340" t="str">
        <f t="shared" si="2189"/>
        <v>-</v>
      </c>
      <c r="O1764" s="264">
        <f t="shared" si="2155"/>
        <v>2.1841009025688498E-2</v>
      </c>
    </row>
    <row r="1765" spans="1:15" ht="23.4" x14ac:dyDescent="0.3">
      <c r="A1765" s="277" t="s">
        <v>108</v>
      </c>
      <c r="B1765" s="977"/>
      <c r="C1765" s="302" t="s">
        <v>452</v>
      </c>
      <c r="D1765" s="303" t="s">
        <v>410</v>
      </c>
      <c r="E1765" s="283">
        <v>0</v>
      </c>
      <c r="F1765" s="284"/>
      <c r="G1765" s="337">
        <f t="shared" si="2190"/>
        <v>0</v>
      </c>
      <c r="H1765" s="285"/>
      <c r="I1765" s="285"/>
      <c r="J1765" s="356" t="str">
        <f>IFERROR(G1765/#REF!,"-")</f>
        <v>-</v>
      </c>
      <c r="K1765" s="337">
        <f t="shared" si="2191"/>
        <v>249713</v>
      </c>
      <c r="L1765" s="275">
        <f t="shared" si="2192"/>
        <v>246636</v>
      </c>
      <c r="M1765" s="755">
        <f t="shared" si="2193"/>
        <v>3077</v>
      </c>
      <c r="N1765" s="341" t="str">
        <f t="shared" si="2189"/>
        <v>-</v>
      </c>
      <c r="O1765" s="350">
        <f t="shared" si="2155"/>
        <v>1.2322145823405269E-2</v>
      </c>
    </row>
    <row r="1766" spans="1:15" ht="24" thickBot="1" x14ac:dyDescent="0.35">
      <c r="A1766" s="277" t="s">
        <v>108</v>
      </c>
      <c r="B1766" s="977"/>
      <c r="C1766" s="302" t="s">
        <v>27</v>
      </c>
      <c r="D1766" s="303" t="s">
        <v>254</v>
      </c>
      <c r="E1766" s="283">
        <v>0</v>
      </c>
      <c r="F1766" s="284"/>
      <c r="G1766" s="337">
        <f t="shared" si="2190"/>
        <v>0</v>
      </c>
      <c r="H1766" s="285"/>
      <c r="I1766" s="285"/>
      <c r="J1766" s="356" t="str">
        <f>IFERROR(G1766/#REF!,"-")</f>
        <v>-</v>
      </c>
      <c r="K1766" s="337">
        <f t="shared" si="2191"/>
        <v>767509</v>
      </c>
      <c r="L1766" s="275">
        <f t="shared" si="2192"/>
        <v>758574</v>
      </c>
      <c r="M1766" s="755">
        <f t="shared" si="2193"/>
        <v>8935</v>
      </c>
      <c r="N1766" s="341" t="str">
        <f t="shared" si="2189"/>
        <v>-</v>
      </c>
      <c r="O1766" s="350">
        <f t="shared" si="2155"/>
        <v>1.164155729769944E-2</v>
      </c>
    </row>
    <row r="1767" spans="1:15" ht="24" thickBot="1" x14ac:dyDescent="0.35">
      <c r="A1767" s="277" t="s">
        <v>108</v>
      </c>
      <c r="B1767" s="977"/>
      <c r="C1767" s="307"/>
      <c r="D1767" s="308" t="s">
        <v>55</v>
      </c>
      <c r="E1767" s="309">
        <f>SUM(E1762:E1766)</f>
        <v>2612056</v>
      </c>
      <c r="F1767" s="310">
        <v>160000</v>
      </c>
      <c r="G1767" s="369">
        <f>SUM(G1762:G1766)</f>
        <v>152845</v>
      </c>
      <c r="H1767" s="368">
        <f>SUM(H1762:H1766)</f>
        <v>151164</v>
      </c>
      <c r="I1767" s="368">
        <f>SUM(I1762:I1766)</f>
        <v>1681</v>
      </c>
      <c r="J1767" s="359">
        <f>+G1767/F1767</f>
        <v>0.95528124999999997</v>
      </c>
      <c r="K1767" s="369">
        <f>SUM(K1762:K1766)</f>
        <v>2303215</v>
      </c>
      <c r="L1767" s="368">
        <f>SUM(L1762:L1766)</f>
        <v>2273886</v>
      </c>
      <c r="M1767" s="370">
        <f>SUM(M1762:M1766)</f>
        <v>29329</v>
      </c>
      <c r="N1767" s="358">
        <f t="shared" si="2189"/>
        <v>0.88176325469285499</v>
      </c>
      <c r="O1767" s="359">
        <f t="shared" si="2155"/>
        <v>1.2733939297894466E-2</v>
      </c>
    </row>
    <row r="1768" spans="1:15" ht="24" thickBot="1" x14ac:dyDescent="0.35">
      <c r="A1768" s="895" t="s">
        <v>108</v>
      </c>
      <c r="B1768" s="978" t="s">
        <v>170</v>
      </c>
      <c r="C1768" s="979"/>
      <c r="D1768" s="980"/>
      <c r="E1768" s="311">
        <f>+E1767+E1761</f>
        <v>2612056</v>
      </c>
      <c r="F1768" s="312">
        <v>240000</v>
      </c>
      <c r="G1768" s="372">
        <f>+G1761+G1767</f>
        <v>152845</v>
      </c>
      <c r="H1768" s="371">
        <f>+H1761+H1767</f>
        <v>151164</v>
      </c>
      <c r="I1768" s="371">
        <f>+I1761+I1767</f>
        <v>1681</v>
      </c>
      <c r="J1768" s="361">
        <f>+G1768/F1768</f>
        <v>0.63685416666666672</v>
      </c>
      <c r="K1768" s="372">
        <f>+K1761+K1767</f>
        <v>2626789</v>
      </c>
      <c r="L1768" s="371">
        <f>+L1761+L1767</f>
        <v>2588407</v>
      </c>
      <c r="M1768" s="373">
        <f>+M1761+M1767</f>
        <v>38382</v>
      </c>
      <c r="N1768" s="360">
        <f>IFERROR(K1768/E1768,"-")</f>
        <v>1.0056403844327992</v>
      </c>
      <c r="O1768" s="361">
        <f t="shared" si="2155"/>
        <v>1.4611756026083557E-2</v>
      </c>
    </row>
    <row r="1769" spans="1:15" ht="23.4" x14ac:dyDescent="0.3">
      <c r="A1769" s="277" t="s">
        <v>108</v>
      </c>
      <c r="B1769" s="977" t="s">
        <v>30</v>
      </c>
      <c r="C1769" s="306" t="s">
        <v>372</v>
      </c>
      <c r="D1769" s="300" t="s">
        <v>191</v>
      </c>
      <c r="E1769" s="273">
        <v>0</v>
      </c>
      <c r="F1769" s="274"/>
      <c r="G1769" s="335">
        <f t="shared" ref="G1769:G1771" si="2194">+H1769+I1769</f>
        <v>0</v>
      </c>
      <c r="H1769" s="275"/>
      <c r="I1769" s="275"/>
      <c r="J1769" s="354" t="str">
        <f>IFERROR(G1769/#REF!,"-")</f>
        <v>-</v>
      </c>
      <c r="K1769" s="335">
        <f t="shared" ref="K1769:K1771" si="2195">+L1769+M1769</f>
        <v>0</v>
      </c>
      <c r="L1769" s="275">
        <f t="shared" ref="L1769:L1771" si="2196">+H1769+L1662</f>
        <v>0</v>
      </c>
      <c r="M1769" s="276">
        <f t="shared" ref="M1769:M1771" si="2197">+I1769+M1662</f>
        <v>0</v>
      </c>
      <c r="N1769" s="339" t="str">
        <f t="shared" ref="N1769:N1779" si="2198">IFERROR(K1769/E1769,"-")</f>
        <v>-</v>
      </c>
      <c r="O1769" s="349" t="str">
        <f t="shared" si="2155"/>
        <v>-</v>
      </c>
    </row>
    <row r="1770" spans="1:15" ht="23.4" x14ac:dyDescent="0.3">
      <c r="A1770" s="277" t="s">
        <v>108</v>
      </c>
      <c r="B1770" s="977"/>
      <c r="C1770" s="303" t="s">
        <v>531</v>
      </c>
      <c r="D1770" s="306" t="s">
        <v>410</v>
      </c>
      <c r="E1770" s="279">
        <v>0</v>
      </c>
      <c r="F1770" s="280"/>
      <c r="G1770" s="336">
        <f t="shared" si="2194"/>
        <v>110488</v>
      </c>
      <c r="H1770" s="281">
        <f>99216+9360</f>
        <v>108576</v>
      </c>
      <c r="I1770" s="281">
        <f>1299+613</f>
        <v>1912</v>
      </c>
      <c r="J1770" s="355" t="str">
        <f>IFERROR(G1770/#REF!,"-")</f>
        <v>-</v>
      </c>
      <c r="K1770" s="336">
        <f t="shared" si="2195"/>
        <v>232120</v>
      </c>
      <c r="L1770" s="275">
        <f t="shared" si="2196"/>
        <v>228384</v>
      </c>
      <c r="M1770" s="276">
        <f t="shared" si="2197"/>
        <v>3736</v>
      </c>
      <c r="N1770" s="340" t="str">
        <f t="shared" si="2198"/>
        <v>-</v>
      </c>
      <c r="O1770" s="264">
        <f t="shared" si="2155"/>
        <v>1.6095123212131655E-2</v>
      </c>
    </row>
    <row r="1771" spans="1:15" ht="24" thickBot="1" x14ac:dyDescent="0.35">
      <c r="A1771" s="277" t="s">
        <v>108</v>
      </c>
      <c r="B1771" s="977"/>
      <c r="C1771" s="303" t="s">
        <v>316</v>
      </c>
      <c r="D1771" s="303" t="s">
        <v>410</v>
      </c>
      <c r="E1771" s="283">
        <v>0</v>
      </c>
      <c r="F1771" s="284"/>
      <c r="G1771" s="337">
        <f t="shared" si="2194"/>
        <v>0</v>
      </c>
      <c r="H1771" s="285"/>
      <c r="I1771" s="285"/>
      <c r="J1771" s="356" t="str">
        <f>IFERROR(G1771/#REF!,"-")</f>
        <v>-</v>
      </c>
      <c r="K1771" s="337">
        <f t="shared" si="2195"/>
        <v>171639</v>
      </c>
      <c r="L1771" s="275">
        <f t="shared" si="2196"/>
        <v>166608</v>
      </c>
      <c r="M1771" s="276">
        <f t="shared" si="2197"/>
        <v>5031</v>
      </c>
      <c r="N1771" s="341" t="str">
        <f t="shared" si="2198"/>
        <v>-</v>
      </c>
      <c r="O1771" s="350">
        <f t="shared" si="2155"/>
        <v>2.9311520109066121E-2</v>
      </c>
    </row>
    <row r="1772" spans="1:15" ht="24" thickBot="1" x14ac:dyDescent="0.35">
      <c r="A1772" s="277" t="s">
        <v>108</v>
      </c>
      <c r="B1772" s="977"/>
      <c r="C1772" s="304"/>
      <c r="D1772" s="305" t="s">
        <v>53</v>
      </c>
      <c r="E1772" s="287">
        <v>0</v>
      </c>
      <c r="F1772" s="288">
        <v>50000</v>
      </c>
      <c r="G1772" s="323">
        <f>SUM(G1769:G1771)</f>
        <v>110488</v>
      </c>
      <c r="H1772" s="324">
        <f>SUM(H1769:H1771)</f>
        <v>108576</v>
      </c>
      <c r="I1772" s="324">
        <f>SUM(I1769:I1771)</f>
        <v>1912</v>
      </c>
      <c r="J1772" s="348">
        <f>+H1772/G1772</f>
        <v>0.98269495329809575</v>
      </c>
      <c r="K1772" s="323">
        <f>SUM(K1769:K1771)</f>
        <v>403759</v>
      </c>
      <c r="L1772" s="324">
        <f>SUM(L1769:L1771)</f>
        <v>394992</v>
      </c>
      <c r="M1772" s="325">
        <f>SUM(M1769:M1771)</f>
        <v>8767</v>
      </c>
      <c r="N1772" s="342" t="str">
        <f t="shared" si="2198"/>
        <v>-</v>
      </c>
      <c r="O1772" s="348">
        <f t="shared" si="2155"/>
        <v>2.171344787360777E-2</v>
      </c>
    </row>
    <row r="1773" spans="1:15" ht="23.4" x14ac:dyDescent="0.3">
      <c r="A1773" s="277" t="s">
        <v>108</v>
      </c>
      <c r="B1773" s="977"/>
      <c r="C1773" s="300" t="s">
        <v>543</v>
      </c>
      <c r="D1773" s="300" t="s">
        <v>99</v>
      </c>
      <c r="E1773" s="273">
        <v>500000</v>
      </c>
      <c r="F1773" s="274"/>
      <c r="G1773" s="335">
        <f t="shared" ref="G1773:G1775" si="2199">+H1773+I1773</f>
        <v>0</v>
      </c>
      <c r="H1773" s="275"/>
      <c r="I1773" s="275"/>
      <c r="J1773" s="354" t="str">
        <f>IFERROR(G1773/#REF!,"-")</f>
        <v>-</v>
      </c>
      <c r="K1773" s="335">
        <f t="shared" ref="K1773:K1775" si="2200">+L1773+M1773</f>
        <v>956</v>
      </c>
      <c r="L1773" s="275">
        <f t="shared" ref="L1773:L1775" si="2201">+H1773+L1666</f>
        <v>956</v>
      </c>
      <c r="M1773" s="276">
        <f t="shared" ref="M1773:M1775" si="2202">+I1773+M1666</f>
        <v>0</v>
      </c>
      <c r="N1773" s="339">
        <f t="shared" si="2198"/>
        <v>1.9120000000000001E-3</v>
      </c>
      <c r="O1773" s="349">
        <f t="shared" si="2155"/>
        <v>0</v>
      </c>
    </row>
    <row r="1774" spans="1:15" ht="23.4" x14ac:dyDescent="0.3">
      <c r="A1774" s="277" t="s">
        <v>108</v>
      </c>
      <c r="B1774" s="977"/>
      <c r="C1774" s="306" t="s">
        <v>373</v>
      </c>
      <c r="D1774" s="306" t="s">
        <v>254</v>
      </c>
      <c r="E1774" s="279">
        <v>0</v>
      </c>
      <c r="F1774" s="280"/>
      <c r="G1774" s="336">
        <f t="shared" si="2199"/>
        <v>0</v>
      </c>
      <c r="H1774" s="281"/>
      <c r="I1774" s="281"/>
      <c r="J1774" s="355" t="str">
        <f>IFERROR(G1774/#REF!,"-")</f>
        <v>-</v>
      </c>
      <c r="K1774" s="336">
        <f t="shared" si="2200"/>
        <v>13599</v>
      </c>
      <c r="L1774" s="275">
        <f t="shared" si="2201"/>
        <v>13321</v>
      </c>
      <c r="M1774" s="276">
        <f t="shared" si="2202"/>
        <v>278</v>
      </c>
      <c r="N1774" s="340" t="str">
        <f t="shared" si="2198"/>
        <v>-</v>
      </c>
      <c r="O1774" s="264">
        <f t="shared" si="2155"/>
        <v>2.0442679608794763E-2</v>
      </c>
    </row>
    <row r="1775" spans="1:15" ht="24" thickBot="1" x14ac:dyDescent="0.35">
      <c r="A1775" s="277" t="s">
        <v>108</v>
      </c>
      <c r="B1775" s="977"/>
      <c r="C1775" s="303" t="s">
        <v>544</v>
      </c>
      <c r="D1775" s="303" t="s">
        <v>507</v>
      </c>
      <c r="E1775" s="283">
        <v>0</v>
      </c>
      <c r="F1775" s="284"/>
      <c r="G1775" s="337">
        <f t="shared" si="2199"/>
        <v>0</v>
      </c>
      <c r="H1775" s="285"/>
      <c r="I1775" s="285"/>
      <c r="J1775" s="356" t="str">
        <f>IFERROR(G1775/#REF!,"-")</f>
        <v>-</v>
      </c>
      <c r="K1775" s="337">
        <f t="shared" si="2200"/>
        <v>845</v>
      </c>
      <c r="L1775" s="275">
        <f t="shared" si="2201"/>
        <v>845</v>
      </c>
      <c r="M1775" s="276">
        <f t="shared" si="2202"/>
        <v>0</v>
      </c>
      <c r="N1775" s="341" t="str">
        <f t="shared" si="2198"/>
        <v>-</v>
      </c>
      <c r="O1775" s="350">
        <f t="shared" si="2155"/>
        <v>0</v>
      </c>
    </row>
    <row r="1776" spans="1:15" ht="24" thickBot="1" x14ac:dyDescent="0.35">
      <c r="A1776" s="277" t="s">
        <v>108</v>
      </c>
      <c r="B1776" s="977"/>
      <c r="C1776" s="307"/>
      <c r="D1776" s="308" t="s">
        <v>54</v>
      </c>
      <c r="E1776" s="309">
        <f>SUM(E1773)</f>
        <v>500000</v>
      </c>
      <c r="F1776" s="310">
        <v>50000</v>
      </c>
      <c r="G1776" s="369">
        <f>SUM(G1773:G1775)</f>
        <v>0</v>
      </c>
      <c r="H1776" s="368">
        <f t="shared" ref="H1776:I1776" si="2203">SUM(H1773:H1775)</f>
        <v>0</v>
      </c>
      <c r="I1776" s="368">
        <f t="shared" si="2203"/>
        <v>0</v>
      </c>
      <c r="J1776" s="359">
        <f>+G1776/F1776</f>
        <v>0</v>
      </c>
      <c r="K1776" s="369">
        <f t="shared" ref="K1776:M1776" si="2204">SUM(K1773:K1775)</f>
        <v>15400</v>
      </c>
      <c r="L1776" s="368">
        <f t="shared" si="2204"/>
        <v>15122</v>
      </c>
      <c r="M1776" s="370">
        <f t="shared" si="2204"/>
        <v>278</v>
      </c>
      <c r="N1776" s="358">
        <f t="shared" si="2198"/>
        <v>3.0800000000000001E-2</v>
      </c>
      <c r="O1776" s="359">
        <f t="shared" si="2155"/>
        <v>1.8051948051948052E-2</v>
      </c>
    </row>
    <row r="1777" spans="1:15" ht="24" thickBot="1" x14ac:dyDescent="0.35">
      <c r="A1777" s="277" t="s">
        <v>108</v>
      </c>
      <c r="B1777" s="978" t="s">
        <v>171</v>
      </c>
      <c r="C1777" s="979"/>
      <c r="D1777" s="980"/>
      <c r="E1777" s="311">
        <f>+E1776+E1772</f>
        <v>500000</v>
      </c>
      <c r="F1777" s="312">
        <v>50000</v>
      </c>
      <c r="G1777" s="372">
        <f>+G1772+G1776</f>
        <v>110488</v>
      </c>
      <c r="H1777" s="371">
        <f t="shared" ref="H1777:I1777" si="2205">+H1772+H1776</f>
        <v>108576</v>
      </c>
      <c r="I1777" s="371">
        <f t="shared" si="2205"/>
        <v>1912</v>
      </c>
      <c r="J1777" s="361">
        <f>+G1777/F1777</f>
        <v>2.2097600000000002</v>
      </c>
      <c r="K1777" s="372">
        <f t="shared" ref="K1777:M1777" si="2206">+K1772+K1776</f>
        <v>419159</v>
      </c>
      <c r="L1777" s="371">
        <f t="shared" si="2206"/>
        <v>410114</v>
      </c>
      <c r="M1777" s="373">
        <f t="shared" si="2206"/>
        <v>9045</v>
      </c>
      <c r="N1777" s="360">
        <f t="shared" si="2198"/>
        <v>0.83831800000000001</v>
      </c>
      <c r="O1777" s="361">
        <f t="shared" si="2155"/>
        <v>2.157892351112585E-2</v>
      </c>
    </row>
    <row r="1778" spans="1:15" ht="24" thickBot="1" x14ac:dyDescent="0.35">
      <c r="A1778" s="277" t="s">
        <v>108</v>
      </c>
      <c r="B1778" s="608" t="s">
        <v>32</v>
      </c>
      <c r="C1778" s="891"/>
      <c r="D1778" s="313" t="s">
        <v>32</v>
      </c>
      <c r="E1778" s="290">
        <v>0</v>
      </c>
      <c r="F1778" s="291">
        <v>110000</v>
      </c>
      <c r="G1778" s="338">
        <f t="shared" ref="G1778" si="2207">+H1778+I1778</f>
        <v>0</v>
      </c>
      <c r="H1778" s="292"/>
      <c r="I1778" s="292"/>
      <c r="J1778" s="357" t="str">
        <f>IFERROR(G1778/#REF!,"-")</f>
        <v>-</v>
      </c>
      <c r="K1778" s="338">
        <f>+L1778+M1778</f>
        <v>0</v>
      </c>
      <c r="L1778" s="292">
        <f>+H1778+L1671</f>
        <v>0</v>
      </c>
      <c r="M1778" s="293">
        <f>+I1778+M1671</f>
        <v>0</v>
      </c>
      <c r="N1778" s="343" t="str">
        <f t="shared" si="2198"/>
        <v>-</v>
      </c>
      <c r="O1778" s="351" t="str">
        <f t="shared" si="2155"/>
        <v>-</v>
      </c>
    </row>
    <row r="1779" spans="1:15" ht="24" thickBot="1" x14ac:dyDescent="0.35">
      <c r="A1779" s="277" t="s">
        <v>108</v>
      </c>
      <c r="B1779" s="981" t="s">
        <v>21</v>
      </c>
      <c r="C1779" s="982"/>
      <c r="D1779" s="983"/>
      <c r="E1779" s="329">
        <f>+E1768+E1777+E1778</f>
        <v>3112056</v>
      </c>
      <c r="F1779" s="330">
        <f>+F1768+F1777+F1778</f>
        <v>400000</v>
      </c>
      <c r="G1779" s="329">
        <f>+G1768+G1777+G1778</f>
        <v>263333</v>
      </c>
      <c r="H1779" s="327">
        <f>+H1768+H1777+H1778</f>
        <v>259740</v>
      </c>
      <c r="I1779" s="327">
        <f>+I1768+I1777+I1778</f>
        <v>3593</v>
      </c>
      <c r="J1779" s="352">
        <f>+G1779/F1779</f>
        <v>0.65833249999999999</v>
      </c>
      <c r="K1779" s="329">
        <f>+K1768+K1777+K1778</f>
        <v>3045948</v>
      </c>
      <c r="L1779" s="327">
        <f>+L1768+L1777+L1778</f>
        <v>2998521</v>
      </c>
      <c r="M1779" s="328">
        <f>+M1768+M1777+M1778</f>
        <v>47427</v>
      </c>
      <c r="N1779" s="344">
        <f t="shared" si="2198"/>
        <v>0.97875745166539418</v>
      </c>
      <c r="O1779" s="352">
        <f t="shared" si="2155"/>
        <v>1.5570521886782046E-2</v>
      </c>
    </row>
    <row r="1780" spans="1:15" ht="24" thickBot="1" x14ac:dyDescent="0.35">
      <c r="A1780" s="277" t="s">
        <v>108</v>
      </c>
      <c r="B1780" s="984" t="s">
        <v>179</v>
      </c>
      <c r="C1780" s="962"/>
      <c r="D1780" s="963"/>
      <c r="E1780" s="333">
        <f>+E1779</f>
        <v>3112056</v>
      </c>
      <c r="F1780" s="334">
        <f t="shared" ref="F1780:I1780" si="2208">+F1779</f>
        <v>400000</v>
      </c>
      <c r="G1780" s="333">
        <f t="shared" si="2208"/>
        <v>263333</v>
      </c>
      <c r="H1780" s="331">
        <f t="shared" si="2208"/>
        <v>259740</v>
      </c>
      <c r="I1780" s="331">
        <f t="shared" si="2208"/>
        <v>3593</v>
      </c>
      <c r="J1780" s="353">
        <f>+J1779</f>
        <v>0.65833249999999999</v>
      </c>
      <c r="K1780" s="333">
        <f>+K1779</f>
        <v>3045948</v>
      </c>
      <c r="L1780" s="331">
        <f t="shared" ref="L1780" si="2209">+L1779</f>
        <v>2998521</v>
      </c>
      <c r="M1780" s="332">
        <f>+M1779</f>
        <v>47427</v>
      </c>
      <c r="N1780" s="345">
        <f t="shared" ref="N1780:O1780" si="2210">+N1779</f>
        <v>0.97875745166539418</v>
      </c>
      <c r="O1780" s="353">
        <f t="shared" si="2210"/>
        <v>1.5570521886782046E-2</v>
      </c>
    </row>
    <row r="1781" spans="1:15" ht="23.4" x14ac:dyDescent="0.3">
      <c r="A1781" s="271" t="s">
        <v>109</v>
      </c>
      <c r="B1781" s="970" t="s">
        <v>482</v>
      </c>
      <c r="C1781" s="314" t="s">
        <v>120</v>
      </c>
      <c r="D1781" s="314"/>
      <c r="E1781" s="273">
        <v>34000</v>
      </c>
      <c r="F1781" s="274"/>
      <c r="G1781" s="335">
        <f t="shared" ref="G1781:G1783" si="2211">+H1781+I1781</f>
        <v>0</v>
      </c>
      <c r="H1781" s="275"/>
      <c r="I1781" s="275"/>
      <c r="J1781" s="354" t="str">
        <f>IFERROR(G1781/#REF!,"-")</f>
        <v>-</v>
      </c>
      <c r="K1781" s="335">
        <f t="shared" ref="K1781:K1783" si="2212">+L1781+M1781</f>
        <v>0</v>
      </c>
      <c r="L1781" s="275">
        <f t="shared" ref="L1781:L1783" si="2213">+H1781+L1674</f>
        <v>0</v>
      </c>
      <c r="M1781" s="276">
        <f t="shared" ref="M1781:M1783" si="2214">+I1781+M1674</f>
        <v>0</v>
      </c>
      <c r="N1781" s="339">
        <f t="shared" ref="N1781:N1788" si="2215">IFERROR(K1781/E1781,"-")</f>
        <v>0</v>
      </c>
      <c r="O1781" s="349" t="str">
        <f t="shared" ref="O1781:O1806" si="2216">IFERROR(M1781/K1781,"-")</f>
        <v>-</v>
      </c>
    </row>
    <row r="1782" spans="1:15" ht="23.4" x14ac:dyDescent="0.3">
      <c r="A1782" s="277" t="s">
        <v>109</v>
      </c>
      <c r="B1782" s="972"/>
      <c r="C1782" s="315" t="s">
        <v>267</v>
      </c>
      <c r="D1782" s="315"/>
      <c r="E1782" s="279">
        <v>0</v>
      </c>
      <c r="F1782" s="280"/>
      <c r="G1782" s="336">
        <f t="shared" si="2211"/>
        <v>1969</v>
      </c>
      <c r="H1782" s="281">
        <f>640+877</f>
        <v>1517</v>
      </c>
      <c r="I1782" s="281">
        <f>240+212</f>
        <v>452</v>
      </c>
      <c r="J1782" s="355" t="str">
        <f>IFERROR(G1782/#REF!,"-")</f>
        <v>-</v>
      </c>
      <c r="K1782" s="336">
        <f t="shared" si="2212"/>
        <v>21301</v>
      </c>
      <c r="L1782" s="275">
        <f t="shared" si="2213"/>
        <v>20077</v>
      </c>
      <c r="M1782" s="276">
        <f t="shared" si="2214"/>
        <v>1224</v>
      </c>
      <c r="N1782" s="340" t="str">
        <f t="shared" si="2215"/>
        <v>-</v>
      </c>
      <c r="O1782" s="264">
        <f t="shared" si="2216"/>
        <v>5.7462090981644051E-2</v>
      </c>
    </row>
    <row r="1783" spans="1:15" ht="24" thickBot="1" x14ac:dyDescent="0.35">
      <c r="A1783" s="277" t="s">
        <v>109</v>
      </c>
      <c r="B1783" s="971"/>
      <c r="C1783" s="316" t="s">
        <v>34</v>
      </c>
      <c r="D1783" s="316"/>
      <c r="E1783" s="283">
        <v>0</v>
      </c>
      <c r="F1783" s="284"/>
      <c r="G1783" s="337">
        <f t="shared" si="2211"/>
        <v>0</v>
      </c>
      <c r="H1783" s="285"/>
      <c r="I1783" s="285"/>
      <c r="J1783" s="356" t="str">
        <f>IFERROR(G1783/#REF!,"-")</f>
        <v>-</v>
      </c>
      <c r="K1783" s="337">
        <f t="shared" si="2212"/>
        <v>0</v>
      </c>
      <c r="L1783" s="275">
        <f t="shared" si="2213"/>
        <v>0</v>
      </c>
      <c r="M1783" s="276">
        <f t="shared" si="2214"/>
        <v>0</v>
      </c>
      <c r="N1783" s="341" t="str">
        <f t="shared" si="2215"/>
        <v>-</v>
      </c>
      <c r="O1783" s="350" t="str">
        <f t="shared" si="2216"/>
        <v>-</v>
      </c>
    </row>
    <row r="1784" spans="1:15" ht="24" thickBot="1" x14ac:dyDescent="0.35">
      <c r="A1784" s="277" t="s">
        <v>109</v>
      </c>
      <c r="B1784" s="967" t="s">
        <v>35</v>
      </c>
      <c r="C1784" s="968"/>
      <c r="D1784" s="969"/>
      <c r="E1784" s="287">
        <f>SUM(E1781:E1783)</f>
        <v>34000</v>
      </c>
      <c r="F1784" s="288">
        <v>6500</v>
      </c>
      <c r="G1784" s="323">
        <f>SUM(G1781:G1783)</f>
        <v>1969</v>
      </c>
      <c r="H1784" s="324">
        <f t="shared" ref="H1784:I1784" si="2217">SUM(H1781:H1783)</f>
        <v>1517</v>
      </c>
      <c r="I1784" s="324">
        <f t="shared" si="2217"/>
        <v>452</v>
      </c>
      <c r="J1784" s="348" t="str">
        <f>IFERROR(G1784/#REF!,"-")</f>
        <v>-</v>
      </c>
      <c r="K1784" s="323">
        <f t="shared" ref="K1784:M1784" si="2218">SUM(K1781:K1783)</f>
        <v>21301</v>
      </c>
      <c r="L1784" s="324">
        <f t="shared" si="2218"/>
        <v>20077</v>
      </c>
      <c r="M1784" s="325">
        <f t="shared" si="2218"/>
        <v>1224</v>
      </c>
      <c r="N1784" s="342">
        <f t="shared" si="2215"/>
        <v>0.62649999999999995</v>
      </c>
      <c r="O1784" s="348">
        <f t="shared" si="2216"/>
        <v>5.7462090981644051E-2</v>
      </c>
    </row>
    <row r="1785" spans="1:15" ht="23.4" x14ac:dyDescent="0.3">
      <c r="A1785" s="277" t="s">
        <v>109</v>
      </c>
      <c r="B1785" s="970" t="s">
        <v>36</v>
      </c>
      <c r="C1785" s="314" t="s">
        <v>120</v>
      </c>
      <c r="D1785" s="314"/>
      <c r="E1785" s="273">
        <v>64360</v>
      </c>
      <c r="F1785" s="274"/>
      <c r="G1785" s="335">
        <f t="shared" ref="G1785:G1788" si="2219">+H1785+I1785</f>
        <v>0</v>
      </c>
      <c r="H1785" s="275"/>
      <c r="I1785" s="275"/>
      <c r="J1785" s="354" t="str">
        <f>IFERROR(G1785/#REF!,"-")</f>
        <v>-</v>
      </c>
      <c r="K1785" s="335">
        <f t="shared" ref="K1785:K1788" si="2220">+L1785+M1785</f>
        <v>0</v>
      </c>
      <c r="L1785" s="275">
        <f t="shared" ref="L1785:L1788" si="2221">+H1785+L1678</f>
        <v>0</v>
      </c>
      <c r="M1785" s="276">
        <f t="shared" ref="M1785:M1788" si="2222">+I1785+M1678</f>
        <v>0</v>
      </c>
      <c r="N1785" s="339">
        <f t="shared" si="2215"/>
        <v>0</v>
      </c>
      <c r="O1785" s="349" t="str">
        <f t="shared" si="2216"/>
        <v>-</v>
      </c>
    </row>
    <row r="1786" spans="1:15" ht="23.4" x14ac:dyDescent="0.3">
      <c r="A1786" s="277" t="s">
        <v>109</v>
      </c>
      <c r="B1786" s="972"/>
      <c r="C1786" s="315" t="s">
        <v>267</v>
      </c>
      <c r="D1786" s="315"/>
      <c r="E1786" s="279">
        <v>0</v>
      </c>
      <c r="F1786" s="280"/>
      <c r="G1786" s="336">
        <f t="shared" si="2219"/>
        <v>7084</v>
      </c>
      <c r="H1786" s="281">
        <f>3840+640+2292</f>
        <v>6772</v>
      </c>
      <c r="I1786" s="281">
        <f>146+40+126</f>
        <v>312</v>
      </c>
      <c r="J1786" s="355" t="str">
        <f>IFERROR(G1786/#REF!,"-")</f>
        <v>-</v>
      </c>
      <c r="K1786" s="336">
        <f t="shared" si="2220"/>
        <v>52462</v>
      </c>
      <c r="L1786" s="275">
        <f t="shared" si="2221"/>
        <v>50609</v>
      </c>
      <c r="M1786" s="276">
        <f t="shared" si="2222"/>
        <v>1853</v>
      </c>
      <c r="N1786" s="340" t="str">
        <f t="shared" si="2215"/>
        <v>-</v>
      </c>
      <c r="O1786" s="264">
        <f t="shared" si="2216"/>
        <v>3.5320803629293587E-2</v>
      </c>
    </row>
    <row r="1787" spans="1:15" ht="23.4" x14ac:dyDescent="0.3">
      <c r="A1787" s="277" t="s">
        <v>109</v>
      </c>
      <c r="B1787" s="972"/>
      <c r="C1787" s="315" t="s">
        <v>198</v>
      </c>
      <c r="D1787" s="315"/>
      <c r="E1787" s="279">
        <v>0</v>
      </c>
      <c r="F1787" s="280"/>
      <c r="G1787" s="336">
        <f t="shared" si="2219"/>
        <v>0</v>
      </c>
      <c r="H1787" s="281"/>
      <c r="I1787" s="281"/>
      <c r="J1787" s="355" t="str">
        <f>IFERROR(G1787/#REF!,"-")</f>
        <v>-</v>
      </c>
      <c r="K1787" s="336">
        <f t="shared" si="2220"/>
        <v>0</v>
      </c>
      <c r="L1787" s="275">
        <f t="shared" si="2221"/>
        <v>0</v>
      </c>
      <c r="M1787" s="276">
        <f t="shared" si="2222"/>
        <v>0</v>
      </c>
      <c r="N1787" s="340" t="str">
        <f t="shared" si="2215"/>
        <v>-</v>
      </c>
      <c r="O1787" s="264" t="str">
        <f t="shared" si="2216"/>
        <v>-</v>
      </c>
    </row>
    <row r="1788" spans="1:15" ht="24" thickBot="1" x14ac:dyDescent="0.35">
      <c r="A1788" s="277" t="s">
        <v>109</v>
      </c>
      <c r="B1788" s="971"/>
      <c r="C1788" s="316" t="s">
        <v>37</v>
      </c>
      <c r="D1788" s="316"/>
      <c r="E1788" s="283">
        <v>0</v>
      </c>
      <c r="F1788" s="284"/>
      <c r="G1788" s="337">
        <f t="shared" si="2219"/>
        <v>0</v>
      </c>
      <c r="H1788" s="285"/>
      <c r="I1788" s="285"/>
      <c r="J1788" s="356" t="str">
        <f>IFERROR(G1788/#REF!,"-")</f>
        <v>-</v>
      </c>
      <c r="K1788" s="337">
        <f t="shared" si="2220"/>
        <v>0</v>
      </c>
      <c r="L1788" s="275">
        <f t="shared" si="2221"/>
        <v>0</v>
      </c>
      <c r="M1788" s="276">
        <f t="shared" si="2222"/>
        <v>0</v>
      </c>
      <c r="N1788" s="341" t="str">
        <f t="shared" si="2215"/>
        <v>-</v>
      </c>
      <c r="O1788" s="350" t="str">
        <f t="shared" si="2216"/>
        <v>-</v>
      </c>
    </row>
    <row r="1789" spans="1:15" ht="24" thickBot="1" x14ac:dyDescent="0.35">
      <c r="A1789" s="277" t="s">
        <v>109</v>
      </c>
      <c r="B1789" s="967" t="s">
        <v>38</v>
      </c>
      <c r="C1789" s="968"/>
      <c r="D1789" s="969"/>
      <c r="E1789" s="287">
        <f>SUM(E1785:E1788)</f>
        <v>64360</v>
      </c>
      <c r="F1789" s="288">
        <v>6500</v>
      </c>
      <c r="G1789" s="323">
        <f>SUM(G1785:G1788)</f>
        <v>7084</v>
      </c>
      <c r="H1789" s="324">
        <f t="shared" ref="H1789:I1789" si="2223">SUM(H1785:H1788)</f>
        <v>6772</v>
      </c>
      <c r="I1789" s="324">
        <f t="shared" si="2223"/>
        <v>312</v>
      </c>
      <c r="J1789" s="348" t="str">
        <f>IFERROR(G1789/#REF!,"-")</f>
        <v>-</v>
      </c>
      <c r="K1789" s="323">
        <f t="shared" ref="K1789:M1789" si="2224">SUM(K1785:K1788)</f>
        <v>52462</v>
      </c>
      <c r="L1789" s="324">
        <f t="shared" si="2224"/>
        <v>50609</v>
      </c>
      <c r="M1789" s="325">
        <f t="shared" si="2224"/>
        <v>1853</v>
      </c>
      <c r="N1789" s="342">
        <f>IFERROR(K1789/E1789,"-")</f>
        <v>0.81513362336855189</v>
      </c>
      <c r="O1789" s="348">
        <f t="shared" si="2216"/>
        <v>3.5320803629293587E-2</v>
      </c>
    </row>
    <row r="1790" spans="1:15" ht="23.4" x14ac:dyDescent="0.3">
      <c r="A1790" s="277" t="s">
        <v>109</v>
      </c>
      <c r="B1790" s="970" t="s">
        <v>483</v>
      </c>
      <c r="C1790" s="317" t="s">
        <v>123</v>
      </c>
      <c r="D1790" s="317"/>
      <c r="E1790" s="273">
        <v>39800</v>
      </c>
      <c r="F1790" s="274"/>
      <c r="G1790" s="335">
        <f t="shared" ref="G1790:G1791" si="2225">+H1790+I1790</f>
        <v>0</v>
      </c>
      <c r="H1790" s="275"/>
      <c r="I1790" s="275"/>
      <c r="J1790" s="354" t="str">
        <f>IFERROR(G1790/#REF!,"-")</f>
        <v>-</v>
      </c>
      <c r="K1790" s="335">
        <f t="shared" ref="K1790:K1791" si="2226">+L1790+M1790</f>
        <v>144</v>
      </c>
      <c r="L1790" s="275">
        <f t="shared" ref="L1790:L1791" si="2227">+H1790+L1683</f>
        <v>144</v>
      </c>
      <c r="M1790" s="276">
        <f t="shared" ref="M1790:M1791" si="2228">+I1790+M1683</f>
        <v>0</v>
      </c>
      <c r="N1790" s="339">
        <f t="shared" ref="N1790:N1806" si="2229">IFERROR(K1790/E1790,"-")</f>
        <v>3.6180904522613066E-3</v>
      </c>
      <c r="O1790" s="349">
        <f t="shared" si="2216"/>
        <v>0</v>
      </c>
    </row>
    <row r="1791" spans="1:15" ht="24" thickBot="1" x14ac:dyDescent="0.35">
      <c r="A1791" s="277" t="s">
        <v>109</v>
      </c>
      <c r="B1791" s="971"/>
      <c r="C1791" s="289" t="s">
        <v>139</v>
      </c>
      <c r="D1791" s="289"/>
      <c r="E1791" s="283">
        <v>0</v>
      </c>
      <c r="F1791" s="284"/>
      <c r="G1791" s="337">
        <f t="shared" si="2225"/>
        <v>4185</v>
      </c>
      <c r="H1791" s="285">
        <f>2000+2000</f>
        <v>4000</v>
      </c>
      <c r="I1791" s="285">
        <f>75+110</f>
        <v>185</v>
      </c>
      <c r="J1791" s="356" t="str">
        <f>IFERROR(G1791/#REF!,"-")</f>
        <v>-</v>
      </c>
      <c r="K1791" s="337">
        <f t="shared" si="2226"/>
        <v>6335</v>
      </c>
      <c r="L1791" s="275">
        <f t="shared" si="2227"/>
        <v>5840</v>
      </c>
      <c r="M1791" s="276">
        <f t="shared" si="2228"/>
        <v>495</v>
      </c>
      <c r="N1791" s="341" t="str">
        <f t="shared" si="2229"/>
        <v>-</v>
      </c>
      <c r="O1791" s="350">
        <f t="shared" si="2216"/>
        <v>7.8137332280978689E-2</v>
      </c>
    </row>
    <row r="1792" spans="1:15" ht="24" thickBot="1" x14ac:dyDescent="0.35">
      <c r="A1792" s="895" t="s">
        <v>109</v>
      </c>
      <c r="B1792" s="967" t="s">
        <v>40</v>
      </c>
      <c r="C1792" s="968"/>
      <c r="D1792" s="969"/>
      <c r="E1792" s="287">
        <f>SUM(E1790:E1791)</f>
        <v>39800</v>
      </c>
      <c r="F1792" s="288">
        <v>2800</v>
      </c>
      <c r="G1792" s="323">
        <f>SUM(G1790:G1791)</f>
        <v>4185</v>
      </c>
      <c r="H1792" s="324">
        <f t="shared" ref="H1792:I1792" si="2230">SUM(H1790:H1791)</f>
        <v>4000</v>
      </c>
      <c r="I1792" s="324">
        <f t="shared" si="2230"/>
        <v>185</v>
      </c>
      <c r="J1792" s="348" t="str">
        <f>IFERROR(G1792/#REF!,"-")</f>
        <v>-</v>
      </c>
      <c r="K1792" s="323">
        <f t="shared" ref="K1792:M1792" si="2231">SUM(K1790:K1791)</f>
        <v>6479</v>
      </c>
      <c r="L1792" s="324">
        <f t="shared" si="2231"/>
        <v>5984</v>
      </c>
      <c r="M1792" s="325">
        <f t="shared" si="2231"/>
        <v>495</v>
      </c>
      <c r="N1792" s="342">
        <f t="shared" si="2229"/>
        <v>0.1627889447236181</v>
      </c>
      <c r="O1792" s="348">
        <f t="shared" si="2216"/>
        <v>7.6400679117147707E-2</v>
      </c>
    </row>
    <row r="1793" spans="1:15" ht="23.4" x14ac:dyDescent="0.3">
      <c r="A1793" s="277" t="s">
        <v>109</v>
      </c>
      <c r="B1793" s="970" t="s">
        <v>484</v>
      </c>
      <c r="C1793" s="272" t="s">
        <v>335</v>
      </c>
      <c r="D1793" s="272"/>
      <c r="E1793" s="273">
        <v>916640</v>
      </c>
      <c r="F1793" s="318"/>
      <c r="G1793" s="335">
        <f t="shared" ref="G1793:G1797" si="2232">+H1793+I1793</f>
        <v>82923</v>
      </c>
      <c r="H1793" s="275">
        <f>35904+21840+24600</f>
        <v>82344</v>
      </c>
      <c r="I1793" s="275">
        <f>288+165+126</f>
        <v>579</v>
      </c>
      <c r="J1793" s="374" t="str">
        <f>IFERROR(G1793/#REF!,"-")</f>
        <v>-</v>
      </c>
      <c r="K1793" s="335">
        <f t="shared" ref="K1793:K1797" si="2233">+L1793+M1793</f>
        <v>488171</v>
      </c>
      <c r="L1793" s="275">
        <f t="shared" ref="L1793:L1797" si="2234">+H1793+L1686</f>
        <v>482736</v>
      </c>
      <c r="M1793" s="275">
        <f t="shared" ref="M1793:M1797" si="2235">+I1793+M1686</f>
        <v>5435</v>
      </c>
      <c r="N1793" s="362">
        <f t="shared" si="2229"/>
        <v>0.53256567463780768</v>
      </c>
      <c r="O1793" s="363">
        <f t="shared" si="2216"/>
        <v>1.1133393831259948E-2</v>
      </c>
    </row>
    <row r="1794" spans="1:15" ht="23.4" x14ac:dyDescent="0.3">
      <c r="A1794" s="277" t="s">
        <v>109</v>
      </c>
      <c r="B1794" s="972"/>
      <c r="C1794" s="272" t="s">
        <v>336</v>
      </c>
      <c r="D1794" s="278"/>
      <c r="E1794" s="279">
        <v>0</v>
      </c>
      <c r="F1794" s="319"/>
      <c r="G1794" s="336">
        <f t="shared" si="2232"/>
        <v>0</v>
      </c>
      <c r="H1794" s="281"/>
      <c r="I1794" s="281"/>
      <c r="J1794" s="375" t="str">
        <f>IFERROR(G1794/#REF!,"-")</f>
        <v>-</v>
      </c>
      <c r="K1794" s="336">
        <f t="shared" si="2233"/>
        <v>0</v>
      </c>
      <c r="L1794" s="275">
        <f t="shared" si="2234"/>
        <v>0</v>
      </c>
      <c r="M1794" s="276">
        <f t="shared" si="2235"/>
        <v>0</v>
      </c>
      <c r="N1794" s="364" t="str">
        <f t="shared" si="2229"/>
        <v>-</v>
      </c>
      <c r="O1794" s="365" t="str">
        <f t="shared" si="2216"/>
        <v>-</v>
      </c>
    </row>
    <row r="1795" spans="1:15" ht="23.4" x14ac:dyDescent="0.3">
      <c r="A1795" s="277" t="s">
        <v>109</v>
      </c>
      <c r="B1795" s="972"/>
      <c r="C1795" s="278" t="s">
        <v>383</v>
      </c>
      <c r="D1795" s="278"/>
      <c r="E1795" s="279">
        <v>40000</v>
      </c>
      <c r="F1795" s="319"/>
      <c r="G1795" s="336">
        <f t="shared" si="2232"/>
        <v>0</v>
      </c>
      <c r="H1795" s="281"/>
      <c r="I1795" s="281"/>
      <c r="J1795" s="375" t="str">
        <f>IFERROR(G1795/#REF!,"-")</f>
        <v>-</v>
      </c>
      <c r="K1795" s="336">
        <f t="shared" si="2233"/>
        <v>0</v>
      </c>
      <c r="L1795" s="275">
        <f t="shared" si="2234"/>
        <v>0</v>
      </c>
      <c r="M1795" s="276">
        <f t="shared" si="2235"/>
        <v>0</v>
      </c>
      <c r="N1795" s="364">
        <f t="shared" si="2229"/>
        <v>0</v>
      </c>
      <c r="O1795" s="365" t="str">
        <f t="shared" si="2216"/>
        <v>-</v>
      </c>
    </row>
    <row r="1796" spans="1:15" ht="23.4" x14ac:dyDescent="0.3">
      <c r="A1796" s="277" t="s">
        <v>109</v>
      </c>
      <c r="B1796" s="972"/>
      <c r="C1796" s="278" t="s">
        <v>165</v>
      </c>
      <c r="D1796" s="278"/>
      <c r="E1796" s="279">
        <v>0</v>
      </c>
      <c r="F1796" s="319"/>
      <c r="G1796" s="336">
        <f t="shared" si="2232"/>
        <v>0</v>
      </c>
      <c r="H1796" s="281"/>
      <c r="I1796" s="281"/>
      <c r="J1796" s="375" t="str">
        <f>IFERROR(G1796/#REF!,"-")</f>
        <v>-</v>
      </c>
      <c r="K1796" s="336">
        <f t="shared" si="2233"/>
        <v>0</v>
      </c>
      <c r="L1796" s="275">
        <f t="shared" si="2234"/>
        <v>0</v>
      </c>
      <c r="M1796" s="276">
        <f t="shared" si="2235"/>
        <v>0</v>
      </c>
      <c r="N1796" s="364" t="str">
        <f t="shared" si="2229"/>
        <v>-</v>
      </c>
      <c r="O1796" s="365" t="str">
        <f t="shared" si="2216"/>
        <v>-</v>
      </c>
    </row>
    <row r="1797" spans="1:15" ht="24" thickBot="1" x14ac:dyDescent="0.35">
      <c r="A1797" s="277" t="s">
        <v>109</v>
      </c>
      <c r="B1797" s="971"/>
      <c r="C1797" s="282" t="s">
        <v>166</v>
      </c>
      <c r="D1797" s="282"/>
      <c r="E1797" s="283">
        <v>0</v>
      </c>
      <c r="F1797" s="320"/>
      <c r="G1797" s="337">
        <f t="shared" si="2232"/>
        <v>0</v>
      </c>
      <c r="H1797" s="285"/>
      <c r="I1797" s="285"/>
      <c r="J1797" s="376" t="str">
        <f>IFERROR(G1797/#REF!,"-")</f>
        <v>-</v>
      </c>
      <c r="K1797" s="337">
        <f t="shared" si="2233"/>
        <v>0</v>
      </c>
      <c r="L1797" s="275">
        <f t="shared" si="2234"/>
        <v>0</v>
      </c>
      <c r="M1797" s="276">
        <f t="shared" si="2235"/>
        <v>0</v>
      </c>
      <c r="N1797" s="366" t="str">
        <f t="shared" si="2229"/>
        <v>-</v>
      </c>
      <c r="O1797" s="367" t="str">
        <f t="shared" si="2216"/>
        <v>-</v>
      </c>
    </row>
    <row r="1798" spans="1:15" ht="24" thickBot="1" x14ac:dyDescent="0.35">
      <c r="A1798" s="277" t="s">
        <v>109</v>
      </c>
      <c r="B1798" s="967" t="s">
        <v>42</v>
      </c>
      <c r="C1798" s="968"/>
      <c r="D1798" s="969"/>
      <c r="E1798" s="323">
        <f>SUM(E1793:E1797)</f>
        <v>956640</v>
      </c>
      <c r="F1798" s="288">
        <v>25000</v>
      </c>
      <c r="G1798" s="323">
        <f>SUM(G1793:G1797)</f>
        <v>82923</v>
      </c>
      <c r="H1798" s="324">
        <f>SUM(H1793:H1797)</f>
        <v>82344</v>
      </c>
      <c r="I1798" s="324">
        <f>SUM(I1793:I1797)</f>
        <v>579</v>
      </c>
      <c r="J1798" s="348" t="str">
        <f>IFERROR(G1798/#REF!,"-")</f>
        <v>-</v>
      </c>
      <c r="K1798" s="323">
        <f>SUM(K1793:K1797)</f>
        <v>488171</v>
      </c>
      <c r="L1798" s="324">
        <f>SUM(L1793:L1797)</f>
        <v>482736</v>
      </c>
      <c r="M1798" s="325">
        <f>SUM(M1793:M1797)</f>
        <v>5435</v>
      </c>
      <c r="N1798" s="342">
        <f t="shared" si="2229"/>
        <v>0.51029749958186987</v>
      </c>
      <c r="O1798" s="348">
        <f t="shared" si="2216"/>
        <v>1.1133393831259948E-2</v>
      </c>
    </row>
    <row r="1799" spans="1:15" ht="23.4" x14ac:dyDescent="0.3">
      <c r="A1799" s="277" t="s">
        <v>109</v>
      </c>
      <c r="B1799" s="970" t="s">
        <v>485</v>
      </c>
      <c r="C1799" s="272" t="s">
        <v>200</v>
      </c>
      <c r="D1799" s="272"/>
      <c r="E1799" s="273">
        <v>0</v>
      </c>
      <c r="F1799" s="274"/>
      <c r="G1799" s="335">
        <f t="shared" ref="G1799:G1801" si="2236">+H1799+I1799</f>
        <v>0</v>
      </c>
      <c r="H1799" s="275"/>
      <c r="I1799" s="275"/>
      <c r="J1799" s="354" t="str">
        <f>IFERROR(G1799/#REF!,"-")</f>
        <v>-</v>
      </c>
      <c r="K1799" s="335">
        <f t="shared" ref="K1799:K1801" si="2237">+L1799+M1799</f>
        <v>0</v>
      </c>
      <c r="L1799" s="275">
        <f t="shared" ref="L1799:L1801" si="2238">+H1799+L1692</f>
        <v>0</v>
      </c>
      <c r="M1799" s="276">
        <f t="shared" ref="M1799:M1801" si="2239">+I1799+M1692</f>
        <v>0</v>
      </c>
      <c r="N1799" s="339" t="str">
        <f t="shared" si="2229"/>
        <v>-</v>
      </c>
      <c r="O1799" s="349" t="str">
        <f t="shared" si="2216"/>
        <v>-</v>
      </c>
    </row>
    <row r="1800" spans="1:15" ht="23.4" x14ac:dyDescent="0.3">
      <c r="A1800" s="277" t="s">
        <v>109</v>
      </c>
      <c r="B1800" s="972"/>
      <c r="C1800" s="278" t="s">
        <v>167</v>
      </c>
      <c r="D1800" s="278"/>
      <c r="E1800" s="279">
        <v>50000</v>
      </c>
      <c r="F1800" s="280"/>
      <c r="G1800" s="336">
        <f t="shared" si="2236"/>
        <v>0</v>
      </c>
      <c r="H1800" s="281"/>
      <c r="I1800" s="281"/>
      <c r="J1800" s="375" t="str">
        <f>IFERROR(G1800/#REF!,"-")</f>
        <v>-</v>
      </c>
      <c r="K1800" s="336">
        <f t="shared" si="2237"/>
        <v>176617</v>
      </c>
      <c r="L1800" s="794">
        <f t="shared" si="2238"/>
        <v>172176</v>
      </c>
      <c r="M1800" s="276">
        <f t="shared" si="2239"/>
        <v>4441</v>
      </c>
      <c r="N1800" s="364">
        <f t="shared" si="2229"/>
        <v>3.53234</v>
      </c>
      <c r="O1800" s="365">
        <f t="shared" si="2216"/>
        <v>2.5144804860234293E-2</v>
      </c>
    </row>
    <row r="1801" spans="1:15" ht="24" thickBot="1" x14ac:dyDescent="0.35">
      <c r="A1801" s="277" t="s">
        <v>109</v>
      </c>
      <c r="B1801" s="971"/>
      <c r="C1801" s="282" t="s">
        <v>200</v>
      </c>
      <c r="D1801" s="282"/>
      <c r="E1801" s="283">
        <v>0</v>
      </c>
      <c r="F1801" s="284"/>
      <c r="G1801" s="337">
        <f t="shared" si="2236"/>
        <v>0</v>
      </c>
      <c r="H1801" s="285"/>
      <c r="I1801" s="285"/>
      <c r="J1801" s="376" t="str">
        <f>IFERROR(G1801/#REF!,"-")</f>
        <v>-</v>
      </c>
      <c r="K1801" s="337">
        <f t="shared" si="2237"/>
        <v>0</v>
      </c>
      <c r="L1801" s="275">
        <f t="shared" si="2238"/>
        <v>0</v>
      </c>
      <c r="M1801" s="276">
        <f t="shared" si="2239"/>
        <v>0</v>
      </c>
      <c r="N1801" s="366" t="str">
        <f t="shared" si="2229"/>
        <v>-</v>
      </c>
      <c r="O1801" s="367" t="str">
        <f t="shared" si="2216"/>
        <v>-</v>
      </c>
    </row>
    <row r="1802" spans="1:15" ht="24" thickBot="1" x14ac:dyDescent="0.35">
      <c r="A1802" s="277" t="s">
        <v>109</v>
      </c>
      <c r="B1802" s="973" t="s">
        <v>44</v>
      </c>
      <c r="C1802" s="974"/>
      <c r="D1802" s="975"/>
      <c r="E1802" s="323">
        <f>SUM(E1799:E1801)</f>
        <v>50000</v>
      </c>
      <c r="F1802" s="288"/>
      <c r="G1802" s="323">
        <f>SUM(G1799:G1801)</f>
        <v>0</v>
      </c>
      <c r="H1802" s="324">
        <f t="shared" ref="H1802:I1802" si="2240">SUM(H1799:H1801)</f>
        <v>0</v>
      </c>
      <c r="I1802" s="324">
        <f t="shared" si="2240"/>
        <v>0</v>
      </c>
      <c r="J1802" s="348" t="str">
        <f>IFERROR(G1802/#REF!,"-")</f>
        <v>-</v>
      </c>
      <c r="K1802" s="323">
        <f t="shared" ref="K1802:M1802" si="2241">SUM(K1799:K1801)</f>
        <v>176617</v>
      </c>
      <c r="L1802" s="368">
        <f t="shared" si="2241"/>
        <v>172176</v>
      </c>
      <c r="M1802" s="370">
        <f t="shared" si="2241"/>
        <v>4441</v>
      </c>
      <c r="N1802" s="342">
        <f t="shared" si="2229"/>
        <v>3.53234</v>
      </c>
      <c r="O1802" s="348">
        <f t="shared" si="2216"/>
        <v>2.5144804860234293E-2</v>
      </c>
    </row>
    <row r="1803" spans="1:15" ht="23.4" x14ac:dyDescent="0.3">
      <c r="A1803" s="277" t="s">
        <v>109</v>
      </c>
      <c r="B1803" s="970" t="s">
        <v>45</v>
      </c>
      <c r="C1803" s="272" t="s">
        <v>168</v>
      </c>
      <c r="D1803" s="272"/>
      <c r="E1803" s="273">
        <v>0</v>
      </c>
      <c r="F1803" s="274"/>
      <c r="G1803" s="335">
        <f t="shared" ref="G1803:G1804" si="2242">+H1803+I1803</f>
        <v>0</v>
      </c>
      <c r="H1803" s="275"/>
      <c r="I1803" s="275"/>
      <c r="J1803" s="374" t="str">
        <f>IFERROR(G1803/#REF!,"-")</f>
        <v>-</v>
      </c>
      <c r="K1803" s="739">
        <f t="shared" ref="K1803:K1804" si="2243">+L1803+M1803</f>
        <v>0</v>
      </c>
      <c r="L1803" s="532">
        <f t="shared" ref="L1803:L1804" si="2244">+H1803+L1696</f>
        <v>0</v>
      </c>
      <c r="M1803" s="247">
        <f t="shared" ref="M1803:M1804" si="2245">+I1803+M1696</f>
        <v>0</v>
      </c>
      <c r="N1803" s="362" t="str">
        <f t="shared" si="2229"/>
        <v>-</v>
      </c>
      <c r="O1803" s="363" t="str">
        <f t="shared" si="2216"/>
        <v>-</v>
      </c>
    </row>
    <row r="1804" spans="1:15" ht="24" thickBot="1" x14ac:dyDescent="0.35">
      <c r="A1804" s="277" t="s">
        <v>109</v>
      </c>
      <c r="B1804" s="971"/>
      <c r="C1804" s="282" t="s">
        <v>169</v>
      </c>
      <c r="D1804" s="282"/>
      <c r="E1804" s="283">
        <v>0</v>
      </c>
      <c r="F1804" s="284"/>
      <c r="G1804" s="337">
        <f t="shared" si="2242"/>
        <v>0</v>
      </c>
      <c r="H1804" s="285"/>
      <c r="I1804" s="285"/>
      <c r="J1804" s="376" t="str">
        <f>IFERROR(G1804/#REF!,"-")</f>
        <v>-</v>
      </c>
      <c r="K1804" s="740">
        <f t="shared" si="2243"/>
        <v>0</v>
      </c>
      <c r="L1804" s="535">
        <f t="shared" si="2244"/>
        <v>0</v>
      </c>
      <c r="M1804" s="258">
        <f t="shared" si="2245"/>
        <v>0</v>
      </c>
      <c r="N1804" s="366" t="str">
        <f t="shared" si="2229"/>
        <v>-</v>
      </c>
      <c r="O1804" s="367" t="str">
        <f t="shared" si="2216"/>
        <v>-</v>
      </c>
    </row>
    <row r="1805" spans="1:15" ht="24" thickBot="1" x14ac:dyDescent="0.35">
      <c r="A1805" s="277" t="s">
        <v>109</v>
      </c>
      <c r="B1805" s="973" t="s">
        <v>46</v>
      </c>
      <c r="C1805" s="974"/>
      <c r="D1805" s="975"/>
      <c r="E1805" s="287">
        <v>0</v>
      </c>
      <c r="F1805" s="288">
        <v>25000</v>
      </c>
      <c r="G1805" s="323">
        <f>SUM(G1803:G1804)</f>
        <v>0</v>
      </c>
      <c r="H1805" s="324">
        <f t="shared" ref="H1805:I1805" si="2246">SUM(H1803:H1804)</f>
        <v>0</v>
      </c>
      <c r="I1805" s="324">
        <f t="shared" si="2246"/>
        <v>0</v>
      </c>
      <c r="J1805" s="348" t="str">
        <f>IFERROR(G1805/#REF!,"-")</f>
        <v>-</v>
      </c>
      <c r="K1805" s="323">
        <f t="shared" ref="K1805:M1805" si="2247">SUM(K1803:K1804)</f>
        <v>0</v>
      </c>
      <c r="L1805" s="524">
        <f t="shared" si="2247"/>
        <v>0</v>
      </c>
      <c r="M1805" s="733">
        <f t="shared" si="2247"/>
        <v>0</v>
      </c>
      <c r="N1805" s="342" t="str">
        <f t="shared" si="2229"/>
        <v>-</v>
      </c>
      <c r="O1805" s="348" t="str">
        <f t="shared" si="2216"/>
        <v>-</v>
      </c>
    </row>
    <row r="1806" spans="1:15" ht="24" thickBot="1" x14ac:dyDescent="0.35">
      <c r="A1806" s="277" t="s">
        <v>109</v>
      </c>
      <c r="B1806" s="959" t="s">
        <v>25</v>
      </c>
      <c r="C1806" s="960"/>
      <c r="D1806" s="961"/>
      <c r="E1806" s="329">
        <f t="shared" ref="E1806:F1806" si="2248">+E1784+E1789+E1792+E1798+E1802+E1805</f>
        <v>1144800</v>
      </c>
      <c r="F1806" s="330">
        <f t="shared" si="2248"/>
        <v>65800</v>
      </c>
      <c r="G1806" s="329">
        <f>+G1784+G1789+G1792+G1798+G1802+G1805</f>
        <v>96161</v>
      </c>
      <c r="H1806" s="327">
        <f>+H1784+H1789+H1792+H1798+H1802+H1805</f>
        <v>94633</v>
      </c>
      <c r="I1806" s="327">
        <f t="shared" ref="I1806" si="2249">+I1784+I1789+I1792+I1798+I1802+I1805</f>
        <v>1528</v>
      </c>
      <c r="J1806" s="352" t="str">
        <f>IFERROR(G1806/#REF!,"-")</f>
        <v>-</v>
      </c>
      <c r="K1806" s="329">
        <f>+K1784+K1789+K1792+K1798+K1802+K1805</f>
        <v>745030</v>
      </c>
      <c r="L1806" s="327">
        <f t="shared" ref="L1806:M1806" si="2250">+L1784+L1789+L1792+L1798+L1802+L1805</f>
        <v>731582</v>
      </c>
      <c r="M1806" s="328">
        <f t="shared" si="2250"/>
        <v>13448</v>
      </c>
      <c r="N1806" s="344">
        <f t="shared" si="2229"/>
        <v>0.65079489867225715</v>
      </c>
      <c r="O1806" s="352">
        <f t="shared" si="2216"/>
        <v>1.8050279854502502E-2</v>
      </c>
    </row>
    <row r="1807" spans="1:15" ht="24" thickBot="1" x14ac:dyDescent="0.35">
      <c r="A1807" s="321" t="s">
        <v>109</v>
      </c>
      <c r="B1807" s="962" t="s">
        <v>181</v>
      </c>
      <c r="C1807" s="962"/>
      <c r="D1807" s="963"/>
      <c r="E1807" s="333">
        <f>+E1806</f>
        <v>1144800</v>
      </c>
      <c r="F1807" s="334">
        <f t="shared" ref="F1807:O1807" si="2251">+F1806</f>
        <v>65800</v>
      </c>
      <c r="G1807" s="333">
        <f t="shared" si="2251"/>
        <v>96161</v>
      </c>
      <c r="H1807" s="331">
        <f t="shared" si="2251"/>
        <v>94633</v>
      </c>
      <c r="I1807" s="331">
        <f t="shared" si="2251"/>
        <v>1528</v>
      </c>
      <c r="J1807" s="353" t="str">
        <f t="shared" si="2251"/>
        <v>-</v>
      </c>
      <c r="K1807" s="333">
        <f t="shared" si="2251"/>
        <v>745030</v>
      </c>
      <c r="L1807" s="331">
        <f t="shared" si="2251"/>
        <v>731582</v>
      </c>
      <c r="M1807" s="332">
        <f t="shared" si="2251"/>
        <v>13448</v>
      </c>
      <c r="N1807" s="345">
        <f t="shared" si="2251"/>
        <v>0.65079489867225715</v>
      </c>
      <c r="O1807" s="353">
        <f t="shared" si="2251"/>
        <v>1.8050279854502502E-2</v>
      </c>
    </row>
    <row r="1808" spans="1:15" ht="24.6" thickBot="1" x14ac:dyDescent="0.35">
      <c r="A1808" s="322"/>
      <c r="B1808" s="964" t="s">
        <v>182</v>
      </c>
      <c r="C1808" s="965"/>
      <c r="D1808" s="966"/>
      <c r="E1808" s="377">
        <f>+E1750+E1780+E1807</f>
        <v>10258981</v>
      </c>
      <c r="F1808" s="377">
        <f>+F1750+F1780+F1807</f>
        <v>1014800</v>
      </c>
      <c r="G1808" s="377">
        <f>+G1750+G1780+G1807</f>
        <v>528198</v>
      </c>
      <c r="H1808" s="377">
        <f>+H1750+H1780+H1807</f>
        <v>615447</v>
      </c>
      <c r="I1808" s="377">
        <f>+I1750+I1780+I1807</f>
        <v>5899</v>
      </c>
      <c r="J1808" s="378" t="str">
        <f>IFERROR(G1808/#REF!,"-")</f>
        <v>-</v>
      </c>
      <c r="K1808" s="377">
        <f>+K1750+K1780+K1807</f>
        <v>6868164</v>
      </c>
      <c r="L1808" s="377">
        <f>+L1750+L1780+L1807</f>
        <v>6786811</v>
      </c>
      <c r="M1808" s="377">
        <f>+M1750+M1780+M1807</f>
        <v>81353</v>
      </c>
      <c r="N1808" s="378">
        <f>IFERROR(K1808/E1808,"-")</f>
        <v>0.66947818696613237</v>
      </c>
      <c r="O1808" s="378">
        <f>IFERROR(M1808/K1808,"-")</f>
        <v>1.1844941384626226E-2</v>
      </c>
    </row>
    <row r="1809" spans="1:15" ht="23.4" x14ac:dyDescent="0.3">
      <c r="A1809" s="991" t="s">
        <v>1</v>
      </c>
      <c r="B1809" s="994" t="s">
        <v>2</v>
      </c>
      <c r="C1809" s="997" t="s">
        <v>477</v>
      </c>
      <c r="D1809" s="997" t="s">
        <v>478</v>
      </c>
      <c r="E1809" s="1000" t="s">
        <v>4</v>
      </c>
      <c r="F1809" s="1001"/>
      <c r="G1809" s="1001"/>
      <c r="H1809" s="1001"/>
      <c r="I1809" s="1001"/>
      <c r="J1809" s="1001"/>
      <c r="K1809" s="1001"/>
      <c r="L1809" s="1001"/>
      <c r="M1809" s="1001"/>
      <c r="N1809" s="1001"/>
      <c r="O1809" s="1002"/>
    </row>
    <row r="1810" spans="1:15" ht="23.4" x14ac:dyDescent="0.3">
      <c r="A1810" s="992"/>
      <c r="B1810" s="995"/>
      <c r="C1810" s="998"/>
      <c r="D1810" s="998"/>
      <c r="E1810" s="1003" t="s">
        <v>7</v>
      </c>
      <c r="F1810" s="1005" t="s">
        <v>115</v>
      </c>
      <c r="G1810" s="1007" t="s">
        <v>572</v>
      </c>
      <c r="H1810" s="1008"/>
      <c r="I1810" s="1008"/>
      <c r="J1810" s="1009"/>
      <c r="K1810" s="1010" t="s">
        <v>479</v>
      </c>
      <c r="L1810" s="1011"/>
      <c r="M1810" s="1012"/>
      <c r="N1810" s="1013" t="s">
        <v>480</v>
      </c>
      <c r="O1810" s="1015" t="s">
        <v>172</v>
      </c>
    </row>
    <row r="1811" spans="1:15" ht="41.4" thickBot="1" x14ac:dyDescent="0.35">
      <c r="A1811" s="993"/>
      <c r="B1811" s="996"/>
      <c r="C1811" s="999"/>
      <c r="D1811" s="999"/>
      <c r="E1811" s="1004"/>
      <c r="F1811" s="1006"/>
      <c r="G1811" s="455" t="s">
        <v>13</v>
      </c>
      <c r="H1811" s="456" t="s">
        <v>14</v>
      </c>
      <c r="I1811" s="456" t="s">
        <v>15</v>
      </c>
      <c r="J1811" s="457" t="s">
        <v>174</v>
      </c>
      <c r="K1811" s="712" t="s">
        <v>13</v>
      </c>
      <c r="L1811" s="710" t="s">
        <v>14</v>
      </c>
      <c r="M1811" s="711" t="s">
        <v>15</v>
      </c>
      <c r="N1811" s="1014"/>
      <c r="O1811" s="1016"/>
    </row>
    <row r="1812" spans="1:15" ht="24" thickBot="1" x14ac:dyDescent="0.35">
      <c r="A1812" s="271" t="s">
        <v>110</v>
      </c>
      <c r="B1812" s="956" t="s">
        <v>16</v>
      </c>
      <c r="C1812" s="272" t="s">
        <v>424</v>
      </c>
      <c r="D1812" s="272" t="s">
        <v>425</v>
      </c>
      <c r="E1812" s="273">
        <v>20000</v>
      </c>
      <c r="F1812" s="274"/>
      <c r="G1812" s="335">
        <f>+H1812+I1812</f>
        <v>0</v>
      </c>
      <c r="H1812" s="275"/>
      <c r="I1812" s="275"/>
      <c r="J1812" s="354"/>
      <c r="K1812" s="461">
        <f>+L1812+M1812</f>
        <v>20432</v>
      </c>
      <c r="L1812" s="732">
        <f>+H1812+L1705</f>
        <v>19840</v>
      </c>
      <c r="M1812" s="732">
        <f>+I1812+M1705</f>
        <v>592</v>
      </c>
      <c r="N1812" s="339">
        <f>IFERROR(K1812/E1812,"-")</f>
        <v>1.0216000000000001</v>
      </c>
      <c r="O1812" s="346">
        <f t="shared" ref="O1812:O1813" si="2252">IFERROR(M1812/K1812,"-")</f>
        <v>2.8974158183241974E-2</v>
      </c>
    </row>
    <row r="1813" spans="1:15" ht="23.4" x14ac:dyDescent="0.3">
      <c r="A1813" s="277" t="s">
        <v>110</v>
      </c>
      <c r="B1813" s="957"/>
      <c r="C1813" s="278" t="s">
        <v>438</v>
      </c>
      <c r="D1813" s="278" t="s">
        <v>437</v>
      </c>
      <c r="E1813" s="279">
        <v>50000</v>
      </c>
      <c r="F1813" s="280"/>
      <c r="G1813" s="336">
        <f t="shared" ref="G1813:G1815" si="2253">+H1813+I1813</f>
        <v>0</v>
      </c>
      <c r="H1813" s="281"/>
      <c r="I1813" s="281"/>
      <c r="J1813" s="355" t="str">
        <f>IFERROR(G1813/#REF!,"-")</f>
        <v>-</v>
      </c>
      <c r="K1813" s="734">
        <f t="shared" ref="K1813:K1815" si="2254">+L1813+M1813</f>
        <v>48806</v>
      </c>
      <c r="L1813" s="532">
        <f t="shared" ref="L1813:L1815" si="2255">+H1813+L1706</f>
        <v>48381</v>
      </c>
      <c r="M1813" s="463">
        <f t="shared" ref="M1813:M1815" si="2256">+I1813+M1706</f>
        <v>425</v>
      </c>
      <c r="N1813" s="340">
        <f t="shared" ref="N1813:N1815" si="2257">IFERROR(K1813/E1813,"-")</f>
        <v>0.97611999999999999</v>
      </c>
      <c r="O1813" s="268">
        <f t="shared" si="2252"/>
        <v>8.7079457443756912E-3</v>
      </c>
    </row>
    <row r="1814" spans="1:15" s="862" customFormat="1" ht="23.4" x14ac:dyDescent="0.3">
      <c r="A1814" s="277" t="s">
        <v>110</v>
      </c>
      <c r="B1814" s="957"/>
      <c r="C1814" s="580" t="s">
        <v>540</v>
      </c>
      <c r="D1814" s="580" t="s">
        <v>410</v>
      </c>
      <c r="E1814" s="859">
        <v>0</v>
      </c>
      <c r="F1814" s="860"/>
      <c r="G1814" s="336">
        <f t="shared" si="2253"/>
        <v>0</v>
      </c>
      <c r="H1814" s="861"/>
      <c r="I1814" s="861"/>
      <c r="J1814" s="355" t="str">
        <f>IFERROR(G1814/#REF!,"-")</f>
        <v>-</v>
      </c>
      <c r="K1814" s="734">
        <f t="shared" si="2254"/>
        <v>28600</v>
      </c>
      <c r="L1814" s="859">
        <f t="shared" si="2255"/>
        <v>28600</v>
      </c>
      <c r="M1814" s="534">
        <f t="shared" si="2256"/>
        <v>0</v>
      </c>
      <c r="N1814" s="340" t="str">
        <f t="shared" si="2257"/>
        <v>-</v>
      </c>
      <c r="O1814" s="268">
        <f>IFERROR(M1814/K1814,"-")</f>
        <v>0</v>
      </c>
    </row>
    <row r="1815" spans="1:15" ht="24" thickBot="1" x14ac:dyDescent="0.35">
      <c r="A1815" s="277" t="s">
        <v>110</v>
      </c>
      <c r="B1815" s="958"/>
      <c r="C1815" s="282" t="s">
        <v>525</v>
      </c>
      <c r="D1815" s="282" t="s">
        <v>436</v>
      </c>
      <c r="E1815" s="283">
        <v>30000</v>
      </c>
      <c r="F1815" s="284"/>
      <c r="G1815" s="337">
        <f t="shared" si="2253"/>
        <v>0</v>
      </c>
      <c r="H1815" s="275"/>
      <c r="I1815" s="275"/>
      <c r="J1815" s="356" t="str">
        <f>IFERROR(G1815/#REF!,"-")</f>
        <v>-</v>
      </c>
      <c r="K1815" s="735">
        <f t="shared" si="2254"/>
        <v>25135</v>
      </c>
      <c r="L1815" s="535">
        <f t="shared" si="2255"/>
        <v>23296</v>
      </c>
      <c r="M1815" s="466">
        <f t="shared" si="2256"/>
        <v>1839</v>
      </c>
      <c r="N1815" s="341">
        <f t="shared" si="2257"/>
        <v>0.83783333333333332</v>
      </c>
      <c r="O1815" s="347">
        <f t="shared" ref="O1815:O1833" si="2258">IFERROR(M1815/K1815,"-")</f>
        <v>7.3164909488760699E-2</v>
      </c>
    </row>
    <row r="1816" spans="1:15" ht="24" thickBot="1" x14ac:dyDescent="0.35">
      <c r="A1816" s="277" t="s">
        <v>110</v>
      </c>
      <c r="B1816" s="967" t="s">
        <v>47</v>
      </c>
      <c r="C1816" s="968"/>
      <c r="D1816" s="969"/>
      <c r="E1816" s="323">
        <f>SUM(E1812:E1815)</f>
        <v>100000</v>
      </c>
      <c r="F1816" s="288">
        <v>15000</v>
      </c>
      <c r="G1816" s="323">
        <f>SUM(G1812:G1815)</f>
        <v>0</v>
      </c>
      <c r="H1816" s="324">
        <f t="shared" ref="H1816:I1816" si="2259">SUM(H1812:H1815)</f>
        <v>0</v>
      </c>
      <c r="I1816" s="324">
        <f t="shared" si="2259"/>
        <v>0</v>
      </c>
      <c r="J1816" s="348">
        <f>+G1816/F1816</f>
        <v>0</v>
      </c>
      <c r="K1816" s="323">
        <f t="shared" ref="K1816:M1816" si="2260">SUM(K1812:K1815)</f>
        <v>122973</v>
      </c>
      <c r="L1816" s="736">
        <f t="shared" si="2260"/>
        <v>120117</v>
      </c>
      <c r="M1816" s="737">
        <f t="shared" si="2260"/>
        <v>2856</v>
      </c>
      <c r="N1816" s="342">
        <f>IFERROR(K1816/E1816,"-")</f>
        <v>1.22973</v>
      </c>
      <c r="O1816" s="348">
        <f t="shared" si="2258"/>
        <v>2.3224610280305431E-2</v>
      </c>
    </row>
    <row r="1817" spans="1:15" ht="23.4" x14ac:dyDescent="0.3">
      <c r="A1817" s="277" t="s">
        <v>110</v>
      </c>
      <c r="B1817" s="956" t="s">
        <v>17</v>
      </c>
      <c r="C1817" s="272" t="s">
        <v>320</v>
      </c>
      <c r="D1817" s="272"/>
      <c r="E1817" s="273">
        <v>0</v>
      </c>
      <c r="F1817" s="274"/>
      <c r="G1817" s="335">
        <f t="shared" ref="G1817:G1823" si="2261">+H1817+I1817</f>
        <v>0</v>
      </c>
      <c r="H1817" s="275"/>
      <c r="I1817" s="275"/>
      <c r="J1817" s="354" t="str">
        <f>IFERROR(G1817/#REF!,"-")</f>
        <v>-</v>
      </c>
      <c r="K1817" s="738">
        <f t="shared" ref="K1817:K1823" si="2262">+L1817+M1817</f>
        <v>200458</v>
      </c>
      <c r="L1817" s="532">
        <f t="shared" ref="L1817:L1823" si="2263">+H1817+L1710</f>
        <v>199652</v>
      </c>
      <c r="M1817" s="463">
        <f t="shared" ref="M1817:M1823" si="2264">+I1817+M1710</f>
        <v>806</v>
      </c>
      <c r="N1817" s="339" t="str">
        <f t="shared" ref="N1817:N1823" si="2265">IFERROR(K1817/E1817,"-")</f>
        <v>-</v>
      </c>
      <c r="O1817" s="349">
        <f t="shared" si="2258"/>
        <v>4.0207923854373483E-3</v>
      </c>
    </row>
    <row r="1818" spans="1:15" ht="23.4" x14ac:dyDescent="0.3">
      <c r="A1818" s="277" t="s">
        <v>110</v>
      </c>
      <c r="B1818" s="957"/>
      <c r="C1818" s="278" t="s">
        <v>382</v>
      </c>
      <c r="D1818" s="278" t="s">
        <v>252</v>
      </c>
      <c r="E1818" s="279">
        <v>2000000</v>
      </c>
      <c r="F1818" s="280"/>
      <c r="G1818" s="336">
        <f t="shared" si="2261"/>
        <v>79800</v>
      </c>
      <c r="H1818" s="281">
        <v>79560</v>
      </c>
      <c r="I1818" s="281">
        <v>240</v>
      </c>
      <c r="J1818" s="355" t="str">
        <f>IFERROR(G1818/#REF!,"-")</f>
        <v>-</v>
      </c>
      <c r="K1818" s="734">
        <f t="shared" si="2262"/>
        <v>882450</v>
      </c>
      <c r="L1818" s="279">
        <f t="shared" si="2263"/>
        <v>878143</v>
      </c>
      <c r="M1818" s="439">
        <f t="shared" si="2264"/>
        <v>4307</v>
      </c>
      <c r="N1818" s="340">
        <f t="shared" si="2265"/>
        <v>0.44122499999999998</v>
      </c>
      <c r="O1818" s="264">
        <f t="shared" si="2258"/>
        <v>4.8807297863901634E-3</v>
      </c>
    </row>
    <row r="1819" spans="1:15" ht="23.4" x14ac:dyDescent="0.3">
      <c r="A1819" s="277" t="s">
        <v>110</v>
      </c>
      <c r="B1819" s="957"/>
      <c r="C1819" s="278" t="s">
        <v>422</v>
      </c>
      <c r="D1819" s="278" t="s">
        <v>201</v>
      </c>
      <c r="E1819" s="279">
        <v>1000000</v>
      </c>
      <c r="F1819" s="280"/>
      <c r="G1819" s="336">
        <f t="shared" si="2261"/>
        <v>0</v>
      </c>
      <c r="H1819" s="281"/>
      <c r="I1819" s="281"/>
      <c r="J1819" s="355" t="str">
        <f>IFERROR(G1819/#REF!,"-")</f>
        <v>-</v>
      </c>
      <c r="K1819" s="734">
        <f t="shared" si="2262"/>
        <v>459333</v>
      </c>
      <c r="L1819" s="279">
        <f t="shared" si="2263"/>
        <v>454716</v>
      </c>
      <c r="M1819" s="439">
        <f t="shared" si="2264"/>
        <v>4617</v>
      </c>
      <c r="N1819" s="340">
        <f t="shared" si="2265"/>
        <v>0.45933299999999999</v>
      </c>
      <c r="O1819" s="264">
        <f t="shared" si="2258"/>
        <v>1.0051531242040088E-2</v>
      </c>
    </row>
    <row r="1820" spans="1:15" ht="23.4" x14ac:dyDescent="0.3">
      <c r="A1820" s="277" t="s">
        <v>110</v>
      </c>
      <c r="B1820" s="957"/>
      <c r="C1820" s="278" t="s">
        <v>319</v>
      </c>
      <c r="D1820" s="278" t="s">
        <v>202</v>
      </c>
      <c r="E1820" s="279">
        <v>0</v>
      </c>
      <c r="F1820" s="280"/>
      <c r="G1820" s="336">
        <f t="shared" si="2261"/>
        <v>0</v>
      </c>
      <c r="H1820" s="281"/>
      <c r="I1820" s="281"/>
      <c r="J1820" s="355" t="str">
        <f>IFERROR(G1820/#REF!,"-")</f>
        <v>-</v>
      </c>
      <c r="K1820" s="734">
        <f t="shared" si="2262"/>
        <v>297411</v>
      </c>
      <c r="L1820" s="279">
        <f t="shared" si="2263"/>
        <v>296152</v>
      </c>
      <c r="M1820" s="439">
        <f t="shared" si="2264"/>
        <v>1259</v>
      </c>
      <c r="N1820" s="340" t="str">
        <f t="shared" si="2265"/>
        <v>-</v>
      </c>
      <c r="O1820" s="264">
        <f t="shared" si="2258"/>
        <v>4.2331991755516774E-3</v>
      </c>
    </row>
    <row r="1821" spans="1:15" ht="23.4" x14ac:dyDescent="0.3">
      <c r="A1821" s="277" t="s">
        <v>110</v>
      </c>
      <c r="B1821" s="957"/>
      <c r="C1821" s="278" t="s">
        <v>358</v>
      </c>
      <c r="D1821" s="278" t="s">
        <v>352</v>
      </c>
      <c r="E1821" s="279">
        <v>500000</v>
      </c>
      <c r="F1821" s="280"/>
      <c r="G1821" s="336">
        <f t="shared" si="2261"/>
        <v>0</v>
      </c>
      <c r="H1821" s="281"/>
      <c r="I1821" s="281"/>
      <c r="J1821" s="355" t="str">
        <f>IFERROR(G1821/#REF!,"-")</f>
        <v>-</v>
      </c>
      <c r="K1821" s="734">
        <f t="shared" si="2262"/>
        <v>503292</v>
      </c>
      <c r="L1821" s="279">
        <f t="shared" si="2263"/>
        <v>500882</v>
      </c>
      <c r="M1821" s="439">
        <f t="shared" si="2264"/>
        <v>2410</v>
      </c>
      <c r="N1821" s="340">
        <f t="shared" si="2265"/>
        <v>1.0065839999999999</v>
      </c>
      <c r="O1821" s="264">
        <f t="shared" si="2258"/>
        <v>4.7884726957710434E-3</v>
      </c>
    </row>
    <row r="1822" spans="1:15" ht="23.4" x14ac:dyDescent="0.3">
      <c r="A1822" s="277" t="s">
        <v>110</v>
      </c>
      <c r="B1822" s="957"/>
      <c r="C1822" s="278" t="s">
        <v>392</v>
      </c>
      <c r="D1822" s="278" t="s">
        <v>203</v>
      </c>
      <c r="E1822" s="279">
        <v>0</v>
      </c>
      <c r="F1822" s="280"/>
      <c r="G1822" s="336">
        <f t="shared" si="2261"/>
        <v>0</v>
      </c>
      <c r="H1822" s="281"/>
      <c r="I1822" s="281"/>
      <c r="J1822" s="355" t="str">
        <f>IFERROR(G1822/#REF!,"-")</f>
        <v>-</v>
      </c>
      <c r="K1822" s="734">
        <f t="shared" si="2262"/>
        <v>0</v>
      </c>
      <c r="L1822" s="279">
        <f t="shared" si="2263"/>
        <v>0</v>
      </c>
      <c r="M1822" s="439">
        <f t="shared" si="2264"/>
        <v>0</v>
      </c>
      <c r="N1822" s="340" t="str">
        <f t="shared" si="2265"/>
        <v>-</v>
      </c>
      <c r="O1822" s="264" t="str">
        <f t="shared" si="2258"/>
        <v>-</v>
      </c>
    </row>
    <row r="1823" spans="1:15" ht="24" thickBot="1" x14ac:dyDescent="0.35">
      <c r="A1823" s="277" t="s">
        <v>110</v>
      </c>
      <c r="B1823" s="958"/>
      <c r="C1823" s="282" t="s">
        <v>379</v>
      </c>
      <c r="D1823" s="282" t="s">
        <v>252</v>
      </c>
      <c r="E1823" s="283">
        <v>0</v>
      </c>
      <c r="F1823" s="284"/>
      <c r="G1823" s="337">
        <f t="shared" si="2261"/>
        <v>0</v>
      </c>
      <c r="H1823" s="285"/>
      <c r="I1823" s="285"/>
      <c r="J1823" s="356" t="str">
        <f>IFERROR(G1823/#REF!,"-")</f>
        <v>-</v>
      </c>
      <c r="K1823" s="735">
        <f t="shared" si="2262"/>
        <v>0</v>
      </c>
      <c r="L1823" s="535">
        <f t="shared" si="2263"/>
        <v>0</v>
      </c>
      <c r="M1823" s="466">
        <f t="shared" si="2264"/>
        <v>0</v>
      </c>
      <c r="N1823" s="341" t="str">
        <f t="shared" si="2265"/>
        <v>-</v>
      </c>
      <c r="O1823" s="350" t="str">
        <f t="shared" si="2258"/>
        <v>-</v>
      </c>
    </row>
    <row r="1824" spans="1:15" ht="24" thickBot="1" x14ac:dyDescent="0.35">
      <c r="A1824" s="277" t="s">
        <v>110</v>
      </c>
      <c r="B1824" s="967" t="s">
        <v>48</v>
      </c>
      <c r="C1824" s="968"/>
      <c r="D1824" s="969"/>
      <c r="E1824" s="323">
        <f>SUM(E1817:E1823)</f>
        <v>3500000</v>
      </c>
      <c r="F1824" s="288">
        <v>200000</v>
      </c>
      <c r="G1824" s="323">
        <f>SUM(G1817:G1823)</f>
        <v>79800</v>
      </c>
      <c r="H1824" s="324">
        <f t="shared" ref="H1824:I1824" si="2266">SUM(H1817:H1823)</f>
        <v>79560</v>
      </c>
      <c r="I1824" s="324">
        <f t="shared" si="2266"/>
        <v>240</v>
      </c>
      <c r="J1824" s="348">
        <f>+G1824/F1824</f>
        <v>0.39900000000000002</v>
      </c>
      <c r="K1824" s="323">
        <f>SUM(K1817:K1823)</f>
        <v>2342944</v>
      </c>
      <c r="L1824" s="524">
        <f>SUM(L1817:L1823)</f>
        <v>2329545</v>
      </c>
      <c r="M1824" s="733">
        <f t="shared" ref="M1824" si="2267">SUM(M1817:M1823)</f>
        <v>13399</v>
      </c>
      <c r="N1824" s="342">
        <f>IFERROR(K1824/E1824,"-")</f>
        <v>0.66941257142857147</v>
      </c>
      <c r="O1824" s="348">
        <f t="shared" si="2258"/>
        <v>5.7188733490855948E-3</v>
      </c>
    </row>
    <row r="1825" spans="1:15" ht="23.4" x14ac:dyDescent="0.3">
      <c r="A1825" s="277" t="s">
        <v>110</v>
      </c>
      <c r="B1825" s="956" t="s">
        <v>18</v>
      </c>
      <c r="C1825" s="272" t="s">
        <v>344</v>
      </c>
      <c r="D1825" s="272" t="s">
        <v>99</v>
      </c>
      <c r="E1825" s="273">
        <v>0</v>
      </c>
      <c r="F1825" s="274"/>
      <c r="G1825" s="335">
        <f t="shared" ref="G1825:G1831" si="2268">+H1825+I1825</f>
        <v>0</v>
      </c>
      <c r="H1825" s="275"/>
      <c r="I1825" s="275"/>
      <c r="J1825" s="354" t="str">
        <f>IFERROR(G1825/#REF!,"-")</f>
        <v>-</v>
      </c>
      <c r="K1825" s="335">
        <f t="shared" ref="K1825:K1831" si="2269">+L1825+M1825</f>
        <v>0</v>
      </c>
      <c r="L1825" s="275">
        <f t="shared" ref="L1825:L1831" si="2270">+H1825+L1718</f>
        <v>0</v>
      </c>
      <c r="M1825" s="276">
        <f t="shared" ref="M1825:M1831" si="2271">+I1825+M1718</f>
        <v>0</v>
      </c>
      <c r="N1825" s="339" t="str">
        <f t="shared" ref="N1825:N1832" si="2272">IFERROR(K1825/E1825,"-")</f>
        <v>-</v>
      </c>
      <c r="O1825" s="349" t="str">
        <f t="shared" si="2258"/>
        <v>-</v>
      </c>
    </row>
    <row r="1826" spans="1:15" ht="23.4" x14ac:dyDescent="0.3">
      <c r="A1826" s="277" t="s">
        <v>110</v>
      </c>
      <c r="B1826" s="957"/>
      <c r="C1826" s="278" t="s">
        <v>253</v>
      </c>
      <c r="D1826" s="278" t="s">
        <v>254</v>
      </c>
      <c r="E1826" s="279">
        <v>0</v>
      </c>
      <c r="F1826" s="280"/>
      <c r="G1826" s="336">
        <f t="shared" si="2268"/>
        <v>0</v>
      </c>
      <c r="H1826" s="281"/>
      <c r="I1826" s="281"/>
      <c r="J1826" s="355" t="str">
        <f>IFERROR(G1826/#REF!,"-")</f>
        <v>-</v>
      </c>
      <c r="K1826" s="336">
        <f t="shared" si="2269"/>
        <v>0</v>
      </c>
      <c r="L1826" s="275">
        <f t="shared" si="2270"/>
        <v>0</v>
      </c>
      <c r="M1826" s="276">
        <f t="shared" si="2271"/>
        <v>0</v>
      </c>
      <c r="N1826" s="340" t="str">
        <f t="shared" si="2272"/>
        <v>-</v>
      </c>
      <c r="O1826" s="264" t="str">
        <f t="shared" si="2258"/>
        <v>-</v>
      </c>
    </row>
    <row r="1827" spans="1:15" ht="23.4" x14ac:dyDescent="0.3">
      <c r="A1827" s="277" t="s">
        <v>110</v>
      </c>
      <c r="B1827" s="957"/>
      <c r="C1827" s="278" t="s">
        <v>122</v>
      </c>
      <c r="D1827" s="278"/>
      <c r="E1827" s="279">
        <v>0</v>
      </c>
      <c r="F1827" s="280"/>
      <c r="G1827" s="336">
        <f t="shared" si="2268"/>
        <v>0</v>
      </c>
      <c r="H1827" s="281"/>
      <c r="I1827" s="281"/>
      <c r="J1827" s="355" t="str">
        <f>IFERROR(G1827/#REF!,"-")</f>
        <v>-</v>
      </c>
      <c r="K1827" s="336">
        <f t="shared" si="2269"/>
        <v>0</v>
      </c>
      <c r="L1827" s="275">
        <f t="shared" si="2270"/>
        <v>0</v>
      </c>
      <c r="M1827" s="276">
        <f t="shared" si="2271"/>
        <v>0</v>
      </c>
      <c r="N1827" s="340" t="str">
        <f t="shared" si="2272"/>
        <v>-</v>
      </c>
      <c r="O1827" s="264" t="str">
        <f t="shared" si="2258"/>
        <v>-</v>
      </c>
    </row>
    <row r="1828" spans="1:15" ht="23.4" x14ac:dyDescent="0.3">
      <c r="A1828" s="277" t="s">
        <v>110</v>
      </c>
      <c r="B1828" s="957"/>
      <c r="C1828" s="278" t="s">
        <v>129</v>
      </c>
      <c r="D1828" s="278"/>
      <c r="E1828" s="279">
        <v>0</v>
      </c>
      <c r="F1828" s="280"/>
      <c r="G1828" s="336">
        <f t="shared" si="2268"/>
        <v>0</v>
      </c>
      <c r="H1828" s="281"/>
      <c r="I1828" s="281"/>
      <c r="J1828" s="355" t="str">
        <f>IFERROR(G1828/#REF!,"-")</f>
        <v>-</v>
      </c>
      <c r="K1828" s="336">
        <f t="shared" si="2269"/>
        <v>0</v>
      </c>
      <c r="L1828" s="275">
        <f t="shared" si="2270"/>
        <v>0</v>
      </c>
      <c r="M1828" s="276">
        <f t="shared" si="2271"/>
        <v>0</v>
      </c>
      <c r="N1828" s="340" t="str">
        <f t="shared" si="2272"/>
        <v>-</v>
      </c>
      <c r="O1828" s="264" t="str">
        <f t="shared" si="2258"/>
        <v>-</v>
      </c>
    </row>
    <row r="1829" spans="1:15" ht="23.4" x14ac:dyDescent="0.3">
      <c r="A1829" s="277" t="s">
        <v>110</v>
      </c>
      <c r="B1829" s="957"/>
      <c r="C1829" s="278" t="s">
        <v>189</v>
      </c>
      <c r="D1829" s="278" t="s">
        <v>190</v>
      </c>
      <c r="E1829" s="279">
        <v>0</v>
      </c>
      <c r="F1829" s="280"/>
      <c r="G1829" s="336">
        <f t="shared" si="2268"/>
        <v>0</v>
      </c>
      <c r="H1829" s="281"/>
      <c r="I1829" s="281"/>
      <c r="J1829" s="355" t="str">
        <f>IFERROR(G1829/#REF!,"-")</f>
        <v>-</v>
      </c>
      <c r="K1829" s="336">
        <f t="shared" si="2269"/>
        <v>0</v>
      </c>
      <c r="L1829" s="275">
        <f t="shared" si="2270"/>
        <v>0</v>
      </c>
      <c r="M1829" s="276">
        <f t="shared" si="2271"/>
        <v>0</v>
      </c>
      <c r="N1829" s="340" t="str">
        <f t="shared" si="2272"/>
        <v>-</v>
      </c>
      <c r="O1829" s="264" t="str">
        <f t="shared" si="2258"/>
        <v>-</v>
      </c>
    </row>
    <row r="1830" spans="1:15" ht="23.4" x14ac:dyDescent="0.3">
      <c r="A1830" s="277" t="s">
        <v>110</v>
      </c>
      <c r="B1830" s="957"/>
      <c r="C1830" s="278" t="s">
        <v>192</v>
      </c>
      <c r="D1830" s="278" t="s">
        <v>191</v>
      </c>
      <c r="E1830" s="279">
        <v>0</v>
      </c>
      <c r="F1830" s="280"/>
      <c r="G1830" s="336">
        <f t="shared" si="2268"/>
        <v>0</v>
      </c>
      <c r="H1830" s="281"/>
      <c r="I1830" s="281"/>
      <c r="J1830" s="355" t="str">
        <f>IFERROR(G1830/#REF!,"-")</f>
        <v>-</v>
      </c>
      <c r="K1830" s="336">
        <f t="shared" si="2269"/>
        <v>0</v>
      </c>
      <c r="L1830" s="275">
        <f t="shared" si="2270"/>
        <v>0</v>
      </c>
      <c r="M1830" s="276">
        <f t="shared" si="2271"/>
        <v>0</v>
      </c>
      <c r="N1830" s="340" t="str">
        <f t="shared" si="2272"/>
        <v>-</v>
      </c>
      <c r="O1830" s="264" t="str">
        <f t="shared" si="2258"/>
        <v>-</v>
      </c>
    </row>
    <row r="1831" spans="1:15" ht="24" thickBot="1" x14ac:dyDescent="0.35">
      <c r="A1831" s="277" t="s">
        <v>110</v>
      </c>
      <c r="B1831" s="958"/>
      <c r="C1831" s="289" t="s">
        <v>193</v>
      </c>
      <c r="D1831" s="289" t="s">
        <v>114</v>
      </c>
      <c r="E1831" s="283">
        <v>0</v>
      </c>
      <c r="F1831" s="284"/>
      <c r="G1831" s="337">
        <f t="shared" si="2268"/>
        <v>0</v>
      </c>
      <c r="H1831" s="285"/>
      <c r="I1831" s="285"/>
      <c r="J1831" s="356" t="str">
        <f>IFERROR(G1831/#REF!,"-")</f>
        <v>-</v>
      </c>
      <c r="K1831" s="337">
        <f t="shared" si="2269"/>
        <v>0</v>
      </c>
      <c r="L1831" s="275">
        <f t="shared" si="2270"/>
        <v>0</v>
      </c>
      <c r="M1831" s="276">
        <f t="shared" si="2271"/>
        <v>0</v>
      </c>
      <c r="N1831" s="341" t="str">
        <f t="shared" si="2272"/>
        <v>-</v>
      </c>
      <c r="O1831" s="350" t="str">
        <f t="shared" si="2258"/>
        <v>-</v>
      </c>
    </row>
    <row r="1832" spans="1:15" ht="24" thickBot="1" x14ac:dyDescent="0.35">
      <c r="A1832" s="277" t="s">
        <v>110</v>
      </c>
      <c r="B1832" s="967" t="s">
        <v>29</v>
      </c>
      <c r="C1832" s="968"/>
      <c r="D1832" s="969"/>
      <c r="E1832" s="323">
        <f t="shared" ref="E1832" si="2273">SUM(E1825:E1831)</f>
        <v>0</v>
      </c>
      <c r="F1832" s="288">
        <v>80000</v>
      </c>
      <c r="G1832" s="323">
        <f>SUM(G1825:G1831)</f>
        <v>0</v>
      </c>
      <c r="H1832" s="324">
        <f t="shared" ref="H1832:I1832" si="2274">SUM(H1825:H1831)</f>
        <v>0</v>
      </c>
      <c r="I1832" s="324">
        <f t="shared" si="2274"/>
        <v>0</v>
      </c>
      <c r="J1832" s="348">
        <f>+G1832/F1832</f>
        <v>0</v>
      </c>
      <c r="K1832" s="323">
        <f t="shared" ref="K1832:M1832" si="2275">SUM(K1825:K1831)</f>
        <v>0</v>
      </c>
      <c r="L1832" s="324">
        <f t="shared" si="2275"/>
        <v>0</v>
      </c>
      <c r="M1832" s="325">
        <f t="shared" si="2275"/>
        <v>0</v>
      </c>
      <c r="N1832" s="342" t="str">
        <f t="shared" si="2272"/>
        <v>-</v>
      </c>
      <c r="O1832" s="348" t="str">
        <f t="shared" si="2258"/>
        <v>-</v>
      </c>
    </row>
    <row r="1833" spans="1:15" ht="24" thickBot="1" x14ac:dyDescent="0.35">
      <c r="A1833" s="252" t="s">
        <v>110</v>
      </c>
      <c r="B1833" s="985" t="s">
        <v>19</v>
      </c>
      <c r="C1833" s="653" t="s">
        <v>255</v>
      </c>
      <c r="D1833" s="690" t="s">
        <v>190</v>
      </c>
      <c r="E1833" s="695">
        <v>0</v>
      </c>
      <c r="F1833" s="692">
        <v>110000</v>
      </c>
      <c r="G1833" s="656">
        <f t="shared" ref="G1833:G1835" si="2276">+H1833+I1833</f>
        <v>0</v>
      </c>
      <c r="H1833" s="462"/>
      <c r="I1833" s="462"/>
      <c r="J1833" s="536" t="str">
        <f>IFERROR(G1833/#REF!,"-")</f>
        <v>-</v>
      </c>
      <c r="K1833" s="461">
        <f>+L1833+M1833</f>
        <v>20219</v>
      </c>
      <c r="L1833" s="462">
        <f t="shared" ref="L1833:L1835" si="2277">+H1833+L1726</f>
        <v>20064</v>
      </c>
      <c r="M1833" s="463">
        <f t="shared" ref="M1833:M1835" si="2278">+I1833+M1726</f>
        <v>155</v>
      </c>
      <c r="N1833" s="658" t="str">
        <f>IFERROR(K1833/E1833,"-")</f>
        <v>-</v>
      </c>
      <c r="O1833" s="659">
        <f t="shared" si="2258"/>
        <v>7.6660566793609972E-3</v>
      </c>
    </row>
    <row r="1834" spans="1:15" ht="24" thickBot="1" x14ac:dyDescent="0.35">
      <c r="A1834" s="252"/>
      <c r="B1834" s="986"/>
      <c r="C1834" s="299" t="s">
        <v>440</v>
      </c>
      <c r="D1834" s="657" t="s">
        <v>507</v>
      </c>
      <c r="E1834" s="696">
        <v>1000000</v>
      </c>
      <c r="F1834" s="693">
        <v>110000</v>
      </c>
      <c r="G1834" s="652">
        <f t="shared" si="2276"/>
        <v>152594</v>
      </c>
      <c r="H1834" s="275">
        <f>67584+84480</f>
        <v>152064</v>
      </c>
      <c r="I1834" s="275">
        <f>290+240</f>
        <v>530</v>
      </c>
      <c r="J1834" s="354" t="str">
        <f>IFERROR(G1834/#REF!,"-")</f>
        <v>-</v>
      </c>
      <c r="K1834" s="338">
        <f>+L1834+M1834</f>
        <v>282553</v>
      </c>
      <c r="L1834" s="462">
        <f t="shared" si="2277"/>
        <v>281424</v>
      </c>
      <c r="M1834" s="463">
        <f t="shared" si="2278"/>
        <v>1129</v>
      </c>
      <c r="N1834" s="343">
        <f t="shared" ref="N1834:N1835" si="2279">IFERROR(K1834/E1834,"-")</f>
        <v>0.282553</v>
      </c>
      <c r="O1834" s="651">
        <f>IFERROR(M1834/K1834,"-")</f>
        <v>3.9957105392616609E-3</v>
      </c>
    </row>
    <row r="1835" spans="1:15" ht="24" thickBot="1" x14ac:dyDescent="0.35">
      <c r="A1835" s="252"/>
      <c r="B1835" s="987"/>
      <c r="C1835" s="647" t="s">
        <v>380</v>
      </c>
      <c r="D1835" s="691"/>
      <c r="E1835" s="697">
        <v>150000</v>
      </c>
      <c r="F1835" s="694">
        <v>110000</v>
      </c>
      <c r="G1835" s="599">
        <f t="shared" si="2276"/>
        <v>0</v>
      </c>
      <c r="H1835" s="285"/>
      <c r="I1835" s="285"/>
      <c r="J1835" s="356"/>
      <c r="K1835" s="464">
        <f>+L1835+M1835</f>
        <v>0</v>
      </c>
      <c r="L1835" s="462">
        <f t="shared" si="2277"/>
        <v>0</v>
      </c>
      <c r="M1835" s="463">
        <f t="shared" si="2278"/>
        <v>0</v>
      </c>
      <c r="N1835" s="341">
        <f t="shared" si="2279"/>
        <v>0</v>
      </c>
      <c r="O1835" s="648" t="str">
        <f t="shared" ref="O1835:O1886" si="2280">IFERROR(M1835/K1835,"-")</f>
        <v>-</v>
      </c>
    </row>
    <row r="1836" spans="1:15" ht="24" thickBot="1" x14ac:dyDescent="0.35">
      <c r="A1836" s="277" t="s">
        <v>110</v>
      </c>
      <c r="B1836" s="988" t="s">
        <v>49</v>
      </c>
      <c r="C1836" s="968"/>
      <c r="D1836" s="969"/>
      <c r="E1836" s="323">
        <f>SUM(E1833:E1835)</f>
        <v>1150000</v>
      </c>
      <c r="F1836" s="326">
        <f t="shared" ref="F1836" si="2281">SUM(F1833)</f>
        <v>110000</v>
      </c>
      <c r="G1836" s="323">
        <f>SUM(G1833)</f>
        <v>0</v>
      </c>
      <c r="H1836" s="324">
        <f>SUM(H1833:H1835)</f>
        <v>152064</v>
      </c>
      <c r="I1836" s="324">
        <f>SUM(I1833:I1835)</f>
        <v>530</v>
      </c>
      <c r="J1836" s="348">
        <f>+G1836/F1836</f>
        <v>0</v>
      </c>
      <c r="K1836" s="649">
        <f>SUM(K1833:K1834)</f>
        <v>302772</v>
      </c>
      <c r="L1836" s="324">
        <f>SUM(L1833:L1834)</f>
        <v>301488</v>
      </c>
      <c r="M1836" s="325">
        <f>SUM(M1833:M1834)</f>
        <v>1284</v>
      </c>
      <c r="N1836" s="342">
        <f>IFERROR(K1836/E1836,"-")</f>
        <v>0.26328000000000001</v>
      </c>
      <c r="O1836" s="348">
        <f t="shared" si="2280"/>
        <v>4.2408148705956961E-3</v>
      </c>
    </row>
    <row r="1837" spans="1:15" ht="23.4" x14ac:dyDescent="0.3">
      <c r="A1837" s="277" t="s">
        <v>110</v>
      </c>
      <c r="B1837" s="956" t="s">
        <v>20</v>
      </c>
      <c r="C1837" s="294" t="s">
        <v>351</v>
      </c>
      <c r="D1837" s="294" t="s">
        <v>313</v>
      </c>
      <c r="E1837" s="273">
        <v>0</v>
      </c>
      <c r="F1837" s="274"/>
      <c r="G1837" s="335">
        <f t="shared" ref="G1837:G1839" si="2282">+H1837+I1837</f>
        <v>0</v>
      </c>
      <c r="H1837" s="275"/>
      <c r="I1837" s="275"/>
      <c r="J1837" s="354" t="str">
        <f>IFERROR(G1837/#REF!,"-")</f>
        <v>-</v>
      </c>
      <c r="K1837" s="335">
        <f t="shared" ref="K1837:K1839" si="2283">+L1837+M1837</f>
        <v>0</v>
      </c>
      <c r="L1837" s="275">
        <f t="shared" ref="L1837:L1839" si="2284">+H1837+L1730</f>
        <v>0</v>
      </c>
      <c r="M1837" s="276">
        <f t="shared" ref="M1837:M1839" si="2285">+I1837+M1730</f>
        <v>0</v>
      </c>
      <c r="N1837" s="339" t="str">
        <f t="shared" ref="N1837:N1840" si="2286">IFERROR(K1837/E1837,"-")</f>
        <v>-</v>
      </c>
      <c r="O1837" s="349" t="str">
        <f t="shared" si="2280"/>
        <v>-</v>
      </c>
    </row>
    <row r="1838" spans="1:15" ht="23.4" x14ac:dyDescent="0.3">
      <c r="A1838" s="277" t="s">
        <v>110</v>
      </c>
      <c r="B1838" s="957"/>
      <c r="C1838" s="295" t="s">
        <v>121</v>
      </c>
      <c r="D1838" s="295"/>
      <c r="E1838" s="279">
        <v>0</v>
      </c>
      <c r="F1838" s="280"/>
      <c r="G1838" s="336">
        <f t="shared" si="2282"/>
        <v>0</v>
      </c>
      <c r="H1838" s="281"/>
      <c r="I1838" s="281"/>
      <c r="J1838" s="355" t="str">
        <f>IFERROR(G1838/#REF!,"-")</f>
        <v>-</v>
      </c>
      <c r="K1838" s="336">
        <f t="shared" si="2283"/>
        <v>0</v>
      </c>
      <c r="L1838" s="275">
        <f t="shared" si="2284"/>
        <v>0</v>
      </c>
      <c r="M1838" s="276">
        <f t="shared" si="2285"/>
        <v>0</v>
      </c>
      <c r="N1838" s="340" t="str">
        <f t="shared" si="2286"/>
        <v>-</v>
      </c>
      <c r="O1838" s="264" t="str">
        <f t="shared" si="2280"/>
        <v>-</v>
      </c>
    </row>
    <row r="1839" spans="1:15" ht="24" thickBot="1" x14ac:dyDescent="0.35">
      <c r="A1839" s="277" t="s">
        <v>110</v>
      </c>
      <c r="B1839" s="958"/>
      <c r="C1839" s="296" t="s">
        <v>127</v>
      </c>
      <c r="D1839" s="296"/>
      <c r="E1839" s="283">
        <v>0</v>
      </c>
      <c r="F1839" s="284"/>
      <c r="G1839" s="337">
        <f t="shared" si="2282"/>
        <v>0</v>
      </c>
      <c r="H1839" s="285"/>
      <c r="I1839" s="285"/>
      <c r="J1839" s="356" t="str">
        <f>IFERROR(G1839/#REF!,"-")</f>
        <v>-</v>
      </c>
      <c r="K1839" s="337">
        <f t="shared" si="2283"/>
        <v>0</v>
      </c>
      <c r="L1839" s="275">
        <f t="shared" si="2284"/>
        <v>0</v>
      </c>
      <c r="M1839" s="276">
        <f t="shared" si="2285"/>
        <v>0</v>
      </c>
      <c r="N1839" s="341" t="str">
        <f t="shared" si="2286"/>
        <v>-</v>
      </c>
      <c r="O1839" s="350" t="str">
        <f t="shared" si="2280"/>
        <v>-</v>
      </c>
    </row>
    <row r="1840" spans="1:15" ht="24" thickBot="1" x14ac:dyDescent="0.35">
      <c r="A1840" s="277" t="s">
        <v>110</v>
      </c>
      <c r="B1840" s="968" t="s">
        <v>50</v>
      </c>
      <c r="C1840" s="968"/>
      <c r="D1840" s="989"/>
      <c r="E1840" s="323">
        <f t="shared" ref="E1840" si="2287">SUM(E1837:E1839)</f>
        <v>0</v>
      </c>
      <c r="F1840" s="288">
        <v>50000</v>
      </c>
      <c r="G1840" s="323">
        <f>SUM(G1837:G1839)</f>
        <v>0</v>
      </c>
      <c r="H1840" s="324">
        <f t="shared" ref="H1840:I1840" si="2288">SUM(H1837:H1839)</f>
        <v>0</v>
      </c>
      <c r="I1840" s="324">
        <f t="shared" si="2288"/>
        <v>0</v>
      </c>
      <c r="J1840" s="348">
        <f>+G1840/F1840</f>
        <v>0</v>
      </c>
      <c r="K1840" s="323">
        <f t="shared" ref="K1840:M1840" si="2289">SUM(K1837:K1839)</f>
        <v>0</v>
      </c>
      <c r="L1840" s="324">
        <f t="shared" si="2289"/>
        <v>0</v>
      </c>
      <c r="M1840" s="325">
        <f t="shared" si="2289"/>
        <v>0</v>
      </c>
      <c r="N1840" s="342" t="str">
        <f t="shared" si="2286"/>
        <v>-</v>
      </c>
      <c r="O1840" s="348" t="str">
        <f t="shared" si="2280"/>
        <v>-</v>
      </c>
    </row>
    <row r="1841" spans="1:15" ht="24" thickBot="1" x14ac:dyDescent="0.35">
      <c r="A1841" s="277" t="s">
        <v>110</v>
      </c>
      <c r="B1841" s="981" t="s">
        <v>21</v>
      </c>
      <c r="C1841" s="982"/>
      <c r="D1841" s="983"/>
      <c r="E1841" s="329">
        <f>+E1816+E1824+E1832+E1836+E1840</f>
        <v>4750000</v>
      </c>
      <c r="F1841" s="330">
        <f>+F1816+F1824+F1832+F1836+F1840</f>
        <v>455000</v>
      </c>
      <c r="G1841" s="329">
        <f>+G1816+G1824+G1832+G1836+G1840</f>
        <v>79800</v>
      </c>
      <c r="H1841" s="327">
        <f>+H1816+H1824+H1832+H1836+H1840</f>
        <v>231624</v>
      </c>
      <c r="I1841" s="327">
        <f>+I1816+I1824+I1832+I1836+I1840</f>
        <v>770</v>
      </c>
      <c r="J1841" s="352">
        <f>+G1841/F1841</f>
        <v>0.17538461538461539</v>
      </c>
      <c r="K1841" s="329">
        <f>+K1816+K1824+K1832+K1836+K1840</f>
        <v>2768689</v>
      </c>
      <c r="L1841" s="327">
        <f>+L1816+L1824+L1832+L1836+L1840</f>
        <v>2751150</v>
      </c>
      <c r="M1841" s="328">
        <f>+M1816+M1824+M1832+M1836+M1840</f>
        <v>17539</v>
      </c>
      <c r="N1841" s="344">
        <f>IFERROR(K1841/E1841,"-")</f>
        <v>0.58288189473684215</v>
      </c>
      <c r="O1841" s="352">
        <f t="shared" si="2280"/>
        <v>6.334767104575487E-3</v>
      </c>
    </row>
    <row r="1842" spans="1:15" ht="23.4" x14ac:dyDescent="0.3">
      <c r="A1842" s="277" t="s">
        <v>110</v>
      </c>
      <c r="B1842" s="956" t="s">
        <v>481</v>
      </c>
      <c r="C1842" s="272" t="s">
        <v>132</v>
      </c>
      <c r="D1842" s="272"/>
      <c r="E1842" s="273">
        <v>0</v>
      </c>
      <c r="F1842" s="274"/>
      <c r="G1842" s="335">
        <f t="shared" ref="G1842:G1845" si="2290">+H1842+I1842</f>
        <v>0</v>
      </c>
      <c r="H1842" s="275"/>
      <c r="I1842" s="275"/>
      <c r="J1842" s="354" t="str">
        <f>IFERROR(G1842/#REF!,"-")</f>
        <v>-</v>
      </c>
      <c r="K1842" s="335">
        <f t="shared" ref="K1842:K1845" si="2291">+L1842+M1842</f>
        <v>0</v>
      </c>
      <c r="L1842" s="275">
        <f t="shared" ref="L1842:L1845" si="2292">+H1842+L1735</f>
        <v>0</v>
      </c>
      <c r="M1842" s="276">
        <f t="shared" ref="M1842:M1845" si="2293">+I1842+M1735</f>
        <v>0</v>
      </c>
      <c r="N1842" s="339" t="str">
        <f t="shared" ref="N1842:N1856" si="2294">IFERROR(K1842/E1842,"-")</f>
        <v>-</v>
      </c>
      <c r="O1842" s="349" t="str">
        <f t="shared" si="2280"/>
        <v>-</v>
      </c>
    </row>
    <row r="1843" spans="1:15" ht="23.4" x14ac:dyDescent="0.3">
      <c r="A1843" s="277" t="s">
        <v>110</v>
      </c>
      <c r="B1843" s="957"/>
      <c r="C1843" s="298" t="s">
        <v>283</v>
      </c>
      <c r="D1843" s="298" t="s">
        <v>194</v>
      </c>
      <c r="E1843" s="279">
        <v>0</v>
      </c>
      <c r="F1843" s="280"/>
      <c r="G1843" s="336">
        <f t="shared" si="2290"/>
        <v>0</v>
      </c>
      <c r="H1843" s="281"/>
      <c r="I1843" s="281"/>
      <c r="J1843" s="355" t="str">
        <f>IFERROR(G1843/#REF!,"-")</f>
        <v>-</v>
      </c>
      <c r="K1843" s="336">
        <f t="shared" si="2291"/>
        <v>0</v>
      </c>
      <c r="L1843" s="275">
        <f t="shared" si="2292"/>
        <v>0</v>
      </c>
      <c r="M1843" s="276">
        <f t="shared" si="2293"/>
        <v>0</v>
      </c>
      <c r="N1843" s="340" t="str">
        <f t="shared" si="2294"/>
        <v>-</v>
      </c>
      <c r="O1843" s="264" t="str">
        <f t="shared" si="2280"/>
        <v>-</v>
      </c>
    </row>
    <row r="1844" spans="1:15" ht="23.4" x14ac:dyDescent="0.3">
      <c r="A1844" s="277" t="s">
        <v>110</v>
      </c>
      <c r="B1844" s="957"/>
      <c r="C1844" s="298" t="s">
        <v>405</v>
      </c>
      <c r="D1844" s="298" t="s">
        <v>194</v>
      </c>
      <c r="E1844" s="279">
        <v>1000000</v>
      </c>
      <c r="F1844" s="280"/>
      <c r="G1844" s="336">
        <f t="shared" si="2290"/>
        <v>0</v>
      </c>
      <c r="H1844" s="281"/>
      <c r="I1844" s="281"/>
      <c r="J1844" s="355" t="str">
        <f>IFERROR(G1844/#REF!,"-")</f>
        <v>-</v>
      </c>
      <c r="K1844" s="336">
        <f t="shared" si="2291"/>
        <v>362579</v>
      </c>
      <c r="L1844" s="275">
        <f t="shared" si="2292"/>
        <v>359670</v>
      </c>
      <c r="M1844" s="276">
        <f t="shared" si="2293"/>
        <v>2909</v>
      </c>
      <c r="N1844" s="340">
        <f t="shared" si="2294"/>
        <v>0.36257899999999998</v>
      </c>
      <c r="O1844" s="264">
        <f t="shared" si="2280"/>
        <v>8.0230791082770928E-3</v>
      </c>
    </row>
    <row r="1845" spans="1:15" ht="24" thickBot="1" x14ac:dyDescent="0.35">
      <c r="A1845" s="277" t="s">
        <v>110</v>
      </c>
      <c r="B1845" s="958"/>
      <c r="C1845" s="282" t="s">
        <v>195</v>
      </c>
      <c r="D1845" s="282" t="s">
        <v>100</v>
      </c>
      <c r="E1845" s="283">
        <v>0</v>
      </c>
      <c r="F1845" s="284"/>
      <c r="G1845" s="337">
        <f t="shared" si="2290"/>
        <v>0</v>
      </c>
      <c r="H1845" s="285"/>
      <c r="I1845" s="285"/>
      <c r="J1845" s="356" t="str">
        <f>IFERROR(G1845/#REF!,"-")</f>
        <v>-</v>
      </c>
      <c r="K1845" s="337">
        <f t="shared" si="2291"/>
        <v>0</v>
      </c>
      <c r="L1845" s="275">
        <f t="shared" si="2292"/>
        <v>0</v>
      </c>
      <c r="M1845" s="276">
        <f t="shared" si="2293"/>
        <v>0</v>
      </c>
      <c r="N1845" s="341" t="str">
        <f t="shared" si="2294"/>
        <v>-</v>
      </c>
      <c r="O1845" s="350" t="str">
        <f t="shared" si="2280"/>
        <v>-</v>
      </c>
    </row>
    <row r="1846" spans="1:15" ht="24" thickBot="1" x14ac:dyDescent="0.35">
      <c r="A1846" s="277" t="s">
        <v>110</v>
      </c>
      <c r="B1846" s="967" t="s">
        <v>51</v>
      </c>
      <c r="C1846" s="968"/>
      <c r="D1846" s="969"/>
      <c r="E1846" s="287">
        <f>SUM(E1842:E1845)</f>
        <v>1000000</v>
      </c>
      <c r="F1846" s="288">
        <v>80000</v>
      </c>
      <c r="G1846" s="323">
        <f>SUM(G1842:G1845)</f>
        <v>0</v>
      </c>
      <c r="H1846" s="324">
        <f t="shared" ref="H1846:I1846" si="2295">SUM(H1842:H1845)</f>
        <v>0</v>
      </c>
      <c r="I1846" s="324">
        <f t="shared" si="2295"/>
        <v>0</v>
      </c>
      <c r="J1846" s="348">
        <f>+G1846/F1846</f>
        <v>0</v>
      </c>
      <c r="K1846" s="323">
        <f t="shared" ref="K1846:M1846" si="2296">SUM(K1842:K1845)</f>
        <v>362579</v>
      </c>
      <c r="L1846" s="324">
        <f t="shared" si="2296"/>
        <v>359670</v>
      </c>
      <c r="M1846" s="325">
        <f t="shared" si="2296"/>
        <v>2909</v>
      </c>
      <c r="N1846" s="342">
        <f t="shared" si="2294"/>
        <v>0.36257899999999998</v>
      </c>
      <c r="O1846" s="348">
        <f t="shared" si="2280"/>
        <v>8.0230791082770928E-3</v>
      </c>
    </row>
    <row r="1847" spans="1:15" ht="23.4" x14ac:dyDescent="0.3">
      <c r="A1847" s="277" t="s">
        <v>110</v>
      </c>
      <c r="B1847" s="956" t="s">
        <v>23</v>
      </c>
      <c r="C1847" s="278" t="s">
        <v>260</v>
      </c>
      <c r="D1847" s="299" t="s">
        <v>258</v>
      </c>
      <c r="E1847" s="273">
        <f>25000+10875+6000</f>
        <v>41875</v>
      </c>
      <c r="F1847" s="274"/>
      <c r="G1847" s="335">
        <f t="shared" ref="G1847:G1854" si="2297">+H1847+I1847</f>
        <v>0</v>
      </c>
      <c r="H1847" s="275"/>
      <c r="I1847" s="275"/>
      <c r="J1847" s="354" t="str">
        <f>IFERROR(G1847/#REF!,"-")</f>
        <v>-</v>
      </c>
      <c r="K1847" s="335">
        <f t="shared" ref="K1847:K1854" si="2298">+L1847+M1847</f>
        <v>11160</v>
      </c>
      <c r="L1847" s="275">
        <f t="shared" ref="L1847:L1854" si="2299">+H1847+L1740</f>
        <v>11012</v>
      </c>
      <c r="M1847" s="276">
        <f t="shared" ref="M1847:M1854" si="2300">+I1847+M1740</f>
        <v>148</v>
      </c>
      <c r="N1847" s="339">
        <f t="shared" si="2294"/>
        <v>0.26650746268656716</v>
      </c>
      <c r="O1847" s="349">
        <f t="shared" si="2280"/>
        <v>1.3261648745519713E-2</v>
      </c>
    </row>
    <row r="1848" spans="1:15" ht="23.4" x14ac:dyDescent="0.3">
      <c r="A1848" s="277" t="s">
        <v>110</v>
      </c>
      <c r="B1848" s="957"/>
      <c r="C1848" s="278" t="s">
        <v>24</v>
      </c>
      <c r="D1848" s="278" t="s">
        <v>258</v>
      </c>
      <c r="E1848" s="279">
        <v>97500</v>
      </c>
      <c r="F1848" s="280"/>
      <c r="G1848" s="336">
        <f t="shared" si="2297"/>
        <v>17550</v>
      </c>
      <c r="H1848" s="281">
        <v>17500</v>
      </c>
      <c r="I1848" s="281">
        <v>50</v>
      </c>
      <c r="J1848" s="355" t="str">
        <f>IFERROR(G1848/#REF!,"-")</f>
        <v>-</v>
      </c>
      <c r="K1848" s="336">
        <f t="shared" si="2298"/>
        <v>46585</v>
      </c>
      <c r="L1848" s="275">
        <f t="shared" si="2299"/>
        <v>46485</v>
      </c>
      <c r="M1848" s="276">
        <f t="shared" si="2300"/>
        <v>100</v>
      </c>
      <c r="N1848" s="340">
        <f t="shared" si="2294"/>
        <v>0.47779487179487179</v>
      </c>
      <c r="O1848" s="264">
        <f t="shared" si="2280"/>
        <v>2.1466137168616507E-3</v>
      </c>
    </row>
    <row r="1849" spans="1:15" ht="23.4" x14ac:dyDescent="0.3">
      <c r="A1849" s="277" t="s">
        <v>110</v>
      </c>
      <c r="B1849" s="957"/>
      <c r="C1849" s="278" t="s">
        <v>256</v>
      </c>
      <c r="D1849" s="278" t="s">
        <v>258</v>
      </c>
      <c r="E1849" s="279">
        <v>17750</v>
      </c>
      <c r="F1849" s="280"/>
      <c r="G1849" s="336">
        <f t="shared" si="2297"/>
        <v>0</v>
      </c>
      <c r="H1849" s="281"/>
      <c r="I1849" s="281"/>
      <c r="J1849" s="355" t="str">
        <f>IFERROR(G1849/#REF!,"-")</f>
        <v>-</v>
      </c>
      <c r="K1849" s="336">
        <f t="shared" si="2298"/>
        <v>19656</v>
      </c>
      <c r="L1849" s="275">
        <f t="shared" si="2299"/>
        <v>19545</v>
      </c>
      <c r="M1849" s="276">
        <f t="shared" si="2300"/>
        <v>111</v>
      </c>
      <c r="N1849" s="340">
        <f t="shared" si="2294"/>
        <v>1.1073802816901408</v>
      </c>
      <c r="O1849" s="264">
        <f t="shared" si="2280"/>
        <v>5.647130647130647E-3</v>
      </c>
    </row>
    <row r="1850" spans="1:15" ht="23.4" x14ac:dyDescent="0.3">
      <c r="A1850" s="277" t="s">
        <v>110</v>
      </c>
      <c r="B1850" s="957"/>
      <c r="C1850" s="278" t="s">
        <v>257</v>
      </c>
      <c r="D1850" s="278" t="s">
        <v>258</v>
      </c>
      <c r="E1850" s="279">
        <v>20000</v>
      </c>
      <c r="F1850" s="280"/>
      <c r="G1850" s="336">
        <f t="shared" si="2297"/>
        <v>0</v>
      </c>
      <c r="H1850" s="281"/>
      <c r="I1850" s="281"/>
      <c r="J1850" s="355" t="str">
        <f>IFERROR(G1850/#REF!,"-")</f>
        <v>-</v>
      </c>
      <c r="K1850" s="336">
        <f t="shared" si="2298"/>
        <v>20512</v>
      </c>
      <c r="L1850" s="275">
        <f t="shared" si="2299"/>
        <v>20361</v>
      </c>
      <c r="M1850" s="276">
        <f t="shared" si="2300"/>
        <v>151</v>
      </c>
      <c r="N1850" s="340">
        <f t="shared" si="2294"/>
        <v>1.0256000000000001</v>
      </c>
      <c r="O1850" s="264">
        <f t="shared" si="2280"/>
        <v>7.3615444617784707E-3</v>
      </c>
    </row>
    <row r="1851" spans="1:15" ht="23.4" x14ac:dyDescent="0.3">
      <c r="A1851" s="277" t="s">
        <v>110</v>
      </c>
      <c r="B1851" s="957"/>
      <c r="C1851" s="298" t="s">
        <v>475</v>
      </c>
      <c r="D1851" s="278" t="s">
        <v>258</v>
      </c>
      <c r="E1851" s="279">
        <v>10000</v>
      </c>
      <c r="F1851" s="280"/>
      <c r="G1851" s="336">
        <f t="shared" si="2297"/>
        <v>0</v>
      </c>
      <c r="H1851" s="281"/>
      <c r="I1851" s="281"/>
      <c r="J1851" s="355" t="str">
        <f>IFERROR(G1851/#REF!,"-")</f>
        <v>-</v>
      </c>
      <c r="K1851" s="336">
        <f t="shared" si="2298"/>
        <v>12327</v>
      </c>
      <c r="L1851" s="275">
        <f t="shared" si="2299"/>
        <v>12307</v>
      </c>
      <c r="M1851" s="276">
        <f t="shared" si="2300"/>
        <v>20</v>
      </c>
      <c r="N1851" s="340">
        <f t="shared" si="2294"/>
        <v>1.2326999999999999</v>
      </c>
      <c r="O1851" s="264">
        <f t="shared" si="2280"/>
        <v>1.6224547740731727E-3</v>
      </c>
    </row>
    <row r="1852" spans="1:15" ht="23.4" x14ac:dyDescent="0.3">
      <c r="A1852" s="277" t="s">
        <v>110</v>
      </c>
      <c r="B1852" s="957"/>
      <c r="C1852" s="298" t="s">
        <v>506</v>
      </c>
      <c r="D1852" s="278" t="s">
        <v>258</v>
      </c>
      <c r="E1852" s="279">
        <v>9000</v>
      </c>
      <c r="F1852" s="280"/>
      <c r="G1852" s="336">
        <f t="shared" si="2297"/>
        <v>0</v>
      </c>
      <c r="H1852" s="281"/>
      <c r="I1852" s="281"/>
      <c r="J1852" s="355" t="str">
        <f>IFERROR(G1852/#REF!,"-")</f>
        <v>-</v>
      </c>
      <c r="K1852" s="336">
        <f t="shared" si="2298"/>
        <v>26750</v>
      </c>
      <c r="L1852" s="275">
        <f t="shared" si="2299"/>
        <v>26682</v>
      </c>
      <c r="M1852" s="276">
        <f t="shared" si="2300"/>
        <v>68</v>
      </c>
      <c r="N1852" s="340">
        <f t="shared" si="2294"/>
        <v>2.9722222222222223</v>
      </c>
      <c r="O1852" s="264">
        <f t="shared" si="2280"/>
        <v>2.542056074766355E-3</v>
      </c>
    </row>
    <row r="1853" spans="1:15" ht="23.4" x14ac:dyDescent="0.3">
      <c r="A1853" s="277" t="s">
        <v>110</v>
      </c>
      <c r="B1853" s="957"/>
      <c r="C1853" s="298" t="s">
        <v>261</v>
      </c>
      <c r="D1853" s="278" t="s">
        <v>263</v>
      </c>
      <c r="E1853" s="279">
        <v>22500</v>
      </c>
      <c r="F1853" s="280"/>
      <c r="G1853" s="336">
        <f t="shared" si="2297"/>
        <v>0</v>
      </c>
      <c r="H1853" s="281"/>
      <c r="I1853" s="281"/>
      <c r="J1853" s="355" t="str">
        <f>IFERROR(G1853/#REF!,"-")</f>
        <v>-</v>
      </c>
      <c r="K1853" s="336">
        <f t="shared" si="2298"/>
        <v>23536</v>
      </c>
      <c r="L1853" s="275">
        <f t="shared" si="2299"/>
        <v>23490</v>
      </c>
      <c r="M1853" s="276">
        <f t="shared" si="2300"/>
        <v>46</v>
      </c>
      <c r="N1853" s="340">
        <f t="shared" si="2294"/>
        <v>1.0460444444444446</v>
      </c>
      <c r="O1853" s="264">
        <f t="shared" si="2280"/>
        <v>1.954452753229096E-3</v>
      </c>
    </row>
    <row r="1854" spans="1:15" ht="24" thickBot="1" x14ac:dyDescent="0.35">
      <c r="A1854" s="277" t="s">
        <v>110</v>
      </c>
      <c r="B1854" s="958"/>
      <c r="C1854" s="298" t="s">
        <v>262</v>
      </c>
      <c r="D1854" s="278" t="s">
        <v>258</v>
      </c>
      <c r="E1854" s="283">
        <v>33500</v>
      </c>
      <c r="F1854" s="284"/>
      <c r="G1854" s="337">
        <f t="shared" si="2297"/>
        <v>0</v>
      </c>
      <c r="H1854" s="285"/>
      <c r="I1854" s="285"/>
      <c r="J1854" s="356" t="str">
        <f>IFERROR(G1854/#REF!,"-")</f>
        <v>-</v>
      </c>
      <c r="K1854" s="337">
        <f t="shared" si="2298"/>
        <v>35336</v>
      </c>
      <c r="L1854" s="275">
        <f t="shared" si="2299"/>
        <v>35130</v>
      </c>
      <c r="M1854" s="276">
        <f t="shared" si="2300"/>
        <v>206</v>
      </c>
      <c r="N1854" s="341">
        <f t="shared" si="2294"/>
        <v>1.0548059701492538</v>
      </c>
      <c r="O1854" s="350">
        <f t="shared" si="2280"/>
        <v>5.8297486982114557E-3</v>
      </c>
    </row>
    <row r="1855" spans="1:15" ht="24" thickBot="1" x14ac:dyDescent="0.35">
      <c r="A1855" s="277" t="s">
        <v>110</v>
      </c>
      <c r="B1855" s="967" t="s">
        <v>52</v>
      </c>
      <c r="C1855" s="968"/>
      <c r="D1855" s="969"/>
      <c r="E1855" s="287">
        <f>SUM(E1847:E1854)</f>
        <v>252125</v>
      </c>
      <c r="F1855" s="288">
        <v>14000</v>
      </c>
      <c r="G1855" s="323">
        <f>SUM(G1847:G1854)</f>
        <v>17550</v>
      </c>
      <c r="H1855" s="324">
        <f t="shared" ref="H1855:I1855" si="2301">SUM(H1847:H1854)</f>
        <v>17500</v>
      </c>
      <c r="I1855" s="324">
        <f t="shared" si="2301"/>
        <v>50</v>
      </c>
      <c r="J1855" s="348">
        <f>+G1856/F1856</f>
        <v>0.18670212765957447</v>
      </c>
      <c r="K1855" s="323">
        <f>SUM(K1847:K1854)</f>
        <v>195862</v>
      </c>
      <c r="L1855" s="324">
        <f t="shared" ref="L1855:M1855" si="2302">SUM(L1847:L1854)</f>
        <v>195012</v>
      </c>
      <c r="M1855" s="325">
        <f t="shared" si="2302"/>
        <v>850</v>
      </c>
      <c r="N1855" s="342">
        <f t="shared" si="2294"/>
        <v>0.77684481903817548</v>
      </c>
      <c r="O1855" s="348">
        <f t="shared" si="2280"/>
        <v>4.339790260489528E-3</v>
      </c>
    </row>
    <row r="1856" spans="1:15" ht="24" thickBot="1" x14ac:dyDescent="0.35">
      <c r="A1856" s="277" t="s">
        <v>110</v>
      </c>
      <c r="B1856" s="981" t="s">
        <v>25</v>
      </c>
      <c r="C1856" s="982"/>
      <c r="D1856" s="983"/>
      <c r="E1856" s="329">
        <f t="shared" ref="E1856:F1856" si="2303">+E1846+E1855</f>
        <v>1252125</v>
      </c>
      <c r="F1856" s="330">
        <f t="shared" si="2303"/>
        <v>94000</v>
      </c>
      <c r="G1856" s="329">
        <f>+G1846+G1855</f>
        <v>17550</v>
      </c>
      <c r="H1856" s="327">
        <f t="shared" ref="H1856:I1856" si="2304">+H1846+H1855</f>
        <v>17500</v>
      </c>
      <c r="I1856" s="327">
        <f t="shared" si="2304"/>
        <v>50</v>
      </c>
      <c r="J1856" s="352" t="str">
        <f>IFERROR(G1856/#REF!,"-")</f>
        <v>-</v>
      </c>
      <c r="K1856" s="329">
        <f t="shared" ref="K1856" si="2305">+K1846+K1855</f>
        <v>558441</v>
      </c>
      <c r="L1856" s="327">
        <f>+L1846+L1855</f>
        <v>554682</v>
      </c>
      <c r="M1856" s="328">
        <f t="shared" ref="M1856" si="2306">+M1846+M1855</f>
        <v>3759</v>
      </c>
      <c r="N1856" s="344">
        <f t="shared" si="2294"/>
        <v>0.44599460916442046</v>
      </c>
      <c r="O1856" s="352">
        <f t="shared" si="2280"/>
        <v>6.7312392893788247E-3</v>
      </c>
    </row>
    <row r="1857" spans="1:15" ht="24" thickBot="1" x14ac:dyDescent="0.35">
      <c r="A1857" s="277" t="s">
        <v>110</v>
      </c>
      <c r="B1857" s="984" t="s">
        <v>180</v>
      </c>
      <c r="C1857" s="962"/>
      <c r="D1857" s="963"/>
      <c r="E1857" s="333">
        <f>+E1841+E1856</f>
        <v>6002125</v>
      </c>
      <c r="F1857" s="334">
        <f t="shared" ref="F1857:I1857" si="2307">+F1841+F1856</f>
        <v>549000</v>
      </c>
      <c r="G1857" s="333">
        <f t="shared" si="2307"/>
        <v>97350</v>
      </c>
      <c r="H1857" s="331">
        <f t="shared" si="2307"/>
        <v>249124</v>
      </c>
      <c r="I1857" s="331">
        <f t="shared" si="2307"/>
        <v>820</v>
      </c>
      <c r="J1857" s="353">
        <f>+G1857/F1857</f>
        <v>0.1773224043715847</v>
      </c>
      <c r="K1857" s="333">
        <f>+K1841+K1856</f>
        <v>3327130</v>
      </c>
      <c r="L1857" s="331">
        <f t="shared" ref="L1857:M1857" si="2308">+L1841+L1856</f>
        <v>3305832</v>
      </c>
      <c r="M1857" s="332">
        <f t="shared" si="2308"/>
        <v>21298</v>
      </c>
      <c r="N1857" s="345">
        <f>IFERROR(K1857/E1857,"-")</f>
        <v>0.55432534310764936</v>
      </c>
      <c r="O1857" s="353">
        <f t="shared" si="2280"/>
        <v>6.4013128432011974E-3</v>
      </c>
    </row>
    <row r="1858" spans="1:15" ht="23.4" x14ac:dyDescent="0.3">
      <c r="A1858" s="271" t="s">
        <v>108</v>
      </c>
      <c r="B1858" s="977" t="s">
        <v>26</v>
      </c>
      <c r="C1858" s="300" t="s">
        <v>323</v>
      </c>
      <c r="D1858" s="300" t="s">
        <v>190</v>
      </c>
      <c r="E1858" s="273">
        <v>0</v>
      </c>
      <c r="F1858" s="274"/>
      <c r="G1858" s="335">
        <f t="shared" ref="G1858:G1867" si="2309">+H1858+I1858</f>
        <v>0</v>
      </c>
      <c r="H1858" s="275"/>
      <c r="I1858" s="275"/>
      <c r="J1858" s="354" t="str">
        <f>IFERROR(G1858/#REF!,"-")</f>
        <v>-</v>
      </c>
      <c r="K1858" s="335">
        <f t="shared" ref="K1858:K1867" si="2310">+L1858+M1858</f>
        <v>0</v>
      </c>
      <c r="L1858" s="275">
        <f t="shared" ref="L1858:L1867" si="2311">+H1858+L1751</f>
        <v>0</v>
      </c>
      <c r="M1858" s="276">
        <f t="shared" ref="M1858:M1867" si="2312">+I1858+M1751</f>
        <v>0</v>
      </c>
      <c r="N1858" s="339" t="str">
        <f t="shared" ref="N1858:N1859" si="2313">IFERROR(K1858/E1858,"-")</f>
        <v>-</v>
      </c>
      <c r="O1858" s="349" t="str">
        <f t="shared" si="2280"/>
        <v>-</v>
      </c>
    </row>
    <row r="1859" spans="1:15" ht="23.4" x14ac:dyDescent="0.3">
      <c r="A1859" s="277" t="s">
        <v>108</v>
      </c>
      <c r="B1859" s="977"/>
      <c r="C1859" s="301" t="s">
        <v>508</v>
      </c>
      <c r="D1859" s="301" t="s">
        <v>507</v>
      </c>
      <c r="E1859" s="279">
        <v>0</v>
      </c>
      <c r="F1859" s="280"/>
      <c r="G1859" s="336">
        <f t="shared" si="2309"/>
        <v>0</v>
      </c>
      <c r="H1859" s="281"/>
      <c r="I1859" s="281"/>
      <c r="J1859" s="355" t="str">
        <f>IFERROR(G1859/#REF!,"-")</f>
        <v>-</v>
      </c>
      <c r="K1859" s="336">
        <f t="shared" si="2310"/>
        <v>190384</v>
      </c>
      <c r="L1859" s="275">
        <f t="shared" si="2311"/>
        <v>186966</v>
      </c>
      <c r="M1859" s="276">
        <f t="shared" si="2312"/>
        <v>3418</v>
      </c>
      <c r="N1859" s="340" t="str">
        <f t="shared" si="2313"/>
        <v>-</v>
      </c>
      <c r="O1859" s="264">
        <f t="shared" si="2280"/>
        <v>1.7953189343642324E-2</v>
      </c>
    </row>
    <row r="1860" spans="1:15" ht="23.4" x14ac:dyDescent="0.3">
      <c r="A1860" s="277" t="s">
        <v>108</v>
      </c>
      <c r="B1860" s="977"/>
      <c r="C1860" s="302" t="s">
        <v>27</v>
      </c>
      <c r="D1860" s="302" t="s">
        <v>370</v>
      </c>
      <c r="E1860" s="283">
        <v>0</v>
      </c>
      <c r="F1860" s="284"/>
      <c r="G1860" s="336">
        <f t="shared" si="2309"/>
        <v>0</v>
      </c>
      <c r="H1860" s="285"/>
      <c r="I1860" s="285"/>
      <c r="J1860" s="356" t="str">
        <f>IFERROR(G1860/#REF!,"-")</f>
        <v>-</v>
      </c>
      <c r="K1860" s="336">
        <f t="shared" si="2310"/>
        <v>15312</v>
      </c>
      <c r="L1860" s="275">
        <f t="shared" si="2311"/>
        <v>14492</v>
      </c>
      <c r="M1860" s="276">
        <f t="shared" si="2312"/>
        <v>820</v>
      </c>
      <c r="N1860" s="286"/>
      <c r="O1860" s="264">
        <f t="shared" si="2280"/>
        <v>5.3552769070010449E-2</v>
      </c>
    </row>
    <row r="1861" spans="1:15" ht="23.4" x14ac:dyDescent="0.3">
      <c r="A1861" s="277" t="s">
        <v>108</v>
      </c>
      <c r="B1861" s="977"/>
      <c r="C1861" s="302" t="s">
        <v>27</v>
      </c>
      <c r="D1861" s="302" t="s">
        <v>254</v>
      </c>
      <c r="E1861" s="283">
        <v>0</v>
      </c>
      <c r="F1861" s="284"/>
      <c r="G1861" s="336">
        <f t="shared" si="2309"/>
        <v>0</v>
      </c>
      <c r="H1861" s="285"/>
      <c r="I1861" s="285"/>
      <c r="J1861" s="356" t="str">
        <f>IFERROR(G1861/#REF!,"-")</f>
        <v>-</v>
      </c>
      <c r="K1861" s="336">
        <f t="shared" si="2310"/>
        <v>41904</v>
      </c>
      <c r="L1861" s="275">
        <f t="shared" si="2311"/>
        <v>39879</v>
      </c>
      <c r="M1861" s="276">
        <f t="shared" si="2312"/>
        <v>2025</v>
      </c>
      <c r="N1861" s="286"/>
      <c r="O1861" s="264">
        <f t="shared" si="2280"/>
        <v>4.8324742268041239E-2</v>
      </c>
    </row>
    <row r="1862" spans="1:15" ht="23.4" x14ac:dyDescent="0.3">
      <c r="A1862" s="277" t="s">
        <v>108</v>
      </c>
      <c r="B1862" s="977"/>
      <c r="C1862" s="302" t="s">
        <v>27</v>
      </c>
      <c r="D1862" s="302" t="s">
        <v>302</v>
      </c>
      <c r="E1862" s="283">
        <v>0</v>
      </c>
      <c r="F1862" s="284"/>
      <c r="G1862" s="336">
        <f t="shared" si="2309"/>
        <v>0</v>
      </c>
      <c r="H1862" s="285"/>
      <c r="I1862" s="285"/>
      <c r="J1862" s="356" t="str">
        <f>IFERROR(G1862/#REF!,"-")</f>
        <v>-</v>
      </c>
      <c r="K1862" s="336">
        <f t="shared" si="2310"/>
        <v>6345</v>
      </c>
      <c r="L1862" s="275">
        <f t="shared" si="2311"/>
        <v>5830</v>
      </c>
      <c r="M1862" s="276">
        <f t="shared" si="2312"/>
        <v>515</v>
      </c>
      <c r="N1862" s="286"/>
      <c r="O1862" s="264">
        <f t="shared" si="2280"/>
        <v>8.1166272655634364E-2</v>
      </c>
    </row>
    <row r="1863" spans="1:15" ht="23.4" x14ac:dyDescent="0.3">
      <c r="A1863" s="277"/>
      <c r="B1863" s="977"/>
      <c r="C1863" s="302" t="s">
        <v>541</v>
      </c>
      <c r="D1863" s="302" t="s">
        <v>191</v>
      </c>
      <c r="E1863" s="283">
        <v>0</v>
      </c>
      <c r="F1863" s="284"/>
      <c r="G1863" s="337">
        <f t="shared" si="2309"/>
        <v>0</v>
      </c>
      <c r="H1863" s="285"/>
      <c r="I1863" s="285"/>
      <c r="J1863" s="356" t="str">
        <f>IFERROR(G1863/#REF!,"-")</f>
        <v>-</v>
      </c>
      <c r="K1863" s="337">
        <f t="shared" si="2310"/>
        <v>4273</v>
      </c>
      <c r="L1863" s="275">
        <f t="shared" si="2311"/>
        <v>3978</v>
      </c>
      <c r="M1863" s="276">
        <f t="shared" si="2312"/>
        <v>295</v>
      </c>
      <c r="N1863" s="286"/>
      <c r="O1863" s="264">
        <f t="shared" si="2280"/>
        <v>6.9038146501287145E-2</v>
      </c>
    </row>
    <row r="1864" spans="1:15" ht="23.4" x14ac:dyDescent="0.3">
      <c r="A1864" s="277"/>
      <c r="B1864" s="977"/>
      <c r="C1864" s="302" t="s">
        <v>369</v>
      </c>
      <c r="D1864" s="302" t="s">
        <v>101</v>
      </c>
      <c r="E1864" s="283">
        <v>0</v>
      </c>
      <c r="F1864" s="284"/>
      <c r="G1864" s="337">
        <f t="shared" si="2309"/>
        <v>0</v>
      </c>
      <c r="H1864" s="285"/>
      <c r="I1864" s="285"/>
      <c r="J1864" s="356" t="str">
        <f>IFERROR(G1864/#REF!,"-")</f>
        <v>-</v>
      </c>
      <c r="K1864" s="337">
        <f t="shared" si="2310"/>
        <v>6135</v>
      </c>
      <c r="L1864" s="275">
        <f t="shared" si="2311"/>
        <v>5899</v>
      </c>
      <c r="M1864" s="276">
        <f t="shared" si="2312"/>
        <v>236</v>
      </c>
      <c r="N1864" s="286"/>
      <c r="O1864" s="264">
        <f t="shared" si="2280"/>
        <v>3.8467807660961695E-2</v>
      </c>
    </row>
    <row r="1865" spans="1:15" ht="23.4" x14ac:dyDescent="0.3">
      <c r="A1865" s="277"/>
      <c r="B1865" s="977"/>
      <c r="C1865" s="302" t="s">
        <v>542</v>
      </c>
      <c r="D1865" s="302" t="s">
        <v>191</v>
      </c>
      <c r="E1865" s="283">
        <v>0</v>
      </c>
      <c r="F1865" s="284"/>
      <c r="G1865" s="337">
        <f t="shared" si="2309"/>
        <v>0</v>
      </c>
      <c r="H1865" s="285"/>
      <c r="I1865" s="285"/>
      <c r="J1865" s="356" t="str">
        <f>IFERROR(G1865/#REF!,"-")</f>
        <v>-</v>
      </c>
      <c r="K1865" s="337">
        <f t="shared" si="2310"/>
        <v>2448</v>
      </c>
      <c r="L1865" s="275">
        <f t="shared" si="2311"/>
        <v>2448</v>
      </c>
      <c r="M1865" s="275">
        <f t="shared" si="2312"/>
        <v>0</v>
      </c>
      <c r="N1865" s="286"/>
      <c r="O1865" s="264">
        <f t="shared" si="2280"/>
        <v>0</v>
      </c>
    </row>
    <row r="1866" spans="1:15" ht="23.4" x14ac:dyDescent="0.3">
      <c r="A1866" s="277"/>
      <c r="B1866" s="977"/>
      <c r="C1866" s="302" t="s">
        <v>452</v>
      </c>
      <c r="D1866" s="302" t="s">
        <v>410</v>
      </c>
      <c r="E1866" s="283">
        <v>0</v>
      </c>
      <c r="F1866" s="284"/>
      <c r="G1866" s="337">
        <f t="shared" si="2309"/>
        <v>0</v>
      </c>
      <c r="H1866" s="285"/>
      <c r="I1866" s="285"/>
      <c r="J1866" s="356" t="str">
        <f>IFERROR(G1866/#REF!,"-")</f>
        <v>-</v>
      </c>
      <c r="K1866" s="337">
        <f t="shared" si="2310"/>
        <v>40370</v>
      </c>
      <c r="L1866" s="275">
        <f t="shared" si="2311"/>
        <v>39117</v>
      </c>
      <c r="M1866" s="276">
        <f t="shared" si="2312"/>
        <v>1253</v>
      </c>
      <c r="N1866" s="286"/>
      <c r="O1866" s="264">
        <f t="shared" si="2280"/>
        <v>3.1037899430270001E-2</v>
      </c>
    </row>
    <row r="1867" spans="1:15" ht="24" thickBot="1" x14ac:dyDescent="0.35">
      <c r="A1867" s="277" t="s">
        <v>108</v>
      </c>
      <c r="B1867" s="977"/>
      <c r="C1867" s="303" t="s">
        <v>315</v>
      </c>
      <c r="D1867" s="302" t="s">
        <v>313</v>
      </c>
      <c r="E1867" s="283">
        <v>0</v>
      </c>
      <c r="F1867" s="284"/>
      <c r="G1867" s="337">
        <f t="shared" si="2309"/>
        <v>0</v>
      </c>
      <c r="H1867" s="285"/>
      <c r="I1867" s="285"/>
      <c r="J1867" s="356" t="str">
        <f>IFERROR(G1867/#REF!,"-")</f>
        <v>-</v>
      </c>
      <c r="K1867" s="337">
        <f t="shared" si="2310"/>
        <v>16403</v>
      </c>
      <c r="L1867" s="275">
        <f t="shared" si="2311"/>
        <v>15912</v>
      </c>
      <c r="M1867" s="276">
        <f t="shared" si="2312"/>
        <v>491</v>
      </c>
      <c r="N1867" s="341" t="str">
        <f t="shared" ref="N1867:N1874" si="2314">IFERROR(K1867/E1867,"-")</f>
        <v>-</v>
      </c>
      <c r="O1867" s="350">
        <f t="shared" si="2280"/>
        <v>2.9933548741083948E-2</v>
      </c>
    </row>
    <row r="1868" spans="1:15" ht="24" thickBot="1" x14ac:dyDescent="0.35">
      <c r="A1868" s="277" t="s">
        <v>108</v>
      </c>
      <c r="B1868" s="990"/>
      <c r="C1868" s="304"/>
      <c r="D1868" s="305" t="s">
        <v>55</v>
      </c>
      <c r="E1868" s="287">
        <f>SUM(E1858:E1867)</f>
        <v>0</v>
      </c>
      <c r="F1868" s="288">
        <v>80000</v>
      </c>
      <c r="G1868" s="323">
        <f>SUM(G1858:G1867)</f>
        <v>0</v>
      </c>
      <c r="H1868" s="324">
        <f>SUM(H1858:H1867)</f>
        <v>0</v>
      </c>
      <c r="I1868" s="324">
        <f>SUM(I1858:I1867)</f>
        <v>0</v>
      </c>
      <c r="J1868" s="348">
        <f>+G1868/F1868</f>
        <v>0</v>
      </c>
      <c r="K1868" s="323">
        <f>SUM(K1858:K1867)</f>
        <v>323574</v>
      </c>
      <c r="L1868" s="324">
        <f>SUM(L1858:L1867)</f>
        <v>314521</v>
      </c>
      <c r="M1868" s="325">
        <f>SUM(M1858:M1867)</f>
        <v>9053</v>
      </c>
      <c r="N1868" s="342" t="str">
        <f t="shared" si="2314"/>
        <v>-</v>
      </c>
      <c r="O1868" s="348">
        <f t="shared" si="2280"/>
        <v>2.7978144103049069E-2</v>
      </c>
    </row>
    <row r="1869" spans="1:15" ht="23.4" x14ac:dyDescent="0.3">
      <c r="A1869" s="277" t="s">
        <v>108</v>
      </c>
      <c r="B1869" s="976" t="s">
        <v>28</v>
      </c>
      <c r="C1869" s="302" t="s">
        <v>27</v>
      </c>
      <c r="D1869" s="300" t="s">
        <v>191</v>
      </c>
      <c r="E1869" s="273">
        <v>2612056</v>
      </c>
      <c r="F1869" s="274"/>
      <c r="G1869" s="335">
        <f t="shared" ref="G1869:G1873" si="2315">+H1869+I1869</f>
        <v>0</v>
      </c>
      <c r="H1869" s="275"/>
      <c r="I1869" s="275"/>
      <c r="J1869" s="354" t="str">
        <f>IFERROR(G1869/#REF!,"-")</f>
        <v>-</v>
      </c>
      <c r="K1869" s="335">
        <f t="shared" ref="K1869:K1873" si="2316">+L1869+M1869</f>
        <v>166634</v>
      </c>
      <c r="L1869" s="275">
        <f t="shared" ref="L1869:L1873" si="2317">+H1869+L1762</f>
        <v>163098</v>
      </c>
      <c r="M1869" s="276">
        <f t="shared" ref="M1869:M1873" si="2318">+I1869+M1762</f>
        <v>3536</v>
      </c>
      <c r="N1869" s="339">
        <f t="shared" si="2314"/>
        <v>6.3794191242454223E-2</v>
      </c>
      <c r="O1869" s="349">
        <f t="shared" si="2280"/>
        <v>2.1220159151193633E-2</v>
      </c>
    </row>
    <row r="1870" spans="1:15" ht="23.4" x14ac:dyDescent="0.3">
      <c r="A1870" s="277" t="s">
        <v>108</v>
      </c>
      <c r="B1870" s="977"/>
      <c r="C1870" s="302" t="s">
        <v>455</v>
      </c>
      <c r="D1870" s="302" t="s">
        <v>370</v>
      </c>
      <c r="E1870" s="279">
        <v>0</v>
      </c>
      <c r="F1870" s="280"/>
      <c r="G1870" s="336">
        <f t="shared" si="2315"/>
        <v>164257</v>
      </c>
      <c r="H1870" s="281">
        <v>163098</v>
      </c>
      <c r="I1870" s="281">
        <v>1159</v>
      </c>
      <c r="J1870" s="355" t="str">
        <f>IFERROR(G1870/#REF!,"-")</f>
        <v>-</v>
      </c>
      <c r="K1870" s="336">
        <f t="shared" si="2316"/>
        <v>1214480</v>
      </c>
      <c r="L1870" s="275">
        <f t="shared" si="2317"/>
        <v>1201050</v>
      </c>
      <c r="M1870" s="276">
        <f t="shared" si="2318"/>
        <v>13430</v>
      </c>
      <c r="N1870" s="340" t="str">
        <f t="shared" si="2314"/>
        <v>-</v>
      </c>
      <c r="O1870" s="264">
        <f t="shared" si="2280"/>
        <v>1.1058230683090706E-2</v>
      </c>
    </row>
    <row r="1871" spans="1:15" ht="23.4" x14ac:dyDescent="0.3">
      <c r="A1871" s="277" t="s">
        <v>108</v>
      </c>
      <c r="B1871" s="977"/>
      <c r="C1871" s="302" t="s">
        <v>27</v>
      </c>
      <c r="D1871" s="302" t="s">
        <v>370</v>
      </c>
      <c r="E1871" s="279">
        <v>0</v>
      </c>
      <c r="F1871" s="280"/>
      <c r="G1871" s="336">
        <f t="shared" si="2315"/>
        <v>3978</v>
      </c>
      <c r="H1871" s="281">
        <v>3978</v>
      </c>
      <c r="I1871" s="281"/>
      <c r="J1871" s="355" t="str">
        <f>IFERROR(G1871/#REF!,"-")</f>
        <v>-</v>
      </c>
      <c r="K1871" s="336">
        <f t="shared" si="2316"/>
        <v>73114</v>
      </c>
      <c r="L1871" s="275">
        <f t="shared" si="2317"/>
        <v>71604</v>
      </c>
      <c r="M1871" s="276">
        <f t="shared" si="2318"/>
        <v>1510</v>
      </c>
      <c r="N1871" s="340" t="str">
        <f t="shared" si="2314"/>
        <v>-</v>
      </c>
      <c r="O1871" s="264">
        <f t="shared" si="2280"/>
        <v>2.065267937741062E-2</v>
      </c>
    </row>
    <row r="1872" spans="1:15" ht="23.4" x14ac:dyDescent="0.3">
      <c r="A1872" s="277" t="s">
        <v>108</v>
      </c>
      <c r="B1872" s="977"/>
      <c r="C1872" s="302" t="s">
        <v>452</v>
      </c>
      <c r="D1872" s="303" t="s">
        <v>410</v>
      </c>
      <c r="E1872" s="283">
        <v>0</v>
      </c>
      <c r="F1872" s="284"/>
      <c r="G1872" s="337">
        <f t="shared" si="2315"/>
        <v>0</v>
      </c>
      <c r="H1872" s="285"/>
      <c r="I1872" s="285"/>
      <c r="J1872" s="356" t="str">
        <f>IFERROR(G1872/#REF!,"-")</f>
        <v>-</v>
      </c>
      <c r="K1872" s="337">
        <f t="shared" si="2316"/>
        <v>249713</v>
      </c>
      <c r="L1872" s="275">
        <f t="shared" si="2317"/>
        <v>246636</v>
      </c>
      <c r="M1872" s="755">
        <f t="shared" si="2318"/>
        <v>3077</v>
      </c>
      <c r="N1872" s="341" t="str">
        <f t="shared" si="2314"/>
        <v>-</v>
      </c>
      <c r="O1872" s="350">
        <f t="shared" si="2280"/>
        <v>1.2322145823405269E-2</v>
      </c>
    </row>
    <row r="1873" spans="1:15" ht="24" thickBot="1" x14ac:dyDescent="0.35">
      <c r="A1873" s="277" t="s">
        <v>108</v>
      </c>
      <c r="B1873" s="977"/>
      <c r="C1873" s="302" t="s">
        <v>27</v>
      </c>
      <c r="D1873" s="303" t="s">
        <v>254</v>
      </c>
      <c r="E1873" s="283">
        <v>0</v>
      </c>
      <c r="F1873" s="284"/>
      <c r="G1873" s="337">
        <f t="shared" si="2315"/>
        <v>0</v>
      </c>
      <c r="H1873" s="285"/>
      <c r="I1873" s="285"/>
      <c r="J1873" s="356" t="str">
        <f>IFERROR(G1873/#REF!,"-")</f>
        <v>-</v>
      </c>
      <c r="K1873" s="337">
        <f t="shared" si="2316"/>
        <v>767509</v>
      </c>
      <c r="L1873" s="275">
        <f t="shared" si="2317"/>
        <v>758574</v>
      </c>
      <c r="M1873" s="755">
        <f t="shared" si="2318"/>
        <v>8935</v>
      </c>
      <c r="N1873" s="341" t="str">
        <f t="shared" si="2314"/>
        <v>-</v>
      </c>
      <c r="O1873" s="350">
        <f t="shared" si="2280"/>
        <v>1.164155729769944E-2</v>
      </c>
    </row>
    <row r="1874" spans="1:15" ht="24" thickBot="1" x14ac:dyDescent="0.35">
      <c r="A1874" s="277" t="s">
        <v>108</v>
      </c>
      <c r="B1874" s="977"/>
      <c r="C1874" s="307"/>
      <c r="D1874" s="308" t="s">
        <v>55</v>
      </c>
      <c r="E1874" s="309">
        <f>SUM(E1869:E1873)</f>
        <v>2612056</v>
      </c>
      <c r="F1874" s="310">
        <v>160000</v>
      </c>
      <c r="G1874" s="369">
        <f>SUM(G1869:G1873)</f>
        <v>168235</v>
      </c>
      <c r="H1874" s="368">
        <f>SUM(H1869:H1873)</f>
        <v>167076</v>
      </c>
      <c r="I1874" s="368">
        <f>SUM(I1869:I1873)</f>
        <v>1159</v>
      </c>
      <c r="J1874" s="359">
        <f>+G1874/F1874</f>
        <v>1.05146875</v>
      </c>
      <c r="K1874" s="369">
        <f>SUM(K1869:K1873)</f>
        <v>2471450</v>
      </c>
      <c r="L1874" s="368">
        <f>SUM(L1869:L1873)</f>
        <v>2440962</v>
      </c>
      <c r="M1874" s="370">
        <f>SUM(M1869:M1873)</f>
        <v>30488</v>
      </c>
      <c r="N1874" s="358">
        <f t="shared" si="2314"/>
        <v>0.94617037307010265</v>
      </c>
      <c r="O1874" s="359">
        <f t="shared" si="2280"/>
        <v>1.2336078010884299E-2</v>
      </c>
    </row>
    <row r="1875" spans="1:15" ht="24" thickBot="1" x14ac:dyDescent="0.35">
      <c r="A1875" s="904" t="s">
        <v>108</v>
      </c>
      <c r="B1875" s="978" t="s">
        <v>170</v>
      </c>
      <c r="C1875" s="979"/>
      <c r="D1875" s="980"/>
      <c r="E1875" s="311">
        <f>+E1874+E1868</f>
        <v>2612056</v>
      </c>
      <c r="F1875" s="312">
        <v>240000</v>
      </c>
      <c r="G1875" s="372">
        <f>+G1868+G1874</f>
        <v>168235</v>
      </c>
      <c r="H1875" s="371">
        <f>+H1868+H1874</f>
        <v>167076</v>
      </c>
      <c r="I1875" s="371">
        <f>+I1868+I1874</f>
        <v>1159</v>
      </c>
      <c r="J1875" s="361">
        <f>+G1875/F1875</f>
        <v>0.70097916666666671</v>
      </c>
      <c r="K1875" s="372">
        <f>+K1868+K1874</f>
        <v>2795024</v>
      </c>
      <c r="L1875" s="371">
        <f>+L1868+L1874</f>
        <v>2755483</v>
      </c>
      <c r="M1875" s="373">
        <f>+M1868+M1874</f>
        <v>39541</v>
      </c>
      <c r="N1875" s="360">
        <f>IFERROR(K1875/E1875,"-")</f>
        <v>1.0700475028100469</v>
      </c>
      <c r="O1875" s="361">
        <f t="shared" si="2280"/>
        <v>1.4146926824241939E-2</v>
      </c>
    </row>
    <row r="1876" spans="1:15" ht="23.4" x14ac:dyDescent="0.3">
      <c r="A1876" s="277" t="s">
        <v>108</v>
      </c>
      <c r="B1876" s="977" t="s">
        <v>30</v>
      </c>
      <c r="C1876" s="306" t="s">
        <v>581</v>
      </c>
      <c r="D1876" s="302" t="s">
        <v>370</v>
      </c>
      <c r="E1876" s="273">
        <v>0</v>
      </c>
      <c r="F1876" s="274"/>
      <c r="G1876" s="335">
        <f t="shared" ref="G1876:G1878" si="2319">+H1876+I1876</f>
        <v>11232</v>
      </c>
      <c r="H1876" s="275">
        <v>11232</v>
      </c>
      <c r="I1876" s="275"/>
      <c r="J1876" s="354" t="str">
        <f>IFERROR(G1876/#REF!,"-")</f>
        <v>-</v>
      </c>
      <c r="K1876" s="335">
        <f t="shared" ref="K1876:K1878" si="2320">+L1876+M1876</f>
        <v>11232</v>
      </c>
      <c r="L1876" s="275">
        <f t="shared" ref="L1876:L1878" si="2321">+H1876+L1769</f>
        <v>11232</v>
      </c>
      <c r="M1876" s="276">
        <f t="shared" ref="M1876:M1878" si="2322">+I1876+M1769</f>
        <v>0</v>
      </c>
      <c r="N1876" s="339" t="str">
        <f t="shared" ref="N1876:N1886" si="2323">IFERROR(K1876/E1876,"-")</f>
        <v>-</v>
      </c>
      <c r="O1876" s="349">
        <f t="shared" si="2280"/>
        <v>0</v>
      </c>
    </row>
    <row r="1877" spans="1:15" ht="23.4" x14ac:dyDescent="0.3">
      <c r="A1877" s="277" t="s">
        <v>108</v>
      </c>
      <c r="B1877" s="977"/>
      <c r="C1877" s="303" t="s">
        <v>531</v>
      </c>
      <c r="D1877" s="306" t="s">
        <v>410</v>
      </c>
      <c r="E1877" s="279">
        <v>0</v>
      </c>
      <c r="F1877" s="280"/>
      <c r="G1877" s="336">
        <f t="shared" si="2319"/>
        <v>12137</v>
      </c>
      <c r="H1877" s="281">
        <v>11232</v>
      </c>
      <c r="I1877" s="281">
        <v>905</v>
      </c>
      <c r="J1877" s="355" t="str">
        <f>IFERROR(G1877/#REF!,"-")</f>
        <v>-</v>
      </c>
      <c r="K1877" s="336">
        <f t="shared" si="2320"/>
        <v>244257</v>
      </c>
      <c r="L1877" s="275">
        <f t="shared" si="2321"/>
        <v>239616</v>
      </c>
      <c r="M1877" s="276">
        <f t="shared" si="2322"/>
        <v>4641</v>
      </c>
      <c r="N1877" s="340" t="str">
        <f t="shared" si="2323"/>
        <v>-</v>
      </c>
      <c r="O1877" s="264">
        <f t="shared" si="2280"/>
        <v>1.9000479003672362E-2</v>
      </c>
    </row>
    <row r="1878" spans="1:15" ht="24" thickBot="1" x14ac:dyDescent="0.35">
      <c r="A1878" s="277" t="s">
        <v>108</v>
      </c>
      <c r="B1878" s="977"/>
      <c r="C1878" s="303" t="s">
        <v>316</v>
      </c>
      <c r="D1878" s="303" t="s">
        <v>410</v>
      </c>
      <c r="E1878" s="283">
        <v>0</v>
      </c>
      <c r="F1878" s="284"/>
      <c r="G1878" s="337">
        <f t="shared" si="2319"/>
        <v>0</v>
      </c>
      <c r="H1878" s="285"/>
      <c r="I1878" s="285"/>
      <c r="J1878" s="356" t="str">
        <f>IFERROR(G1878/#REF!,"-")</f>
        <v>-</v>
      </c>
      <c r="K1878" s="337">
        <f t="shared" si="2320"/>
        <v>171639</v>
      </c>
      <c r="L1878" s="275">
        <f t="shared" si="2321"/>
        <v>166608</v>
      </c>
      <c r="M1878" s="276">
        <f t="shared" si="2322"/>
        <v>5031</v>
      </c>
      <c r="N1878" s="341" t="str">
        <f t="shared" si="2323"/>
        <v>-</v>
      </c>
      <c r="O1878" s="350">
        <f t="shared" si="2280"/>
        <v>2.9311520109066121E-2</v>
      </c>
    </row>
    <row r="1879" spans="1:15" ht="24" thickBot="1" x14ac:dyDescent="0.35">
      <c r="A1879" s="277" t="s">
        <v>108</v>
      </c>
      <c r="B1879" s="977"/>
      <c r="C1879" s="304"/>
      <c r="D1879" s="305" t="s">
        <v>53</v>
      </c>
      <c r="E1879" s="287">
        <v>0</v>
      </c>
      <c r="F1879" s="288">
        <v>50000</v>
      </c>
      <c r="G1879" s="323">
        <f>SUM(G1876:G1878)</f>
        <v>23369</v>
      </c>
      <c r="H1879" s="324">
        <f>SUM(H1876:H1878)</f>
        <v>22464</v>
      </c>
      <c r="I1879" s="324">
        <f>SUM(I1876:I1878)</f>
        <v>905</v>
      </c>
      <c r="J1879" s="348">
        <f>+H1879/G1879</f>
        <v>0.96127348196328466</v>
      </c>
      <c r="K1879" s="323">
        <f>SUM(K1876:K1878)</f>
        <v>427128</v>
      </c>
      <c r="L1879" s="324">
        <f>SUM(L1876:L1878)</f>
        <v>417456</v>
      </c>
      <c r="M1879" s="325">
        <f>SUM(M1876:M1878)</f>
        <v>9672</v>
      </c>
      <c r="N1879" s="342" t="str">
        <f t="shared" si="2323"/>
        <v>-</v>
      </c>
      <c r="O1879" s="348">
        <f t="shared" si="2280"/>
        <v>2.2644265887509132E-2</v>
      </c>
    </row>
    <row r="1880" spans="1:15" ht="23.4" x14ac:dyDescent="0.3">
      <c r="A1880" s="277" t="s">
        <v>108</v>
      </c>
      <c r="B1880" s="977"/>
      <c r="C1880" s="300" t="s">
        <v>543</v>
      </c>
      <c r="D1880" s="300" t="s">
        <v>99</v>
      </c>
      <c r="E1880" s="273">
        <v>500000</v>
      </c>
      <c r="F1880" s="274"/>
      <c r="G1880" s="335">
        <f t="shared" ref="G1880:G1882" si="2324">+H1880+I1880</f>
        <v>0</v>
      </c>
      <c r="H1880" s="275"/>
      <c r="I1880" s="275"/>
      <c r="J1880" s="354" t="str">
        <f>IFERROR(G1880/#REF!,"-")</f>
        <v>-</v>
      </c>
      <c r="K1880" s="335">
        <f t="shared" ref="K1880:K1882" si="2325">+L1880+M1880</f>
        <v>956</v>
      </c>
      <c r="L1880" s="275">
        <f t="shared" ref="L1880:L1882" si="2326">+H1880+L1773</f>
        <v>956</v>
      </c>
      <c r="M1880" s="276">
        <f t="shared" ref="M1880:M1882" si="2327">+I1880+M1773</f>
        <v>0</v>
      </c>
      <c r="N1880" s="339">
        <f t="shared" si="2323"/>
        <v>1.9120000000000001E-3</v>
      </c>
      <c r="O1880" s="349">
        <f t="shared" si="2280"/>
        <v>0</v>
      </c>
    </row>
    <row r="1881" spans="1:15" ht="23.4" x14ac:dyDescent="0.3">
      <c r="A1881" s="277" t="s">
        <v>108</v>
      </c>
      <c r="B1881" s="977"/>
      <c r="C1881" s="306" t="s">
        <v>373</v>
      </c>
      <c r="D1881" s="306" t="s">
        <v>254</v>
      </c>
      <c r="E1881" s="279">
        <v>0</v>
      </c>
      <c r="F1881" s="280"/>
      <c r="G1881" s="336">
        <f t="shared" si="2324"/>
        <v>0</v>
      </c>
      <c r="H1881" s="281"/>
      <c r="I1881" s="281"/>
      <c r="J1881" s="355" t="str">
        <f>IFERROR(G1881/#REF!,"-")</f>
        <v>-</v>
      </c>
      <c r="K1881" s="336">
        <f t="shared" si="2325"/>
        <v>13599</v>
      </c>
      <c r="L1881" s="275">
        <f t="shared" si="2326"/>
        <v>13321</v>
      </c>
      <c r="M1881" s="276">
        <f t="shared" si="2327"/>
        <v>278</v>
      </c>
      <c r="N1881" s="340" t="str">
        <f t="shared" si="2323"/>
        <v>-</v>
      </c>
      <c r="O1881" s="264">
        <f t="shared" si="2280"/>
        <v>2.0442679608794763E-2</v>
      </c>
    </row>
    <row r="1882" spans="1:15" ht="24" thickBot="1" x14ac:dyDescent="0.35">
      <c r="A1882" s="277" t="s">
        <v>108</v>
      </c>
      <c r="B1882" s="977"/>
      <c r="C1882" s="303" t="s">
        <v>544</v>
      </c>
      <c r="D1882" s="303" t="s">
        <v>507</v>
      </c>
      <c r="E1882" s="283">
        <v>0</v>
      </c>
      <c r="F1882" s="284"/>
      <c r="G1882" s="337">
        <f t="shared" si="2324"/>
        <v>0</v>
      </c>
      <c r="H1882" s="285"/>
      <c r="I1882" s="285"/>
      <c r="J1882" s="356" t="str">
        <f>IFERROR(G1882/#REF!,"-")</f>
        <v>-</v>
      </c>
      <c r="K1882" s="337">
        <f t="shared" si="2325"/>
        <v>845</v>
      </c>
      <c r="L1882" s="275">
        <f t="shared" si="2326"/>
        <v>845</v>
      </c>
      <c r="M1882" s="276">
        <f t="shared" si="2327"/>
        <v>0</v>
      </c>
      <c r="N1882" s="341" t="str">
        <f t="shared" si="2323"/>
        <v>-</v>
      </c>
      <c r="O1882" s="350">
        <f t="shared" si="2280"/>
        <v>0</v>
      </c>
    </row>
    <row r="1883" spans="1:15" ht="24" thickBot="1" x14ac:dyDescent="0.35">
      <c r="A1883" s="277" t="s">
        <v>108</v>
      </c>
      <c r="B1883" s="977"/>
      <c r="C1883" s="307"/>
      <c r="D1883" s="308" t="s">
        <v>54</v>
      </c>
      <c r="E1883" s="309">
        <f>SUM(E1880)</f>
        <v>500000</v>
      </c>
      <c r="F1883" s="310">
        <v>50000</v>
      </c>
      <c r="G1883" s="369">
        <f>SUM(G1880:G1882)</f>
        <v>0</v>
      </c>
      <c r="H1883" s="368">
        <f t="shared" ref="H1883:I1883" si="2328">SUM(H1880:H1882)</f>
        <v>0</v>
      </c>
      <c r="I1883" s="368">
        <f t="shared" si="2328"/>
        <v>0</v>
      </c>
      <c r="J1883" s="359">
        <f>+G1883/F1883</f>
        <v>0</v>
      </c>
      <c r="K1883" s="369">
        <f t="shared" ref="K1883:M1883" si="2329">SUM(K1880:K1882)</f>
        <v>15400</v>
      </c>
      <c r="L1883" s="368">
        <f t="shared" si="2329"/>
        <v>15122</v>
      </c>
      <c r="M1883" s="370">
        <f t="shared" si="2329"/>
        <v>278</v>
      </c>
      <c r="N1883" s="358">
        <f t="shared" si="2323"/>
        <v>3.0800000000000001E-2</v>
      </c>
      <c r="O1883" s="359">
        <f t="shared" si="2280"/>
        <v>1.8051948051948052E-2</v>
      </c>
    </row>
    <row r="1884" spans="1:15" ht="24" thickBot="1" x14ac:dyDescent="0.35">
      <c r="A1884" s="277" t="s">
        <v>108</v>
      </c>
      <c r="B1884" s="978" t="s">
        <v>171</v>
      </c>
      <c r="C1884" s="979"/>
      <c r="D1884" s="980"/>
      <c r="E1884" s="311">
        <f>+E1883+E1879</f>
        <v>500000</v>
      </c>
      <c r="F1884" s="312">
        <v>50000</v>
      </c>
      <c r="G1884" s="372">
        <f>+G1879+G1883</f>
        <v>23369</v>
      </c>
      <c r="H1884" s="371">
        <f t="shared" ref="H1884:I1884" si="2330">+H1879+H1883</f>
        <v>22464</v>
      </c>
      <c r="I1884" s="371">
        <f t="shared" si="2330"/>
        <v>905</v>
      </c>
      <c r="J1884" s="361">
        <f>+G1884/F1884</f>
        <v>0.46738000000000002</v>
      </c>
      <c r="K1884" s="372">
        <f t="shared" ref="K1884:M1884" si="2331">+K1879+K1883</f>
        <v>442528</v>
      </c>
      <c r="L1884" s="371">
        <f t="shared" si="2331"/>
        <v>432578</v>
      </c>
      <c r="M1884" s="373">
        <f t="shared" si="2331"/>
        <v>9950</v>
      </c>
      <c r="N1884" s="360">
        <f t="shared" si="2323"/>
        <v>0.88505599999999995</v>
      </c>
      <c r="O1884" s="361">
        <f t="shared" si="2280"/>
        <v>2.248445296116856E-2</v>
      </c>
    </row>
    <row r="1885" spans="1:15" ht="24" thickBot="1" x14ac:dyDescent="0.35">
      <c r="A1885" s="277" t="s">
        <v>108</v>
      </c>
      <c r="B1885" s="608" t="s">
        <v>32</v>
      </c>
      <c r="C1885" s="900"/>
      <c r="D1885" s="313" t="s">
        <v>32</v>
      </c>
      <c r="E1885" s="290">
        <v>0</v>
      </c>
      <c r="F1885" s="291">
        <v>110000</v>
      </c>
      <c r="G1885" s="338">
        <f t="shared" ref="G1885" si="2332">+H1885+I1885</f>
        <v>0</v>
      </c>
      <c r="H1885" s="292"/>
      <c r="I1885" s="292"/>
      <c r="J1885" s="357" t="str">
        <f>IFERROR(G1885/#REF!,"-")</f>
        <v>-</v>
      </c>
      <c r="K1885" s="338">
        <f>+L1885+M1885</f>
        <v>0</v>
      </c>
      <c r="L1885" s="292">
        <f>+H1885+L1778</f>
        <v>0</v>
      </c>
      <c r="M1885" s="293">
        <f>+I1885+M1778</f>
        <v>0</v>
      </c>
      <c r="N1885" s="343" t="str">
        <f t="shared" si="2323"/>
        <v>-</v>
      </c>
      <c r="O1885" s="351" t="str">
        <f t="shared" si="2280"/>
        <v>-</v>
      </c>
    </row>
    <row r="1886" spans="1:15" ht="24" thickBot="1" x14ac:dyDescent="0.35">
      <c r="A1886" s="277" t="s">
        <v>108</v>
      </c>
      <c r="B1886" s="981" t="s">
        <v>21</v>
      </c>
      <c r="C1886" s="982"/>
      <c r="D1886" s="983"/>
      <c r="E1886" s="329">
        <f>+E1875+E1884+E1885</f>
        <v>3112056</v>
      </c>
      <c r="F1886" s="330">
        <f>+F1875+F1884+F1885</f>
        <v>400000</v>
      </c>
      <c r="G1886" s="329">
        <f>+G1875+G1884+G1885</f>
        <v>191604</v>
      </c>
      <c r="H1886" s="327">
        <f>+H1875+H1884+H1885</f>
        <v>189540</v>
      </c>
      <c r="I1886" s="327">
        <f>+I1875+I1884+I1885</f>
        <v>2064</v>
      </c>
      <c r="J1886" s="352">
        <f>+G1886/F1886</f>
        <v>0.47900999999999999</v>
      </c>
      <c r="K1886" s="329">
        <f>+K1875+K1884+K1885</f>
        <v>3237552</v>
      </c>
      <c r="L1886" s="327">
        <f>+L1875+L1884+L1885</f>
        <v>3188061</v>
      </c>
      <c r="M1886" s="328">
        <f>+M1875+M1884+M1885</f>
        <v>49491</v>
      </c>
      <c r="N1886" s="344">
        <f t="shared" si="2323"/>
        <v>1.0403257524928857</v>
      </c>
      <c r="O1886" s="352">
        <f t="shared" si="2280"/>
        <v>1.5286549837655117E-2</v>
      </c>
    </row>
    <row r="1887" spans="1:15" ht="24" thickBot="1" x14ac:dyDescent="0.35">
      <c r="A1887" s="277" t="s">
        <v>108</v>
      </c>
      <c r="B1887" s="984" t="s">
        <v>179</v>
      </c>
      <c r="C1887" s="962"/>
      <c r="D1887" s="963"/>
      <c r="E1887" s="333">
        <f>+E1886</f>
        <v>3112056</v>
      </c>
      <c r="F1887" s="334">
        <f t="shared" ref="F1887:I1887" si="2333">+F1886</f>
        <v>400000</v>
      </c>
      <c r="G1887" s="333">
        <f t="shared" si="2333"/>
        <v>191604</v>
      </c>
      <c r="H1887" s="331">
        <f t="shared" si="2333"/>
        <v>189540</v>
      </c>
      <c r="I1887" s="331">
        <f t="shared" si="2333"/>
        <v>2064</v>
      </c>
      <c r="J1887" s="353">
        <f>+J1886</f>
        <v>0.47900999999999999</v>
      </c>
      <c r="K1887" s="333">
        <f>+K1886</f>
        <v>3237552</v>
      </c>
      <c r="L1887" s="331">
        <f t="shared" ref="L1887" si="2334">+L1886</f>
        <v>3188061</v>
      </c>
      <c r="M1887" s="332">
        <f>+M1886</f>
        <v>49491</v>
      </c>
      <c r="N1887" s="345">
        <f t="shared" ref="N1887:O1887" si="2335">+N1886</f>
        <v>1.0403257524928857</v>
      </c>
      <c r="O1887" s="353">
        <f t="shared" si="2335"/>
        <v>1.5286549837655117E-2</v>
      </c>
    </row>
    <row r="1888" spans="1:15" ht="23.4" x14ac:dyDescent="0.3">
      <c r="A1888" s="271" t="s">
        <v>109</v>
      </c>
      <c r="B1888" s="970" t="s">
        <v>482</v>
      </c>
      <c r="C1888" s="314" t="s">
        <v>120</v>
      </c>
      <c r="D1888" s="314"/>
      <c r="E1888" s="273">
        <v>34000</v>
      </c>
      <c r="F1888" s="274"/>
      <c r="G1888" s="335">
        <f t="shared" ref="G1888:G1890" si="2336">+H1888+I1888</f>
        <v>0</v>
      </c>
      <c r="H1888" s="275"/>
      <c r="I1888" s="275"/>
      <c r="J1888" s="354" t="str">
        <f>IFERROR(G1888/#REF!,"-")</f>
        <v>-</v>
      </c>
      <c r="K1888" s="335">
        <f t="shared" ref="K1888:K1890" si="2337">+L1888+M1888</f>
        <v>0</v>
      </c>
      <c r="L1888" s="275">
        <f t="shared" ref="L1888:L1890" si="2338">+H1888+L1781</f>
        <v>0</v>
      </c>
      <c r="M1888" s="276">
        <f t="shared" ref="M1888:M1890" si="2339">+I1888+M1781</f>
        <v>0</v>
      </c>
      <c r="N1888" s="339">
        <f t="shared" ref="N1888:N1895" si="2340">IFERROR(K1888/E1888,"-")</f>
        <v>0</v>
      </c>
      <c r="O1888" s="349" t="str">
        <f t="shared" ref="O1888:O1913" si="2341">IFERROR(M1888/K1888,"-")</f>
        <v>-</v>
      </c>
    </row>
    <row r="1889" spans="1:15" ht="23.4" x14ac:dyDescent="0.3">
      <c r="A1889" s="277" t="s">
        <v>109</v>
      </c>
      <c r="B1889" s="972"/>
      <c r="C1889" s="315" t="s">
        <v>267</v>
      </c>
      <c r="D1889" s="315"/>
      <c r="E1889" s="279">
        <v>0</v>
      </c>
      <c r="F1889" s="280"/>
      <c r="G1889" s="336">
        <f t="shared" si="2336"/>
        <v>0</v>
      </c>
      <c r="H1889" s="281"/>
      <c r="I1889" s="281"/>
      <c r="J1889" s="355" t="str">
        <f>IFERROR(G1889/#REF!,"-")</f>
        <v>-</v>
      </c>
      <c r="K1889" s="336">
        <f t="shared" si="2337"/>
        <v>21301</v>
      </c>
      <c r="L1889" s="275">
        <f t="shared" si="2338"/>
        <v>20077</v>
      </c>
      <c r="M1889" s="276">
        <f t="shared" si="2339"/>
        <v>1224</v>
      </c>
      <c r="N1889" s="340" t="str">
        <f t="shared" si="2340"/>
        <v>-</v>
      </c>
      <c r="O1889" s="264">
        <f t="shared" si="2341"/>
        <v>5.7462090981644051E-2</v>
      </c>
    </row>
    <row r="1890" spans="1:15" ht="24" thickBot="1" x14ac:dyDescent="0.35">
      <c r="A1890" s="277" t="s">
        <v>109</v>
      </c>
      <c r="B1890" s="971"/>
      <c r="C1890" s="316" t="s">
        <v>34</v>
      </c>
      <c r="D1890" s="316"/>
      <c r="E1890" s="283">
        <v>0</v>
      </c>
      <c r="F1890" s="284"/>
      <c r="G1890" s="337">
        <f t="shared" si="2336"/>
        <v>0</v>
      </c>
      <c r="H1890" s="285"/>
      <c r="I1890" s="285"/>
      <c r="J1890" s="356" t="str">
        <f>IFERROR(G1890/#REF!,"-")</f>
        <v>-</v>
      </c>
      <c r="K1890" s="337">
        <f t="shared" si="2337"/>
        <v>0</v>
      </c>
      <c r="L1890" s="275">
        <f t="shared" si="2338"/>
        <v>0</v>
      </c>
      <c r="M1890" s="276">
        <f t="shared" si="2339"/>
        <v>0</v>
      </c>
      <c r="N1890" s="341" t="str">
        <f t="shared" si="2340"/>
        <v>-</v>
      </c>
      <c r="O1890" s="350" t="str">
        <f t="shared" si="2341"/>
        <v>-</v>
      </c>
    </row>
    <row r="1891" spans="1:15" ht="24" thickBot="1" x14ac:dyDescent="0.35">
      <c r="A1891" s="277" t="s">
        <v>109</v>
      </c>
      <c r="B1891" s="967" t="s">
        <v>35</v>
      </c>
      <c r="C1891" s="968"/>
      <c r="D1891" s="969"/>
      <c r="E1891" s="287">
        <f>SUM(E1888:E1890)</f>
        <v>34000</v>
      </c>
      <c r="F1891" s="288">
        <v>6500</v>
      </c>
      <c r="G1891" s="323">
        <f>SUM(G1888:G1890)</f>
        <v>0</v>
      </c>
      <c r="H1891" s="324">
        <f t="shared" ref="H1891:I1891" si="2342">SUM(H1888:H1890)</f>
        <v>0</v>
      </c>
      <c r="I1891" s="324">
        <f t="shared" si="2342"/>
        <v>0</v>
      </c>
      <c r="J1891" s="348" t="str">
        <f>IFERROR(G1891/#REF!,"-")</f>
        <v>-</v>
      </c>
      <c r="K1891" s="323">
        <f t="shared" ref="K1891:M1891" si="2343">SUM(K1888:K1890)</f>
        <v>21301</v>
      </c>
      <c r="L1891" s="324">
        <f t="shared" si="2343"/>
        <v>20077</v>
      </c>
      <c r="M1891" s="325">
        <f t="shared" si="2343"/>
        <v>1224</v>
      </c>
      <c r="N1891" s="342">
        <f t="shared" si="2340"/>
        <v>0.62649999999999995</v>
      </c>
      <c r="O1891" s="348">
        <f t="shared" si="2341"/>
        <v>5.7462090981644051E-2</v>
      </c>
    </row>
    <row r="1892" spans="1:15" ht="23.4" x14ac:dyDescent="0.3">
      <c r="A1892" s="277" t="s">
        <v>109</v>
      </c>
      <c r="B1892" s="970" t="s">
        <v>36</v>
      </c>
      <c r="C1892" s="314" t="s">
        <v>120</v>
      </c>
      <c r="D1892" s="314"/>
      <c r="E1892" s="273">
        <v>64360</v>
      </c>
      <c r="F1892" s="274"/>
      <c r="G1892" s="335">
        <f t="shared" ref="G1892:G1895" si="2344">+H1892+I1892</f>
        <v>5880</v>
      </c>
      <c r="H1892" s="275">
        <v>5760</v>
      </c>
      <c r="I1892" s="275">
        <v>120</v>
      </c>
      <c r="J1892" s="354" t="str">
        <f>IFERROR(G1892/#REF!,"-")</f>
        <v>-</v>
      </c>
      <c r="K1892" s="335">
        <f t="shared" ref="K1892:K1895" si="2345">+L1892+M1892</f>
        <v>5880</v>
      </c>
      <c r="L1892" s="275">
        <f t="shared" ref="L1892:L1895" si="2346">+H1892+L1785</f>
        <v>5760</v>
      </c>
      <c r="M1892" s="276">
        <f t="shared" ref="M1892:M1895" si="2347">+I1892+M1785</f>
        <v>120</v>
      </c>
      <c r="N1892" s="339">
        <f t="shared" si="2340"/>
        <v>9.1361093847110011E-2</v>
      </c>
      <c r="O1892" s="349">
        <f t="shared" si="2341"/>
        <v>2.0408163265306121E-2</v>
      </c>
    </row>
    <row r="1893" spans="1:15" ht="23.4" x14ac:dyDescent="0.3">
      <c r="A1893" s="277" t="s">
        <v>109</v>
      </c>
      <c r="B1893" s="972"/>
      <c r="C1893" s="315" t="s">
        <v>267</v>
      </c>
      <c r="D1893" s="315"/>
      <c r="E1893" s="279">
        <v>0</v>
      </c>
      <c r="F1893" s="280"/>
      <c r="G1893" s="336">
        <f t="shared" si="2344"/>
        <v>776</v>
      </c>
      <c r="H1893" s="281">
        <v>760</v>
      </c>
      <c r="I1893" s="281">
        <v>16</v>
      </c>
      <c r="J1893" s="355" t="str">
        <f>IFERROR(G1893/#REF!,"-")</f>
        <v>-</v>
      </c>
      <c r="K1893" s="336">
        <f t="shared" si="2345"/>
        <v>53238</v>
      </c>
      <c r="L1893" s="275">
        <f t="shared" si="2346"/>
        <v>51369</v>
      </c>
      <c r="M1893" s="276">
        <f t="shared" si="2347"/>
        <v>1869</v>
      </c>
      <c r="N1893" s="340" t="str">
        <f t="shared" si="2340"/>
        <v>-</v>
      </c>
      <c r="O1893" s="264">
        <f t="shared" si="2341"/>
        <v>3.5106502873887072E-2</v>
      </c>
    </row>
    <row r="1894" spans="1:15" ht="23.4" x14ac:dyDescent="0.3">
      <c r="A1894" s="277" t="s">
        <v>109</v>
      </c>
      <c r="B1894" s="972"/>
      <c r="C1894" s="315" t="s">
        <v>198</v>
      </c>
      <c r="D1894" s="315"/>
      <c r="E1894" s="279">
        <v>0</v>
      </c>
      <c r="F1894" s="280"/>
      <c r="G1894" s="336">
        <f t="shared" si="2344"/>
        <v>0</v>
      </c>
      <c r="H1894" s="281"/>
      <c r="I1894" s="281"/>
      <c r="J1894" s="355" t="str">
        <f>IFERROR(G1894/#REF!,"-")</f>
        <v>-</v>
      </c>
      <c r="K1894" s="336">
        <f t="shared" si="2345"/>
        <v>0</v>
      </c>
      <c r="L1894" s="275">
        <f t="shared" si="2346"/>
        <v>0</v>
      </c>
      <c r="M1894" s="276">
        <f t="shared" si="2347"/>
        <v>0</v>
      </c>
      <c r="N1894" s="340" t="str">
        <f t="shared" si="2340"/>
        <v>-</v>
      </c>
      <c r="O1894" s="264" t="str">
        <f t="shared" si="2341"/>
        <v>-</v>
      </c>
    </row>
    <row r="1895" spans="1:15" ht="24" thickBot="1" x14ac:dyDescent="0.35">
      <c r="A1895" s="277" t="s">
        <v>109</v>
      </c>
      <c r="B1895" s="971"/>
      <c r="C1895" s="316" t="s">
        <v>37</v>
      </c>
      <c r="D1895" s="316"/>
      <c r="E1895" s="283">
        <v>0</v>
      </c>
      <c r="F1895" s="284"/>
      <c r="G1895" s="337">
        <f t="shared" si="2344"/>
        <v>0</v>
      </c>
      <c r="H1895" s="285"/>
      <c r="I1895" s="285"/>
      <c r="J1895" s="356" t="str">
        <f>IFERROR(G1895/#REF!,"-")</f>
        <v>-</v>
      </c>
      <c r="K1895" s="337">
        <f t="shared" si="2345"/>
        <v>0</v>
      </c>
      <c r="L1895" s="275">
        <f t="shared" si="2346"/>
        <v>0</v>
      </c>
      <c r="M1895" s="276">
        <f t="shared" si="2347"/>
        <v>0</v>
      </c>
      <c r="N1895" s="341" t="str">
        <f t="shared" si="2340"/>
        <v>-</v>
      </c>
      <c r="O1895" s="350" t="str">
        <f t="shared" si="2341"/>
        <v>-</v>
      </c>
    </row>
    <row r="1896" spans="1:15" ht="24" thickBot="1" x14ac:dyDescent="0.35">
      <c r="A1896" s="277" t="s">
        <v>109</v>
      </c>
      <c r="B1896" s="967" t="s">
        <v>38</v>
      </c>
      <c r="C1896" s="968"/>
      <c r="D1896" s="969"/>
      <c r="E1896" s="287">
        <f>SUM(E1892:E1895)</f>
        <v>64360</v>
      </c>
      <c r="F1896" s="288">
        <v>6500</v>
      </c>
      <c r="G1896" s="323">
        <f>SUM(G1892:G1895)</f>
        <v>6656</v>
      </c>
      <c r="H1896" s="324">
        <f t="shared" ref="H1896:I1896" si="2348">SUM(H1892:H1895)</f>
        <v>6520</v>
      </c>
      <c r="I1896" s="324">
        <f t="shared" si="2348"/>
        <v>136</v>
      </c>
      <c r="J1896" s="348" t="str">
        <f>IFERROR(G1896/#REF!,"-")</f>
        <v>-</v>
      </c>
      <c r="K1896" s="323">
        <f t="shared" ref="K1896:M1896" si="2349">SUM(K1892:K1895)</f>
        <v>59118</v>
      </c>
      <c r="L1896" s="324">
        <f t="shared" si="2349"/>
        <v>57129</v>
      </c>
      <c r="M1896" s="325">
        <f t="shared" si="2349"/>
        <v>1989</v>
      </c>
      <c r="N1896" s="342">
        <f>IFERROR(K1896/E1896,"-")</f>
        <v>0.91855189558732131</v>
      </c>
      <c r="O1896" s="348">
        <f t="shared" si="2341"/>
        <v>3.3644575256267129E-2</v>
      </c>
    </row>
    <row r="1897" spans="1:15" ht="23.4" x14ac:dyDescent="0.3">
      <c r="A1897" s="277" t="s">
        <v>109</v>
      </c>
      <c r="B1897" s="970" t="s">
        <v>483</v>
      </c>
      <c r="C1897" s="317" t="s">
        <v>123</v>
      </c>
      <c r="D1897" s="317"/>
      <c r="E1897" s="273">
        <v>39800</v>
      </c>
      <c r="F1897" s="274"/>
      <c r="G1897" s="335">
        <f t="shared" ref="G1897:G1898" si="2350">+H1897+I1897</f>
        <v>0</v>
      </c>
      <c r="H1897" s="275"/>
      <c r="I1897" s="275"/>
      <c r="J1897" s="354" t="str">
        <f>IFERROR(G1897/#REF!,"-")</f>
        <v>-</v>
      </c>
      <c r="K1897" s="335">
        <f t="shared" ref="K1897:K1898" si="2351">+L1897+M1897</f>
        <v>144</v>
      </c>
      <c r="L1897" s="275">
        <f t="shared" ref="L1897:L1898" si="2352">+H1897+L1790</f>
        <v>144</v>
      </c>
      <c r="M1897" s="276">
        <f t="shared" ref="M1897:M1898" si="2353">+I1897+M1790</f>
        <v>0</v>
      </c>
      <c r="N1897" s="339">
        <f t="shared" ref="N1897:N1913" si="2354">IFERROR(K1897/E1897,"-")</f>
        <v>3.6180904522613066E-3</v>
      </c>
      <c r="O1897" s="349">
        <f t="shared" si="2341"/>
        <v>0</v>
      </c>
    </row>
    <row r="1898" spans="1:15" ht="24" thickBot="1" x14ac:dyDescent="0.35">
      <c r="A1898" s="277" t="s">
        <v>109</v>
      </c>
      <c r="B1898" s="971"/>
      <c r="C1898" s="289" t="s">
        <v>139</v>
      </c>
      <c r="D1898" s="289"/>
      <c r="E1898" s="283">
        <v>0</v>
      </c>
      <c r="F1898" s="284"/>
      <c r="G1898" s="337">
        <f t="shared" si="2350"/>
        <v>1270</v>
      </c>
      <c r="H1898" s="285">
        <v>1200</v>
      </c>
      <c r="I1898" s="285">
        <v>70</v>
      </c>
      <c r="J1898" s="356" t="str">
        <f>IFERROR(G1898/#REF!,"-")</f>
        <v>-</v>
      </c>
      <c r="K1898" s="337">
        <f t="shared" si="2351"/>
        <v>7605</v>
      </c>
      <c r="L1898" s="275">
        <f t="shared" si="2352"/>
        <v>7040</v>
      </c>
      <c r="M1898" s="276">
        <f t="shared" si="2353"/>
        <v>565</v>
      </c>
      <c r="N1898" s="341" t="str">
        <f t="shared" si="2354"/>
        <v>-</v>
      </c>
      <c r="O1898" s="350">
        <f t="shared" si="2341"/>
        <v>7.4293228139381981E-2</v>
      </c>
    </row>
    <row r="1899" spans="1:15" ht="24" thickBot="1" x14ac:dyDescent="0.35">
      <c r="A1899" s="904" t="s">
        <v>109</v>
      </c>
      <c r="B1899" s="967" t="s">
        <v>40</v>
      </c>
      <c r="C1899" s="968"/>
      <c r="D1899" s="969"/>
      <c r="E1899" s="287">
        <f>SUM(E1897:E1898)</f>
        <v>39800</v>
      </c>
      <c r="F1899" s="288">
        <v>2800</v>
      </c>
      <c r="G1899" s="323">
        <f>SUM(G1897:G1898)</f>
        <v>1270</v>
      </c>
      <c r="H1899" s="324">
        <f t="shared" ref="H1899:I1899" si="2355">SUM(H1897:H1898)</f>
        <v>1200</v>
      </c>
      <c r="I1899" s="324">
        <f t="shared" si="2355"/>
        <v>70</v>
      </c>
      <c r="J1899" s="348" t="str">
        <f>IFERROR(G1899/#REF!,"-")</f>
        <v>-</v>
      </c>
      <c r="K1899" s="323">
        <f t="shared" ref="K1899:M1899" si="2356">SUM(K1897:K1898)</f>
        <v>7749</v>
      </c>
      <c r="L1899" s="324">
        <f t="shared" si="2356"/>
        <v>7184</v>
      </c>
      <c r="M1899" s="325">
        <f t="shared" si="2356"/>
        <v>565</v>
      </c>
      <c r="N1899" s="342">
        <f t="shared" si="2354"/>
        <v>0.19469849246231155</v>
      </c>
      <c r="O1899" s="348">
        <f t="shared" si="2341"/>
        <v>7.291263388824365E-2</v>
      </c>
    </row>
    <row r="1900" spans="1:15" ht="23.4" x14ac:dyDescent="0.3">
      <c r="A1900" s="277" t="s">
        <v>109</v>
      </c>
      <c r="B1900" s="970" t="s">
        <v>484</v>
      </c>
      <c r="C1900" s="272" t="s">
        <v>335</v>
      </c>
      <c r="D1900" s="272"/>
      <c r="E1900" s="273">
        <v>916640</v>
      </c>
      <c r="F1900" s="318"/>
      <c r="G1900" s="335">
        <f t="shared" ref="G1900:G1904" si="2357">+H1900+I1900</f>
        <v>25280</v>
      </c>
      <c r="H1900" s="275">
        <v>25200</v>
      </c>
      <c r="I1900" s="275">
        <v>80</v>
      </c>
      <c r="J1900" s="374" t="str">
        <f>IFERROR(G1900/#REF!,"-")</f>
        <v>-</v>
      </c>
      <c r="K1900" s="335">
        <f t="shared" ref="K1900:K1904" si="2358">+L1900+M1900</f>
        <v>513451</v>
      </c>
      <c r="L1900" s="275">
        <f t="shared" ref="L1900:L1904" si="2359">+H1900+L1793</f>
        <v>507936</v>
      </c>
      <c r="M1900" s="275">
        <f t="shared" ref="M1900:M1904" si="2360">+I1900+M1793</f>
        <v>5515</v>
      </c>
      <c r="N1900" s="362">
        <f t="shared" si="2354"/>
        <v>0.56014465875370922</v>
      </c>
      <c r="O1900" s="363">
        <f t="shared" si="2341"/>
        <v>1.0741044422934224E-2</v>
      </c>
    </row>
    <row r="1901" spans="1:15" ht="23.4" x14ac:dyDescent="0.3">
      <c r="A1901" s="277" t="s">
        <v>109</v>
      </c>
      <c r="B1901" s="972"/>
      <c r="C1901" s="272" t="s">
        <v>336</v>
      </c>
      <c r="D1901" s="278"/>
      <c r="E1901" s="279">
        <v>0</v>
      </c>
      <c r="F1901" s="319"/>
      <c r="G1901" s="336">
        <f t="shared" si="2357"/>
        <v>0</v>
      </c>
      <c r="H1901" s="281"/>
      <c r="I1901" s="281"/>
      <c r="J1901" s="375" t="str">
        <f>IFERROR(G1901/#REF!,"-")</f>
        <v>-</v>
      </c>
      <c r="K1901" s="336">
        <f t="shared" si="2358"/>
        <v>0</v>
      </c>
      <c r="L1901" s="275">
        <f t="shared" si="2359"/>
        <v>0</v>
      </c>
      <c r="M1901" s="276">
        <f t="shared" si="2360"/>
        <v>0</v>
      </c>
      <c r="N1901" s="364" t="str">
        <f t="shared" si="2354"/>
        <v>-</v>
      </c>
      <c r="O1901" s="365" t="str">
        <f t="shared" si="2341"/>
        <v>-</v>
      </c>
    </row>
    <row r="1902" spans="1:15" ht="23.4" x14ac:dyDescent="0.3">
      <c r="A1902" s="277" t="s">
        <v>109</v>
      </c>
      <c r="B1902" s="972"/>
      <c r="C1902" s="278" t="s">
        <v>383</v>
      </c>
      <c r="D1902" s="278"/>
      <c r="E1902" s="279">
        <v>40000</v>
      </c>
      <c r="F1902" s="319"/>
      <c r="G1902" s="336">
        <f t="shared" si="2357"/>
        <v>0</v>
      </c>
      <c r="H1902" s="281"/>
      <c r="I1902" s="281"/>
      <c r="J1902" s="375" t="str">
        <f>IFERROR(G1902/#REF!,"-")</f>
        <v>-</v>
      </c>
      <c r="K1902" s="336">
        <f t="shared" si="2358"/>
        <v>0</v>
      </c>
      <c r="L1902" s="275">
        <f t="shared" si="2359"/>
        <v>0</v>
      </c>
      <c r="M1902" s="276">
        <f t="shared" si="2360"/>
        <v>0</v>
      </c>
      <c r="N1902" s="364">
        <f t="shared" si="2354"/>
        <v>0</v>
      </c>
      <c r="O1902" s="365" t="str">
        <f t="shared" si="2341"/>
        <v>-</v>
      </c>
    </row>
    <row r="1903" spans="1:15" ht="23.4" x14ac:dyDescent="0.3">
      <c r="A1903" s="277" t="s">
        <v>109</v>
      </c>
      <c r="B1903" s="972"/>
      <c r="C1903" s="278" t="s">
        <v>165</v>
      </c>
      <c r="D1903" s="278"/>
      <c r="E1903" s="279">
        <v>0</v>
      </c>
      <c r="F1903" s="319"/>
      <c r="G1903" s="336">
        <f t="shared" si="2357"/>
        <v>0</v>
      </c>
      <c r="H1903" s="281"/>
      <c r="I1903" s="281"/>
      <c r="J1903" s="375" t="str">
        <f>IFERROR(G1903/#REF!,"-")</f>
        <v>-</v>
      </c>
      <c r="K1903" s="336">
        <f t="shared" si="2358"/>
        <v>0</v>
      </c>
      <c r="L1903" s="275">
        <f t="shared" si="2359"/>
        <v>0</v>
      </c>
      <c r="M1903" s="276">
        <f t="shared" si="2360"/>
        <v>0</v>
      </c>
      <c r="N1903" s="364" t="str">
        <f t="shared" si="2354"/>
        <v>-</v>
      </c>
      <c r="O1903" s="365" t="str">
        <f t="shared" si="2341"/>
        <v>-</v>
      </c>
    </row>
    <row r="1904" spans="1:15" ht="24" thickBot="1" x14ac:dyDescent="0.35">
      <c r="A1904" s="277" t="s">
        <v>109</v>
      </c>
      <c r="B1904" s="971"/>
      <c r="C1904" s="282" t="s">
        <v>166</v>
      </c>
      <c r="D1904" s="282"/>
      <c r="E1904" s="283">
        <v>0</v>
      </c>
      <c r="F1904" s="320"/>
      <c r="G1904" s="337">
        <f t="shared" si="2357"/>
        <v>0</v>
      </c>
      <c r="H1904" s="285"/>
      <c r="I1904" s="285"/>
      <c r="J1904" s="376" t="str">
        <f>IFERROR(G1904/#REF!,"-")</f>
        <v>-</v>
      </c>
      <c r="K1904" s="337">
        <f t="shared" si="2358"/>
        <v>0</v>
      </c>
      <c r="L1904" s="275">
        <f t="shared" si="2359"/>
        <v>0</v>
      </c>
      <c r="M1904" s="276">
        <f t="shared" si="2360"/>
        <v>0</v>
      </c>
      <c r="N1904" s="366" t="str">
        <f t="shared" si="2354"/>
        <v>-</v>
      </c>
      <c r="O1904" s="367" t="str">
        <f t="shared" si="2341"/>
        <v>-</v>
      </c>
    </row>
    <row r="1905" spans="1:15" ht="24" thickBot="1" x14ac:dyDescent="0.35">
      <c r="A1905" s="277" t="s">
        <v>109</v>
      </c>
      <c r="B1905" s="967" t="s">
        <v>42</v>
      </c>
      <c r="C1905" s="968"/>
      <c r="D1905" s="969"/>
      <c r="E1905" s="323">
        <f>SUM(E1900:E1904)</f>
        <v>956640</v>
      </c>
      <c r="F1905" s="288">
        <v>25000</v>
      </c>
      <c r="G1905" s="323">
        <f>SUM(G1900:G1904)</f>
        <v>25280</v>
      </c>
      <c r="H1905" s="324">
        <f>SUM(H1900:H1904)</f>
        <v>25200</v>
      </c>
      <c r="I1905" s="324">
        <f>SUM(I1900:I1904)</f>
        <v>80</v>
      </c>
      <c r="J1905" s="348" t="str">
        <f>IFERROR(G1905/#REF!,"-")</f>
        <v>-</v>
      </c>
      <c r="K1905" s="323">
        <f>SUM(K1900:K1904)</f>
        <v>513451</v>
      </c>
      <c r="L1905" s="324">
        <f>SUM(L1900:L1904)</f>
        <v>507936</v>
      </c>
      <c r="M1905" s="325">
        <f>SUM(M1900:M1904)</f>
        <v>5515</v>
      </c>
      <c r="N1905" s="342">
        <f t="shared" si="2354"/>
        <v>0.53672332329821038</v>
      </c>
      <c r="O1905" s="348">
        <f t="shared" si="2341"/>
        <v>1.0741044422934224E-2</v>
      </c>
    </row>
    <row r="1906" spans="1:15" ht="23.4" x14ac:dyDescent="0.3">
      <c r="A1906" s="277" t="s">
        <v>109</v>
      </c>
      <c r="B1906" s="970" t="s">
        <v>485</v>
      </c>
      <c r="C1906" s="272" t="s">
        <v>200</v>
      </c>
      <c r="D1906" s="272"/>
      <c r="E1906" s="273">
        <v>0</v>
      </c>
      <c r="F1906" s="274"/>
      <c r="G1906" s="335">
        <f t="shared" ref="G1906:G1908" si="2361">+H1906+I1906</f>
        <v>0</v>
      </c>
      <c r="H1906" s="275"/>
      <c r="I1906" s="275"/>
      <c r="J1906" s="354" t="str">
        <f>IFERROR(G1906/#REF!,"-")</f>
        <v>-</v>
      </c>
      <c r="K1906" s="335">
        <f t="shared" ref="K1906:K1908" si="2362">+L1906+M1906</f>
        <v>0</v>
      </c>
      <c r="L1906" s="275">
        <f t="shared" ref="L1906:L1908" si="2363">+H1906+L1799</f>
        <v>0</v>
      </c>
      <c r="M1906" s="276">
        <f t="shared" ref="M1906:M1908" si="2364">+I1906+M1799</f>
        <v>0</v>
      </c>
      <c r="N1906" s="339" t="str">
        <f t="shared" si="2354"/>
        <v>-</v>
      </c>
      <c r="O1906" s="349" t="str">
        <f t="shared" si="2341"/>
        <v>-</v>
      </c>
    </row>
    <row r="1907" spans="1:15" ht="23.4" x14ac:dyDescent="0.3">
      <c r="A1907" s="277" t="s">
        <v>109</v>
      </c>
      <c r="B1907" s="972"/>
      <c r="C1907" s="278" t="s">
        <v>167</v>
      </c>
      <c r="D1907" s="278"/>
      <c r="E1907" s="279">
        <v>50000</v>
      </c>
      <c r="F1907" s="280"/>
      <c r="G1907" s="336">
        <f t="shared" si="2361"/>
        <v>2910</v>
      </c>
      <c r="H1907" s="281">
        <v>2880</v>
      </c>
      <c r="I1907" s="281">
        <v>30</v>
      </c>
      <c r="J1907" s="375" t="str">
        <f>IFERROR(G1907/#REF!,"-")</f>
        <v>-</v>
      </c>
      <c r="K1907" s="336">
        <f t="shared" si="2362"/>
        <v>179527</v>
      </c>
      <c r="L1907" s="794">
        <f t="shared" si="2363"/>
        <v>175056</v>
      </c>
      <c r="M1907" s="276">
        <f t="shared" si="2364"/>
        <v>4471</v>
      </c>
      <c r="N1907" s="364">
        <f t="shared" si="2354"/>
        <v>3.5905399999999998</v>
      </c>
      <c r="O1907" s="365">
        <f t="shared" si="2341"/>
        <v>2.4904331938928406E-2</v>
      </c>
    </row>
    <row r="1908" spans="1:15" ht="24" thickBot="1" x14ac:dyDescent="0.35">
      <c r="A1908" s="277" t="s">
        <v>109</v>
      </c>
      <c r="B1908" s="971"/>
      <c r="C1908" s="282" t="s">
        <v>200</v>
      </c>
      <c r="D1908" s="282"/>
      <c r="E1908" s="283">
        <v>0</v>
      </c>
      <c r="F1908" s="284"/>
      <c r="G1908" s="337">
        <f t="shared" si="2361"/>
        <v>0</v>
      </c>
      <c r="H1908" s="285"/>
      <c r="I1908" s="285"/>
      <c r="J1908" s="376" t="str">
        <f>IFERROR(G1908/#REF!,"-")</f>
        <v>-</v>
      </c>
      <c r="K1908" s="337">
        <f t="shared" si="2362"/>
        <v>0</v>
      </c>
      <c r="L1908" s="275">
        <f t="shared" si="2363"/>
        <v>0</v>
      </c>
      <c r="M1908" s="276">
        <f t="shared" si="2364"/>
        <v>0</v>
      </c>
      <c r="N1908" s="366" t="str">
        <f t="shared" si="2354"/>
        <v>-</v>
      </c>
      <c r="O1908" s="367" t="str">
        <f t="shared" si="2341"/>
        <v>-</v>
      </c>
    </row>
    <row r="1909" spans="1:15" ht="24" thickBot="1" x14ac:dyDescent="0.35">
      <c r="A1909" s="277" t="s">
        <v>109</v>
      </c>
      <c r="B1909" s="973" t="s">
        <v>44</v>
      </c>
      <c r="C1909" s="974"/>
      <c r="D1909" s="975"/>
      <c r="E1909" s="323">
        <f>SUM(E1906:E1908)</f>
        <v>50000</v>
      </c>
      <c r="F1909" s="288"/>
      <c r="G1909" s="323">
        <f>SUM(G1906:G1908)</f>
        <v>2910</v>
      </c>
      <c r="H1909" s="324">
        <f t="shared" ref="H1909:I1909" si="2365">SUM(H1906:H1908)</f>
        <v>2880</v>
      </c>
      <c r="I1909" s="324">
        <f t="shared" si="2365"/>
        <v>30</v>
      </c>
      <c r="J1909" s="348" t="str">
        <f>IFERROR(G1909/#REF!,"-")</f>
        <v>-</v>
      </c>
      <c r="K1909" s="323">
        <f t="shared" ref="K1909:M1909" si="2366">SUM(K1906:K1908)</f>
        <v>179527</v>
      </c>
      <c r="L1909" s="368">
        <f t="shared" si="2366"/>
        <v>175056</v>
      </c>
      <c r="M1909" s="370">
        <f t="shared" si="2366"/>
        <v>4471</v>
      </c>
      <c r="N1909" s="342">
        <f t="shared" si="2354"/>
        <v>3.5905399999999998</v>
      </c>
      <c r="O1909" s="348">
        <f t="shared" si="2341"/>
        <v>2.4904331938928406E-2</v>
      </c>
    </row>
    <row r="1910" spans="1:15" ht="23.4" x14ac:dyDescent="0.3">
      <c r="A1910" s="277" t="s">
        <v>109</v>
      </c>
      <c r="B1910" s="970" t="s">
        <v>45</v>
      </c>
      <c r="C1910" s="272" t="s">
        <v>168</v>
      </c>
      <c r="D1910" s="272"/>
      <c r="E1910" s="273">
        <v>0</v>
      </c>
      <c r="F1910" s="274"/>
      <c r="G1910" s="335">
        <f t="shared" ref="G1910:G1911" si="2367">+H1910+I1910</f>
        <v>0</v>
      </c>
      <c r="H1910" s="275"/>
      <c r="I1910" s="275"/>
      <c r="J1910" s="374" t="str">
        <f>IFERROR(G1910/#REF!,"-")</f>
        <v>-</v>
      </c>
      <c r="K1910" s="739">
        <f t="shared" ref="K1910:K1911" si="2368">+L1910+M1910</f>
        <v>0</v>
      </c>
      <c r="L1910" s="532">
        <f t="shared" ref="L1910:L1911" si="2369">+H1910+L1803</f>
        <v>0</v>
      </c>
      <c r="M1910" s="247">
        <f t="shared" ref="M1910:M1911" si="2370">+I1910+M1803</f>
        <v>0</v>
      </c>
      <c r="N1910" s="362" t="str">
        <f t="shared" si="2354"/>
        <v>-</v>
      </c>
      <c r="O1910" s="363" t="str">
        <f t="shared" si="2341"/>
        <v>-</v>
      </c>
    </row>
    <row r="1911" spans="1:15" ht="24" thickBot="1" x14ac:dyDescent="0.35">
      <c r="A1911" s="277" t="s">
        <v>109</v>
      </c>
      <c r="B1911" s="971"/>
      <c r="C1911" s="282" t="s">
        <v>169</v>
      </c>
      <c r="D1911" s="282"/>
      <c r="E1911" s="283">
        <v>0</v>
      </c>
      <c r="F1911" s="284"/>
      <c r="G1911" s="337">
        <f t="shared" si="2367"/>
        <v>0</v>
      </c>
      <c r="H1911" s="285"/>
      <c r="I1911" s="285"/>
      <c r="J1911" s="376" t="str">
        <f>IFERROR(G1911/#REF!,"-")</f>
        <v>-</v>
      </c>
      <c r="K1911" s="740">
        <f t="shared" si="2368"/>
        <v>0</v>
      </c>
      <c r="L1911" s="535">
        <f t="shared" si="2369"/>
        <v>0</v>
      </c>
      <c r="M1911" s="258">
        <f t="shared" si="2370"/>
        <v>0</v>
      </c>
      <c r="N1911" s="366" t="str">
        <f t="shared" si="2354"/>
        <v>-</v>
      </c>
      <c r="O1911" s="367" t="str">
        <f t="shared" si="2341"/>
        <v>-</v>
      </c>
    </row>
    <row r="1912" spans="1:15" ht="24" thickBot="1" x14ac:dyDescent="0.35">
      <c r="A1912" s="277" t="s">
        <v>109</v>
      </c>
      <c r="B1912" s="973" t="s">
        <v>46</v>
      </c>
      <c r="C1912" s="974"/>
      <c r="D1912" s="975"/>
      <c r="E1912" s="287">
        <v>0</v>
      </c>
      <c r="F1912" s="288">
        <v>25000</v>
      </c>
      <c r="G1912" s="323">
        <f>SUM(G1910:G1911)</f>
        <v>0</v>
      </c>
      <c r="H1912" s="324">
        <f t="shared" ref="H1912:I1912" si="2371">SUM(H1910:H1911)</f>
        <v>0</v>
      </c>
      <c r="I1912" s="324">
        <f t="shared" si="2371"/>
        <v>0</v>
      </c>
      <c r="J1912" s="348" t="str">
        <f>IFERROR(G1912/#REF!,"-")</f>
        <v>-</v>
      </c>
      <c r="K1912" s="323">
        <f t="shared" ref="K1912:M1912" si="2372">SUM(K1910:K1911)</f>
        <v>0</v>
      </c>
      <c r="L1912" s="524">
        <f t="shared" si="2372"/>
        <v>0</v>
      </c>
      <c r="M1912" s="733">
        <f t="shared" si="2372"/>
        <v>0</v>
      </c>
      <c r="N1912" s="342" t="str">
        <f t="shared" si="2354"/>
        <v>-</v>
      </c>
      <c r="O1912" s="348" t="str">
        <f t="shared" si="2341"/>
        <v>-</v>
      </c>
    </row>
    <row r="1913" spans="1:15" ht="24" thickBot="1" x14ac:dyDescent="0.35">
      <c r="A1913" s="277" t="s">
        <v>109</v>
      </c>
      <c r="B1913" s="959" t="s">
        <v>25</v>
      </c>
      <c r="C1913" s="960"/>
      <c r="D1913" s="961"/>
      <c r="E1913" s="329">
        <f t="shared" ref="E1913:F1913" si="2373">+E1891+E1896+E1899+E1905+E1909+E1912</f>
        <v>1144800</v>
      </c>
      <c r="F1913" s="330">
        <f t="shared" si="2373"/>
        <v>65800</v>
      </c>
      <c r="G1913" s="329">
        <f>+G1891+G1896+G1899+G1905+G1909+G1912</f>
        <v>36116</v>
      </c>
      <c r="H1913" s="327">
        <f>+H1891+H1896+H1899+H1905+H1909+H1912</f>
        <v>35800</v>
      </c>
      <c r="I1913" s="327">
        <f t="shared" ref="I1913" si="2374">+I1891+I1896+I1899+I1905+I1909+I1912</f>
        <v>316</v>
      </c>
      <c r="J1913" s="352" t="str">
        <f>IFERROR(G1913/#REF!,"-")</f>
        <v>-</v>
      </c>
      <c r="K1913" s="329">
        <f>+K1891+K1896+K1899+K1905+K1909+K1912</f>
        <v>781146</v>
      </c>
      <c r="L1913" s="327">
        <f t="shared" ref="L1913:M1913" si="2375">+L1891+L1896+L1899+L1905+L1909+L1912</f>
        <v>767382</v>
      </c>
      <c r="M1913" s="328">
        <f t="shared" si="2375"/>
        <v>13764</v>
      </c>
      <c r="N1913" s="344">
        <f t="shared" si="2354"/>
        <v>0.68234276729559751</v>
      </c>
      <c r="O1913" s="352">
        <f t="shared" si="2341"/>
        <v>1.7620265609757969E-2</v>
      </c>
    </row>
    <row r="1914" spans="1:15" ht="24" thickBot="1" x14ac:dyDescent="0.35">
      <c r="A1914" s="321" t="s">
        <v>109</v>
      </c>
      <c r="B1914" s="962" t="s">
        <v>181</v>
      </c>
      <c r="C1914" s="962"/>
      <c r="D1914" s="963"/>
      <c r="E1914" s="333">
        <f>+E1913</f>
        <v>1144800</v>
      </c>
      <c r="F1914" s="334">
        <f t="shared" ref="F1914:O1914" si="2376">+F1913</f>
        <v>65800</v>
      </c>
      <c r="G1914" s="333">
        <f t="shared" si="2376"/>
        <v>36116</v>
      </c>
      <c r="H1914" s="331">
        <f t="shared" si="2376"/>
        <v>35800</v>
      </c>
      <c r="I1914" s="331">
        <f t="shared" si="2376"/>
        <v>316</v>
      </c>
      <c r="J1914" s="353" t="str">
        <f t="shared" si="2376"/>
        <v>-</v>
      </c>
      <c r="K1914" s="333">
        <f t="shared" si="2376"/>
        <v>781146</v>
      </c>
      <c r="L1914" s="331">
        <f t="shared" si="2376"/>
        <v>767382</v>
      </c>
      <c r="M1914" s="332">
        <f t="shared" si="2376"/>
        <v>13764</v>
      </c>
      <c r="N1914" s="345">
        <f t="shared" si="2376"/>
        <v>0.68234276729559751</v>
      </c>
      <c r="O1914" s="353">
        <f t="shared" si="2376"/>
        <v>1.7620265609757969E-2</v>
      </c>
    </row>
    <row r="1915" spans="1:15" ht="24.6" thickBot="1" x14ac:dyDescent="0.35">
      <c r="A1915" s="322"/>
      <c r="B1915" s="964" t="s">
        <v>182</v>
      </c>
      <c r="C1915" s="965"/>
      <c r="D1915" s="966"/>
      <c r="E1915" s="377">
        <f>+E1857+E1887+E1914</f>
        <v>10258981</v>
      </c>
      <c r="F1915" s="377">
        <f>+F1857+F1887+F1914</f>
        <v>1014800</v>
      </c>
      <c r="G1915" s="377">
        <f>+G1857+G1887+G1914</f>
        <v>325070</v>
      </c>
      <c r="H1915" s="377">
        <f>+H1857+H1887+H1914</f>
        <v>474464</v>
      </c>
      <c r="I1915" s="377">
        <f>+I1857+I1887+I1914</f>
        <v>3200</v>
      </c>
      <c r="J1915" s="378" t="str">
        <f>IFERROR(G1915/#REF!,"-")</f>
        <v>-</v>
      </c>
      <c r="K1915" s="377">
        <f>+K1857+K1887+K1914</f>
        <v>7345828</v>
      </c>
      <c r="L1915" s="377">
        <f>+L1857+L1887+L1914</f>
        <v>7261275</v>
      </c>
      <c r="M1915" s="377">
        <f>+M1857+M1887+M1914</f>
        <v>84553</v>
      </c>
      <c r="N1915" s="378">
        <f>IFERROR(K1915/E1915,"-")</f>
        <v>0.71603875667573613</v>
      </c>
      <c r="O1915" s="378">
        <f>IFERROR(M1915/K1915,"-")</f>
        <v>1.1510343013748757E-2</v>
      </c>
    </row>
    <row r="1916" spans="1:15" ht="23.4" x14ac:dyDescent="0.3">
      <c r="A1916" s="991" t="s">
        <v>1</v>
      </c>
      <c r="B1916" s="994" t="s">
        <v>2</v>
      </c>
      <c r="C1916" s="997" t="s">
        <v>477</v>
      </c>
      <c r="D1916" s="997" t="s">
        <v>478</v>
      </c>
      <c r="E1916" s="1000" t="s">
        <v>4</v>
      </c>
      <c r="F1916" s="1001"/>
      <c r="G1916" s="1001"/>
      <c r="H1916" s="1001"/>
      <c r="I1916" s="1001"/>
      <c r="J1916" s="1001"/>
      <c r="K1916" s="1001"/>
      <c r="L1916" s="1001"/>
      <c r="M1916" s="1001"/>
      <c r="N1916" s="1001"/>
      <c r="O1916" s="1002"/>
    </row>
    <row r="1917" spans="1:15" ht="23.4" x14ac:dyDescent="0.3">
      <c r="A1917" s="992"/>
      <c r="B1917" s="995"/>
      <c r="C1917" s="998"/>
      <c r="D1917" s="998"/>
      <c r="E1917" s="1003" t="s">
        <v>7</v>
      </c>
      <c r="F1917" s="1005" t="s">
        <v>115</v>
      </c>
      <c r="G1917" s="1007" t="s">
        <v>577</v>
      </c>
      <c r="H1917" s="1008"/>
      <c r="I1917" s="1008"/>
      <c r="J1917" s="1009"/>
      <c r="K1917" s="1010" t="s">
        <v>479</v>
      </c>
      <c r="L1917" s="1011"/>
      <c r="M1917" s="1012"/>
      <c r="N1917" s="1013" t="s">
        <v>480</v>
      </c>
      <c r="O1917" s="1015" t="s">
        <v>172</v>
      </c>
    </row>
    <row r="1918" spans="1:15" ht="41.4" thickBot="1" x14ac:dyDescent="0.35">
      <c r="A1918" s="993"/>
      <c r="B1918" s="996"/>
      <c r="C1918" s="999"/>
      <c r="D1918" s="999"/>
      <c r="E1918" s="1004"/>
      <c r="F1918" s="1006"/>
      <c r="G1918" s="455" t="s">
        <v>13</v>
      </c>
      <c r="H1918" s="456" t="s">
        <v>14</v>
      </c>
      <c r="I1918" s="456" t="s">
        <v>15</v>
      </c>
      <c r="J1918" s="457" t="s">
        <v>174</v>
      </c>
      <c r="K1918" s="712" t="s">
        <v>13</v>
      </c>
      <c r="L1918" s="710" t="s">
        <v>14</v>
      </c>
      <c r="M1918" s="711" t="s">
        <v>15</v>
      </c>
      <c r="N1918" s="1014"/>
      <c r="O1918" s="1016"/>
    </row>
    <row r="1919" spans="1:15" ht="24" thickBot="1" x14ac:dyDescent="0.35">
      <c r="A1919" s="271" t="s">
        <v>110</v>
      </c>
      <c r="B1919" s="956" t="s">
        <v>16</v>
      </c>
      <c r="C1919" s="272" t="s">
        <v>424</v>
      </c>
      <c r="D1919" s="272" t="s">
        <v>425</v>
      </c>
      <c r="E1919" s="273">
        <v>20000</v>
      </c>
      <c r="F1919" s="274"/>
      <c r="G1919" s="335">
        <f>+H1919+I1919</f>
        <v>0</v>
      </c>
      <c r="H1919" s="275"/>
      <c r="I1919" s="275"/>
      <c r="J1919" s="354"/>
      <c r="K1919" s="461">
        <f>+L1919+M1919</f>
        <v>20432</v>
      </c>
      <c r="L1919" s="732">
        <f>+H1919+L1812</f>
        <v>19840</v>
      </c>
      <c r="M1919" s="732">
        <f>+I1919+M1812</f>
        <v>592</v>
      </c>
      <c r="N1919" s="339">
        <f>IFERROR(K1919/E1919,"-")</f>
        <v>1.0216000000000001</v>
      </c>
      <c r="O1919" s="346">
        <f t="shared" ref="O1919:O1920" si="2377">IFERROR(M1919/K1919,"-")</f>
        <v>2.8974158183241974E-2</v>
      </c>
    </row>
    <row r="1920" spans="1:15" ht="23.4" x14ac:dyDescent="0.3">
      <c r="A1920" s="277" t="s">
        <v>110</v>
      </c>
      <c r="B1920" s="957"/>
      <c r="C1920" s="278" t="s">
        <v>438</v>
      </c>
      <c r="D1920" s="278" t="s">
        <v>437</v>
      </c>
      <c r="E1920" s="279">
        <v>50000</v>
      </c>
      <c r="F1920" s="280"/>
      <c r="G1920" s="336">
        <f t="shared" ref="G1920:G1922" si="2378">+H1920+I1920</f>
        <v>0</v>
      </c>
      <c r="H1920" s="281"/>
      <c r="I1920" s="281"/>
      <c r="J1920" s="355" t="str">
        <f>IFERROR(G1920/#REF!,"-")</f>
        <v>-</v>
      </c>
      <c r="K1920" s="734">
        <f t="shared" ref="K1920:K1922" si="2379">+L1920+M1920</f>
        <v>48806</v>
      </c>
      <c r="L1920" s="532">
        <f t="shared" ref="L1920:L1922" si="2380">+H1920+L1813</f>
        <v>48381</v>
      </c>
      <c r="M1920" s="463">
        <f t="shared" ref="M1920:M1922" si="2381">+I1920+M1813</f>
        <v>425</v>
      </c>
      <c r="N1920" s="340">
        <f t="shared" ref="N1920:N1922" si="2382">IFERROR(K1920/E1920,"-")</f>
        <v>0.97611999999999999</v>
      </c>
      <c r="O1920" s="268">
        <f t="shared" si="2377"/>
        <v>8.7079457443756912E-3</v>
      </c>
    </row>
    <row r="1921" spans="1:15" s="862" customFormat="1" ht="23.4" x14ac:dyDescent="0.3">
      <c r="A1921" s="277" t="s">
        <v>110</v>
      </c>
      <c r="B1921" s="957"/>
      <c r="C1921" s="580" t="s">
        <v>540</v>
      </c>
      <c r="D1921" s="580" t="s">
        <v>410</v>
      </c>
      <c r="E1921" s="859">
        <v>0</v>
      </c>
      <c r="F1921" s="860"/>
      <c r="G1921" s="336">
        <f t="shared" si="2378"/>
        <v>0</v>
      </c>
      <c r="H1921" s="861"/>
      <c r="I1921" s="861"/>
      <c r="J1921" s="355" t="str">
        <f>IFERROR(G1921/#REF!,"-")</f>
        <v>-</v>
      </c>
      <c r="K1921" s="734">
        <f t="shared" si="2379"/>
        <v>28600</v>
      </c>
      <c r="L1921" s="859">
        <f t="shared" si="2380"/>
        <v>28600</v>
      </c>
      <c r="M1921" s="534">
        <f t="shared" si="2381"/>
        <v>0</v>
      </c>
      <c r="N1921" s="340" t="str">
        <f t="shared" si="2382"/>
        <v>-</v>
      </c>
      <c r="O1921" s="268">
        <f>IFERROR(M1921/K1921,"-")</f>
        <v>0</v>
      </c>
    </row>
    <row r="1922" spans="1:15" ht="24" thickBot="1" x14ac:dyDescent="0.35">
      <c r="A1922" s="277" t="s">
        <v>110</v>
      </c>
      <c r="B1922" s="958"/>
      <c r="C1922" s="282" t="s">
        <v>525</v>
      </c>
      <c r="D1922" s="282" t="s">
        <v>436</v>
      </c>
      <c r="E1922" s="283">
        <v>30000</v>
      </c>
      <c r="F1922" s="284"/>
      <c r="G1922" s="337">
        <f t="shared" si="2378"/>
        <v>0</v>
      </c>
      <c r="H1922" s="275"/>
      <c r="I1922" s="275"/>
      <c r="J1922" s="356" t="str">
        <f>IFERROR(G1922/#REF!,"-")</f>
        <v>-</v>
      </c>
      <c r="K1922" s="735">
        <f t="shared" si="2379"/>
        <v>25135</v>
      </c>
      <c r="L1922" s="535">
        <f t="shared" si="2380"/>
        <v>23296</v>
      </c>
      <c r="M1922" s="466">
        <f t="shared" si="2381"/>
        <v>1839</v>
      </c>
      <c r="N1922" s="341">
        <f t="shared" si="2382"/>
        <v>0.83783333333333332</v>
      </c>
      <c r="O1922" s="347">
        <f t="shared" ref="O1922:O1940" si="2383">IFERROR(M1922/K1922,"-")</f>
        <v>7.3164909488760699E-2</v>
      </c>
    </row>
    <row r="1923" spans="1:15" ht="24" thickBot="1" x14ac:dyDescent="0.35">
      <c r="A1923" s="277" t="s">
        <v>110</v>
      </c>
      <c r="B1923" s="967" t="s">
        <v>47</v>
      </c>
      <c r="C1923" s="968"/>
      <c r="D1923" s="969"/>
      <c r="E1923" s="323">
        <f>SUM(E1919:E1922)</f>
        <v>100000</v>
      </c>
      <c r="F1923" s="288">
        <v>15000</v>
      </c>
      <c r="G1923" s="323">
        <f>SUM(G1919:G1922)</f>
        <v>0</v>
      </c>
      <c r="H1923" s="324">
        <f t="shared" ref="H1923:I1923" si="2384">SUM(H1919:H1922)</f>
        <v>0</v>
      </c>
      <c r="I1923" s="324">
        <f t="shared" si="2384"/>
        <v>0</v>
      </c>
      <c r="J1923" s="348">
        <f>+G1923/F1923</f>
        <v>0</v>
      </c>
      <c r="K1923" s="323">
        <f t="shared" ref="K1923:M1923" si="2385">SUM(K1919:K1922)</f>
        <v>122973</v>
      </c>
      <c r="L1923" s="736">
        <f t="shared" si="2385"/>
        <v>120117</v>
      </c>
      <c r="M1923" s="737">
        <f t="shared" si="2385"/>
        <v>2856</v>
      </c>
      <c r="N1923" s="342">
        <f>IFERROR(K1923/E1923,"-")</f>
        <v>1.22973</v>
      </c>
      <c r="O1923" s="348">
        <f t="shared" si="2383"/>
        <v>2.3224610280305431E-2</v>
      </c>
    </row>
    <row r="1924" spans="1:15" ht="23.4" x14ac:dyDescent="0.3">
      <c r="A1924" s="277" t="s">
        <v>110</v>
      </c>
      <c r="B1924" s="956" t="s">
        <v>17</v>
      </c>
      <c r="C1924" s="272" t="s">
        <v>320</v>
      </c>
      <c r="D1924" s="272"/>
      <c r="E1924" s="273">
        <v>0</v>
      </c>
      <c r="F1924" s="274"/>
      <c r="G1924" s="335">
        <f t="shared" ref="G1924:G1930" si="2386">+H1924+I1924</f>
        <v>0</v>
      </c>
      <c r="H1924" s="275"/>
      <c r="I1924" s="275"/>
      <c r="J1924" s="354" t="str">
        <f>IFERROR(G1924/#REF!,"-")</f>
        <v>-</v>
      </c>
      <c r="K1924" s="738">
        <f t="shared" ref="K1924:K1930" si="2387">+L1924+M1924</f>
        <v>200458</v>
      </c>
      <c r="L1924" s="532">
        <f t="shared" ref="L1924:L1930" si="2388">+H1924+L1817</f>
        <v>199652</v>
      </c>
      <c r="M1924" s="463">
        <f t="shared" ref="M1924:M1930" si="2389">+I1924+M1817</f>
        <v>806</v>
      </c>
      <c r="N1924" s="339" t="str">
        <f t="shared" ref="N1924:N1930" si="2390">IFERROR(K1924/E1924,"-")</f>
        <v>-</v>
      </c>
      <c r="O1924" s="349">
        <f t="shared" si="2383"/>
        <v>4.0207923854373483E-3</v>
      </c>
    </row>
    <row r="1925" spans="1:15" ht="23.4" x14ac:dyDescent="0.3">
      <c r="A1925" s="277" t="s">
        <v>110</v>
      </c>
      <c r="B1925" s="957"/>
      <c r="C1925" s="278" t="s">
        <v>382</v>
      </c>
      <c r="D1925" s="278" t="s">
        <v>252</v>
      </c>
      <c r="E1925" s="279">
        <v>2000000</v>
      </c>
      <c r="F1925" s="280"/>
      <c r="G1925" s="336">
        <f t="shared" si="2386"/>
        <v>160711</v>
      </c>
      <c r="H1925" s="281">
        <v>159120</v>
      </c>
      <c r="I1925" s="281">
        <v>1591</v>
      </c>
      <c r="J1925" s="355" t="str">
        <f>IFERROR(G1925/#REF!,"-")</f>
        <v>-</v>
      </c>
      <c r="K1925" s="734">
        <f t="shared" si="2387"/>
        <v>1043161</v>
      </c>
      <c r="L1925" s="279">
        <f t="shared" si="2388"/>
        <v>1037263</v>
      </c>
      <c r="M1925" s="439">
        <f t="shared" si="2389"/>
        <v>5898</v>
      </c>
      <c r="N1925" s="340">
        <f t="shared" si="2390"/>
        <v>0.5215805</v>
      </c>
      <c r="O1925" s="264">
        <f t="shared" si="2383"/>
        <v>5.6539690421708632E-3</v>
      </c>
    </row>
    <row r="1926" spans="1:15" ht="23.4" x14ac:dyDescent="0.3">
      <c r="A1926" s="277" t="s">
        <v>110</v>
      </c>
      <c r="B1926" s="957"/>
      <c r="C1926" s="278" t="s">
        <v>422</v>
      </c>
      <c r="D1926" s="278" t="s">
        <v>201</v>
      </c>
      <c r="E1926" s="279">
        <v>1000000</v>
      </c>
      <c r="F1926" s="280"/>
      <c r="G1926" s="336">
        <f t="shared" si="2386"/>
        <v>100</v>
      </c>
      <c r="H1926" s="281"/>
      <c r="I1926" s="281">
        <v>100</v>
      </c>
      <c r="J1926" s="355" t="str">
        <f>IFERROR(G1926/#REF!,"-")</f>
        <v>-</v>
      </c>
      <c r="K1926" s="734">
        <f t="shared" si="2387"/>
        <v>459433</v>
      </c>
      <c r="L1926" s="279">
        <f t="shared" si="2388"/>
        <v>454716</v>
      </c>
      <c r="M1926" s="439">
        <f t="shared" si="2389"/>
        <v>4717</v>
      </c>
      <c r="N1926" s="340">
        <f t="shared" si="2390"/>
        <v>0.45943299999999998</v>
      </c>
      <c r="O1926" s="264">
        <f t="shared" si="2383"/>
        <v>1.0267003023291752E-2</v>
      </c>
    </row>
    <row r="1927" spans="1:15" ht="23.4" x14ac:dyDescent="0.3">
      <c r="A1927" s="277" t="s">
        <v>110</v>
      </c>
      <c r="B1927" s="957"/>
      <c r="C1927" s="278" t="s">
        <v>319</v>
      </c>
      <c r="D1927" s="278" t="s">
        <v>202</v>
      </c>
      <c r="E1927" s="279">
        <v>0</v>
      </c>
      <c r="F1927" s="280"/>
      <c r="G1927" s="336">
        <f t="shared" si="2386"/>
        <v>0</v>
      </c>
      <c r="H1927" s="281"/>
      <c r="I1927" s="281"/>
      <c r="J1927" s="355" t="str">
        <f>IFERROR(G1927/#REF!,"-")</f>
        <v>-</v>
      </c>
      <c r="K1927" s="734">
        <f t="shared" si="2387"/>
        <v>297411</v>
      </c>
      <c r="L1927" s="279">
        <f t="shared" si="2388"/>
        <v>296152</v>
      </c>
      <c r="M1927" s="439">
        <f t="shared" si="2389"/>
        <v>1259</v>
      </c>
      <c r="N1927" s="340" t="str">
        <f t="shared" si="2390"/>
        <v>-</v>
      </c>
      <c r="O1927" s="264">
        <f t="shared" si="2383"/>
        <v>4.2331991755516774E-3</v>
      </c>
    </row>
    <row r="1928" spans="1:15" ht="23.4" x14ac:dyDescent="0.3">
      <c r="A1928" s="277" t="s">
        <v>110</v>
      </c>
      <c r="B1928" s="957"/>
      <c r="C1928" s="278" t="s">
        <v>358</v>
      </c>
      <c r="D1928" s="278" t="s">
        <v>352</v>
      </c>
      <c r="E1928" s="279">
        <v>500000</v>
      </c>
      <c r="F1928" s="280"/>
      <c r="G1928" s="336">
        <f t="shared" si="2386"/>
        <v>0</v>
      </c>
      <c r="H1928" s="281"/>
      <c r="I1928" s="281"/>
      <c r="J1928" s="355" t="str">
        <f>IFERROR(G1928/#REF!,"-")</f>
        <v>-</v>
      </c>
      <c r="K1928" s="734">
        <f t="shared" si="2387"/>
        <v>503292</v>
      </c>
      <c r="L1928" s="279">
        <f t="shared" si="2388"/>
        <v>500882</v>
      </c>
      <c r="M1928" s="439">
        <f t="shared" si="2389"/>
        <v>2410</v>
      </c>
      <c r="N1928" s="340">
        <f t="shared" si="2390"/>
        <v>1.0065839999999999</v>
      </c>
      <c r="O1928" s="264">
        <f t="shared" si="2383"/>
        <v>4.7884726957710434E-3</v>
      </c>
    </row>
    <row r="1929" spans="1:15" ht="23.4" x14ac:dyDescent="0.3">
      <c r="A1929" s="277" t="s">
        <v>110</v>
      </c>
      <c r="B1929" s="957"/>
      <c r="C1929" s="278" t="s">
        <v>392</v>
      </c>
      <c r="D1929" s="278" t="s">
        <v>203</v>
      </c>
      <c r="E1929" s="279">
        <v>0</v>
      </c>
      <c r="F1929" s="280"/>
      <c r="G1929" s="336">
        <f t="shared" si="2386"/>
        <v>0</v>
      </c>
      <c r="H1929" s="281"/>
      <c r="I1929" s="281"/>
      <c r="J1929" s="355" t="str">
        <f>IFERROR(G1929/#REF!,"-")</f>
        <v>-</v>
      </c>
      <c r="K1929" s="734">
        <f t="shared" si="2387"/>
        <v>0</v>
      </c>
      <c r="L1929" s="279">
        <f t="shared" si="2388"/>
        <v>0</v>
      </c>
      <c r="M1929" s="439">
        <f t="shared" si="2389"/>
        <v>0</v>
      </c>
      <c r="N1929" s="340" t="str">
        <f t="shared" si="2390"/>
        <v>-</v>
      </c>
      <c r="O1929" s="264" t="str">
        <f t="shared" si="2383"/>
        <v>-</v>
      </c>
    </row>
    <row r="1930" spans="1:15" ht="24" thickBot="1" x14ac:dyDescent="0.35">
      <c r="A1930" s="277" t="s">
        <v>110</v>
      </c>
      <c r="B1930" s="958"/>
      <c r="C1930" s="282" t="s">
        <v>379</v>
      </c>
      <c r="D1930" s="282" t="s">
        <v>252</v>
      </c>
      <c r="E1930" s="283">
        <v>0</v>
      </c>
      <c r="F1930" s="284"/>
      <c r="G1930" s="337">
        <f t="shared" si="2386"/>
        <v>0</v>
      </c>
      <c r="H1930" s="285"/>
      <c r="I1930" s="285"/>
      <c r="J1930" s="356" t="str">
        <f>IFERROR(G1930/#REF!,"-")</f>
        <v>-</v>
      </c>
      <c r="K1930" s="735">
        <f t="shared" si="2387"/>
        <v>0</v>
      </c>
      <c r="L1930" s="535">
        <f t="shared" si="2388"/>
        <v>0</v>
      </c>
      <c r="M1930" s="466">
        <f t="shared" si="2389"/>
        <v>0</v>
      </c>
      <c r="N1930" s="341" t="str">
        <f t="shared" si="2390"/>
        <v>-</v>
      </c>
      <c r="O1930" s="350" t="str">
        <f t="shared" si="2383"/>
        <v>-</v>
      </c>
    </row>
    <row r="1931" spans="1:15" ht="24" thickBot="1" x14ac:dyDescent="0.35">
      <c r="A1931" s="277" t="s">
        <v>110</v>
      </c>
      <c r="B1931" s="967" t="s">
        <v>48</v>
      </c>
      <c r="C1931" s="968"/>
      <c r="D1931" s="969"/>
      <c r="E1931" s="323">
        <f>SUM(E1924:E1930)</f>
        <v>3500000</v>
      </c>
      <c r="F1931" s="288">
        <v>200000</v>
      </c>
      <c r="G1931" s="323">
        <f>SUM(G1924:G1930)</f>
        <v>160811</v>
      </c>
      <c r="H1931" s="324">
        <f t="shared" ref="H1931:I1931" si="2391">SUM(H1924:H1930)</f>
        <v>159120</v>
      </c>
      <c r="I1931" s="324">
        <f t="shared" si="2391"/>
        <v>1691</v>
      </c>
      <c r="J1931" s="348">
        <f>+G1931/F1931</f>
        <v>0.80405499999999996</v>
      </c>
      <c r="K1931" s="323">
        <f>SUM(K1924:K1930)</f>
        <v>2503755</v>
      </c>
      <c r="L1931" s="524">
        <f>SUM(L1924:L1930)</f>
        <v>2488665</v>
      </c>
      <c r="M1931" s="733">
        <f t="shared" ref="M1931" si="2392">SUM(M1924:M1930)</f>
        <v>15090</v>
      </c>
      <c r="N1931" s="342">
        <f>IFERROR(K1931/E1931,"-")</f>
        <v>0.7153585714285714</v>
      </c>
      <c r="O1931" s="348">
        <f t="shared" si="2383"/>
        <v>6.0269475248177235E-3</v>
      </c>
    </row>
    <row r="1932" spans="1:15" ht="23.4" x14ac:dyDescent="0.3">
      <c r="A1932" s="277" t="s">
        <v>110</v>
      </c>
      <c r="B1932" s="956" t="s">
        <v>18</v>
      </c>
      <c r="C1932" s="272" t="s">
        <v>344</v>
      </c>
      <c r="D1932" s="272" t="s">
        <v>99</v>
      </c>
      <c r="E1932" s="273">
        <v>0</v>
      </c>
      <c r="F1932" s="274"/>
      <c r="G1932" s="335">
        <f t="shared" ref="G1932:G1938" si="2393">+H1932+I1932</f>
        <v>0</v>
      </c>
      <c r="H1932" s="275"/>
      <c r="I1932" s="275"/>
      <c r="J1932" s="354" t="str">
        <f>IFERROR(G1932/#REF!,"-")</f>
        <v>-</v>
      </c>
      <c r="K1932" s="335">
        <f t="shared" ref="K1932:K1938" si="2394">+L1932+M1932</f>
        <v>0</v>
      </c>
      <c r="L1932" s="275">
        <f t="shared" ref="L1932:L1938" si="2395">+H1932+L1825</f>
        <v>0</v>
      </c>
      <c r="M1932" s="276">
        <f t="shared" ref="M1932:M1938" si="2396">+I1932+M1825</f>
        <v>0</v>
      </c>
      <c r="N1932" s="339" t="str">
        <f t="shared" ref="N1932:N1939" si="2397">IFERROR(K1932/E1932,"-")</f>
        <v>-</v>
      </c>
      <c r="O1932" s="349" t="str">
        <f t="shared" si="2383"/>
        <v>-</v>
      </c>
    </row>
    <row r="1933" spans="1:15" ht="23.4" x14ac:dyDescent="0.3">
      <c r="A1933" s="277" t="s">
        <v>110</v>
      </c>
      <c r="B1933" s="957"/>
      <c r="C1933" s="278" t="s">
        <v>253</v>
      </c>
      <c r="D1933" s="278" t="s">
        <v>254</v>
      </c>
      <c r="E1933" s="279">
        <v>0</v>
      </c>
      <c r="F1933" s="280"/>
      <c r="G1933" s="336">
        <f t="shared" si="2393"/>
        <v>0</v>
      </c>
      <c r="H1933" s="281"/>
      <c r="I1933" s="281"/>
      <c r="J1933" s="355" t="str">
        <f>IFERROR(G1933/#REF!,"-")</f>
        <v>-</v>
      </c>
      <c r="K1933" s="336">
        <f t="shared" si="2394"/>
        <v>0</v>
      </c>
      <c r="L1933" s="275">
        <f t="shared" si="2395"/>
        <v>0</v>
      </c>
      <c r="M1933" s="276">
        <f t="shared" si="2396"/>
        <v>0</v>
      </c>
      <c r="N1933" s="340" t="str">
        <f t="shared" si="2397"/>
        <v>-</v>
      </c>
      <c r="O1933" s="264" t="str">
        <f t="shared" si="2383"/>
        <v>-</v>
      </c>
    </row>
    <row r="1934" spans="1:15" ht="23.4" x14ac:dyDescent="0.3">
      <c r="A1934" s="277" t="s">
        <v>110</v>
      </c>
      <c r="B1934" s="957"/>
      <c r="C1934" s="278" t="s">
        <v>122</v>
      </c>
      <c r="D1934" s="278"/>
      <c r="E1934" s="279">
        <v>0</v>
      </c>
      <c r="F1934" s="280"/>
      <c r="G1934" s="336">
        <f t="shared" si="2393"/>
        <v>0</v>
      </c>
      <c r="H1934" s="281"/>
      <c r="I1934" s="281"/>
      <c r="J1934" s="355" t="str">
        <f>IFERROR(G1934/#REF!,"-")</f>
        <v>-</v>
      </c>
      <c r="K1934" s="336">
        <f t="shared" si="2394"/>
        <v>0</v>
      </c>
      <c r="L1934" s="275">
        <f t="shared" si="2395"/>
        <v>0</v>
      </c>
      <c r="M1934" s="276">
        <f t="shared" si="2396"/>
        <v>0</v>
      </c>
      <c r="N1934" s="340" t="str">
        <f t="shared" si="2397"/>
        <v>-</v>
      </c>
      <c r="O1934" s="264" t="str">
        <f t="shared" si="2383"/>
        <v>-</v>
      </c>
    </row>
    <row r="1935" spans="1:15" ht="23.4" x14ac:dyDescent="0.3">
      <c r="A1935" s="277" t="s">
        <v>110</v>
      </c>
      <c r="B1935" s="957"/>
      <c r="C1935" s="278" t="s">
        <v>129</v>
      </c>
      <c r="D1935" s="278"/>
      <c r="E1935" s="279">
        <v>0</v>
      </c>
      <c r="F1935" s="280"/>
      <c r="G1935" s="336">
        <f t="shared" si="2393"/>
        <v>0</v>
      </c>
      <c r="H1935" s="281"/>
      <c r="I1935" s="281"/>
      <c r="J1935" s="355" t="str">
        <f>IFERROR(G1935/#REF!,"-")</f>
        <v>-</v>
      </c>
      <c r="K1935" s="336">
        <f t="shared" si="2394"/>
        <v>0</v>
      </c>
      <c r="L1935" s="275">
        <f t="shared" si="2395"/>
        <v>0</v>
      </c>
      <c r="M1935" s="276">
        <f t="shared" si="2396"/>
        <v>0</v>
      </c>
      <c r="N1935" s="340" t="str">
        <f t="shared" si="2397"/>
        <v>-</v>
      </c>
      <c r="O1935" s="264" t="str">
        <f t="shared" si="2383"/>
        <v>-</v>
      </c>
    </row>
    <row r="1936" spans="1:15" ht="23.4" x14ac:dyDescent="0.3">
      <c r="A1936" s="277" t="s">
        <v>110</v>
      </c>
      <c r="B1936" s="957"/>
      <c r="C1936" s="278" t="s">
        <v>189</v>
      </c>
      <c r="D1936" s="278" t="s">
        <v>190</v>
      </c>
      <c r="E1936" s="279">
        <v>0</v>
      </c>
      <c r="F1936" s="280"/>
      <c r="G1936" s="336">
        <f t="shared" si="2393"/>
        <v>0</v>
      </c>
      <c r="H1936" s="281"/>
      <c r="I1936" s="281"/>
      <c r="J1936" s="355" t="str">
        <f>IFERROR(G1936/#REF!,"-")</f>
        <v>-</v>
      </c>
      <c r="K1936" s="336">
        <f t="shared" si="2394"/>
        <v>0</v>
      </c>
      <c r="L1936" s="275">
        <f t="shared" si="2395"/>
        <v>0</v>
      </c>
      <c r="M1936" s="276">
        <f t="shared" si="2396"/>
        <v>0</v>
      </c>
      <c r="N1936" s="340" t="str">
        <f t="shared" si="2397"/>
        <v>-</v>
      </c>
      <c r="O1936" s="264" t="str">
        <f t="shared" si="2383"/>
        <v>-</v>
      </c>
    </row>
    <row r="1937" spans="1:15" ht="23.4" x14ac:dyDescent="0.3">
      <c r="A1937" s="277" t="s">
        <v>110</v>
      </c>
      <c r="B1937" s="957"/>
      <c r="C1937" s="278" t="s">
        <v>192</v>
      </c>
      <c r="D1937" s="278" t="s">
        <v>191</v>
      </c>
      <c r="E1937" s="279">
        <v>0</v>
      </c>
      <c r="F1937" s="280"/>
      <c r="G1937" s="336">
        <f t="shared" si="2393"/>
        <v>0</v>
      </c>
      <c r="H1937" s="281"/>
      <c r="I1937" s="281"/>
      <c r="J1937" s="355" t="str">
        <f>IFERROR(G1937/#REF!,"-")</f>
        <v>-</v>
      </c>
      <c r="K1937" s="336">
        <f t="shared" si="2394"/>
        <v>0</v>
      </c>
      <c r="L1937" s="275">
        <f t="shared" si="2395"/>
        <v>0</v>
      </c>
      <c r="M1937" s="276">
        <f t="shared" si="2396"/>
        <v>0</v>
      </c>
      <c r="N1937" s="340" t="str">
        <f t="shared" si="2397"/>
        <v>-</v>
      </c>
      <c r="O1937" s="264" t="str">
        <f t="shared" si="2383"/>
        <v>-</v>
      </c>
    </row>
    <row r="1938" spans="1:15" ht="24" thickBot="1" x14ac:dyDescent="0.35">
      <c r="A1938" s="277" t="s">
        <v>110</v>
      </c>
      <c r="B1938" s="958"/>
      <c r="C1938" s="289" t="s">
        <v>193</v>
      </c>
      <c r="D1938" s="289" t="s">
        <v>114</v>
      </c>
      <c r="E1938" s="283">
        <v>0</v>
      </c>
      <c r="F1938" s="284"/>
      <c r="G1938" s="337">
        <f t="shared" si="2393"/>
        <v>0</v>
      </c>
      <c r="H1938" s="285"/>
      <c r="I1938" s="285"/>
      <c r="J1938" s="356" t="str">
        <f>IFERROR(G1938/#REF!,"-")</f>
        <v>-</v>
      </c>
      <c r="K1938" s="337">
        <f t="shared" si="2394"/>
        <v>0</v>
      </c>
      <c r="L1938" s="275">
        <f t="shared" si="2395"/>
        <v>0</v>
      </c>
      <c r="M1938" s="276">
        <f t="shared" si="2396"/>
        <v>0</v>
      </c>
      <c r="N1938" s="341" t="str">
        <f t="shared" si="2397"/>
        <v>-</v>
      </c>
      <c r="O1938" s="350" t="str">
        <f t="shared" si="2383"/>
        <v>-</v>
      </c>
    </row>
    <row r="1939" spans="1:15" ht="24" thickBot="1" x14ac:dyDescent="0.35">
      <c r="A1939" s="277" t="s">
        <v>110</v>
      </c>
      <c r="B1939" s="967" t="s">
        <v>29</v>
      </c>
      <c r="C1939" s="968"/>
      <c r="D1939" s="969"/>
      <c r="E1939" s="323">
        <f t="shared" ref="E1939" si="2398">SUM(E1932:E1938)</f>
        <v>0</v>
      </c>
      <c r="F1939" s="288">
        <v>80000</v>
      </c>
      <c r="G1939" s="323">
        <f>SUM(G1932:G1938)</f>
        <v>0</v>
      </c>
      <c r="H1939" s="324">
        <f t="shared" ref="H1939:I1939" si="2399">SUM(H1932:H1938)</f>
        <v>0</v>
      </c>
      <c r="I1939" s="324">
        <f t="shared" si="2399"/>
        <v>0</v>
      </c>
      <c r="J1939" s="348">
        <f>+G1939/F1939</f>
        <v>0</v>
      </c>
      <c r="K1939" s="323">
        <f t="shared" ref="K1939:M1939" si="2400">SUM(K1932:K1938)</f>
        <v>0</v>
      </c>
      <c r="L1939" s="324">
        <f t="shared" si="2400"/>
        <v>0</v>
      </c>
      <c r="M1939" s="325">
        <f t="shared" si="2400"/>
        <v>0</v>
      </c>
      <c r="N1939" s="342" t="str">
        <f t="shared" si="2397"/>
        <v>-</v>
      </c>
      <c r="O1939" s="348" t="str">
        <f t="shared" si="2383"/>
        <v>-</v>
      </c>
    </row>
    <row r="1940" spans="1:15" ht="24" thickBot="1" x14ac:dyDescent="0.35">
      <c r="A1940" s="252" t="s">
        <v>110</v>
      </c>
      <c r="B1940" s="985" t="s">
        <v>19</v>
      </c>
      <c r="C1940" s="653" t="s">
        <v>255</v>
      </c>
      <c r="D1940" s="690" t="s">
        <v>190</v>
      </c>
      <c r="E1940" s="695">
        <v>0</v>
      </c>
      <c r="F1940" s="692">
        <v>110000</v>
      </c>
      <c r="G1940" s="656">
        <f t="shared" ref="G1940:G1942" si="2401">+H1940+I1940</f>
        <v>0</v>
      </c>
      <c r="H1940" s="462"/>
      <c r="I1940" s="462"/>
      <c r="J1940" s="536" t="str">
        <f>IFERROR(G1940/#REF!,"-")</f>
        <v>-</v>
      </c>
      <c r="K1940" s="461">
        <f>+L1940+M1940</f>
        <v>20219</v>
      </c>
      <c r="L1940" s="462">
        <f t="shared" ref="L1940:L1942" si="2402">+H1940+L1833</f>
        <v>20064</v>
      </c>
      <c r="M1940" s="463">
        <f t="shared" ref="M1940:M1942" si="2403">+I1940+M1833</f>
        <v>155</v>
      </c>
      <c r="N1940" s="658" t="str">
        <f>IFERROR(K1940/E1940,"-")</f>
        <v>-</v>
      </c>
      <c r="O1940" s="659">
        <f t="shared" si="2383"/>
        <v>7.6660566793609972E-3</v>
      </c>
    </row>
    <row r="1941" spans="1:15" ht="24" thickBot="1" x14ac:dyDescent="0.35">
      <c r="A1941" s="252"/>
      <c r="B1941" s="986"/>
      <c r="C1941" s="299" t="s">
        <v>440</v>
      </c>
      <c r="D1941" s="657" t="s">
        <v>507</v>
      </c>
      <c r="E1941" s="696">
        <v>1000000</v>
      </c>
      <c r="F1941" s="693">
        <v>110000</v>
      </c>
      <c r="G1941" s="652">
        <f t="shared" si="2401"/>
        <v>42674</v>
      </c>
      <c r="H1941" s="275">
        <v>42240</v>
      </c>
      <c r="I1941" s="275">
        <v>434</v>
      </c>
      <c r="J1941" s="354" t="str">
        <f>IFERROR(G1941/#REF!,"-")</f>
        <v>-</v>
      </c>
      <c r="K1941" s="338">
        <f>+L1941+M1941</f>
        <v>325227</v>
      </c>
      <c r="L1941" s="462">
        <f t="shared" si="2402"/>
        <v>323664</v>
      </c>
      <c r="M1941" s="463">
        <f t="shared" si="2403"/>
        <v>1563</v>
      </c>
      <c r="N1941" s="343">
        <f t="shared" ref="N1941:N1942" si="2404">IFERROR(K1941/E1941,"-")</f>
        <v>0.32522699999999999</v>
      </c>
      <c r="O1941" s="651">
        <f>IFERROR(M1941/K1941,"-")</f>
        <v>4.8058740510474223E-3</v>
      </c>
    </row>
    <row r="1942" spans="1:15" ht="24" thickBot="1" x14ac:dyDescent="0.35">
      <c r="A1942" s="252"/>
      <c r="B1942" s="987"/>
      <c r="C1942" s="647" t="s">
        <v>380</v>
      </c>
      <c r="D1942" s="691"/>
      <c r="E1942" s="697">
        <v>150000</v>
      </c>
      <c r="F1942" s="694">
        <v>110000</v>
      </c>
      <c r="G1942" s="599">
        <f t="shared" si="2401"/>
        <v>0</v>
      </c>
      <c r="H1942" s="285"/>
      <c r="I1942" s="285"/>
      <c r="J1942" s="356"/>
      <c r="K1942" s="464">
        <f>+L1942+M1942</f>
        <v>0</v>
      </c>
      <c r="L1942" s="462">
        <f t="shared" si="2402"/>
        <v>0</v>
      </c>
      <c r="M1942" s="463">
        <f t="shared" si="2403"/>
        <v>0</v>
      </c>
      <c r="N1942" s="341">
        <f t="shared" si="2404"/>
        <v>0</v>
      </c>
      <c r="O1942" s="648" t="str">
        <f t="shared" ref="O1942:O1995" si="2405">IFERROR(M1942/K1942,"-")</f>
        <v>-</v>
      </c>
    </row>
    <row r="1943" spans="1:15" ht="24" thickBot="1" x14ac:dyDescent="0.35">
      <c r="A1943" s="277" t="s">
        <v>110</v>
      </c>
      <c r="B1943" s="988" t="s">
        <v>49</v>
      </c>
      <c r="C1943" s="968"/>
      <c r="D1943" s="969"/>
      <c r="E1943" s="323">
        <f>SUM(E1940:E1942)</f>
        <v>1150000</v>
      </c>
      <c r="F1943" s="326">
        <f t="shared" ref="F1943" si="2406">SUM(F1940)</f>
        <v>110000</v>
      </c>
      <c r="G1943" s="323">
        <f>SUM(G1940)</f>
        <v>0</v>
      </c>
      <c r="H1943" s="324">
        <f>SUM(H1940:H1942)</f>
        <v>42240</v>
      </c>
      <c r="I1943" s="324">
        <f>SUM(I1940:I1942)</f>
        <v>434</v>
      </c>
      <c r="J1943" s="348">
        <f>+G1943/F1943</f>
        <v>0</v>
      </c>
      <c r="K1943" s="649">
        <f>SUM(K1940:K1941)</f>
        <v>345446</v>
      </c>
      <c r="L1943" s="324">
        <f>SUM(L1940:L1941)</f>
        <v>343728</v>
      </c>
      <c r="M1943" s="325">
        <f>SUM(M1940:M1941)</f>
        <v>1718</v>
      </c>
      <c r="N1943" s="342">
        <f>IFERROR(K1943/E1943,"-")</f>
        <v>0.30038782608695652</v>
      </c>
      <c r="O1943" s="348">
        <f t="shared" si="2405"/>
        <v>4.9732809180016557E-3</v>
      </c>
    </row>
    <row r="1944" spans="1:15" ht="23.4" x14ac:dyDescent="0.3">
      <c r="A1944" s="277" t="s">
        <v>110</v>
      </c>
      <c r="B1944" s="956" t="s">
        <v>20</v>
      </c>
      <c r="C1944" s="294" t="s">
        <v>351</v>
      </c>
      <c r="D1944" s="294" t="s">
        <v>313</v>
      </c>
      <c r="E1944" s="273">
        <v>0</v>
      </c>
      <c r="F1944" s="274"/>
      <c r="G1944" s="335">
        <f t="shared" ref="G1944:G1946" si="2407">+H1944+I1944</f>
        <v>0</v>
      </c>
      <c r="H1944" s="275"/>
      <c r="I1944" s="275"/>
      <c r="J1944" s="354" t="str">
        <f>IFERROR(G1944/#REF!,"-")</f>
        <v>-</v>
      </c>
      <c r="K1944" s="335">
        <f t="shared" ref="K1944:K1946" si="2408">+L1944+M1944</f>
        <v>0</v>
      </c>
      <c r="L1944" s="275">
        <f t="shared" ref="L1944:L1946" si="2409">+H1944+L1837</f>
        <v>0</v>
      </c>
      <c r="M1944" s="276">
        <f t="shared" ref="M1944:M1946" si="2410">+I1944+M1837</f>
        <v>0</v>
      </c>
      <c r="N1944" s="339" t="str">
        <f t="shared" ref="N1944:N1947" si="2411">IFERROR(K1944/E1944,"-")</f>
        <v>-</v>
      </c>
      <c r="O1944" s="349" t="str">
        <f t="shared" si="2405"/>
        <v>-</v>
      </c>
    </row>
    <row r="1945" spans="1:15" ht="23.4" x14ac:dyDescent="0.3">
      <c r="A1945" s="277" t="s">
        <v>110</v>
      </c>
      <c r="B1945" s="957"/>
      <c r="C1945" s="295" t="s">
        <v>121</v>
      </c>
      <c r="D1945" s="295"/>
      <c r="E1945" s="279">
        <v>0</v>
      </c>
      <c r="F1945" s="280"/>
      <c r="G1945" s="336">
        <f t="shared" si="2407"/>
        <v>0</v>
      </c>
      <c r="H1945" s="281"/>
      <c r="I1945" s="281"/>
      <c r="J1945" s="355" t="str">
        <f>IFERROR(G1945/#REF!,"-")</f>
        <v>-</v>
      </c>
      <c r="K1945" s="336">
        <f t="shared" si="2408"/>
        <v>0</v>
      </c>
      <c r="L1945" s="275">
        <f t="shared" si="2409"/>
        <v>0</v>
      </c>
      <c r="M1945" s="276">
        <f t="shared" si="2410"/>
        <v>0</v>
      </c>
      <c r="N1945" s="340" t="str">
        <f t="shared" si="2411"/>
        <v>-</v>
      </c>
      <c r="O1945" s="264" t="str">
        <f t="shared" si="2405"/>
        <v>-</v>
      </c>
    </row>
    <row r="1946" spans="1:15" ht="24" thickBot="1" x14ac:dyDescent="0.35">
      <c r="A1946" s="277" t="s">
        <v>110</v>
      </c>
      <c r="B1946" s="958"/>
      <c r="C1946" s="296" t="s">
        <v>127</v>
      </c>
      <c r="D1946" s="296"/>
      <c r="E1946" s="283">
        <v>0</v>
      </c>
      <c r="F1946" s="284"/>
      <c r="G1946" s="337">
        <f t="shared" si="2407"/>
        <v>0</v>
      </c>
      <c r="H1946" s="285"/>
      <c r="I1946" s="285"/>
      <c r="J1946" s="356" t="str">
        <f>IFERROR(G1946/#REF!,"-")</f>
        <v>-</v>
      </c>
      <c r="K1946" s="337">
        <f t="shared" si="2408"/>
        <v>0</v>
      </c>
      <c r="L1946" s="275">
        <f t="shared" si="2409"/>
        <v>0</v>
      </c>
      <c r="M1946" s="276">
        <f t="shared" si="2410"/>
        <v>0</v>
      </c>
      <c r="N1946" s="341" t="str">
        <f t="shared" si="2411"/>
        <v>-</v>
      </c>
      <c r="O1946" s="350" t="str">
        <f t="shared" si="2405"/>
        <v>-</v>
      </c>
    </row>
    <row r="1947" spans="1:15" ht="24" thickBot="1" x14ac:dyDescent="0.35">
      <c r="A1947" s="277" t="s">
        <v>110</v>
      </c>
      <c r="B1947" s="968" t="s">
        <v>50</v>
      </c>
      <c r="C1947" s="968"/>
      <c r="D1947" s="989"/>
      <c r="E1947" s="323">
        <f t="shared" ref="E1947" si="2412">SUM(E1944:E1946)</f>
        <v>0</v>
      </c>
      <c r="F1947" s="288">
        <v>50000</v>
      </c>
      <c r="G1947" s="323">
        <f>SUM(G1944:G1946)</f>
        <v>0</v>
      </c>
      <c r="H1947" s="324">
        <f t="shared" ref="H1947:I1947" si="2413">SUM(H1944:H1946)</f>
        <v>0</v>
      </c>
      <c r="I1947" s="324">
        <f t="shared" si="2413"/>
        <v>0</v>
      </c>
      <c r="J1947" s="348">
        <f>+G1947/F1947</f>
        <v>0</v>
      </c>
      <c r="K1947" s="323">
        <f t="shared" ref="K1947:M1947" si="2414">SUM(K1944:K1946)</f>
        <v>0</v>
      </c>
      <c r="L1947" s="324">
        <f t="shared" si="2414"/>
        <v>0</v>
      </c>
      <c r="M1947" s="325">
        <f t="shared" si="2414"/>
        <v>0</v>
      </c>
      <c r="N1947" s="342" t="str">
        <f t="shared" si="2411"/>
        <v>-</v>
      </c>
      <c r="O1947" s="348" t="str">
        <f t="shared" si="2405"/>
        <v>-</v>
      </c>
    </row>
    <row r="1948" spans="1:15" ht="24" thickBot="1" x14ac:dyDescent="0.35">
      <c r="A1948" s="277" t="s">
        <v>110</v>
      </c>
      <c r="B1948" s="981" t="s">
        <v>21</v>
      </c>
      <c r="C1948" s="982"/>
      <c r="D1948" s="983"/>
      <c r="E1948" s="329">
        <f>+E1923+E1931+E1939+E1943+E1947</f>
        <v>4750000</v>
      </c>
      <c r="F1948" s="330">
        <f>+F1923+F1931+F1939+F1943+F1947</f>
        <v>455000</v>
      </c>
      <c r="G1948" s="329">
        <f>+G1923+G1931+G1939+G1943+G1947</f>
        <v>160811</v>
      </c>
      <c r="H1948" s="327">
        <f>+H1923+H1931+H1939+H1943+H1947</f>
        <v>201360</v>
      </c>
      <c r="I1948" s="327">
        <f>+I1923+I1931+I1939+I1943+I1947</f>
        <v>2125</v>
      </c>
      <c r="J1948" s="352">
        <f>+G1948/F1948</f>
        <v>0.35343076923076922</v>
      </c>
      <c r="K1948" s="329">
        <f>+K1923+K1931+K1939+K1943+K1947</f>
        <v>2972174</v>
      </c>
      <c r="L1948" s="327">
        <f>+L1923+L1931+L1939+L1943+L1947</f>
        <v>2952510</v>
      </c>
      <c r="M1948" s="328">
        <f>+M1923+M1931+M1939+M1943+M1947</f>
        <v>19664</v>
      </c>
      <c r="N1948" s="344">
        <f>IFERROR(K1948/E1948,"-")</f>
        <v>0.62572084210526313</v>
      </c>
      <c r="O1948" s="352">
        <f t="shared" si="2405"/>
        <v>6.6160325741359688E-3</v>
      </c>
    </row>
    <row r="1949" spans="1:15" ht="23.4" x14ac:dyDescent="0.3">
      <c r="A1949" s="277" t="s">
        <v>110</v>
      </c>
      <c r="B1949" s="956" t="s">
        <v>481</v>
      </c>
      <c r="C1949" s="272" t="s">
        <v>132</v>
      </c>
      <c r="D1949" s="272"/>
      <c r="E1949" s="273">
        <v>0</v>
      </c>
      <c r="F1949" s="274"/>
      <c r="G1949" s="335">
        <f t="shared" ref="G1949:G1952" si="2415">+H1949+I1949</f>
        <v>0</v>
      </c>
      <c r="H1949" s="275"/>
      <c r="I1949" s="275"/>
      <c r="J1949" s="354" t="str">
        <f>IFERROR(G1949/#REF!,"-")</f>
        <v>-</v>
      </c>
      <c r="K1949" s="335">
        <f t="shared" ref="K1949:K1952" si="2416">+L1949+M1949</f>
        <v>0</v>
      </c>
      <c r="L1949" s="275">
        <f t="shared" ref="L1949:L1952" si="2417">+H1949+L1842</f>
        <v>0</v>
      </c>
      <c r="M1949" s="276">
        <f t="shared" ref="M1949:M1952" si="2418">+I1949+M1842</f>
        <v>0</v>
      </c>
      <c r="N1949" s="339" t="str">
        <f t="shared" ref="N1949:N1963" si="2419">IFERROR(K1949/E1949,"-")</f>
        <v>-</v>
      </c>
      <c r="O1949" s="349" t="str">
        <f t="shared" si="2405"/>
        <v>-</v>
      </c>
    </row>
    <row r="1950" spans="1:15" ht="23.4" x14ac:dyDescent="0.3">
      <c r="A1950" s="277" t="s">
        <v>110</v>
      </c>
      <c r="B1950" s="957"/>
      <c r="C1950" s="298" t="s">
        <v>283</v>
      </c>
      <c r="D1950" s="298" t="s">
        <v>194</v>
      </c>
      <c r="E1950" s="279">
        <v>0</v>
      </c>
      <c r="F1950" s="280"/>
      <c r="G1950" s="336">
        <f t="shared" si="2415"/>
        <v>0</v>
      </c>
      <c r="H1950" s="281"/>
      <c r="I1950" s="281"/>
      <c r="J1950" s="355" t="str">
        <f>IFERROR(G1950/#REF!,"-")</f>
        <v>-</v>
      </c>
      <c r="K1950" s="336">
        <f t="shared" si="2416"/>
        <v>0</v>
      </c>
      <c r="L1950" s="275">
        <f t="shared" si="2417"/>
        <v>0</v>
      </c>
      <c r="M1950" s="276">
        <f t="shared" si="2418"/>
        <v>0</v>
      </c>
      <c r="N1950" s="340" t="str">
        <f t="shared" si="2419"/>
        <v>-</v>
      </c>
      <c r="O1950" s="264" t="str">
        <f t="shared" si="2405"/>
        <v>-</v>
      </c>
    </row>
    <row r="1951" spans="1:15" ht="23.4" x14ac:dyDescent="0.3">
      <c r="A1951" s="277" t="s">
        <v>110</v>
      </c>
      <c r="B1951" s="957"/>
      <c r="C1951" s="298" t="s">
        <v>405</v>
      </c>
      <c r="D1951" s="298" t="s">
        <v>194</v>
      </c>
      <c r="E1951" s="279">
        <v>1000000</v>
      </c>
      <c r="F1951" s="280"/>
      <c r="G1951" s="336">
        <f t="shared" si="2415"/>
        <v>0</v>
      </c>
      <c r="H1951" s="281"/>
      <c r="I1951" s="281"/>
      <c r="J1951" s="355" t="str">
        <f>IFERROR(G1951/#REF!,"-")</f>
        <v>-</v>
      </c>
      <c r="K1951" s="336">
        <f t="shared" si="2416"/>
        <v>362579</v>
      </c>
      <c r="L1951" s="275">
        <f t="shared" si="2417"/>
        <v>359670</v>
      </c>
      <c r="M1951" s="276">
        <f t="shared" si="2418"/>
        <v>2909</v>
      </c>
      <c r="N1951" s="340">
        <f t="shared" si="2419"/>
        <v>0.36257899999999998</v>
      </c>
      <c r="O1951" s="264">
        <f t="shared" si="2405"/>
        <v>8.0230791082770928E-3</v>
      </c>
    </row>
    <row r="1952" spans="1:15" ht="24" thickBot="1" x14ac:dyDescent="0.35">
      <c r="A1952" s="277" t="s">
        <v>110</v>
      </c>
      <c r="B1952" s="958"/>
      <c r="C1952" s="282" t="s">
        <v>195</v>
      </c>
      <c r="D1952" s="282" t="s">
        <v>100</v>
      </c>
      <c r="E1952" s="283">
        <v>0</v>
      </c>
      <c r="F1952" s="284"/>
      <c r="G1952" s="337">
        <f t="shared" si="2415"/>
        <v>0</v>
      </c>
      <c r="H1952" s="285"/>
      <c r="I1952" s="285"/>
      <c r="J1952" s="356" t="str">
        <f>IFERROR(G1952/#REF!,"-")</f>
        <v>-</v>
      </c>
      <c r="K1952" s="337">
        <f t="shared" si="2416"/>
        <v>0</v>
      </c>
      <c r="L1952" s="275">
        <f t="shared" si="2417"/>
        <v>0</v>
      </c>
      <c r="M1952" s="276">
        <f t="shared" si="2418"/>
        <v>0</v>
      </c>
      <c r="N1952" s="341" t="str">
        <f t="shared" si="2419"/>
        <v>-</v>
      </c>
      <c r="O1952" s="350" t="str">
        <f t="shared" si="2405"/>
        <v>-</v>
      </c>
    </row>
    <row r="1953" spans="1:15" ht="24" thickBot="1" x14ac:dyDescent="0.35">
      <c r="A1953" s="277" t="s">
        <v>110</v>
      </c>
      <c r="B1953" s="967" t="s">
        <v>51</v>
      </c>
      <c r="C1953" s="968"/>
      <c r="D1953" s="969"/>
      <c r="E1953" s="287">
        <f>SUM(E1949:E1952)</f>
        <v>1000000</v>
      </c>
      <c r="F1953" s="288">
        <v>80000</v>
      </c>
      <c r="G1953" s="323">
        <f>SUM(G1949:G1952)</f>
        <v>0</v>
      </c>
      <c r="H1953" s="324">
        <f t="shared" ref="H1953:I1953" si="2420">SUM(H1949:H1952)</f>
        <v>0</v>
      </c>
      <c r="I1953" s="324">
        <f t="shared" si="2420"/>
        <v>0</v>
      </c>
      <c r="J1953" s="348">
        <f>+G1953/F1953</f>
        <v>0</v>
      </c>
      <c r="K1953" s="323">
        <f t="shared" ref="K1953:M1953" si="2421">SUM(K1949:K1952)</f>
        <v>362579</v>
      </c>
      <c r="L1953" s="324">
        <f t="shared" si="2421"/>
        <v>359670</v>
      </c>
      <c r="M1953" s="325">
        <f t="shared" si="2421"/>
        <v>2909</v>
      </c>
      <c r="N1953" s="342">
        <f t="shared" si="2419"/>
        <v>0.36257899999999998</v>
      </c>
      <c r="O1953" s="348">
        <f t="shared" si="2405"/>
        <v>8.0230791082770928E-3</v>
      </c>
    </row>
    <row r="1954" spans="1:15" ht="23.4" x14ac:dyDescent="0.3">
      <c r="A1954" s="277" t="s">
        <v>110</v>
      </c>
      <c r="B1954" s="956" t="s">
        <v>23</v>
      </c>
      <c r="C1954" s="278" t="s">
        <v>260</v>
      </c>
      <c r="D1954" s="299" t="s">
        <v>258</v>
      </c>
      <c r="E1954" s="273">
        <f>25000+10875+6000</f>
        <v>41875</v>
      </c>
      <c r="F1954" s="274"/>
      <c r="G1954" s="335">
        <f t="shared" ref="G1954:G1961" si="2422">+H1954+I1954</f>
        <v>0</v>
      </c>
      <c r="H1954" s="275"/>
      <c r="I1954" s="275"/>
      <c r="J1954" s="354" t="str">
        <f>IFERROR(G1954/#REF!,"-")</f>
        <v>-</v>
      </c>
      <c r="K1954" s="335">
        <f t="shared" ref="K1954:K1961" si="2423">+L1954+M1954</f>
        <v>11160</v>
      </c>
      <c r="L1954" s="275">
        <f t="shared" ref="L1954:L1961" si="2424">+H1954+L1847</f>
        <v>11012</v>
      </c>
      <c r="M1954" s="276">
        <f t="shared" ref="M1954:M1961" si="2425">+I1954+M1847</f>
        <v>148</v>
      </c>
      <c r="N1954" s="339">
        <f t="shared" si="2419"/>
        <v>0.26650746268656716</v>
      </c>
      <c r="O1954" s="349">
        <f t="shared" si="2405"/>
        <v>1.3261648745519713E-2</v>
      </c>
    </row>
    <row r="1955" spans="1:15" ht="23.4" x14ac:dyDescent="0.3">
      <c r="A1955" s="277" t="s">
        <v>110</v>
      </c>
      <c r="B1955" s="957"/>
      <c r="C1955" s="278" t="s">
        <v>24</v>
      </c>
      <c r="D1955" s="278" t="s">
        <v>258</v>
      </c>
      <c r="E1955" s="279">
        <v>97500</v>
      </c>
      <c r="F1955" s="280"/>
      <c r="G1955" s="336">
        <f t="shared" si="2422"/>
        <v>17550</v>
      </c>
      <c r="H1955" s="281">
        <v>17500</v>
      </c>
      <c r="I1955" s="281">
        <v>50</v>
      </c>
      <c r="J1955" s="355" t="str">
        <f>IFERROR(G1955/#REF!,"-")</f>
        <v>-</v>
      </c>
      <c r="K1955" s="336">
        <f t="shared" si="2423"/>
        <v>64135</v>
      </c>
      <c r="L1955" s="275">
        <f t="shared" si="2424"/>
        <v>63985</v>
      </c>
      <c r="M1955" s="276">
        <f t="shared" si="2425"/>
        <v>150</v>
      </c>
      <c r="N1955" s="340">
        <f t="shared" si="2419"/>
        <v>0.65779487179487184</v>
      </c>
      <c r="O1955" s="264">
        <f t="shared" si="2405"/>
        <v>2.3388165588212363E-3</v>
      </c>
    </row>
    <row r="1956" spans="1:15" ht="23.4" x14ac:dyDescent="0.3">
      <c r="A1956" s="277" t="s">
        <v>110</v>
      </c>
      <c r="B1956" s="957"/>
      <c r="C1956" s="278" t="s">
        <v>256</v>
      </c>
      <c r="D1956" s="278" t="s">
        <v>258</v>
      </c>
      <c r="E1956" s="279">
        <v>17750</v>
      </c>
      <c r="F1956" s="280"/>
      <c r="G1956" s="336">
        <f t="shared" si="2422"/>
        <v>0</v>
      </c>
      <c r="H1956" s="281"/>
      <c r="I1956" s="281"/>
      <c r="J1956" s="355" t="str">
        <f>IFERROR(G1956/#REF!,"-")</f>
        <v>-</v>
      </c>
      <c r="K1956" s="336">
        <f t="shared" si="2423"/>
        <v>19656</v>
      </c>
      <c r="L1956" s="275">
        <f t="shared" si="2424"/>
        <v>19545</v>
      </c>
      <c r="M1956" s="276">
        <f t="shared" si="2425"/>
        <v>111</v>
      </c>
      <c r="N1956" s="340">
        <f t="shared" si="2419"/>
        <v>1.1073802816901408</v>
      </c>
      <c r="O1956" s="264">
        <f t="shared" si="2405"/>
        <v>5.647130647130647E-3</v>
      </c>
    </row>
    <row r="1957" spans="1:15" ht="23.4" x14ac:dyDescent="0.3">
      <c r="A1957" s="277" t="s">
        <v>110</v>
      </c>
      <c r="B1957" s="957"/>
      <c r="C1957" s="278" t="s">
        <v>257</v>
      </c>
      <c r="D1957" s="278" t="s">
        <v>258</v>
      </c>
      <c r="E1957" s="279">
        <v>20000</v>
      </c>
      <c r="F1957" s="280"/>
      <c r="G1957" s="336">
        <f t="shared" si="2422"/>
        <v>0</v>
      </c>
      <c r="H1957" s="281"/>
      <c r="I1957" s="281"/>
      <c r="J1957" s="355" t="str">
        <f>IFERROR(G1957/#REF!,"-")</f>
        <v>-</v>
      </c>
      <c r="K1957" s="336">
        <f t="shared" si="2423"/>
        <v>20512</v>
      </c>
      <c r="L1957" s="275">
        <f t="shared" si="2424"/>
        <v>20361</v>
      </c>
      <c r="M1957" s="276">
        <f t="shared" si="2425"/>
        <v>151</v>
      </c>
      <c r="N1957" s="340">
        <f t="shared" si="2419"/>
        <v>1.0256000000000001</v>
      </c>
      <c r="O1957" s="264">
        <f t="shared" si="2405"/>
        <v>7.3615444617784707E-3</v>
      </c>
    </row>
    <row r="1958" spans="1:15" ht="23.4" x14ac:dyDescent="0.3">
      <c r="A1958" s="277" t="s">
        <v>110</v>
      </c>
      <c r="B1958" s="957"/>
      <c r="C1958" s="298" t="s">
        <v>475</v>
      </c>
      <c r="D1958" s="278" t="s">
        <v>258</v>
      </c>
      <c r="E1958" s="279">
        <v>10000</v>
      </c>
      <c r="F1958" s="280"/>
      <c r="G1958" s="336">
        <f t="shared" si="2422"/>
        <v>0</v>
      </c>
      <c r="H1958" s="281"/>
      <c r="I1958" s="281"/>
      <c r="J1958" s="355" t="str">
        <f>IFERROR(G1958/#REF!,"-")</f>
        <v>-</v>
      </c>
      <c r="K1958" s="336">
        <f t="shared" si="2423"/>
        <v>12327</v>
      </c>
      <c r="L1958" s="275">
        <f t="shared" si="2424"/>
        <v>12307</v>
      </c>
      <c r="M1958" s="276">
        <f t="shared" si="2425"/>
        <v>20</v>
      </c>
      <c r="N1958" s="340">
        <f t="shared" si="2419"/>
        <v>1.2326999999999999</v>
      </c>
      <c r="O1958" s="264">
        <f t="shared" si="2405"/>
        <v>1.6224547740731727E-3</v>
      </c>
    </row>
    <row r="1959" spans="1:15" ht="23.4" x14ac:dyDescent="0.3">
      <c r="A1959" s="277" t="s">
        <v>110</v>
      </c>
      <c r="B1959" s="957"/>
      <c r="C1959" s="298" t="s">
        <v>506</v>
      </c>
      <c r="D1959" s="278" t="s">
        <v>258</v>
      </c>
      <c r="E1959" s="279">
        <v>9000</v>
      </c>
      <c r="F1959" s="280"/>
      <c r="G1959" s="336">
        <f t="shared" si="2422"/>
        <v>0</v>
      </c>
      <c r="H1959" s="281"/>
      <c r="I1959" s="281"/>
      <c r="J1959" s="355" t="str">
        <f>IFERROR(G1959/#REF!,"-")</f>
        <v>-</v>
      </c>
      <c r="K1959" s="336">
        <f t="shared" si="2423"/>
        <v>26750</v>
      </c>
      <c r="L1959" s="275">
        <f t="shared" si="2424"/>
        <v>26682</v>
      </c>
      <c r="M1959" s="276">
        <f t="shared" si="2425"/>
        <v>68</v>
      </c>
      <c r="N1959" s="340">
        <f t="shared" si="2419"/>
        <v>2.9722222222222223</v>
      </c>
      <c r="O1959" s="264">
        <f t="shared" si="2405"/>
        <v>2.542056074766355E-3</v>
      </c>
    </row>
    <row r="1960" spans="1:15" ht="23.4" x14ac:dyDescent="0.3">
      <c r="A1960" s="277" t="s">
        <v>110</v>
      </c>
      <c r="B1960" s="957"/>
      <c r="C1960" s="298" t="s">
        <v>261</v>
      </c>
      <c r="D1960" s="278" t="s">
        <v>263</v>
      </c>
      <c r="E1960" s="279">
        <v>22500</v>
      </c>
      <c r="F1960" s="280"/>
      <c r="G1960" s="336">
        <f t="shared" si="2422"/>
        <v>0</v>
      </c>
      <c r="H1960" s="281"/>
      <c r="I1960" s="281"/>
      <c r="J1960" s="355" t="str">
        <f>IFERROR(G1960/#REF!,"-")</f>
        <v>-</v>
      </c>
      <c r="K1960" s="336">
        <f t="shared" si="2423"/>
        <v>23536</v>
      </c>
      <c r="L1960" s="275">
        <f t="shared" si="2424"/>
        <v>23490</v>
      </c>
      <c r="M1960" s="276">
        <f t="shared" si="2425"/>
        <v>46</v>
      </c>
      <c r="N1960" s="340">
        <f t="shared" si="2419"/>
        <v>1.0460444444444446</v>
      </c>
      <c r="O1960" s="264">
        <f t="shared" si="2405"/>
        <v>1.954452753229096E-3</v>
      </c>
    </row>
    <row r="1961" spans="1:15" ht="24" thickBot="1" x14ac:dyDescent="0.35">
      <c r="A1961" s="277" t="s">
        <v>110</v>
      </c>
      <c r="B1961" s="958"/>
      <c r="C1961" s="298" t="s">
        <v>262</v>
      </c>
      <c r="D1961" s="278" t="s">
        <v>258</v>
      </c>
      <c r="E1961" s="283">
        <v>33500</v>
      </c>
      <c r="F1961" s="284"/>
      <c r="G1961" s="337">
        <f t="shared" si="2422"/>
        <v>0</v>
      </c>
      <c r="H1961" s="285"/>
      <c r="I1961" s="285"/>
      <c r="J1961" s="356" t="str">
        <f>IFERROR(G1961/#REF!,"-")</f>
        <v>-</v>
      </c>
      <c r="K1961" s="337">
        <f t="shared" si="2423"/>
        <v>35336</v>
      </c>
      <c r="L1961" s="275">
        <f t="shared" si="2424"/>
        <v>35130</v>
      </c>
      <c r="M1961" s="276">
        <f t="shared" si="2425"/>
        <v>206</v>
      </c>
      <c r="N1961" s="341">
        <f t="shared" si="2419"/>
        <v>1.0548059701492538</v>
      </c>
      <c r="O1961" s="350">
        <f t="shared" si="2405"/>
        <v>5.8297486982114557E-3</v>
      </c>
    </row>
    <row r="1962" spans="1:15" ht="24" thickBot="1" x14ac:dyDescent="0.35">
      <c r="A1962" s="277" t="s">
        <v>110</v>
      </c>
      <c r="B1962" s="967" t="s">
        <v>52</v>
      </c>
      <c r="C1962" s="968"/>
      <c r="D1962" s="969"/>
      <c r="E1962" s="287">
        <f>SUM(E1954:E1961)</f>
        <v>252125</v>
      </c>
      <c r="F1962" s="288">
        <v>14000</v>
      </c>
      <c r="G1962" s="323">
        <f>SUM(G1954:G1961)</f>
        <v>17550</v>
      </c>
      <c r="H1962" s="324">
        <f t="shared" ref="H1962:I1962" si="2426">SUM(H1954:H1961)</f>
        <v>17500</v>
      </c>
      <c r="I1962" s="324">
        <f t="shared" si="2426"/>
        <v>50</v>
      </c>
      <c r="J1962" s="348">
        <f>+G1963/F1963</f>
        <v>0.18670212765957447</v>
      </c>
      <c r="K1962" s="323">
        <f>SUM(K1954:K1961)</f>
        <v>213412</v>
      </c>
      <c r="L1962" s="324">
        <f t="shared" ref="L1962:M1962" si="2427">SUM(L1954:L1961)</f>
        <v>212512</v>
      </c>
      <c r="M1962" s="325">
        <f t="shared" si="2427"/>
        <v>900</v>
      </c>
      <c r="N1962" s="342">
        <f t="shared" si="2419"/>
        <v>0.84645314823996032</v>
      </c>
      <c r="O1962" s="348">
        <f t="shared" si="2405"/>
        <v>4.2171949093771669E-3</v>
      </c>
    </row>
    <row r="1963" spans="1:15" ht="24" thickBot="1" x14ac:dyDescent="0.35">
      <c r="A1963" s="277" t="s">
        <v>110</v>
      </c>
      <c r="B1963" s="981" t="s">
        <v>25</v>
      </c>
      <c r="C1963" s="982"/>
      <c r="D1963" s="983"/>
      <c r="E1963" s="329">
        <f t="shared" ref="E1963:F1963" si="2428">+E1953+E1962</f>
        <v>1252125</v>
      </c>
      <c r="F1963" s="330">
        <f t="shared" si="2428"/>
        <v>94000</v>
      </c>
      <c r="G1963" s="329">
        <f>+G1953+G1962</f>
        <v>17550</v>
      </c>
      <c r="H1963" s="327">
        <f t="shared" ref="H1963:I1963" si="2429">+H1953+H1962</f>
        <v>17500</v>
      </c>
      <c r="I1963" s="327">
        <f t="shared" si="2429"/>
        <v>50</v>
      </c>
      <c r="J1963" s="352" t="str">
        <f>IFERROR(G1963/#REF!,"-")</f>
        <v>-</v>
      </c>
      <c r="K1963" s="329">
        <f t="shared" ref="K1963" si="2430">+K1953+K1962</f>
        <v>575991</v>
      </c>
      <c r="L1963" s="327">
        <f>+L1953+L1962</f>
        <v>572182</v>
      </c>
      <c r="M1963" s="328">
        <f t="shared" ref="M1963" si="2431">+M1953+M1962</f>
        <v>3809</v>
      </c>
      <c r="N1963" s="344">
        <f t="shared" si="2419"/>
        <v>0.46001078167115905</v>
      </c>
      <c r="O1963" s="352">
        <f t="shared" si="2405"/>
        <v>6.6129505495745597E-3</v>
      </c>
    </row>
    <row r="1964" spans="1:15" ht="24" thickBot="1" x14ac:dyDescent="0.35">
      <c r="A1964" s="277" t="s">
        <v>110</v>
      </c>
      <c r="B1964" s="984" t="s">
        <v>180</v>
      </c>
      <c r="C1964" s="962"/>
      <c r="D1964" s="963"/>
      <c r="E1964" s="333">
        <f>+E1948+E1963</f>
        <v>6002125</v>
      </c>
      <c r="F1964" s="334">
        <f t="shared" ref="F1964:I1964" si="2432">+F1948+F1963</f>
        <v>549000</v>
      </c>
      <c r="G1964" s="333">
        <f t="shared" si="2432"/>
        <v>178361</v>
      </c>
      <c r="H1964" s="331">
        <f t="shared" si="2432"/>
        <v>218860</v>
      </c>
      <c r="I1964" s="331">
        <f t="shared" si="2432"/>
        <v>2175</v>
      </c>
      <c r="J1964" s="353">
        <f>+G1964/F1964</f>
        <v>0.3248834244080146</v>
      </c>
      <c r="K1964" s="333">
        <f>+K1948+K1963</f>
        <v>3548165</v>
      </c>
      <c r="L1964" s="331">
        <f t="shared" ref="L1964:M1964" si="2433">+L1948+L1963</f>
        <v>3524692</v>
      </c>
      <c r="M1964" s="332">
        <f t="shared" si="2433"/>
        <v>23473</v>
      </c>
      <c r="N1964" s="345">
        <f>IFERROR(K1964/E1964,"-")</f>
        <v>0.59115146718870404</v>
      </c>
      <c r="O1964" s="353">
        <f t="shared" si="2405"/>
        <v>6.6155322539960797E-3</v>
      </c>
    </row>
    <row r="1965" spans="1:15" ht="23.4" x14ac:dyDescent="0.3">
      <c r="A1965" s="271" t="s">
        <v>108</v>
      </c>
      <c r="B1965" s="977" t="s">
        <v>26</v>
      </c>
      <c r="C1965" s="300" t="s">
        <v>323</v>
      </c>
      <c r="D1965" s="300" t="s">
        <v>190</v>
      </c>
      <c r="E1965" s="273">
        <v>0</v>
      </c>
      <c r="F1965" s="274"/>
      <c r="G1965" s="335">
        <f t="shared" ref="G1965:G1974" si="2434">+H1965+I1965</f>
        <v>0</v>
      </c>
      <c r="H1965" s="275"/>
      <c r="I1965" s="275"/>
      <c r="J1965" s="354" t="str">
        <f>IFERROR(G1965/#REF!,"-")</f>
        <v>-</v>
      </c>
      <c r="K1965" s="335">
        <f t="shared" ref="K1965:K1974" si="2435">+L1965+M1965</f>
        <v>0</v>
      </c>
      <c r="L1965" s="275">
        <f t="shared" ref="L1965:L1974" si="2436">+H1965+L1858</f>
        <v>0</v>
      </c>
      <c r="M1965" s="276">
        <f t="shared" ref="M1965:M1974" si="2437">+I1965+M1858</f>
        <v>0</v>
      </c>
      <c r="N1965" s="339" t="str">
        <f t="shared" ref="N1965:N1966" si="2438">IFERROR(K1965/E1965,"-")</f>
        <v>-</v>
      </c>
      <c r="O1965" s="349" t="str">
        <f t="shared" si="2405"/>
        <v>-</v>
      </c>
    </row>
    <row r="1966" spans="1:15" ht="23.4" x14ac:dyDescent="0.3">
      <c r="A1966" s="277" t="s">
        <v>108</v>
      </c>
      <c r="B1966" s="977"/>
      <c r="C1966" s="301" t="s">
        <v>508</v>
      </c>
      <c r="D1966" s="301" t="s">
        <v>507</v>
      </c>
      <c r="E1966" s="279">
        <v>0</v>
      </c>
      <c r="F1966" s="280"/>
      <c r="G1966" s="336">
        <f t="shared" si="2434"/>
        <v>0</v>
      </c>
      <c r="H1966" s="281"/>
      <c r="I1966" s="281"/>
      <c r="J1966" s="355" t="str">
        <f>IFERROR(G1966/#REF!,"-")</f>
        <v>-</v>
      </c>
      <c r="K1966" s="336">
        <f t="shared" si="2435"/>
        <v>190384</v>
      </c>
      <c r="L1966" s="275">
        <f t="shared" si="2436"/>
        <v>186966</v>
      </c>
      <c r="M1966" s="276">
        <f t="shared" si="2437"/>
        <v>3418</v>
      </c>
      <c r="N1966" s="340" t="str">
        <f t="shared" si="2438"/>
        <v>-</v>
      </c>
      <c r="O1966" s="264">
        <f t="shared" si="2405"/>
        <v>1.7953189343642324E-2</v>
      </c>
    </row>
    <row r="1967" spans="1:15" ht="23.4" x14ac:dyDescent="0.3">
      <c r="A1967" s="277" t="s">
        <v>108</v>
      </c>
      <c r="B1967" s="977"/>
      <c r="C1967" s="302" t="s">
        <v>27</v>
      </c>
      <c r="D1967" s="302" t="s">
        <v>370</v>
      </c>
      <c r="E1967" s="283">
        <v>0</v>
      </c>
      <c r="F1967" s="284"/>
      <c r="G1967" s="336">
        <f t="shared" si="2434"/>
        <v>0</v>
      </c>
      <c r="H1967" s="285"/>
      <c r="I1967" s="285"/>
      <c r="J1967" s="356" t="str">
        <f>IFERROR(G1967/#REF!,"-")</f>
        <v>-</v>
      </c>
      <c r="K1967" s="336">
        <f t="shared" si="2435"/>
        <v>15312</v>
      </c>
      <c r="L1967" s="275">
        <f t="shared" si="2436"/>
        <v>14492</v>
      </c>
      <c r="M1967" s="276">
        <f t="shared" si="2437"/>
        <v>820</v>
      </c>
      <c r="N1967" s="286"/>
      <c r="O1967" s="264">
        <f t="shared" si="2405"/>
        <v>5.3552769070010449E-2</v>
      </c>
    </row>
    <row r="1968" spans="1:15" ht="23.4" x14ac:dyDescent="0.3">
      <c r="A1968" s="277" t="s">
        <v>108</v>
      </c>
      <c r="B1968" s="977"/>
      <c r="C1968" s="302" t="s">
        <v>27</v>
      </c>
      <c r="D1968" s="302" t="s">
        <v>254</v>
      </c>
      <c r="E1968" s="283">
        <v>0</v>
      </c>
      <c r="F1968" s="284"/>
      <c r="G1968" s="336">
        <f t="shared" si="2434"/>
        <v>0</v>
      </c>
      <c r="H1968" s="285"/>
      <c r="I1968" s="285"/>
      <c r="J1968" s="356" t="str">
        <f>IFERROR(G1968/#REF!,"-")</f>
        <v>-</v>
      </c>
      <c r="K1968" s="336">
        <f t="shared" si="2435"/>
        <v>41904</v>
      </c>
      <c r="L1968" s="275">
        <f t="shared" si="2436"/>
        <v>39879</v>
      </c>
      <c r="M1968" s="276">
        <f t="shared" si="2437"/>
        <v>2025</v>
      </c>
      <c r="N1968" s="286"/>
      <c r="O1968" s="264">
        <f t="shared" si="2405"/>
        <v>4.8324742268041239E-2</v>
      </c>
    </row>
    <row r="1969" spans="1:15" ht="23.4" x14ac:dyDescent="0.3">
      <c r="A1969" s="277" t="s">
        <v>108</v>
      </c>
      <c r="B1969" s="977"/>
      <c r="C1969" s="302" t="s">
        <v>27</v>
      </c>
      <c r="D1969" s="302" t="s">
        <v>302</v>
      </c>
      <c r="E1969" s="283">
        <v>0</v>
      </c>
      <c r="F1969" s="284"/>
      <c r="G1969" s="336">
        <f t="shared" si="2434"/>
        <v>0</v>
      </c>
      <c r="H1969" s="285"/>
      <c r="I1969" s="285"/>
      <c r="J1969" s="356" t="str">
        <f>IFERROR(G1969/#REF!,"-")</f>
        <v>-</v>
      </c>
      <c r="K1969" s="336">
        <f t="shared" si="2435"/>
        <v>6345</v>
      </c>
      <c r="L1969" s="275">
        <f t="shared" si="2436"/>
        <v>5830</v>
      </c>
      <c r="M1969" s="276">
        <f t="shared" si="2437"/>
        <v>515</v>
      </c>
      <c r="N1969" s="286"/>
      <c r="O1969" s="264">
        <f t="shared" si="2405"/>
        <v>8.1166272655634364E-2</v>
      </c>
    </row>
    <row r="1970" spans="1:15" ht="23.4" x14ac:dyDescent="0.3">
      <c r="A1970" s="277"/>
      <c r="B1970" s="977"/>
      <c r="C1970" s="302" t="s">
        <v>541</v>
      </c>
      <c r="D1970" s="302" t="s">
        <v>191</v>
      </c>
      <c r="E1970" s="283">
        <v>0</v>
      </c>
      <c r="F1970" s="284"/>
      <c r="G1970" s="337">
        <f t="shared" si="2434"/>
        <v>0</v>
      </c>
      <c r="H1970" s="285"/>
      <c r="I1970" s="285"/>
      <c r="J1970" s="356" t="str">
        <f>IFERROR(G1970/#REF!,"-")</f>
        <v>-</v>
      </c>
      <c r="K1970" s="337">
        <f t="shared" si="2435"/>
        <v>4273</v>
      </c>
      <c r="L1970" s="275">
        <f t="shared" si="2436"/>
        <v>3978</v>
      </c>
      <c r="M1970" s="276">
        <f t="shared" si="2437"/>
        <v>295</v>
      </c>
      <c r="N1970" s="286"/>
      <c r="O1970" s="264">
        <f t="shared" si="2405"/>
        <v>6.9038146501287145E-2</v>
      </c>
    </row>
    <row r="1971" spans="1:15" ht="23.4" x14ac:dyDescent="0.3">
      <c r="A1971" s="277"/>
      <c r="B1971" s="977"/>
      <c r="C1971" s="302" t="s">
        <v>369</v>
      </c>
      <c r="D1971" s="302" t="s">
        <v>101</v>
      </c>
      <c r="E1971" s="283">
        <v>0</v>
      </c>
      <c r="F1971" s="284"/>
      <c r="G1971" s="337">
        <f t="shared" si="2434"/>
        <v>0</v>
      </c>
      <c r="H1971" s="285"/>
      <c r="I1971" s="285"/>
      <c r="J1971" s="356" t="str">
        <f>IFERROR(G1971/#REF!,"-")</f>
        <v>-</v>
      </c>
      <c r="K1971" s="337">
        <f t="shared" si="2435"/>
        <v>6135</v>
      </c>
      <c r="L1971" s="275">
        <f t="shared" si="2436"/>
        <v>5899</v>
      </c>
      <c r="M1971" s="276">
        <f t="shared" si="2437"/>
        <v>236</v>
      </c>
      <c r="N1971" s="286"/>
      <c r="O1971" s="264">
        <f t="shared" si="2405"/>
        <v>3.8467807660961695E-2</v>
      </c>
    </row>
    <row r="1972" spans="1:15" ht="23.4" x14ac:dyDescent="0.3">
      <c r="A1972" s="277"/>
      <c r="B1972" s="977"/>
      <c r="C1972" s="302" t="s">
        <v>542</v>
      </c>
      <c r="D1972" s="302" t="s">
        <v>191</v>
      </c>
      <c r="E1972" s="283">
        <v>0</v>
      </c>
      <c r="F1972" s="284"/>
      <c r="G1972" s="337">
        <f t="shared" si="2434"/>
        <v>0</v>
      </c>
      <c r="H1972" s="285"/>
      <c r="I1972" s="285"/>
      <c r="J1972" s="356" t="str">
        <f>IFERROR(G1972/#REF!,"-")</f>
        <v>-</v>
      </c>
      <c r="K1972" s="337">
        <f t="shared" si="2435"/>
        <v>2448</v>
      </c>
      <c r="L1972" s="275">
        <f t="shared" si="2436"/>
        <v>2448</v>
      </c>
      <c r="M1972" s="275">
        <f t="shared" si="2437"/>
        <v>0</v>
      </c>
      <c r="N1972" s="286"/>
      <c r="O1972" s="264">
        <f t="shared" si="2405"/>
        <v>0</v>
      </c>
    </row>
    <row r="1973" spans="1:15" ht="23.4" x14ac:dyDescent="0.3">
      <c r="A1973" s="277"/>
      <c r="B1973" s="977"/>
      <c r="C1973" s="302" t="s">
        <v>452</v>
      </c>
      <c r="D1973" s="302" t="s">
        <v>410</v>
      </c>
      <c r="E1973" s="283">
        <v>0</v>
      </c>
      <c r="F1973" s="284"/>
      <c r="G1973" s="337">
        <f t="shared" si="2434"/>
        <v>0</v>
      </c>
      <c r="H1973" s="285"/>
      <c r="I1973" s="285"/>
      <c r="J1973" s="356" t="str">
        <f>IFERROR(G1973/#REF!,"-")</f>
        <v>-</v>
      </c>
      <c r="K1973" s="337">
        <f t="shared" si="2435"/>
        <v>40370</v>
      </c>
      <c r="L1973" s="275">
        <f t="shared" si="2436"/>
        <v>39117</v>
      </c>
      <c r="M1973" s="276">
        <f t="shared" si="2437"/>
        <v>1253</v>
      </c>
      <c r="N1973" s="286"/>
      <c r="O1973" s="264">
        <f t="shared" si="2405"/>
        <v>3.1037899430270001E-2</v>
      </c>
    </row>
    <row r="1974" spans="1:15" ht="24" thickBot="1" x14ac:dyDescent="0.35">
      <c r="A1974" s="277" t="s">
        <v>108</v>
      </c>
      <c r="B1974" s="977"/>
      <c r="C1974" s="303" t="s">
        <v>315</v>
      </c>
      <c r="D1974" s="302" t="s">
        <v>313</v>
      </c>
      <c r="E1974" s="283">
        <v>0</v>
      </c>
      <c r="F1974" s="284"/>
      <c r="G1974" s="337">
        <f t="shared" si="2434"/>
        <v>0</v>
      </c>
      <c r="H1974" s="285"/>
      <c r="I1974" s="285"/>
      <c r="J1974" s="356" t="str">
        <f>IFERROR(G1974/#REF!,"-")</f>
        <v>-</v>
      </c>
      <c r="K1974" s="337">
        <f t="shared" si="2435"/>
        <v>16403</v>
      </c>
      <c r="L1974" s="275">
        <f t="shared" si="2436"/>
        <v>15912</v>
      </c>
      <c r="M1974" s="276">
        <f t="shared" si="2437"/>
        <v>491</v>
      </c>
      <c r="N1974" s="341" t="str">
        <f t="shared" ref="N1974:N1981" si="2439">IFERROR(K1974/E1974,"-")</f>
        <v>-</v>
      </c>
      <c r="O1974" s="350">
        <f t="shared" si="2405"/>
        <v>2.9933548741083948E-2</v>
      </c>
    </row>
    <row r="1975" spans="1:15" ht="24" thickBot="1" x14ac:dyDescent="0.35">
      <c r="A1975" s="277" t="s">
        <v>108</v>
      </c>
      <c r="B1975" s="990"/>
      <c r="C1975" s="304"/>
      <c r="D1975" s="305" t="s">
        <v>55</v>
      </c>
      <c r="E1975" s="287">
        <f>SUM(E1965:E1974)</f>
        <v>0</v>
      </c>
      <c r="F1975" s="288">
        <v>80000</v>
      </c>
      <c r="G1975" s="323">
        <f>SUM(G1965:G1974)</f>
        <v>0</v>
      </c>
      <c r="H1975" s="324">
        <f>SUM(H1965:H1974)</f>
        <v>0</v>
      </c>
      <c r="I1975" s="324">
        <f>SUM(I1965:I1974)</f>
        <v>0</v>
      </c>
      <c r="J1975" s="348">
        <f>+G1975/F1975</f>
        <v>0</v>
      </c>
      <c r="K1975" s="323">
        <f>SUM(K1965:K1974)</f>
        <v>323574</v>
      </c>
      <c r="L1975" s="324">
        <f>SUM(L1965:L1974)</f>
        <v>314521</v>
      </c>
      <c r="M1975" s="325">
        <f>SUM(M1965:M1974)</f>
        <v>9053</v>
      </c>
      <c r="N1975" s="342" t="str">
        <f t="shared" si="2439"/>
        <v>-</v>
      </c>
      <c r="O1975" s="348">
        <f t="shared" si="2405"/>
        <v>2.7978144103049069E-2</v>
      </c>
    </row>
    <row r="1976" spans="1:15" ht="23.4" x14ac:dyDescent="0.3">
      <c r="A1976" s="277" t="s">
        <v>108</v>
      </c>
      <c r="B1976" s="976" t="s">
        <v>28</v>
      </c>
      <c r="C1976" s="302" t="s">
        <v>27</v>
      </c>
      <c r="D1976" s="300" t="s">
        <v>191</v>
      </c>
      <c r="E1976" s="273">
        <v>2612056</v>
      </c>
      <c r="F1976" s="274"/>
      <c r="G1976" s="335">
        <f t="shared" ref="G1976:G1980" si="2440">+H1976+I1976</f>
        <v>0</v>
      </c>
      <c r="H1976" s="275"/>
      <c r="I1976" s="275"/>
      <c r="J1976" s="354" t="str">
        <f>IFERROR(G1976/#REF!,"-")</f>
        <v>-</v>
      </c>
      <c r="K1976" s="335">
        <f t="shared" ref="K1976:K1980" si="2441">+L1976+M1976</f>
        <v>166634</v>
      </c>
      <c r="L1976" s="275">
        <f t="shared" ref="L1976:L1980" si="2442">+H1976+L1869</f>
        <v>163098</v>
      </c>
      <c r="M1976" s="276">
        <f t="shared" ref="M1976:M1980" si="2443">+I1976+M1869</f>
        <v>3536</v>
      </c>
      <c r="N1976" s="339">
        <f t="shared" si="2439"/>
        <v>6.3794191242454223E-2</v>
      </c>
      <c r="O1976" s="349">
        <f t="shared" si="2405"/>
        <v>2.1220159151193633E-2</v>
      </c>
    </row>
    <row r="1977" spans="1:15" ht="23.4" x14ac:dyDescent="0.3">
      <c r="A1977" s="277" t="s">
        <v>108</v>
      </c>
      <c r="B1977" s="977"/>
      <c r="C1977" s="302" t="s">
        <v>455</v>
      </c>
      <c r="D1977" s="302" t="s">
        <v>370</v>
      </c>
      <c r="E1977" s="279">
        <v>0</v>
      </c>
      <c r="F1977" s="280"/>
      <c r="G1977" s="336">
        <f t="shared" si="2440"/>
        <v>60721</v>
      </c>
      <c r="H1977" s="281">
        <v>59670</v>
      </c>
      <c r="I1977" s="281">
        <v>1051</v>
      </c>
      <c r="J1977" s="355" t="str">
        <f>IFERROR(G1977/#REF!,"-")</f>
        <v>-</v>
      </c>
      <c r="K1977" s="336">
        <f t="shared" si="2441"/>
        <v>1275201</v>
      </c>
      <c r="L1977" s="275">
        <f t="shared" si="2442"/>
        <v>1260720</v>
      </c>
      <c r="M1977" s="276">
        <f t="shared" si="2443"/>
        <v>14481</v>
      </c>
      <c r="N1977" s="340" t="str">
        <f t="shared" si="2439"/>
        <v>-</v>
      </c>
      <c r="O1977" s="264">
        <f t="shared" si="2405"/>
        <v>1.1355856841392063E-2</v>
      </c>
    </row>
    <row r="1978" spans="1:15" ht="23.4" x14ac:dyDescent="0.3">
      <c r="A1978" s="277" t="s">
        <v>108</v>
      </c>
      <c r="B1978" s="977"/>
      <c r="C1978" s="302" t="s">
        <v>27</v>
      </c>
      <c r="D1978" s="302" t="s">
        <v>370</v>
      </c>
      <c r="E1978" s="279">
        <v>0</v>
      </c>
      <c r="F1978" s="280"/>
      <c r="G1978" s="336">
        <f t="shared" si="2440"/>
        <v>0</v>
      </c>
      <c r="H1978" s="281"/>
      <c r="I1978" s="281"/>
      <c r="J1978" s="355" t="str">
        <f>IFERROR(G1978/#REF!,"-")</f>
        <v>-</v>
      </c>
      <c r="K1978" s="336">
        <f t="shared" si="2441"/>
        <v>73114</v>
      </c>
      <c r="L1978" s="275">
        <f t="shared" si="2442"/>
        <v>71604</v>
      </c>
      <c r="M1978" s="276">
        <f t="shared" si="2443"/>
        <v>1510</v>
      </c>
      <c r="N1978" s="340" t="str">
        <f t="shared" si="2439"/>
        <v>-</v>
      </c>
      <c r="O1978" s="264">
        <f t="shared" si="2405"/>
        <v>2.065267937741062E-2</v>
      </c>
    </row>
    <row r="1979" spans="1:15" ht="23.4" x14ac:dyDescent="0.3">
      <c r="A1979" s="277" t="s">
        <v>108</v>
      </c>
      <c r="B1979" s="977"/>
      <c r="C1979" s="302" t="s">
        <v>452</v>
      </c>
      <c r="D1979" s="303" t="s">
        <v>410</v>
      </c>
      <c r="E1979" s="283">
        <v>0</v>
      </c>
      <c r="F1979" s="284"/>
      <c r="G1979" s="337">
        <f t="shared" si="2440"/>
        <v>0</v>
      </c>
      <c r="H1979" s="285"/>
      <c r="I1979" s="285"/>
      <c r="J1979" s="356" t="str">
        <f>IFERROR(G1979/#REF!,"-")</f>
        <v>-</v>
      </c>
      <c r="K1979" s="337">
        <f t="shared" si="2441"/>
        <v>249713</v>
      </c>
      <c r="L1979" s="275">
        <f t="shared" si="2442"/>
        <v>246636</v>
      </c>
      <c r="M1979" s="755">
        <f t="shared" si="2443"/>
        <v>3077</v>
      </c>
      <c r="N1979" s="341" t="str">
        <f t="shared" si="2439"/>
        <v>-</v>
      </c>
      <c r="O1979" s="350">
        <f t="shared" si="2405"/>
        <v>1.2322145823405269E-2</v>
      </c>
    </row>
    <row r="1980" spans="1:15" ht="24" thickBot="1" x14ac:dyDescent="0.35">
      <c r="A1980" s="277" t="s">
        <v>108</v>
      </c>
      <c r="B1980" s="977"/>
      <c r="C1980" s="302" t="s">
        <v>27</v>
      </c>
      <c r="D1980" s="303" t="s">
        <v>254</v>
      </c>
      <c r="E1980" s="283">
        <v>0</v>
      </c>
      <c r="F1980" s="284"/>
      <c r="G1980" s="337">
        <f t="shared" si="2440"/>
        <v>0</v>
      </c>
      <c r="H1980" s="285"/>
      <c r="I1980" s="285"/>
      <c r="J1980" s="356" t="str">
        <f>IFERROR(G1980/#REF!,"-")</f>
        <v>-</v>
      </c>
      <c r="K1980" s="337">
        <f t="shared" si="2441"/>
        <v>767509</v>
      </c>
      <c r="L1980" s="275">
        <f t="shared" si="2442"/>
        <v>758574</v>
      </c>
      <c r="M1980" s="755">
        <f t="shared" si="2443"/>
        <v>8935</v>
      </c>
      <c r="N1980" s="341" t="str">
        <f t="shared" si="2439"/>
        <v>-</v>
      </c>
      <c r="O1980" s="350">
        <f t="shared" si="2405"/>
        <v>1.164155729769944E-2</v>
      </c>
    </row>
    <row r="1981" spans="1:15" ht="24" thickBot="1" x14ac:dyDescent="0.35">
      <c r="A1981" s="277" t="s">
        <v>108</v>
      </c>
      <c r="B1981" s="977"/>
      <c r="C1981" s="307"/>
      <c r="D1981" s="308" t="s">
        <v>55</v>
      </c>
      <c r="E1981" s="309">
        <f>SUM(E1976:E1980)</f>
        <v>2612056</v>
      </c>
      <c r="F1981" s="310">
        <v>160000</v>
      </c>
      <c r="G1981" s="369">
        <f>SUM(G1976:G1980)</f>
        <v>60721</v>
      </c>
      <c r="H1981" s="368">
        <f>SUM(H1976:H1980)</f>
        <v>59670</v>
      </c>
      <c r="I1981" s="368">
        <f>SUM(I1976:I1980)</f>
        <v>1051</v>
      </c>
      <c r="J1981" s="359">
        <f>+G1981/F1981</f>
        <v>0.37950624999999999</v>
      </c>
      <c r="K1981" s="369">
        <f>SUM(K1976:K1980)</f>
        <v>2532171</v>
      </c>
      <c r="L1981" s="368">
        <f>SUM(L1976:L1980)</f>
        <v>2500632</v>
      </c>
      <c r="M1981" s="370">
        <f>SUM(M1976:M1980)</f>
        <v>31539</v>
      </c>
      <c r="N1981" s="358">
        <f t="shared" si="2439"/>
        <v>0.96941681189070983</v>
      </c>
      <c r="O1981" s="359">
        <f t="shared" si="2405"/>
        <v>1.2455319960618773E-2</v>
      </c>
    </row>
    <row r="1982" spans="1:15" ht="24" thickBot="1" x14ac:dyDescent="0.35">
      <c r="A1982" s="912" t="s">
        <v>108</v>
      </c>
      <c r="B1982" s="978" t="s">
        <v>170</v>
      </c>
      <c r="C1982" s="979"/>
      <c r="D1982" s="980"/>
      <c r="E1982" s="311">
        <f>+E1981+E1975</f>
        <v>2612056</v>
      </c>
      <c r="F1982" s="312">
        <v>240000</v>
      </c>
      <c r="G1982" s="372">
        <f>+G1975+G1981</f>
        <v>60721</v>
      </c>
      <c r="H1982" s="371">
        <f>+H1975+H1981</f>
        <v>59670</v>
      </c>
      <c r="I1982" s="371">
        <f>+I1975+I1981</f>
        <v>1051</v>
      </c>
      <c r="J1982" s="361">
        <f>+G1982/F1982</f>
        <v>0.25300416666666664</v>
      </c>
      <c r="K1982" s="372">
        <f>+K1975+K1981</f>
        <v>2855745</v>
      </c>
      <c r="L1982" s="371">
        <f>+L1975+L1981</f>
        <v>2815153</v>
      </c>
      <c r="M1982" s="373">
        <f>+M1975+M1981</f>
        <v>40592</v>
      </c>
      <c r="N1982" s="360">
        <f>IFERROR(K1982/E1982,"-")</f>
        <v>1.0932939416306542</v>
      </c>
      <c r="O1982" s="361">
        <f t="shared" si="2405"/>
        <v>1.4214154274979034E-2</v>
      </c>
    </row>
    <row r="1983" spans="1:15" ht="23.4" x14ac:dyDescent="0.3">
      <c r="A1983" s="277" t="s">
        <v>108</v>
      </c>
      <c r="B1983" s="977" t="s">
        <v>30</v>
      </c>
      <c r="C1983" s="306" t="s">
        <v>581</v>
      </c>
      <c r="D1983" s="302" t="s">
        <v>370</v>
      </c>
      <c r="E1983" s="273">
        <v>0</v>
      </c>
      <c r="F1983" s="274"/>
      <c r="G1983" s="335">
        <f t="shared" ref="G1983:G1985" si="2444">+H1983+I1983</f>
        <v>0</v>
      </c>
      <c r="H1983" s="275"/>
      <c r="I1983" s="275"/>
      <c r="J1983" s="354" t="str">
        <f>IFERROR(G1983/#REF!,"-")</f>
        <v>-</v>
      </c>
      <c r="K1983" s="335">
        <f t="shared" ref="K1983:K1985" si="2445">+L1983+M1983</f>
        <v>11232</v>
      </c>
      <c r="L1983" s="275">
        <f t="shared" ref="L1983:L1985" si="2446">+H1983+L1876</f>
        <v>11232</v>
      </c>
      <c r="M1983" s="276">
        <f t="shared" ref="M1983:M1985" si="2447">+I1983+M1876</f>
        <v>0</v>
      </c>
      <c r="N1983" s="339" t="str">
        <f t="shared" ref="N1983:N1995" si="2448">IFERROR(K1983/E1983,"-")</f>
        <v>-</v>
      </c>
      <c r="O1983" s="349">
        <f t="shared" si="2405"/>
        <v>0</v>
      </c>
    </row>
    <row r="1984" spans="1:15" ht="23.4" x14ac:dyDescent="0.3">
      <c r="A1984" s="277" t="s">
        <v>108</v>
      </c>
      <c r="B1984" s="977"/>
      <c r="C1984" s="303" t="s">
        <v>531</v>
      </c>
      <c r="D1984" s="306" t="s">
        <v>410</v>
      </c>
      <c r="E1984" s="279">
        <v>0</v>
      </c>
      <c r="F1984" s="280"/>
      <c r="G1984" s="336">
        <f t="shared" si="2444"/>
        <v>0</v>
      </c>
      <c r="H1984" s="281"/>
      <c r="I1984" s="281"/>
      <c r="J1984" s="355" t="str">
        <f>IFERROR(G1984/#REF!,"-")</f>
        <v>-</v>
      </c>
      <c r="K1984" s="336">
        <f t="shared" si="2445"/>
        <v>244257</v>
      </c>
      <c r="L1984" s="275">
        <f t="shared" si="2446"/>
        <v>239616</v>
      </c>
      <c r="M1984" s="276">
        <f t="shared" si="2447"/>
        <v>4641</v>
      </c>
      <c r="N1984" s="340" t="str">
        <f t="shared" si="2448"/>
        <v>-</v>
      </c>
      <c r="O1984" s="264">
        <f t="shared" si="2405"/>
        <v>1.9000479003672362E-2</v>
      </c>
    </row>
    <row r="1985" spans="1:15" ht="24" thickBot="1" x14ac:dyDescent="0.35">
      <c r="A1985" s="277" t="s">
        <v>108</v>
      </c>
      <c r="B1985" s="977"/>
      <c r="C1985" s="303" t="s">
        <v>316</v>
      </c>
      <c r="D1985" s="303" t="s">
        <v>410</v>
      </c>
      <c r="E1985" s="283">
        <v>0</v>
      </c>
      <c r="F1985" s="284"/>
      <c r="G1985" s="337">
        <f t="shared" si="2444"/>
        <v>0</v>
      </c>
      <c r="H1985" s="285"/>
      <c r="I1985" s="285"/>
      <c r="J1985" s="356" t="str">
        <f>IFERROR(G1985/#REF!,"-")</f>
        <v>-</v>
      </c>
      <c r="K1985" s="337">
        <f t="shared" si="2445"/>
        <v>171639</v>
      </c>
      <c r="L1985" s="275">
        <f t="shared" si="2446"/>
        <v>166608</v>
      </c>
      <c r="M1985" s="276">
        <f t="shared" si="2447"/>
        <v>5031</v>
      </c>
      <c r="N1985" s="341" t="str">
        <f t="shared" si="2448"/>
        <v>-</v>
      </c>
      <c r="O1985" s="350">
        <f t="shared" si="2405"/>
        <v>2.9311520109066121E-2</v>
      </c>
    </row>
    <row r="1986" spans="1:15" ht="24" thickBot="1" x14ac:dyDescent="0.35">
      <c r="A1986" s="277" t="s">
        <v>108</v>
      </c>
      <c r="B1986" s="977"/>
      <c r="C1986" s="304"/>
      <c r="D1986" s="305" t="s">
        <v>53</v>
      </c>
      <c r="E1986" s="287">
        <v>0</v>
      </c>
      <c r="F1986" s="288">
        <v>50000</v>
      </c>
      <c r="G1986" s="323">
        <f>SUM(G1983:G1985)</f>
        <v>0</v>
      </c>
      <c r="H1986" s="324">
        <f>SUM(H1983:H1985)</f>
        <v>0</v>
      </c>
      <c r="I1986" s="324">
        <f>SUM(I1983:I1985)</f>
        <v>0</v>
      </c>
      <c r="J1986" s="348" t="e">
        <f>+H1986/G1986</f>
        <v>#DIV/0!</v>
      </c>
      <c r="K1986" s="323">
        <f>SUM(K1983:K1985)</f>
        <v>427128</v>
      </c>
      <c r="L1986" s="324">
        <f>SUM(L1983:L1985)</f>
        <v>417456</v>
      </c>
      <c r="M1986" s="325">
        <f>SUM(M1983:M1985)</f>
        <v>9672</v>
      </c>
      <c r="N1986" s="342" t="str">
        <f t="shared" si="2448"/>
        <v>-</v>
      </c>
      <c r="O1986" s="348">
        <f t="shared" si="2405"/>
        <v>2.2644265887509132E-2</v>
      </c>
    </row>
    <row r="1987" spans="1:15" ht="23.4" x14ac:dyDescent="0.3">
      <c r="A1987" s="277" t="s">
        <v>108</v>
      </c>
      <c r="B1987" s="977"/>
      <c r="C1987" s="300" t="s">
        <v>543</v>
      </c>
      <c r="D1987" s="300" t="s">
        <v>99</v>
      </c>
      <c r="E1987" s="273">
        <v>500000</v>
      </c>
      <c r="F1987" s="274"/>
      <c r="G1987" s="335">
        <f t="shared" ref="G1987:G1991" si="2449">+H1987+I1987</f>
        <v>15670</v>
      </c>
      <c r="H1987" s="275">
        <v>14976</v>
      </c>
      <c r="I1987" s="275">
        <v>694</v>
      </c>
      <c r="J1987" s="354" t="str">
        <f>IFERROR(G1987/#REF!,"-")</f>
        <v>-</v>
      </c>
      <c r="K1987" s="335">
        <f t="shared" ref="K1987:K1991" si="2450">+L1987+M1987</f>
        <v>16626</v>
      </c>
      <c r="L1987" s="275">
        <f t="shared" ref="L1987" si="2451">+H1987+L1880</f>
        <v>15932</v>
      </c>
      <c r="M1987" s="276">
        <f t="shared" ref="M1987" si="2452">+I1987+M1880</f>
        <v>694</v>
      </c>
      <c r="N1987" s="339">
        <f t="shared" si="2448"/>
        <v>3.3251999999999997E-2</v>
      </c>
      <c r="O1987" s="349">
        <f t="shared" si="2405"/>
        <v>4.174185011427884E-2</v>
      </c>
    </row>
    <row r="1988" spans="1:15" ht="23.4" x14ac:dyDescent="0.3">
      <c r="A1988" s="277"/>
      <c r="B1988" s="977"/>
      <c r="C1988" s="306" t="s">
        <v>585</v>
      </c>
      <c r="D1988" s="302" t="s">
        <v>370</v>
      </c>
      <c r="E1988" s="273"/>
      <c r="F1988" s="274"/>
      <c r="G1988" s="335"/>
      <c r="H1988" s="275">
        <v>46800</v>
      </c>
      <c r="I1988" s="275"/>
      <c r="J1988" s="354"/>
      <c r="K1988" s="335">
        <f t="shared" ref="K1988" si="2453">+L1988+M1988</f>
        <v>47078</v>
      </c>
      <c r="L1988" s="275">
        <f>+H1988</f>
        <v>46800</v>
      </c>
      <c r="M1988" s="276">
        <f t="shared" ref="M1988" si="2454">+I1988+M1881</f>
        <v>278</v>
      </c>
      <c r="N1988" s="339"/>
      <c r="O1988" s="349">
        <f t="shared" si="2405"/>
        <v>5.9050936743277119E-3</v>
      </c>
    </row>
    <row r="1989" spans="1:15" ht="23.4" x14ac:dyDescent="0.3">
      <c r="A1989" s="277"/>
      <c r="B1989" s="977"/>
      <c r="C1989" s="306" t="s">
        <v>588</v>
      </c>
      <c r="D1989" s="302" t="s">
        <v>370</v>
      </c>
      <c r="E1989" s="273"/>
      <c r="F1989" s="274"/>
      <c r="G1989" s="335"/>
      <c r="H1989" s="275">
        <v>1872</v>
      </c>
      <c r="I1989" s="275">
        <v>270</v>
      </c>
      <c r="J1989" s="354"/>
      <c r="K1989" s="335">
        <f t="shared" ref="K1989" si="2455">+L1989+M1989</f>
        <v>2142</v>
      </c>
      <c r="L1989" s="275">
        <f>+H1989</f>
        <v>1872</v>
      </c>
      <c r="M1989" s="276">
        <f t="shared" ref="M1989" si="2456">+I1989+M1882</f>
        <v>270</v>
      </c>
      <c r="N1989" s="339"/>
      <c r="O1989" s="349">
        <f t="shared" si="2405"/>
        <v>0.12605042016806722</v>
      </c>
    </row>
    <row r="1990" spans="1:15" ht="23.4" x14ac:dyDescent="0.3">
      <c r="A1990" s="277" t="s">
        <v>108</v>
      </c>
      <c r="B1990" s="977"/>
      <c r="C1990" s="306" t="s">
        <v>373</v>
      </c>
      <c r="D1990" s="306" t="s">
        <v>254</v>
      </c>
      <c r="E1990" s="279">
        <v>0</v>
      </c>
      <c r="F1990" s="280"/>
      <c r="G1990" s="336">
        <f t="shared" si="2449"/>
        <v>0</v>
      </c>
      <c r="H1990" s="281"/>
      <c r="I1990" s="281"/>
      <c r="J1990" s="355" t="str">
        <f>IFERROR(G1990/#REF!,"-")</f>
        <v>-</v>
      </c>
      <c r="K1990" s="336">
        <f t="shared" si="2450"/>
        <v>13599</v>
      </c>
      <c r="L1990" s="275">
        <f>+H1990+L1881</f>
        <v>13321</v>
      </c>
      <c r="M1990" s="276">
        <f>+I1990+M1881</f>
        <v>278</v>
      </c>
      <c r="N1990" s="340" t="str">
        <f t="shared" si="2448"/>
        <v>-</v>
      </c>
      <c r="O1990" s="264">
        <f t="shared" si="2405"/>
        <v>2.0442679608794763E-2</v>
      </c>
    </row>
    <row r="1991" spans="1:15" ht="24" thickBot="1" x14ac:dyDescent="0.35">
      <c r="A1991" s="277" t="s">
        <v>108</v>
      </c>
      <c r="B1991" s="977"/>
      <c r="C1991" s="303" t="s">
        <v>544</v>
      </c>
      <c r="D1991" s="303" t="s">
        <v>507</v>
      </c>
      <c r="E1991" s="283">
        <v>0</v>
      </c>
      <c r="F1991" s="284"/>
      <c r="G1991" s="337">
        <f t="shared" si="2449"/>
        <v>0</v>
      </c>
      <c r="H1991" s="285"/>
      <c r="I1991" s="285"/>
      <c r="J1991" s="356" t="str">
        <f>IFERROR(G1991/#REF!,"-")</f>
        <v>-</v>
      </c>
      <c r="K1991" s="337">
        <f t="shared" si="2450"/>
        <v>845</v>
      </c>
      <c r="L1991" s="275">
        <f>+H1991+L1882</f>
        <v>845</v>
      </c>
      <c r="M1991" s="276">
        <f>+I1991+M1882</f>
        <v>0</v>
      </c>
      <c r="N1991" s="341" t="str">
        <f t="shared" si="2448"/>
        <v>-</v>
      </c>
      <c r="O1991" s="350">
        <f t="shared" si="2405"/>
        <v>0</v>
      </c>
    </row>
    <row r="1992" spans="1:15" ht="24" thickBot="1" x14ac:dyDescent="0.35">
      <c r="A1992" s="277" t="s">
        <v>108</v>
      </c>
      <c r="B1992" s="977"/>
      <c r="C1992" s="307"/>
      <c r="D1992" s="308" t="s">
        <v>54</v>
      </c>
      <c r="E1992" s="309">
        <f>SUM(E1987)</f>
        <v>500000</v>
      </c>
      <c r="F1992" s="310">
        <v>50000</v>
      </c>
      <c r="G1992" s="369">
        <f>SUM(G1987:G1991)</f>
        <v>15670</v>
      </c>
      <c r="H1992" s="368">
        <f t="shared" ref="H1992:I1992" si="2457">SUM(H1987:H1991)</f>
        <v>63648</v>
      </c>
      <c r="I1992" s="368">
        <f t="shared" si="2457"/>
        <v>964</v>
      </c>
      <c r="J1992" s="359">
        <f>+G1992/F1992</f>
        <v>0.31340000000000001</v>
      </c>
      <c r="K1992" s="369">
        <f t="shared" ref="K1992:M1992" si="2458">SUM(K1987:K1991)</f>
        <v>80290</v>
      </c>
      <c r="L1992" s="368">
        <f t="shared" si="2458"/>
        <v>78770</v>
      </c>
      <c r="M1992" s="370">
        <f t="shared" si="2458"/>
        <v>1520</v>
      </c>
      <c r="N1992" s="358">
        <f t="shared" si="2448"/>
        <v>0.16058</v>
      </c>
      <c r="O1992" s="359">
        <f t="shared" si="2405"/>
        <v>1.8931373770083446E-2</v>
      </c>
    </row>
    <row r="1993" spans="1:15" ht="24" thickBot="1" x14ac:dyDescent="0.35">
      <c r="A1993" s="277" t="s">
        <v>108</v>
      </c>
      <c r="B1993" s="978" t="s">
        <v>171</v>
      </c>
      <c r="C1993" s="979"/>
      <c r="D1993" s="980"/>
      <c r="E1993" s="311">
        <f>+E1992+E1986</f>
        <v>500000</v>
      </c>
      <c r="F1993" s="312">
        <v>50000</v>
      </c>
      <c r="G1993" s="372">
        <f>+G1986+G1992</f>
        <v>15670</v>
      </c>
      <c r="H1993" s="371">
        <f t="shared" ref="H1993:I1993" si="2459">+H1986+H1992</f>
        <v>63648</v>
      </c>
      <c r="I1993" s="371">
        <f t="shared" si="2459"/>
        <v>964</v>
      </c>
      <c r="J1993" s="361">
        <f>+G1993/F1993</f>
        <v>0.31340000000000001</v>
      </c>
      <c r="K1993" s="372">
        <f t="shared" ref="K1993:M1993" si="2460">+K1986+K1992</f>
        <v>507418</v>
      </c>
      <c r="L1993" s="371">
        <f t="shared" si="2460"/>
        <v>496226</v>
      </c>
      <c r="M1993" s="373">
        <f t="shared" si="2460"/>
        <v>11192</v>
      </c>
      <c r="N1993" s="360">
        <f t="shared" si="2448"/>
        <v>1.0148360000000001</v>
      </c>
      <c r="O1993" s="361">
        <f t="shared" si="2405"/>
        <v>2.2056765822260935E-2</v>
      </c>
    </row>
    <row r="1994" spans="1:15" ht="24" thickBot="1" x14ac:dyDescent="0.35">
      <c r="A1994" s="277" t="s">
        <v>108</v>
      </c>
      <c r="B1994" s="608" t="s">
        <v>32</v>
      </c>
      <c r="C1994" s="908"/>
      <c r="D1994" s="313" t="s">
        <v>32</v>
      </c>
      <c r="E1994" s="290">
        <v>0</v>
      </c>
      <c r="F1994" s="291">
        <v>110000</v>
      </c>
      <c r="G1994" s="338">
        <f t="shared" ref="G1994" si="2461">+H1994+I1994</f>
        <v>0</v>
      </c>
      <c r="H1994" s="292"/>
      <c r="I1994" s="292"/>
      <c r="J1994" s="357" t="str">
        <f>IFERROR(G1994/#REF!,"-")</f>
        <v>-</v>
      </c>
      <c r="K1994" s="338">
        <f>+L1994+M1994</f>
        <v>0</v>
      </c>
      <c r="L1994" s="292">
        <f>+H1994+L1885</f>
        <v>0</v>
      </c>
      <c r="M1994" s="293">
        <f>+I1994+M1885</f>
        <v>0</v>
      </c>
      <c r="N1994" s="343" t="str">
        <f t="shared" si="2448"/>
        <v>-</v>
      </c>
      <c r="O1994" s="351" t="str">
        <f t="shared" si="2405"/>
        <v>-</v>
      </c>
    </row>
    <row r="1995" spans="1:15" ht="24" thickBot="1" x14ac:dyDescent="0.35">
      <c r="A1995" s="277" t="s">
        <v>108</v>
      </c>
      <c r="B1995" s="981" t="s">
        <v>21</v>
      </c>
      <c r="C1995" s="982"/>
      <c r="D1995" s="983"/>
      <c r="E1995" s="329">
        <f>+E1982+E1993+E1994</f>
        <v>3112056</v>
      </c>
      <c r="F1995" s="330">
        <f>+F1982+F1993+F1994</f>
        <v>400000</v>
      </c>
      <c r="G1995" s="329">
        <f>+G1982+G1993+G1994</f>
        <v>76391</v>
      </c>
      <c r="H1995" s="327">
        <f>+H1982+H1993+H1994</f>
        <v>123318</v>
      </c>
      <c r="I1995" s="327">
        <f>+I1982+I1993+I1994</f>
        <v>2015</v>
      </c>
      <c r="J1995" s="352">
        <f>+G1995/F1995</f>
        <v>0.19097749999999999</v>
      </c>
      <c r="K1995" s="329">
        <f>+K1982+K1993+K1994</f>
        <v>3363163</v>
      </c>
      <c r="L1995" s="327">
        <f>+L1982+L1993+L1994</f>
        <v>3311379</v>
      </c>
      <c r="M1995" s="328">
        <f>+M1982+M1993+M1994</f>
        <v>51784</v>
      </c>
      <c r="N1995" s="344">
        <f t="shared" si="2448"/>
        <v>1.0806884580483127</v>
      </c>
      <c r="O1995" s="352">
        <f t="shared" si="2405"/>
        <v>1.5397410116607491E-2</v>
      </c>
    </row>
    <row r="1996" spans="1:15" ht="24" thickBot="1" x14ac:dyDescent="0.35">
      <c r="A1996" s="277" t="s">
        <v>108</v>
      </c>
      <c r="B1996" s="984" t="s">
        <v>179</v>
      </c>
      <c r="C1996" s="962"/>
      <c r="D1996" s="963"/>
      <c r="E1996" s="333">
        <f>+E1995</f>
        <v>3112056</v>
      </c>
      <c r="F1996" s="334">
        <f t="shared" ref="F1996:I1996" si="2462">+F1995</f>
        <v>400000</v>
      </c>
      <c r="G1996" s="333">
        <f t="shared" si="2462"/>
        <v>76391</v>
      </c>
      <c r="H1996" s="331">
        <f t="shared" si="2462"/>
        <v>123318</v>
      </c>
      <c r="I1996" s="331">
        <f t="shared" si="2462"/>
        <v>2015</v>
      </c>
      <c r="J1996" s="353">
        <f>+J1995</f>
        <v>0.19097749999999999</v>
      </c>
      <c r="K1996" s="333">
        <f>+K1995</f>
        <v>3363163</v>
      </c>
      <c r="L1996" s="331">
        <f t="shared" ref="L1996" si="2463">+L1995</f>
        <v>3311379</v>
      </c>
      <c r="M1996" s="332">
        <f>+M1995</f>
        <v>51784</v>
      </c>
      <c r="N1996" s="345">
        <f t="shared" ref="N1996:O1996" si="2464">+N1995</f>
        <v>1.0806884580483127</v>
      </c>
      <c r="O1996" s="353">
        <f t="shared" si="2464"/>
        <v>1.5397410116607491E-2</v>
      </c>
    </row>
    <row r="1997" spans="1:15" ht="23.4" x14ac:dyDescent="0.3">
      <c r="A1997" s="271" t="s">
        <v>109</v>
      </c>
      <c r="B1997" s="970" t="s">
        <v>482</v>
      </c>
      <c r="C1997" s="314" t="s">
        <v>120</v>
      </c>
      <c r="D1997" s="314"/>
      <c r="E1997" s="273">
        <v>34000</v>
      </c>
      <c r="F1997" s="274"/>
      <c r="G1997" s="335">
        <f t="shared" ref="G1997:G1999" si="2465">+H1997+I1997</f>
        <v>0</v>
      </c>
      <c r="H1997" s="275"/>
      <c r="I1997" s="275"/>
      <c r="J1997" s="354" t="str">
        <f>IFERROR(G1997/#REF!,"-")</f>
        <v>-</v>
      </c>
      <c r="K1997" s="335">
        <f t="shared" ref="K1997:K1999" si="2466">+L1997+M1997</f>
        <v>0</v>
      </c>
      <c r="L1997" s="275">
        <f t="shared" ref="L1997:M1999" si="2467">+H1997+L1888</f>
        <v>0</v>
      </c>
      <c r="M1997" s="276">
        <f t="shared" si="2467"/>
        <v>0</v>
      </c>
      <c r="N1997" s="339">
        <f t="shared" ref="N1997:N2004" si="2468">IFERROR(K1997/E1997,"-")</f>
        <v>0</v>
      </c>
      <c r="O1997" s="349" t="str">
        <f t="shared" ref="O1997:O2022" si="2469">IFERROR(M1997/K1997,"-")</f>
        <v>-</v>
      </c>
    </row>
    <row r="1998" spans="1:15" ht="23.4" x14ac:dyDescent="0.3">
      <c r="A1998" s="277" t="s">
        <v>109</v>
      </c>
      <c r="B1998" s="972"/>
      <c r="C1998" s="315" t="s">
        <v>267</v>
      </c>
      <c r="D1998" s="315"/>
      <c r="E1998" s="279">
        <v>0</v>
      </c>
      <c r="F1998" s="280"/>
      <c r="G1998" s="336">
        <f t="shared" si="2465"/>
        <v>0</v>
      </c>
      <c r="H1998" s="281"/>
      <c r="I1998" s="281"/>
      <c r="J1998" s="355" t="str">
        <f>IFERROR(G1998/#REF!,"-")</f>
        <v>-</v>
      </c>
      <c r="K1998" s="336">
        <f t="shared" si="2466"/>
        <v>21301</v>
      </c>
      <c r="L1998" s="275">
        <f t="shared" si="2467"/>
        <v>20077</v>
      </c>
      <c r="M1998" s="276">
        <f t="shared" si="2467"/>
        <v>1224</v>
      </c>
      <c r="N1998" s="340" t="str">
        <f t="shared" si="2468"/>
        <v>-</v>
      </c>
      <c r="O1998" s="264">
        <f t="shared" si="2469"/>
        <v>5.7462090981644051E-2</v>
      </c>
    </row>
    <row r="1999" spans="1:15" ht="24" thickBot="1" x14ac:dyDescent="0.35">
      <c r="A1999" s="277" t="s">
        <v>109</v>
      </c>
      <c r="B1999" s="971"/>
      <c r="C1999" s="316" t="s">
        <v>34</v>
      </c>
      <c r="D1999" s="316"/>
      <c r="E1999" s="283">
        <v>0</v>
      </c>
      <c r="F1999" s="284"/>
      <c r="G1999" s="337">
        <f t="shared" si="2465"/>
        <v>0</v>
      </c>
      <c r="H1999" s="285"/>
      <c r="I1999" s="285"/>
      <c r="J1999" s="356" t="str">
        <f>IFERROR(G1999/#REF!,"-")</f>
        <v>-</v>
      </c>
      <c r="K1999" s="337">
        <f t="shared" si="2466"/>
        <v>0</v>
      </c>
      <c r="L1999" s="275">
        <f t="shared" si="2467"/>
        <v>0</v>
      </c>
      <c r="M1999" s="276">
        <f t="shared" si="2467"/>
        <v>0</v>
      </c>
      <c r="N1999" s="341" t="str">
        <f t="shared" si="2468"/>
        <v>-</v>
      </c>
      <c r="O1999" s="350" t="str">
        <f t="shared" si="2469"/>
        <v>-</v>
      </c>
    </row>
    <row r="2000" spans="1:15" ht="24" thickBot="1" x14ac:dyDescent="0.35">
      <c r="A2000" s="277" t="s">
        <v>109</v>
      </c>
      <c r="B2000" s="967" t="s">
        <v>35</v>
      </c>
      <c r="C2000" s="968"/>
      <c r="D2000" s="969"/>
      <c r="E2000" s="287">
        <f>SUM(E1997:E1999)</f>
        <v>34000</v>
      </c>
      <c r="F2000" s="288">
        <v>6500</v>
      </c>
      <c r="G2000" s="323">
        <f>SUM(G1997:G1999)</f>
        <v>0</v>
      </c>
      <c r="H2000" s="324">
        <f t="shared" ref="H2000:I2000" si="2470">SUM(H1997:H1999)</f>
        <v>0</v>
      </c>
      <c r="I2000" s="324">
        <f t="shared" si="2470"/>
        <v>0</v>
      </c>
      <c r="J2000" s="348" t="str">
        <f>IFERROR(G2000/#REF!,"-")</f>
        <v>-</v>
      </c>
      <c r="K2000" s="323">
        <f t="shared" ref="K2000:M2000" si="2471">SUM(K1997:K1999)</f>
        <v>21301</v>
      </c>
      <c r="L2000" s="324">
        <f t="shared" si="2471"/>
        <v>20077</v>
      </c>
      <c r="M2000" s="325">
        <f t="shared" si="2471"/>
        <v>1224</v>
      </c>
      <c r="N2000" s="342">
        <f t="shared" si="2468"/>
        <v>0.62649999999999995</v>
      </c>
      <c r="O2000" s="348">
        <f t="shared" si="2469"/>
        <v>5.7462090981644051E-2</v>
      </c>
    </row>
    <row r="2001" spans="1:15" ht="23.4" x14ac:dyDescent="0.3">
      <c r="A2001" s="277" t="s">
        <v>109</v>
      </c>
      <c r="B2001" s="970" t="s">
        <v>36</v>
      </c>
      <c r="C2001" s="314" t="s">
        <v>120</v>
      </c>
      <c r="D2001" s="314"/>
      <c r="E2001" s="273">
        <v>64360</v>
      </c>
      <c r="F2001" s="274"/>
      <c r="G2001" s="335">
        <f t="shared" ref="G2001:G2004" si="2472">+H2001+I2001</f>
        <v>0</v>
      </c>
      <c r="H2001" s="275"/>
      <c r="I2001" s="275"/>
      <c r="J2001" s="354" t="str">
        <f>IFERROR(G2001/#REF!,"-")</f>
        <v>-</v>
      </c>
      <c r="K2001" s="335">
        <f t="shared" ref="K2001:K2004" si="2473">+L2001+M2001</f>
        <v>5880</v>
      </c>
      <c r="L2001" s="275">
        <f t="shared" ref="L2001:M2004" si="2474">+H2001+L1892</f>
        <v>5760</v>
      </c>
      <c r="M2001" s="276">
        <f t="shared" si="2474"/>
        <v>120</v>
      </c>
      <c r="N2001" s="339">
        <f t="shared" si="2468"/>
        <v>9.1361093847110011E-2</v>
      </c>
      <c r="O2001" s="349">
        <f t="shared" si="2469"/>
        <v>2.0408163265306121E-2</v>
      </c>
    </row>
    <row r="2002" spans="1:15" ht="23.4" x14ac:dyDescent="0.3">
      <c r="A2002" s="277" t="s">
        <v>109</v>
      </c>
      <c r="B2002" s="972"/>
      <c r="C2002" s="315" t="s">
        <v>267</v>
      </c>
      <c r="D2002" s="315"/>
      <c r="E2002" s="279">
        <v>0</v>
      </c>
      <c r="F2002" s="280"/>
      <c r="G2002" s="336">
        <f t="shared" si="2472"/>
        <v>2665</v>
      </c>
      <c r="H2002" s="281">
        <v>2560</v>
      </c>
      <c r="I2002" s="281">
        <v>105</v>
      </c>
      <c r="J2002" s="355" t="str">
        <f>IFERROR(G2002/#REF!,"-")</f>
        <v>-</v>
      </c>
      <c r="K2002" s="336">
        <f t="shared" si="2473"/>
        <v>55903</v>
      </c>
      <c r="L2002" s="275">
        <f t="shared" si="2474"/>
        <v>53929</v>
      </c>
      <c r="M2002" s="276">
        <f t="shared" si="2474"/>
        <v>1974</v>
      </c>
      <c r="N2002" s="340" t="str">
        <f t="shared" si="2468"/>
        <v>-</v>
      </c>
      <c r="O2002" s="264">
        <f t="shared" si="2469"/>
        <v>3.5311163980466166E-2</v>
      </c>
    </row>
    <row r="2003" spans="1:15" ht="23.4" x14ac:dyDescent="0.3">
      <c r="A2003" s="277" t="s">
        <v>109</v>
      </c>
      <c r="B2003" s="972"/>
      <c r="C2003" s="315" t="s">
        <v>198</v>
      </c>
      <c r="D2003" s="315"/>
      <c r="E2003" s="279">
        <v>0</v>
      </c>
      <c r="F2003" s="280"/>
      <c r="G2003" s="336">
        <f t="shared" si="2472"/>
        <v>0</v>
      </c>
      <c r="H2003" s="281"/>
      <c r="I2003" s="281"/>
      <c r="J2003" s="355" t="str">
        <f>IFERROR(G2003/#REF!,"-")</f>
        <v>-</v>
      </c>
      <c r="K2003" s="336">
        <f t="shared" si="2473"/>
        <v>0</v>
      </c>
      <c r="L2003" s="275">
        <f t="shared" si="2474"/>
        <v>0</v>
      </c>
      <c r="M2003" s="276">
        <f t="shared" si="2474"/>
        <v>0</v>
      </c>
      <c r="N2003" s="340" t="str">
        <f t="shared" si="2468"/>
        <v>-</v>
      </c>
      <c r="O2003" s="264" t="str">
        <f t="shared" si="2469"/>
        <v>-</v>
      </c>
    </row>
    <row r="2004" spans="1:15" ht="24" thickBot="1" x14ac:dyDescent="0.35">
      <c r="A2004" s="277" t="s">
        <v>109</v>
      </c>
      <c r="B2004" s="971"/>
      <c r="C2004" s="316" t="s">
        <v>37</v>
      </c>
      <c r="D2004" s="316"/>
      <c r="E2004" s="283">
        <v>0</v>
      </c>
      <c r="F2004" s="284"/>
      <c r="G2004" s="337">
        <f t="shared" si="2472"/>
        <v>0</v>
      </c>
      <c r="H2004" s="285"/>
      <c r="I2004" s="285"/>
      <c r="J2004" s="356" t="str">
        <f>IFERROR(G2004/#REF!,"-")</f>
        <v>-</v>
      </c>
      <c r="K2004" s="337">
        <f t="shared" si="2473"/>
        <v>0</v>
      </c>
      <c r="L2004" s="275">
        <f t="shared" si="2474"/>
        <v>0</v>
      </c>
      <c r="M2004" s="276">
        <f t="shared" si="2474"/>
        <v>0</v>
      </c>
      <c r="N2004" s="341" t="str">
        <f t="shared" si="2468"/>
        <v>-</v>
      </c>
      <c r="O2004" s="350" t="str">
        <f t="shared" si="2469"/>
        <v>-</v>
      </c>
    </row>
    <row r="2005" spans="1:15" ht="24" thickBot="1" x14ac:dyDescent="0.35">
      <c r="A2005" s="277" t="s">
        <v>109</v>
      </c>
      <c r="B2005" s="967" t="s">
        <v>38</v>
      </c>
      <c r="C2005" s="968"/>
      <c r="D2005" s="969"/>
      <c r="E2005" s="287">
        <f>SUM(E2001:E2004)</f>
        <v>64360</v>
      </c>
      <c r="F2005" s="288">
        <v>6500</v>
      </c>
      <c r="G2005" s="323">
        <f>SUM(G2001:G2004)</f>
        <v>2665</v>
      </c>
      <c r="H2005" s="324">
        <f t="shared" ref="H2005:I2005" si="2475">SUM(H2001:H2004)</f>
        <v>2560</v>
      </c>
      <c r="I2005" s="324">
        <f t="shared" si="2475"/>
        <v>105</v>
      </c>
      <c r="J2005" s="348" t="str">
        <f>IFERROR(G2005/#REF!,"-")</f>
        <v>-</v>
      </c>
      <c r="K2005" s="323">
        <f t="shared" ref="K2005:M2005" si="2476">SUM(K2001:K2004)</f>
        <v>61783</v>
      </c>
      <c r="L2005" s="324">
        <f t="shared" si="2476"/>
        <v>59689</v>
      </c>
      <c r="M2005" s="325">
        <f t="shared" si="2476"/>
        <v>2094</v>
      </c>
      <c r="N2005" s="342">
        <f>IFERROR(K2005/E2005,"-")</f>
        <v>0.9599596022374145</v>
      </c>
      <c r="O2005" s="348">
        <f t="shared" si="2469"/>
        <v>3.389281841283201E-2</v>
      </c>
    </row>
    <row r="2006" spans="1:15" ht="23.4" x14ac:dyDescent="0.3">
      <c r="A2006" s="277" t="s">
        <v>109</v>
      </c>
      <c r="B2006" s="970" t="s">
        <v>483</v>
      </c>
      <c r="C2006" s="317" t="s">
        <v>123</v>
      </c>
      <c r="D2006" s="317"/>
      <c r="E2006" s="273">
        <v>39800</v>
      </c>
      <c r="F2006" s="274"/>
      <c r="G2006" s="335">
        <f t="shared" ref="G2006:G2007" si="2477">+H2006+I2006</f>
        <v>0</v>
      </c>
      <c r="H2006" s="275"/>
      <c r="I2006" s="275"/>
      <c r="J2006" s="354" t="str">
        <f>IFERROR(G2006/#REF!,"-")</f>
        <v>-</v>
      </c>
      <c r="K2006" s="335">
        <f t="shared" ref="K2006:K2007" si="2478">+L2006+M2006</f>
        <v>144</v>
      </c>
      <c r="L2006" s="275">
        <f>+H2006+L1897</f>
        <v>144</v>
      </c>
      <c r="M2006" s="276">
        <f>+I2006+M1897</f>
        <v>0</v>
      </c>
      <c r="N2006" s="339">
        <f t="shared" ref="N2006:N2022" si="2479">IFERROR(K2006/E2006,"-")</f>
        <v>3.6180904522613066E-3</v>
      </c>
      <c r="O2006" s="349">
        <f t="shared" si="2469"/>
        <v>0</v>
      </c>
    </row>
    <row r="2007" spans="1:15" ht="24" thickBot="1" x14ac:dyDescent="0.35">
      <c r="A2007" s="277" t="s">
        <v>109</v>
      </c>
      <c r="B2007" s="971"/>
      <c r="C2007" s="289" t="s">
        <v>139</v>
      </c>
      <c r="D2007" s="289"/>
      <c r="E2007" s="283">
        <v>0</v>
      </c>
      <c r="F2007" s="284"/>
      <c r="G2007" s="337">
        <f t="shared" si="2477"/>
        <v>1283</v>
      </c>
      <c r="H2007" s="285">
        <v>1200</v>
      </c>
      <c r="I2007" s="285">
        <v>83</v>
      </c>
      <c r="J2007" s="356" t="str">
        <f>IFERROR(G2007/#REF!,"-")</f>
        <v>-</v>
      </c>
      <c r="K2007" s="337">
        <f t="shared" si="2478"/>
        <v>8888</v>
      </c>
      <c r="L2007" s="275">
        <f>+H2007+L1898</f>
        <v>8240</v>
      </c>
      <c r="M2007" s="276">
        <f>+I2007+M1898</f>
        <v>648</v>
      </c>
      <c r="N2007" s="341" t="str">
        <f t="shared" si="2479"/>
        <v>-</v>
      </c>
      <c r="O2007" s="350">
        <f t="shared" si="2469"/>
        <v>7.2907290729072913E-2</v>
      </c>
    </row>
    <row r="2008" spans="1:15" ht="24" thickBot="1" x14ac:dyDescent="0.35">
      <c r="A2008" s="912" t="s">
        <v>109</v>
      </c>
      <c r="B2008" s="967" t="s">
        <v>40</v>
      </c>
      <c r="C2008" s="968"/>
      <c r="D2008" s="969"/>
      <c r="E2008" s="287">
        <f>SUM(E2006:E2007)</f>
        <v>39800</v>
      </c>
      <c r="F2008" s="288">
        <v>2800</v>
      </c>
      <c r="G2008" s="323">
        <f>SUM(G2006:G2007)</f>
        <v>1283</v>
      </c>
      <c r="H2008" s="324">
        <f t="shared" ref="H2008:I2008" si="2480">SUM(H2006:H2007)</f>
        <v>1200</v>
      </c>
      <c r="I2008" s="324">
        <f t="shared" si="2480"/>
        <v>83</v>
      </c>
      <c r="J2008" s="348" t="str">
        <f>IFERROR(G2008/#REF!,"-")</f>
        <v>-</v>
      </c>
      <c r="K2008" s="323">
        <f t="shared" ref="K2008:M2008" si="2481">SUM(K2006:K2007)</f>
        <v>9032</v>
      </c>
      <c r="L2008" s="324">
        <f t="shared" si="2481"/>
        <v>8384</v>
      </c>
      <c r="M2008" s="325">
        <f t="shared" si="2481"/>
        <v>648</v>
      </c>
      <c r="N2008" s="342">
        <f t="shared" si="2479"/>
        <v>0.22693467336683418</v>
      </c>
      <c r="O2008" s="348">
        <f t="shared" si="2469"/>
        <v>7.1744906997342775E-2</v>
      </c>
    </row>
    <row r="2009" spans="1:15" ht="23.4" x14ac:dyDescent="0.3">
      <c r="A2009" s="277" t="s">
        <v>109</v>
      </c>
      <c r="B2009" s="970" t="s">
        <v>484</v>
      </c>
      <c r="C2009" s="272" t="s">
        <v>335</v>
      </c>
      <c r="D2009" s="272"/>
      <c r="E2009" s="273">
        <v>916640</v>
      </c>
      <c r="F2009" s="318"/>
      <c r="G2009" s="335">
        <f t="shared" ref="G2009:G2013" si="2482">+H2009+I2009</f>
        <v>18604</v>
      </c>
      <c r="H2009" s="275">
        <v>18528</v>
      </c>
      <c r="I2009" s="275">
        <v>76</v>
      </c>
      <c r="J2009" s="374" t="str">
        <f>IFERROR(G2009/#REF!,"-")</f>
        <v>-</v>
      </c>
      <c r="K2009" s="335">
        <f t="shared" ref="K2009:K2013" si="2483">+L2009+M2009</f>
        <v>532055</v>
      </c>
      <c r="L2009" s="275">
        <f t="shared" ref="L2009:M2013" si="2484">+H2009+L1900</f>
        <v>526464</v>
      </c>
      <c r="M2009" s="275">
        <f t="shared" si="2484"/>
        <v>5591</v>
      </c>
      <c r="N2009" s="362">
        <f t="shared" si="2479"/>
        <v>0.58044052190609186</v>
      </c>
      <c r="O2009" s="363">
        <f t="shared" si="2469"/>
        <v>1.0508312110590071E-2</v>
      </c>
    </row>
    <row r="2010" spans="1:15" ht="23.4" x14ac:dyDescent="0.3">
      <c r="A2010" s="277" t="s">
        <v>109</v>
      </c>
      <c r="B2010" s="972"/>
      <c r="C2010" s="272" t="s">
        <v>336</v>
      </c>
      <c r="D2010" s="278"/>
      <c r="E2010" s="279">
        <v>0</v>
      </c>
      <c r="F2010" s="319"/>
      <c r="G2010" s="336">
        <f t="shared" si="2482"/>
        <v>0</v>
      </c>
      <c r="H2010" s="281"/>
      <c r="I2010" s="281"/>
      <c r="J2010" s="375" t="str">
        <f>IFERROR(G2010/#REF!,"-")</f>
        <v>-</v>
      </c>
      <c r="K2010" s="336">
        <f t="shared" si="2483"/>
        <v>0</v>
      </c>
      <c r="L2010" s="275">
        <f t="shared" si="2484"/>
        <v>0</v>
      </c>
      <c r="M2010" s="276">
        <f t="shared" si="2484"/>
        <v>0</v>
      </c>
      <c r="N2010" s="364" t="str">
        <f t="shared" si="2479"/>
        <v>-</v>
      </c>
      <c r="O2010" s="365" t="str">
        <f t="shared" si="2469"/>
        <v>-</v>
      </c>
    </row>
    <row r="2011" spans="1:15" ht="23.4" x14ac:dyDescent="0.3">
      <c r="A2011" s="277" t="s">
        <v>109</v>
      </c>
      <c r="B2011" s="972"/>
      <c r="C2011" s="278" t="s">
        <v>383</v>
      </c>
      <c r="D2011" s="278"/>
      <c r="E2011" s="279">
        <v>40000</v>
      </c>
      <c r="F2011" s="319"/>
      <c r="G2011" s="336">
        <f t="shared" si="2482"/>
        <v>0</v>
      </c>
      <c r="H2011" s="281"/>
      <c r="I2011" s="281"/>
      <c r="J2011" s="375" t="str">
        <f>IFERROR(G2011/#REF!,"-")</f>
        <v>-</v>
      </c>
      <c r="K2011" s="336">
        <f t="shared" si="2483"/>
        <v>0</v>
      </c>
      <c r="L2011" s="275">
        <f t="shared" si="2484"/>
        <v>0</v>
      </c>
      <c r="M2011" s="276">
        <f t="shared" si="2484"/>
        <v>0</v>
      </c>
      <c r="N2011" s="364">
        <f t="shared" si="2479"/>
        <v>0</v>
      </c>
      <c r="O2011" s="365" t="str">
        <f t="shared" si="2469"/>
        <v>-</v>
      </c>
    </row>
    <row r="2012" spans="1:15" ht="23.4" x14ac:dyDescent="0.3">
      <c r="A2012" s="277" t="s">
        <v>109</v>
      </c>
      <c r="B2012" s="972"/>
      <c r="C2012" s="278" t="s">
        <v>165</v>
      </c>
      <c r="D2012" s="278"/>
      <c r="E2012" s="279">
        <v>0</v>
      </c>
      <c r="F2012" s="319"/>
      <c r="G2012" s="336">
        <f t="shared" si="2482"/>
        <v>0</v>
      </c>
      <c r="H2012" s="281"/>
      <c r="I2012" s="281"/>
      <c r="J2012" s="375" t="str">
        <f>IFERROR(G2012/#REF!,"-")</f>
        <v>-</v>
      </c>
      <c r="K2012" s="336">
        <f t="shared" si="2483"/>
        <v>0</v>
      </c>
      <c r="L2012" s="275">
        <f t="shared" si="2484"/>
        <v>0</v>
      </c>
      <c r="M2012" s="276">
        <f t="shared" si="2484"/>
        <v>0</v>
      </c>
      <c r="N2012" s="364" t="str">
        <f t="shared" si="2479"/>
        <v>-</v>
      </c>
      <c r="O2012" s="365" t="str">
        <f t="shared" si="2469"/>
        <v>-</v>
      </c>
    </row>
    <row r="2013" spans="1:15" ht="24" thickBot="1" x14ac:dyDescent="0.35">
      <c r="A2013" s="277" t="s">
        <v>109</v>
      </c>
      <c r="B2013" s="971"/>
      <c r="C2013" s="282" t="s">
        <v>166</v>
      </c>
      <c r="D2013" s="282"/>
      <c r="E2013" s="283">
        <v>0</v>
      </c>
      <c r="F2013" s="320"/>
      <c r="G2013" s="337">
        <f t="shared" si="2482"/>
        <v>0</v>
      </c>
      <c r="H2013" s="285"/>
      <c r="I2013" s="285"/>
      <c r="J2013" s="376" t="str">
        <f>IFERROR(G2013/#REF!,"-")</f>
        <v>-</v>
      </c>
      <c r="K2013" s="337">
        <f t="shared" si="2483"/>
        <v>0</v>
      </c>
      <c r="L2013" s="275">
        <f t="shared" si="2484"/>
        <v>0</v>
      </c>
      <c r="M2013" s="276">
        <f t="shared" si="2484"/>
        <v>0</v>
      </c>
      <c r="N2013" s="366" t="str">
        <f t="shared" si="2479"/>
        <v>-</v>
      </c>
      <c r="O2013" s="367" t="str">
        <f t="shared" si="2469"/>
        <v>-</v>
      </c>
    </row>
    <row r="2014" spans="1:15" ht="24" thickBot="1" x14ac:dyDescent="0.35">
      <c r="A2014" s="277" t="s">
        <v>109</v>
      </c>
      <c r="B2014" s="967" t="s">
        <v>42</v>
      </c>
      <c r="C2014" s="968"/>
      <c r="D2014" s="969"/>
      <c r="E2014" s="323">
        <f>SUM(E2009:E2013)</f>
        <v>956640</v>
      </c>
      <c r="F2014" s="288">
        <v>25000</v>
      </c>
      <c r="G2014" s="323">
        <f>SUM(G2009:G2013)</f>
        <v>18604</v>
      </c>
      <c r="H2014" s="324">
        <f>SUM(H2009:H2013)</f>
        <v>18528</v>
      </c>
      <c r="I2014" s="324">
        <f>SUM(I2009:I2013)</f>
        <v>76</v>
      </c>
      <c r="J2014" s="348" t="str">
        <f>IFERROR(G2014/#REF!,"-")</f>
        <v>-</v>
      </c>
      <c r="K2014" s="323">
        <f>SUM(K2009:K2013)</f>
        <v>532055</v>
      </c>
      <c r="L2014" s="324">
        <f>SUM(L2009:L2013)</f>
        <v>526464</v>
      </c>
      <c r="M2014" s="325">
        <f>SUM(M2009:M2013)</f>
        <v>5591</v>
      </c>
      <c r="N2014" s="342">
        <f t="shared" si="2479"/>
        <v>0.55617055527680215</v>
      </c>
      <c r="O2014" s="348">
        <f t="shared" si="2469"/>
        <v>1.0508312110590071E-2</v>
      </c>
    </row>
    <row r="2015" spans="1:15" ht="23.4" x14ac:dyDescent="0.3">
      <c r="A2015" s="277" t="s">
        <v>109</v>
      </c>
      <c r="B2015" s="970" t="s">
        <v>485</v>
      </c>
      <c r="C2015" s="272" t="s">
        <v>200</v>
      </c>
      <c r="D2015" s="272"/>
      <c r="E2015" s="273">
        <v>0</v>
      </c>
      <c r="F2015" s="274"/>
      <c r="G2015" s="335">
        <f t="shared" ref="G2015:G2017" si="2485">+H2015+I2015</f>
        <v>0</v>
      </c>
      <c r="H2015" s="275"/>
      <c r="I2015" s="275"/>
      <c r="J2015" s="354" t="str">
        <f>IFERROR(G2015/#REF!,"-")</f>
        <v>-</v>
      </c>
      <c r="K2015" s="335">
        <f t="shared" ref="K2015:K2017" si="2486">+L2015+M2015</f>
        <v>0</v>
      </c>
      <c r="L2015" s="275">
        <f t="shared" ref="L2015:M2017" si="2487">+H2015+L1906</f>
        <v>0</v>
      </c>
      <c r="M2015" s="276">
        <f t="shared" si="2487"/>
        <v>0</v>
      </c>
      <c r="N2015" s="339" t="str">
        <f t="shared" si="2479"/>
        <v>-</v>
      </c>
      <c r="O2015" s="349" t="str">
        <f t="shared" si="2469"/>
        <v>-</v>
      </c>
    </row>
    <row r="2016" spans="1:15" ht="23.4" x14ac:dyDescent="0.3">
      <c r="A2016" s="277" t="s">
        <v>109</v>
      </c>
      <c r="B2016" s="972"/>
      <c r="C2016" s="278" t="s">
        <v>167</v>
      </c>
      <c r="D2016" s="278"/>
      <c r="E2016" s="279">
        <v>50000</v>
      </c>
      <c r="F2016" s="280"/>
      <c r="G2016" s="336">
        <f t="shared" si="2485"/>
        <v>11639</v>
      </c>
      <c r="H2016" s="281">
        <v>11520</v>
      </c>
      <c r="I2016" s="281">
        <v>119</v>
      </c>
      <c r="J2016" s="375" t="str">
        <f>IFERROR(G2016/#REF!,"-")</f>
        <v>-</v>
      </c>
      <c r="K2016" s="336">
        <f t="shared" si="2486"/>
        <v>191166</v>
      </c>
      <c r="L2016" s="794">
        <f t="shared" si="2487"/>
        <v>186576</v>
      </c>
      <c r="M2016" s="276">
        <f t="shared" si="2487"/>
        <v>4590</v>
      </c>
      <c r="N2016" s="364">
        <f t="shared" si="2479"/>
        <v>3.8233199999999998</v>
      </c>
      <c r="O2016" s="365">
        <f t="shared" si="2469"/>
        <v>2.4010545808355044E-2</v>
      </c>
    </row>
    <row r="2017" spans="1:15" ht="24" thickBot="1" x14ac:dyDescent="0.35">
      <c r="A2017" s="277" t="s">
        <v>109</v>
      </c>
      <c r="B2017" s="971"/>
      <c r="C2017" s="282" t="s">
        <v>200</v>
      </c>
      <c r="D2017" s="282"/>
      <c r="E2017" s="283">
        <v>0</v>
      </c>
      <c r="F2017" s="284"/>
      <c r="G2017" s="337">
        <f t="shared" si="2485"/>
        <v>0</v>
      </c>
      <c r="H2017" s="285"/>
      <c r="I2017" s="285"/>
      <c r="J2017" s="376" t="str">
        <f>IFERROR(G2017/#REF!,"-")</f>
        <v>-</v>
      </c>
      <c r="K2017" s="337">
        <f t="shared" si="2486"/>
        <v>0</v>
      </c>
      <c r="L2017" s="275">
        <f t="shared" si="2487"/>
        <v>0</v>
      </c>
      <c r="M2017" s="276">
        <f t="shared" si="2487"/>
        <v>0</v>
      </c>
      <c r="N2017" s="366" t="str">
        <f t="shared" si="2479"/>
        <v>-</v>
      </c>
      <c r="O2017" s="367" t="str">
        <f t="shared" si="2469"/>
        <v>-</v>
      </c>
    </row>
    <row r="2018" spans="1:15" ht="24" thickBot="1" x14ac:dyDescent="0.35">
      <c r="A2018" s="277" t="s">
        <v>109</v>
      </c>
      <c r="B2018" s="973" t="s">
        <v>44</v>
      </c>
      <c r="C2018" s="974"/>
      <c r="D2018" s="975"/>
      <c r="E2018" s="323">
        <f>SUM(E2015:E2017)</f>
        <v>50000</v>
      </c>
      <c r="F2018" s="288"/>
      <c r="G2018" s="323">
        <f>SUM(G2015:G2017)</f>
        <v>11639</v>
      </c>
      <c r="H2018" s="324">
        <f t="shared" ref="H2018:I2018" si="2488">SUM(H2015:H2017)</f>
        <v>11520</v>
      </c>
      <c r="I2018" s="324">
        <f t="shared" si="2488"/>
        <v>119</v>
      </c>
      <c r="J2018" s="348" t="str">
        <f>IFERROR(G2018/#REF!,"-")</f>
        <v>-</v>
      </c>
      <c r="K2018" s="323">
        <f t="shared" ref="K2018:M2018" si="2489">SUM(K2015:K2017)</f>
        <v>191166</v>
      </c>
      <c r="L2018" s="368">
        <f t="shared" si="2489"/>
        <v>186576</v>
      </c>
      <c r="M2018" s="370">
        <f t="shared" si="2489"/>
        <v>4590</v>
      </c>
      <c r="N2018" s="342">
        <f t="shared" si="2479"/>
        <v>3.8233199999999998</v>
      </c>
      <c r="O2018" s="348">
        <f t="shared" si="2469"/>
        <v>2.4010545808355044E-2</v>
      </c>
    </row>
    <row r="2019" spans="1:15" ht="23.4" x14ac:dyDescent="0.3">
      <c r="A2019" s="277" t="s">
        <v>109</v>
      </c>
      <c r="B2019" s="970" t="s">
        <v>45</v>
      </c>
      <c r="C2019" s="272" t="s">
        <v>168</v>
      </c>
      <c r="D2019" s="272"/>
      <c r="E2019" s="273">
        <v>0</v>
      </c>
      <c r="F2019" s="274"/>
      <c r="G2019" s="335">
        <f t="shared" ref="G2019:G2020" si="2490">+H2019+I2019</f>
        <v>0</v>
      </c>
      <c r="H2019" s="275"/>
      <c r="I2019" s="275"/>
      <c r="J2019" s="374" t="str">
        <f>IFERROR(G2019/#REF!,"-")</f>
        <v>-</v>
      </c>
      <c r="K2019" s="739">
        <f t="shared" ref="K2019:K2020" si="2491">+L2019+M2019</f>
        <v>0</v>
      </c>
      <c r="L2019" s="532">
        <f>+H2019+L1910</f>
        <v>0</v>
      </c>
      <c r="M2019" s="247">
        <f>+I2019+M1910</f>
        <v>0</v>
      </c>
      <c r="N2019" s="362" t="str">
        <f t="shared" si="2479"/>
        <v>-</v>
      </c>
      <c r="O2019" s="363" t="str">
        <f t="shared" si="2469"/>
        <v>-</v>
      </c>
    </row>
    <row r="2020" spans="1:15" ht="24" thickBot="1" x14ac:dyDescent="0.35">
      <c r="A2020" s="277" t="s">
        <v>109</v>
      </c>
      <c r="B2020" s="971"/>
      <c r="C2020" s="282" t="s">
        <v>169</v>
      </c>
      <c r="D2020" s="282"/>
      <c r="E2020" s="283">
        <v>0</v>
      </c>
      <c r="F2020" s="284"/>
      <c r="G2020" s="337">
        <f t="shared" si="2490"/>
        <v>0</v>
      </c>
      <c r="H2020" s="285"/>
      <c r="I2020" s="285"/>
      <c r="J2020" s="376" t="str">
        <f>IFERROR(G2020/#REF!,"-")</f>
        <v>-</v>
      </c>
      <c r="K2020" s="740">
        <f t="shared" si="2491"/>
        <v>0</v>
      </c>
      <c r="L2020" s="535">
        <f>+H2020+L1911</f>
        <v>0</v>
      </c>
      <c r="M2020" s="258">
        <f>+I2020+M1911</f>
        <v>0</v>
      </c>
      <c r="N2020" s="366" t="str">
        <f t="shared" si="2479"/>
        <v>-</v>
      </c>
      <c r="O2020" s="367" t="str">
        <f t="shared" si="2469"/>
        <v>-</v>
      </c>
    </row>
    <row r="2021" spans="1:15" ht="24" thickBot="1" x14ac:dyDescent="0.35">
      <c r="A2021" s="277" t="s">
        <v>109</v>
      </c>
      <c r="B2021" s="973" t="s">
        <v>46</v>
      </c>
      <c r="C2021" s="974"/>
      <c r="D2021" s="975"/>
      <c r="E2021" s="287">
        <v>0</v>
      </c>
      <c r="F2021" s="288">
        <v>25000</v>
      </c>
      <c r="G2021" s="323">
        <f>SUM(G2019:G2020)</f>
        <v>0</v>
      </c>
      <c r="H2021" s="324">
        <f t="shared" ref="H2021:I2021" si="2492">SUM(H2019:H2020)</f>
        <v>0</v>
      </c>
      <c r="I2021" s="324">
        <f t="shared" si="2492"/>
        <v>0</v>
      </c>
      <c r="J2021" s="348" t="str">
        <f>IFERROR(G2021/#REF!,"-")</f>
        <v>-</v>
      </c>
      <c r="K2021" s="323">
        <f t="shared" ref="K2021:M2021" si="2493">SUM(K2019:K2020)</f>
        <v>0</v>
      </c>
      <c r="L2021" s="524">
        <f t="shared" si="2493"/>
        <v>0</v>
      </c>
      <c r="M2021" s="733">
        <f t="shared" si="2493"/>
        <v>0</v>
      </c>
      <c r="N2021" s="342" t="str">
        <f t="shared" si="2479"/>
        <v>-</v>
      </c>
      <c r="O2021" s="348" t="str">
        <f t="shared" si="2469"/>
        <v>-</v>
      </c>
    </row>
    <row r="2022" spans="1:15" ht="24" thickBot="1" x14ac:dyDescent="0.35">
      <c r="A2022" s="277" t="s">
        <v>109</v>
      </c>
      <c r="B2022" s="959" t="s">
        <v>25</v>
      </c>
      <c r="C2022" s="960"/>
      <c r="D2022" s="961"/>
      <c r="E2022" s="329">
        <f t="shared" ref="E2022:F2022" si="2494">+E2000+E2005+E2008+E2014+E2018+E2021</f>
        <v>1144800</v>
      </c>
      <c r="F2022" s="330">
        <f t="shared" si="2494"/>
        <v>65800</v>
      </c>
      <c r="G2022" s="329">
        <f>+G2000+G2005+G2008+G2014+G2018+G2021</f>
        <v>34191</v>
      </c>
      <c r="H2022" s="327">
        <f>+H2000+H2005+H2008+H2014+H2018+H2021</f>
        <v>33808</v>
      </c>
      <c r="I2022" s="327">
        <f t="shared" ref="I2022" si="2495">+I2000+I2005+I2008+I2014+I2018+I2021</f>
        <v>383</v>
      </c>
      <c r="J2022" s="352" t="str">
        <f>IFERROR(G2022/#REF!,"-")</f>
        <v>-</v>
      </c>
      <c r="K2022" s="329">
        <f>+K2000+K2005+K2008+K2014+K2018+K2021</f>
        <v>815337</v>
      </c>
      <c r="L2022" s="327">
        <f t="shared" ref="L2022:M2022" si="2496">+L2000+L2005+L2008+L2014+L2018+L2021</f>
        <v>801190</v>
      </c>
      <c r="M2022" s="328">
        <f t="shared" si="2496"/>
        <v>14147</v>
      </c>
      <c r="N2022" s="344">
        <f t="shared" si="2479"/>
        <v>0.71220911949685539</v>
      </c>
      <c r="O2022" s="352">
        <f t="shared" si="2469"/>
        <v>1.7351107578829367E-2</v>
      </c>
    </row>
    <row r="2023" spans="1:15" ht="24" thickBot="1" x14ac:dyDescent="0.35">
      <c r="A2023" s="321" t="s">
        <v>109</v>
      </c>
      <c r="B2023" s="962" t="s">
        <v>181</v>
      </c>
      <c r="C2023" s="962"/>
      <c r="D2023" s="963"/>
      <c r="E2023" s="333">
        <f>+E2022</f>
        <v>1144800</v>
      </c>
      <c r="F2023" s="334">
        <f t="shared" ref="F2023:O2023" si="2497">+F2022</f>
        <v>65800</v>
      </c>
      <c r="G2023" s="333">
        <f t="shared" si="2497"/>
        <v>34191</v>
      </c>
      <c r="H2023" s="331">
        <f t="shared" si="2497"/>
        <v>33808</v>
      </c>
      <c r="I2023" s="331">
        <f t="shared" si="2497"/>
        <v>383</v>
      </c>
      <c r="J2023" s="353" t="str">
        <f t="shared" si="2497"/>
        <v>-</v>
      </c>
      <c r="K2023" s="333">
        <f t="shared" si="2497"/>
        <v>815337</v>
      </c>
      <c r="L2023" s="331">
        <f t="shared" si="2497"/>
        <v>801190</v>
      </c>
      <c r="M2023" s="332">
        <f t="shared" si="2497"/>
        <v>14147</v>
      </c>
      <c r="N2023" s="345">
        <f t="shared" si="2497"/>
        <v>0.71220911949685539</v>
      </c>
      <c r="O2023" s="353">
        <f t="shared" si="2497"/>
        <v>1.7351107578829367E-2</v>
      </c>
    </row>
    <row r="2024" spans="1:15" ht="24.6" thickBot="1" x14ac:dyDescent="0.35">
      <c r="A2024" s="322"/>
      <c r="B2024" s="964" t="s">
        <v>182</v>
      </c>
      <c r="C2024" s="965"/>
      <c r="D2024" s="966"/>
      <c r="E2024" s="377">
        <f>+E1964+E1996+E2023</f>
        <v>10258981</v>
      </c>
      <c r="F2024" s="377">
        <f>+F1964+F1996+F2023</f>
        <v>1014800</v>
      </c>
      <c r="G2024" s="377">
        <f>+G1964+G1996+G2023</f>
        <v>288943</v>
      </c>
      <c r="H2024" s="377">
        <f>+H1964+H1996+H2023</f>
        <v>375986</v>
      </c>
      <c r="I2024" s="377">
        <f>+I1964+I1996+I2023</f>
        <v>4573</v>
      </c>
      <c r="J2024" s="378" t="str">
        <f>IFERROR(G2024/#REF!,"-")</f>
        <v>-</v>
      </c>
      <c r="K2024" s="377">
        <f>+K1964+K1996+K2023</f>
        <v>7726665</v>
      </c>
      <c r="L2024" s="377">
        <f>+L1964+L1996+L2023</f>
        <v>7637261</v>
      </c>
      <c r="M2024" s="377">
        <f>+M1964+M1996+M2023</f>
        <v>89404</v>
      </c>
      <c r="N2024" s="378">
        <f>IFERROR(K2024/E2024,"-")</f>
        <v>0.75316105956332313</v>
      </c>
      <c r="O2024" s="378">
        <f>IFERROR(M2024/K2024,"-")</f>
        <v>1.1570839424253543E-2</v>
      </c>
    </row>
    <row r="2025" spans="1:15" ht="23.4" x14ac:dyDescent="0.3">
      <c r="A2025" s="991" t="s">
        <v>1</v>
      </c>
      <c r="B2025" s="994" t="s">
        <v>2</v>
      </c>
      <c r="C2025" s="997" t="s">
        <v>477</v>
      </c>
      <c r="D2025" s="997" t="s">
        <v>478</v>
      </c>
      <c r="E2025" s="1000" t="s">
        <v>4</v>
      </c>
      <c r="F2025" s="1001"/>
      <c r="G2025" s="1001"/>
      <c r="H2025" s="1001"/>
      <c r="I2025" s="1001"/>
      <c r="J2025" s="1001"/>
      <c r="K2025" s="1001"/>
      <c r="L2025" s="1001"/>
      <c r="M2025" s="1001"/>
      <c r="N2025" s="1001"/>
      <c r="O2025" s="1002"/>
    </row>
    <row r="2026" spans="1:15" ht="23.4" x14ac:dyDescent="0.3">
      <c r="A2026" s="992"/>
      <c r="B2026" s="995"/>
      <c r="C2026" s="998"/>
      <c r="D2026" s="998"/>
      <c r="E2026" s="1003" t="s">
        <v>7</v>
      </c>
      <c r="F2026" s="1005" t="s">
        <v>115</v>
      </c>
      <c r="G2026" s="1007" t="s">
        <v>589</v>
      </c>
      <c r="H2026" s="1008"/>
      <c r="I2026" s="1008"/>
      <c r="J2026" s="1009"/>
      <c r="K2026" s="1010" t="s">
        <v>479</v>
      </c>
      <c r="L2026" s="1011"/>
      <c r="M2026" s="1012"/>
      <c r="N2026" s="1013" t="s">
        <v>480</v>
      </c>
      <c r="O2026" s="1015" t="s">
        <v>172</v>
      </c>
    </row>
    <row r="2027" spans="1:15" ht="41.4" thickBot="1" x14ac:dyDescent="0.35">
      <c r="A2027" s="993"/>
      <c r="B2027" s="996"/>
      <c r="C2027" s="999"/>
      <c r="D2027" s="999"/>
      <c r="E2027" s="1004"/>
      <c r="F2027" s="1006"/>
      <c r="G2027" s="455" t="s">
        <v>13</v>
      </c>
      <c r="H2027" s="456" t="s">
        <v>14</v>
      </c>
      <c r="I2027" s="456" t="s">
        <v>15</v>
      </c>
      <c r="J2027" s="457" t="s">
        <v>174</v>
      </c>
      <c r="K2027" s="712" t="s">
        <v>13</v>
      </c>
      <c r="L2027" s="710" t="s">
        <v>14</v>
      </c>
      <c r="M2027" s="711" t="s">
        <v>15</v>
      </c>
      <c r="N2027" s="1014"/>
      <c r="O2027" s="1016"/>
    </row>
    <row r="2028" spans="1:15" ht="24" thickBot="1" x14ac:dyDescent="0.35">
      <c r="A2028" s="271" t="s">
        <v>110</v>
      </c>
      <c r="B2028" s="956" t="s">
        <v>16</v>
      </c>
      <c r="C2028" s="272" t="s">
        <v>424</v>
      </c>
      <c r="D2028" s="272" t="s">
        <v>425</v>
      </c>
      <c r="E2028" s="273">
        <v>20000</v>
      </c>
      <c r="F2028" s="274"/>
      <c r="G2028" s="335">
        <f>+H2028+I2028</f>
        <v>0</v>
      </c>
      <c r="H2028" s="275"/>
      <c r="I2028" s="275"/>
      <c r="J2028" s="354"/>
      <c r="K2028" s="461">
        <f>+L2028+M2028</f>
        <v>20432</v>
      </c>
      <c r="L2028" s="732">
        <f>+H2028+L1919</f>
        <v>19840</v>
      </c>
      <c r="M2028" s="732">
        <f>+I2028+M1919</f>
        <v>592</v>
      </c>
      <c r="N2028" s="339">
        <f>IFERROR(K2028/E2028,"-")</f>
        <v>1.0216000000000001</v>
      </c>
      <c r="O2028" s="346">
        <f t="shared" ref="O2028:O2029" si="2498">IFERROR(M2028/K2028,"-")</f>
        <v>2.8974158183241974E-2</v>
      </c>
    </row>
    <row r="2029" spans="1:15" ht="23.4" x14ac:dyDescent="0.3">
      <c r="A2029" s="277" t="s">
        <v>110</v>
      </c>
      <c r="B2029" s="957"/>
      <c r="C2029" s="278" t="s">
        <v>438</v>
      </c>
      <c r="D2029" s="278" t="s">
        <v>437</v>
      </c>
      <c r="E2029" s="279">
        <v>50000</v>
      </c>
      <c r="F2029" s="280"/>
      <c r="G2029" s="336">
        <f t="shared" ref="G2029:G2031" si="2499">+H2029+I2029</f>
        <v>0</v>
      </c>
      <c r="H2029" s="281"/>
      <c r="I2029" s="281"/>
      <c r="J2029" s="355" t="str">
        <f>IFERROR(G2029/#REF!,"-")</f>
        <v>-</v>
      </c>
      <c r="K2029" s="734">
        <f t="shared" ref="K2029:K2031" si="2500">+L2029+M2029</f>
        <v>48806</v>
      </c>
      <c r="L2029" s="532">
        <f t="shared" ref="L2029:M2029" si="2501">+H2029+L1920</f>
        <v>48381</v>
      </c>
      <c r="M2029" s="463">
        <f t="shared" si="2501"/>
        <v>425</v>
      </c>
      <c r="N2029" s="340">
        <f t="shared" ref="N2029:N2031" si="2502">IFERROR(K2029/E2029,"-")</f>
        <v>0.97611999999999999</v>
      </c>
      <c r="O2029" s="268">
        <f t="shared" si="2498"/>
        <v>8.7079457443756912E-3</v>
      </c>
    </row>
    <row r="2030" spans="1:15" s="862" customFormat="1" ht="23.4" x14ac:dyDescent="0.3">
      <c r="A2030" s="277" t="s">
        <v>110</v>
      </c>
      <c r="B2030" s="957"/>
      <c r="C2030" s="580" t="s">
        <v>540</v>
      </c>
      <c r="D2030" s="580" t="s">
        <v>410</v>
      </c>
      <c r="E2030" s="859">
        <v>0</v>
      </c>
      <c r="F2030" s="860"/>
      <c r="G2030" s="336">
        <f t="shared" si="2499"/>
        <v>0</v>
      </c>
      <c r="H2030" s="861"/>
      <c r="I2030" s="861"/>
      <c r="J2030" s="355" t="str">
        <f>IFERROR(G2030/#REF!,"-")</f>
        <v>-</v>
      </c>
      <c r="K2030" s="734">
        <f t="shared" si="2500"/>
        <v>28600</v>
      </c>
      <c r="L2030" s="859">
        <f t="shared" ref="L2030:M2030" si="2503">+H2030+L1921</f>
        <v>28600</v>
      </c>
      <c r="M2030" s="534">
        <f t="shared" si="2503"/>
        <v>0</v>
      </c>
      <c r="N2030" s="340" t="str">
        <f t="shared" si="2502"/>
        <v>-</v>
      </c>
      <c r="O2030" s="268">
        <f>IFERROR(M2030/K2030,"-")</f>
        <v>0</v>
      </c>
    </row>
    <row r="2031" spans="1:15" ht="24" thickBot="1" x14ac:dyDescent="0.35">
      <c r="A2031" s="277" t="s">
        <v>110</v>
      </c>
      <c r="B2031" s="958"/>
      <c r="C2031" s="282" t="s">
        <v>525</v>
      </c>
      <c r="D2031" s="282" t="s">
        <v>436</v>
      </c>
      <c r="E2031" s="283">
        <v>30000</v>
      </c>
      <c r="F2031" s="284"/>
      <c r="G2031" s="337">
        <f t="shared" si="2499"/>
        <v>0</v>
      </c>
      <c r="H2031" s="275"/>
      <c r="I2031" s="275"/>
      <c r="J2031" s="356" t="str">
        <f>IFERROR(G2031/#REF!,"-")</f>
        <v>-</v>
      </c>
      <c r="K2031" s="735">
        <f t="shared" si="2500"/>
        <v>25135</v>
      </c>
      <c r="L2031" s="535">
        <f t="shared" ref="L2031:M2031" si="2504">+H2031+L1922</f>
        <v>23296</v>
      </c>
      <c r="M2031" s="466">
        <f t="shared" si="2504"/>
        <v>1839</v>
      </c>
      <c r="N2031" s="341">
        <f t="shared" si="2502"/>
        <v>0.83783333333333332</v>
      </c>
      <c r="O2031" s="347">
        <f t="shared" ref="O2031:O2049" si="2505">IFERROR(M2031/K2031,"-")</f>
        <v>7.3164909488760699E-2</v>
      </c>
    </row>
    <row r="2032" spans="1:15" ht="24" thickBot="1" x14ac:dyDescent="0.35">
      <c r="A2032" s="277" t="s">
        <v>110</v>
      </c>
      <c r="B2032" s="967" t="s">
        <v>47</v>
      </c>
      <c r="C2032" s="968"/>
      <c r="D2032" s="969"/>
      <c r="E2032" s="323">
        <f>SUM(E2028:E2031)</f>
        <v>100000</v>
      </c>
      <c r="F2032" s="288">
        <v>15000</v>
      </c>
      <c r="G2032" s="323">
        <f>SUM(G2028:G2031)</f>
        <v>0</v>
      </c>
      <c r="H2032" s="324">
        <f t="shared" ref="H2032:I2032" si="2506">SUM(H2028:H2031)</f>
        <v>0</v>
      </c>
      <c r="I2032" s="324">
        <f t="shared" si="2506"/>
        <v>0</v>
      </c>
      <c r="J2032" s="348">
        <f>+G2032/F2032</f>
        <v>0</v>
      </c>
      <c r="K2032" s="323">
        <f t="shared" ref="K2032:M2032" si="2507">SUM(K2028:K2031)</f>
        <v>122973</v>
      </c>
      <c r="L2032" s="736">
        <f t="shared" si="2507"/>
        <v>120117</v>
      </c>
      <c r="M2032" s="737">
        <f t="shared" si="2507"/>
        <v>2856</v>
      </c>
      <c r="N2032" s="342">
        <f>IFERROR(K2032/E2032,"-")</f>
        <v>1.22973</v>
      </c>
      <c r="O2032" s="348">
        <f t="shared" si="2505"/>
        <v>2.3224610280305431E-2</v>
      </c>
    </row>
    <row r="2033" spans="1:15" ht="23.4" x14ac:dyDescent="0.3">
      <c r="A2033" s="277" t="s">
        <v>110</v>
      </c>
      <c r="B2033" s="956" t="s">
        <v>17</v>
      </c>
      <c r="C2033" s="272" t="s">
        <v>320</v>
      </c>
      <c r="D2033" s="272"/>
      <c r="E2033" s="273">
        <v>0</v>
      </c>
      <c r="F2033" s="274"/>
      <c r="G2033" s="335">
        <f t="shared" ref="G2033:G2039" si="2508">+H2033+I2033</f>
        <v>0</v>
      </c>
      <c r="H2033" s="275"/>
      <c r="I2033" s="275"/>
      <c r="J2033" s="354" t="str">
        <f>IFERROR(G2033/#REF!,"-")</f>
        <v>-</v>
      </c>
      <c r="K2033" s="738">
        <f t="shared" ref="K2033:K2039" si="2509">+L2033+M2033</f>
        <v>200458</v>
      </c>
      <c r="L2033" s="532">
        <f t="shared" ref="L2033:M2033" si="2510">+H2033+L1924</f>
        <v>199652</v>
      </c>
      <c r="M2033" s="463">
        <f t="shared" si="2510"/>
        <v>806</v>
      </c>
      <c r="N2033" s="339" t="str">
        <f t="shared" ref="N2033:N2039" si="2511">IFERROR(K2033/E2033,"-")</f>
        <v>-</v>
      </c>
      <c r="O2033" s="349">
        <f t="shared" si="2505"/>
        <v>4.0207923854373483E-3</v>
      </c>
    </row>
    <row r="2034" spans="1:15" ht="23.4" x14ac:dyDescent="0.3">
      <c r="A2034" s="277" t="s">
        <v>110</v>
      </c>
      <c r="B2034" s="957"/>
      <c r="C2034" s="278" t="s">
        <v>382</v>
      </c>
      <c r="D2034" s="278" t="s">
        <v>252</v>
      </c>
      <c r="E2034" s="279">
        <v>2000000</v>
      </c>
      <c r="F2034" s="280"/>
      <c r="G2034" s="336">
        <f t="shared" si="2508"/>
        <v>84020</v>
      </c>
      <c r="H2034" s="281">
        <v>82620</v>
      </c>
      <c r="I2034" s="281">
        <v>1400</v>
      </c>
      <c r="J2034" s="355" t="str">
        <f>IFERROR(G2034/#REF!,"-")</f>
        <v>-</v>
      </c>
      <c r="K2034" s="734">
        <f t="shared" si="2509"/>
        <v>1127181</v>
      </c>
      <c r="L2034" s="279">
        <f t="shared" ref="L2034:M2034" si="2512">+H2034+L1925</f>
        <v>1119883</v>
      </c>
      <c r="M2034" s="439">
        <f t="shared" si="2512"/>
        <v>7298</v>
      </c>
      <c r="N2034" s="340">
        <f t="shared" si="2511"/>
        <v>0.56359049999999999</v>
      </c>
      <c r="O2034" s="264">
        <f t="shared" si="2505"/>
        <v>6.474559099204121E-3</v>
      </c>
    </row>
    <row r="2035" spans="1:15" ht="23.4" x14ac:dyDescent="0.3">
      <c r="A2035" s="277" t="s">
        <v>110</v>
      </c>
      <c r="B2035" s="957"/>
      <c r="C2035" s="278" t="s">
        <v>422</v>
      </c>
      <c r="D2035" s="278" t="s">
        <v>201</v>
      </c>
      <c r="E2035" s="279">
        <v>1000000</v>
      </c>
      <c r="F2035" s="280"/>
      <c r="G2035" s="336">
        <f t="shared" si="2508"/>
        <v>0</v>
      </c>
      <c r="H2035" s="281"/>
      <c r="I2035" s="281"/>
      <c r="J2035" s="355" t="str">
        <f>IFERROR(G2035/#REF!,"-")</f>
        <v>-</v>
      </c>
      <c r="K2035" s="734">
        <f t="shared" si="2509"/>
        <v>459433</v>
      </c>
      <c r="L2035" s="279">
        <f t="shared" ref="L2035:M2035" si="2513">+H2035+L1926</f>
        <v>454716</v>
      </c>
      <c r="M2035" s="439">
        <f t="shared" si="2513"/>
        <v>4717</v>
      </c>
      <c r="N2035" s="340">
        <f t="shared" si="2511"/>
        <v>0.45943299999999998</v>
      </c>
      <c r="O2035" s="264">
        <f t="shared" si="2505"/>
        <v>1.0267003023291752E-2</v>
      </c>
    </row>
    <row r="2036" spans="1:15" ht="23.4" x14ac:dyDescent="0.3">
      <c r="A2036" s="277" t="s">
        <v>110</v>
      </c>
      <c r="B2036" s="957"/>
      <c r="C2036" s="278" t="s">
        <v>319</v>
      </c>
      <c r="D2036" s="278" t="s">
        <v>202</v>
      </c>
      <c r="E2036" s="279">
        <v>0</v>
      </c>
      <c r="F2036" s="280"/>
      <c r="G2036" s="336">
        <f t="shared" si="2508"/>
        <v>0</v>
      </c>
      <c r="H2036" s="281"/>
      <c r="I2036" s="281"/>
      <c r="J2036" s="355" t="str">
        <f>IFERROR(G2036/#REF!,"-")</f>
        <v>-</v>
      </c>
      <c r="K2036" s="734">
        <f t="shared" si="2509"/>
        <v>297411</v>
      </c>
      <c r="L2036" s="279">
        <f t="shared" ref="L2036:M2036" si="2514">+H2036+L1927</f>
        <v>296152</v>
      </c>
      <c r="M2036" s="439">
        <f t="shared" si="2514"/>
        <v>1259</v>
      </c>
      <c r="N2036" s="340" t="str">
        <f t="shared" si="2511"/>
        <v>-</v>
      </c>
      <c r="O2036" s="264">
        <f t="shared" si="2505"/>
        <v>4.2331991755516774E-3</v>
      </c>
    </row>
    <row r="2037" spans="1:15" ht="23.4" x14ac:dyDescent="0.3">
      <c r="A2037" s="277" t="s">
        <v>110</v>
      </c>
      <c r="B2037" s="957"/>
      <c r="C2037" s="278" t="s">
        <v>358</v>
      </c>
      <c r="D2037" s="278" t="s">
        <v>352</v>
      </c>
      <c r="E2037" s="279">
        <v>500000</v>
      </c>
      <c r="F2037" s="280"/>
      <c r="G2037" s="336">
        <f t="shared" si="2508"/>
        <v>0</v>
      </c>
      <c r="H2037" s="281"/>
      <c r="I2037" s="281"/>
      <c r="J2037" s="355" t="str">
        <f>IFERROR(G2037/#REF!,"-")</f>
        <v>-</v>
      </c>
      <c r="K2037" s="734">
        <f t="shared" si="2509"/>
        <v>503292</v>
      </c>
      <c r="L2037" s="279">
        <f t="shared" ref="L2037:M2037" si="2515">+H2037+L1928</f>
        <v>500882</v>
      </c>
      <c r="M2037" s="439">
        <f t="shared" si="2515"/>
        <v>2410</v>
      </c>
      <c r="N2037" s="340">
        <f t="shared" si="2511"/>
        <v>1.0065839999999999</v>
      </c>
      <c r="O2037" s="264">
        <f t="shared" si="2505"/>
        <v>4.7884726957710434E-3</v>
      </c>
    </row>
    <row r="2038" spans="1:15" ht="23.4" x14ac:dyDescent="0.3">
      <c r="A2038" s="277" t="s">
        <v>110</v>
      </c>
      <c r="B2038" s="957"/>
      <c r="C2038" s="278" t="s">
        <v>392</v>
      </c>
      <c r="D2038" s="278" t="s">
        <v>203</v>
      </c>
      <c r="E2038" s="279">
        <v>0</v>
      </c>
      <c r="F2038" s="280"/>
      <c r="G2038" s="336">
        <f t="shared" si="2508"/>
        <v>0</v>
      </c>
      <c r="H2038" s="281"/>
      <c r="I2038" s="281"/>
      <c r="J2038" s="355" t="str">
        <f>IFERROR(G2038/#REF!,"-")</f>
        <v>-</v>
      </c>
      <c r="K2038" s="734">
        <f t="shared" si="2509"/>
        <v>0</v>
      </c>
      <c r="L2038" s="279">
        <f t="shared" ref="L2038:M2038" si="2516">+H2038+L1929</f>
        <v>0</v>
      </c>
      <c r="M2038" s="439">
        <f t="shared" si="2516"/>
        <v>0</v>
      </c>
      <c r="N2038" s="340" t="str">
        <f t="shared" si="2511"/>
        <v>-</v>
      </c>
      <c r="O2038" s="264" t="str">
        <f t="shared" si="2505"/>
        <v>-</v>
      </c>
    </row>
    <row r="2039" spans="1:15" ht="24" thickBot="1" x14ac:dyDescent="0.35">
      <c r="A2039" s="277" t="s">
        <v>110</v>
      </c>
      <c r="B2039" s="958"/>
      <c r="C2039" s="282" t="s">
        <v>379</v>
      </c>
      <c r="D2039" s="282" t="s">
        <v>252</v>
      </c>
      <c r="E2039" s="283">
        <v>0</v>
      </c>
      <c r="F2039" s="284"/>
      <c r="G2039" s="337">
        <f t="shared" si="2508"/>
        <v>0</v>
      </c>
      <c r="H2039" s="285"/>
      <c r="I2039" s="285"/>
      <c r="J2039" s="356" t="str">
        <f>IFERROR(G2039/#REF!,"-")</f>
        <v>-</v>
      </c>
      <c r="K2039" s="735">
        <f t="shared" si="2509"/>
        <v>0</v>
      </c>
      <c r="L2039" s="535">
        <f t="shared" ref="L2039:M2039" si="2517">+H2039+L1930</f>
        <v>0</v>
      </c>
      <c r="M2039" s="466">
        <f t="shared" si="2517"/>
        <v>0</v>
      </c>
      <c r="N2039" s="341" t="str">
        <f t="shared" si="2511"/>
        <v>-</v>
      </c>
      <c r="O2039" s="350" t="str">
        <f t="shared" si="2505"/>
        <v>-</v>
      </c>
    </row>
    <row r="2040" spans="1:15" ht="24" thickBot="1" x14ac:dyDescent="0.35">
      <c r="A2040" s="277" t="s">
        <v>110</v>
      </c>
      <c r="B2040" s="967" t="s">
        <v>48</v>
      </c>
      <c r="C2040" s="968"/>
      <c r="D2040" s="969"/>
      <c r="E2040" s="323">
        <f>SUM(E2033:E2039)</f>
        <v>3500000</v>
      </c>
      <c r="F2040" s="288">
        <v>200000</v>
      </c>
      <c r="G2040" s="323">
        <f>SUM(G2033:G2039)</f>
        <v>84020</v>
      </c>
      <c r="H2040" s="324">
        <f t="shared" ref="H2040:I2040" si="2518">SUM(H2033:H2039)</f>
        <v>82620</v>
      </c>
      <c r="I2040" s="324">
        <f t="shared" si="2518"/>
        <v>1400</v>
      </c>
      <c r="J2040" s="348">
        <f>+G2040/F2040</f>
        <v>0.42009999999999997</v>
      </c>
      <c r="K2040" s="323">
        <f>SUM(K2033:K2039)</f>
        <v>2587775</v>
      </c>
      <c r="L2040" s="524">
        <f>SUM(L2033:L2039)</f>
        <v>2571285</v>
      </c>
      <c r="M2040" s="733">
        <f t="shared" ref="M2040" si="2519">SUM(M2033:M2039)</f>
        <v>16490</v>
      </c>
      <c r="N2040" s="342">
        <f>IFERROR(K2040/E2040,"-")</f>
        <v>0.7393642857142857</v>
      </c>
      <c r="O2040" s="348">
        <f t="shared" si="2505"/>
        <v>6.3722696138574647E-3</v>
      </c>
    </row>
    <row r="2041" spans="1:15" ht="23.4" x14ac:dyDescent="0.3">
      <c r="A2041" s="277" t="s">
        <v>110</v>
      </c>
      <c r="B2041" s="956" t="s">
        <v>18</v>
      </c>
      <c r="C2041" s="272" t="s">
        <v>344</v>
      </c>
      <c r="D2041" s="272" t="s">
        <v>99</v>
      </c>
      <c r="E2041" s="273">
        <v>0</v>
      </c>
      <c r="F2041" s="274"/>
      <c r="G2041" s="335">
        <f t="shared" ref="G2041:G2047" si="2520">+H2041+I2041</f>
        <v>0</v>
      </c>
      <c r="H2041" s="275"/>
      <c r="I2041" s="275"/>
      <c r="J2041" s="354" t="str">
        <f>IFERROR(G2041/#REF!,"-")</f>
        <v>-</v>
      </c>
      <c r="K2041" s="335">
        <f t="shared" ref="K2041:K2047" si="2521">+L2041+M2041</f>
        <v>0</v>
      </c>
      <c r="L2041" s="275">
        <f t="shared" ref="L2041:M2041" si="2522">+H2041+L1932</f>
        <v>0</v>
      </c>
      <c r="M2041" s="276">
        <f t="shared" si="2522"/>
        <v>0</v>
      </c>
      <c r="N2041" s="339" t="str">
        <f t="shared" ref="N2041:N2048" si="2523">IFERROR(K2041/E2041,"-")</f>
        <v>-</v>
      </c>
      <c r="O2041" s="349" t="str">
        <f t="shared" si="2505"/>
        <v>-</v>
      </c>
    </row>
    <row r="2042" spans="1:15" ht="23.4" x14ac:dyDescent="0.3">
      <c r="A2042" s="277" t="s">
        <v>110</v>
      </c>
      <c r="B2042" s="957"/>
      <c r="C2042" s="278" t="s">
        <v>253</v>
      </c>
      <c r="D2042" s="278" t="s">
        <v>254</v>
      </c>
      <c r="E2042" s="279">
        <v>0</v>
      </c>
      <c r="F2042" s="280"/>
      <c r="G2042" s="336">
        <f t="shared" si="2520"/>
        <v>0</v>
      </c>
      <c r="H2042" s="281"/>
      <c r="I2042" s="281"/>
      <c r="J2042" s="355" t="str">
        <f>IFERROR(G2042/#REF!,"-")</f>
        <v>-</v>
      </c>
      <c r="K2042" s="336">
        <f t="shared" si="2521"/>
        <v>0</v>
      </c>
      <c r="L2042" s="275">
        <f t="shared" ref="L2042:M2042" si="2524">+H2042+L1933</f>
        <v>0</v>
      </c>
      <c r="M2042" s="276">
        <f t="shared" si="2524"/>
        <v>0</v>
      </c>
      <c r="N2042" s="340" t="str">
        <f t="shared" si="2523"/>
        <v>-</v>
      </c>
      <c r="O2042" s="264" t="str">
        <f t="shared" si="2505"/>
        <v>-</v>
      </c>
    </row>
    <row r="2043" spans="1:15" ht="23.4" x14ac:dyDescent="0.3">
      <c r="A2043" s="277" t="s">
        <v>110</v>
      </c>
      <c r="B2043" s="957"/>
      <c r="C2043" s="278" t="s">
        <v>122</v>
      </c>
      <c r="D2043" s="278"/>
      <c r="E2043" s="279">
        <v>0</v>
      </c>
      <c r="F2043" s="280"/>
      <c r="G2043" s="336">
        <f t="shared" si="2520"/>
        <v>0</v>
      </c>
      <c r="H2043" s="281"/>
      <c r="I2043" s="281"/>
      <c r="J2043" s="355" t="str">
        <f>IFERROR(G2043/#REF!,"-")</f>
        <v>-</v>
      </c>
      <c r="K2043" s="336">
        <f t="shared" si="2521"/>
        <v>0</v>
      </c>
      <c r="L2043" s="275">
        <f t="shared" ref="L2043:M2043" si="2525">+H2043+L1934</f>
        <v>0</v>
      </c>
      <c r="M2043" s="276">
        <f t="shared" si="2525"/>
        <v>0</v>
      </c>
      <c r="N2043" s="340" t="str">
        <f t="shared" si="2523"/>
        <v>-</v>
      </c>
      <c r="O2043" s="264" t="str">
        <f t="shared" si="2505"/>
        <v>-</v>
      </c>
    </row>
    <row r="2044" spans="1:15" ht="23.4" x14ac:dyDescent="0.3">
      <c r="A2044" s="277" t="s">
        <v>110</v>
      </c>
      <c r="B2044" s="957"/>
      <c r="C2044" s="278" t="s">
        <v>129</v>
      </c>
      <c r="D2044" s="278"/>
      <c r="E2044" s="279">
        <v>0</v>
      </c>
      <c r="F2044" s="280"/>
      <c r="G2044" s="336">
        <f t="shared" si="2520"/>
        <v>0</v>
      </c>
      <c r="H2044" s="281"/>
      <c r="I2044" s="281"/>
      <c r="J2044" s="355" t="str">
        <f>IFERROR(G2044/#REF!,"-")</f>
        <v>-</v>
      </c>
      <c r="K2044" s="336">
        <f t="shared" si="2521"/>
        <v>0</v>
      </c>
      <c r="L2044" s="275">
        <f t="shared" ref="L2044:M2044" si="2526">+H2044+L1935</f>
        <v>0</v>
      </c>
      <c r="M2044" s="276">
        <f t="shared" si="2526"/>
        <v>0</v>
      </c>
      <c r="N2044" s="340" t="str">
        <f t="shared" si="2523"/>
        <v>-</v>
      </c>
      <c r="O2044" s="264" t="str">
        <f t="shared" si="2505"/>
        <v>-</v>
      </c>
    </row>
    <row r="2045" spans="1:15" ht="23.4" x14ac:dyDescent="0.3">
      <c r="A2045" s="277" t="s">
        <v>110</v>
      </c>
      <c r="B2045" s="957"/>
      <c r="C2045" s="278" t="s">
        <v>189</v>
      </c>
      <c r="D2045" s="278" t="s">
        <v>190</v>
      </c>
      <c r="E2045" s="279">
        <v>0</v>
      </c>
      <c r="F2045" s="280"/>
      <c r="G2045" s="336">
        <f t="shared" si="2520"/>
        <v>0</v>
      </c>
      <c r="H2045" s="281"/>
      <c r="I2045" s="281"/>
      <c r="J2045" s="355" t="str">
        <f>IFERROR(G2045/#REF!,"-")</f>
        <v>-</v>
      </c>
      <c r="K2045" s="336">
        <f t="shared" si="2521"/>
        <v>0</v>
      </c>
      <c r="L2045" s="275">
        <f t="shared" ref="L2045:M2045" si="2527">+H2045+L1936</f>
        <v>0</v>
      </c>
      <c r="M2045" s="276">
        <f t="shared" si="2527"/>
        <v>0</v>
      </c>
      <c r="N2045" s="340" t="str">
        <f t="shared" si="2523"/>
        <v>-</v>
      </c>
      <c r="O2045" s="264" t="str">
        <f t="shared" si="2505"/>
        <v>-</v>
      </c>
    </row>
    <row r="2046" spans="1:15" ht="23.4" x14ac:dyDescent="0.3">
      <c r="A2046" s="277" t="s">
        <v>110</v>
      </c>
      <c r="B2046" s="957"/>
      <c r="C2046" s="278" t="s">
        <v>192</v>
      </c>
      <c r="D2046" s="278" t="s">
        <v>191</v>
      </c>
      <c r="E2046" s="279">
        <v>0</v>
      </c>
      <c r="F2046" s="280"/>
      <c r="G2046" s="336">
        <f t="shared" si="2520"/>
        <v>0</v>
      </c>
      <c r="H2046" s="281"/>
      <c r="I2046" s="281"/>
      <c r="J2046" s="355" t="str">
        <f>IFERROR(G2046/#REF!,"-")</f>
        <v>-</v>
      </c>
      <c r="K2046" s="336">
        <f t="shared" si="2521"/>
        <v>0</v>
      </c>
      <c r="L2046" s="275">
        <f t="shared" ref="L2046:M2046" si="2528">+H2046+L1937</f>
        <v>0</v>
      </c>
      <c r="M2046" s="276">
        <f t="shared" si="2528"/>
        <v>0</v>
      </c>
      <c r="N2046" s="340" t="str">
        <f t="shared" si="2523"/>
        <v>-</v>
      </c>
      <c r="O2046" s="264" t="str">
        <f t="shared" si="2505"/>
        <v>-</v>
      </c>
    </row>
    <row r="2047" spans="1:15" ht="24" thickBot="1" x14ac:dyDescent="0.35">
      <c r="A2047" s="277" t="s">
        <v>110</v>
      </c>
      <c r="B2047" s="958"/>
      <c r="C2047" s="289" t="s">
        <v>193</v>
      </c>
      <c r="D2047" s="289" t="s">
        <v>114</v>
      </c>
      <c r="E2047" s="283">
        <v>0</v>
      </c>
      <c r="F2047" s="284"/>
      <c r="G2047" s="337">
        <f t="shared" si="2520"/>
        <v>0</v>
      </c>
      <c r="H2047" s="285"/>
      <c r="I2047" s="285"/>
      <c r="J2047" s="356" t="str">
        <f>IFERROR(G2047/#REF!,"-")</f>
        <v>-</v>
      </c>
      <c r="K2047" s="337">
        <f t="shared" si="2521"/>
        <v>0</v>
      </c>
      <c r="L2047" s="275">
        <f t="shared" ref="L2047:M2047" si="2529">+H2047+L1938</f>
        <v>0</v>
      </c>
      <c r="M2047" s="276">
        <f t="shared" si="2529"/>
        <v>0</v>
      </c>
      <c r="N2047" s="341" t="str">
        <f t="shared" si="2523"/>
        <v>-</v>
      </c>
      <c r="O2047" s="350" t="str">
        <f t="shared" si="2505"/>
        <v>-</v>
      </c>
    </row>
    <row r="2048" spans="1:15" ht="24" thickBot="1" x14ac:dyDescent="0.35">
      <c r="A2048" s="277" t="s">
        <v>110</v>
      </c>
      <c r="B2048" s="967" t="s">
        <v>29</v>
      </c>
      <c r="C2048" s="968"/>
      <c r="D2048" s="969"/>
      <c r="E2048" s="323">
        <f t="shared" ref="E2048" si="2530">SUM(E2041:E2047)</f>
        <v>0</v>
      </c>
      <c r="F2048" s="288">
        <v>80000</v>
      </c>
      <c r="G2048" s="323">
        <f>SUM(G2041:G2047)</f>
        <v>0</v>
      </c>
      <c r="H2048" s="324">
        <f t="shared" ref="H2048:I2048" si="2531">SUM(H2041:H2047)</f>
        <v>0</v>
      </c>
      <c r="I2048" s="324">
        <f t="shared" si="2531"/>
        <v>0</v>
      </c>
      <c r="J2048" s="348">
        <f>+G2048/F2048</f>
        <v>0</v>
      </c>
      <c r="K2048" s="323">
        <f t="shared" ref="K2048:M2048" si="2532">SUM(K2041:K2047)</f>
        <v>0</v>
      </c>
      <c r="L2048" s="324">
        <f t="shared" si="2532"/>
        <v>0</v>
      </c>
      <c r="M2048" s="325">
        <f t="shared" si="2532"/>
        <v>0</v>
      </c>
      <c r="N2048" s="342" t="str">
        <f t="shared" si="2523"/>
        <v>-</v>
      </c>
      <c r="O2048" s="348" t="str">
        <f t="shared" si="2505"/>
        <v>-</v>
      </c>
    </row>
    <row r="2049" spans="1:15" ht="24" thickBot="1" x14ac:dyDescent="0.35">
      <c r="A2049" s="252" t="s">
        <v>110</v>
      </c>
      <c r="B2049" s="985" t="s">
        <v>19</v>
      </c>
      <c r="C2049" s="653" t="s">
        <v>255</v>
      </c>
      <c r="D2049" s="690" t="s">
        <v>190</v>
      </c>
      <c r="E2049" s="695">
        <v>0</v>
      </c>
      <c r="F2049" s="692">
        <v>110000</v>
      </c>
      <c r="G2049" s="656">
        <f t="shared" ref="G2049:G2051" si="2533">+H2049+I2049</f>
        <v>0</v>
      </c>
      <c r="H2049" s="462"/>
      <c r="I2049" s="462"/>
      <c r="J2049" s="536" t="str">
        <f>IFERROR(G2049/#REF!,"-")</f>
        <v>-</v>
      </c>
      <c r="K2049" s="461">
        <f>+L2049+M2049</f>
        <v>20219</v>
      </c>
      <c r="L2049" s="462">
        <f t="shared" ref="L2049:M2049" si="2534">+H2049+L1940</f>
        <v>20064</v>
      </c>
      <c r="M2049" s="463">
        <f t="shared" si="2534"/>
        <v>155</v>
      </c>
      <c r="N2049" s="658" t="str">
        <f>IFERROR(K2049/E2049,"-")</f>
        <v>-</v>
      </c>
      <c r="O2049" s="659">
        <f t="shared" si="2505"/>
        <v>7.6660566793609972E-3</v>
      </c>
    </row>
    <row r="2050" spans="1:15" ht="24" thickBot="1" x14ac:dyDescent="0.35">
      <c r="A2050" s="252"/>
      <c r="B2050" s="986"/>
      <c r="C2050" s="299" t="s">
        <v>440</v>
      </c>
      <c r="D2050" s="657" t="s">
        <v>507</v>
      </c>
      <c r="E2050" s="696">
        <v>1000000</v>
      </c>
      <c r="F2050" s="693">
        <v>110000</v>
      </c>
      <c r="G2050" s="652">
        <f t="shared" si="2533"/>
        <v>85512</v>
      </c>
      <c r="H2050" s="275">
        <v>84480</v>
      </c>
      <c r="I2050" s="275">
        <v>1032</v>
      </c>
      <c r="J2050" s="354" t="str">
        <f>IFERROR(G2050/#REF!,"-")</f>
        <v>-</v>
      </c>
      <c r="K2050" s="338">
        <f>+L2050+M2050</f>
        <v>410739</v>
      </c>
      <c r="L2050" s="462">
        <f t="shared" ref="L2050:M2050" si="2535">+H2050+L1941</f>
        <v>408144</v>
      </c>
      <c r="M2050" s="463">
        <f t="shared" si="2535"/>
        <v>2595</v>
      </c>
      <c r="N2050" s="343">
        <f t="shared" ref="N2050:N2051" si="2536">IFERROR(K2050/E2050,"-")</f>
        <v>0.41073900000000002</v>
      </c>
      <c r="O2050" s="651">
        <f>IFERROR(M2050/K2050,"-")</f>
        <v>6.3178806979614791E-3</v>
      </c>
    </row>
    <row r="2051" spans="1:15" ht="24" thickBot="1" x14ac:dyDescent="0.35">
      <c r="A2051" s="252"/>
      <c r="B2051" s="987"/>
      <c r="C2051" s="647" t="s">
        <v>380</v>
      </c>
      <c r="D2051" s="691"/>
      <c r="E2051" s="697">
        <v>150000</v>
      </c>
      <c r="F2051" s="694">
        <v>110000</v>
      </c>
      <c r="G2051" s="599">
        <f t="shared" si="2533"/>
        <v>0</v>
      </c>
      <c r="H2051" s="285"/>
      <c r="I2051" s="285"/>
      <c r="J2051" s="356"/>
      <c r="K2051" s="464">
        <f>+L2051+M2051</f>
        <v>0</v>
      </c>
      <c r="L2051" s="462">
        <f t="shared" ref="L2051:M2051" si="2537">+H2051+L1942</f>
        <v>0</v>
      </c>
      <c r="M2051" s="463">
        <f t="shared" si="2537"/>
        <v>0</v>
      </c>
      <c r="N2051" s="341">
        <f t="shared" si="2536"/>
        <v>0</v>
      </c>
      <c r="O2051" s="648" t="str">
        <f t="shared" ref="O2051:O2104" si="2538">IFERROR(M2051/K2051,"-")</f>
        <v>-</v>
      </c>
    </row>
    <row r="2052" spans="1:15" ht="24" thickBot="1" x14ac:dyDescent="0.35">
      <c r="A2052" s="277" t="s">
        <v>110</v>
      </c>
      <c r="B2052" s="988" t="s">
        <v>49</v>
      </c>
      <c r="C2052" s="968"/>
      <c r="D2052" s="969"/>
      <c r="E2052" s="323">
        <f>SUM(E2049:E2051)</f>
        <v>1150000</v>
      </c>
      <c r="F2052" s="326">
        <f t="shared" ref="F2052" si="2539">SUM(F2049)</f>
        <v>110000</v>
      </c>
      <c r="G2052" s="323">
        <f>SUM(G2049)</f>
        <v>0</v>
      </c>
      <c r="H2052" s="324">
        <f>SUM(H2049:H2051)</f>
        <v>84480</v>
      </c>
      <c r="I2052" s="324">
        <f>SUM(I2049:I2051)</f>
        <v>1032</v>
      </c>
      <c r="J2052" s="348">
        <f>+G2052/F2052</f>
        <v>0</v>
      </c>
      <c r="K2052" s="649">
        <f>SUM(K2049:K2050)</f>
        <v>430958</v>
      </c>
      <c r="L2052" s="324">
        <f>SUM(L2049:L2050)</f>
        <v>428208</v>
      </c>
      <c r="M2052" s="325">
        <f>SUM(M2049:M2050)</f>
        <v>2750</v>
      </c>
      <c r="N2052" s="342">
        <f>IFERROR(K2052/E2052,"-")</f>
        <v>0.37474608695652173</v>
      </c>
      <c r="O2052" s="348">
        <f t="shared" si="2538"/>
        <v>6.3811322681096537E-3</v>
      </c>
    </row>
    <row r="2053" spans="1:15" ht="23.4" x14ac:dyDescent="0.3">
      <c r="A2053" s="277" t="s">
        <v>110</v>
      </c>
      <c r="B2053" s="956" t="s">
        <v>20</v>
      </c>
      <c r="C2053" s="294" t="s">
        <v>351</v>
      </c>
      <c r="D2053" s="294" t="s">
        <v>313</v>
      </c>
      <c r="E2053" s="273">
        <v>0</v>
      </c>
      <c r="F2053" s="274"/>
      <c r="G2053" s="335">
        <f t="shared" ref="G2053:G2055" si="2540">+H2053+I2053</f>
        <v>0</v>
      </c>
      <c r="H2053" s="275"/>
      <c r="I2053" s="275"/>
      <c r="J2053" s="354" t="str">
        <f>IFERROR(G2053/#REF!,"-")</f>
        <v>-</v>
      </c>
      <c r="K2053" s="335">
        <f t="shared" ref="K2053:K2055" si="2541">+L2053+M2053</f>
        <v>0</v>
      </c>
      <c r="L2053" s="275">
        <f t="shared" ref="L2053:M2053" si="2542">+H2053+L1944</f>
        <v>0</v>
      </c>
      <c r="M2053" s="276">
        <f t="shared" si="2542"/>
        <v>0</v>
      </c>
      <c r="N2053" s="339" t="str">
        <f t="shared" ref="N2053:N2056" si="2543">IFERROR(K2053/E2053,"-")</f>
        <v>-</v>
      </c>
      <c r="O2053" s="349" t="str">
        <f t="shared" si="2538"/>
        <v>-</v>
      </c>
    </row>
    <row r="2054" spans="1:15" ht="23.4" x14ac:dyDescent="0.3">
      <c r="A2054" s="277" t="s">
        <v>110</v>
      </c>
      <c r="B2054" s="957"/>
      <c r="C2054" s="295" t="s">
        <v>121</v>
      </c>
      <c r="D2054" s="295"/>
      <c r="E2054" s="279">
        <v>0</v>
      </c>
      <c r="F2054" s="280"/>
      <c r="G2054" s="336">
        <f t="shared" si="2540"/>
        <v>0</v>
      </c>
      <c r="H2054" s="281"/>
      <c r="I2054" s="281"/>
      <c r="J2054" s="355" t="str">
        <f>IFERROR(G2054/#REF!,"-")</f>
        <v>-</v>
      </c>
      <c r="K2054" s="336">
        <f t="shared" si="2541"/>
        <v>0</v>
      </c>
      <c r="L2054" s="275">
        <f t="shared" ref="L2054:M2054" si="2544">+H2054+L1945</f>
        <v>0</v>
      </c>
      <c r="M2054" s="276">
        <f t="shared" si="2544"/>
        <v>0</v>
      </c>
      <c r="N2054" s="340" t="str">
        <f t="shared" si="2543"/>
        <v>-</v>
      </c>
      <c r="O2054" s="264" t="str">
        <f t="shared" si="2538"/>
        <v>-</v>
      </c>
    </row>
    <row r="2055" spans="1:15" ht="24" thickBot="1" x14ac:dyDescent="0.35">
      <c r="A2055" s="277" t="s">
        <v>110</v>
      </c>
      <c r="B2055" s="958"/>
      <c r="C2055" s="296" t="s">
        <v>127</v>
      </c>
      <c r="D2055" s="296"/>
      <c r="E2055" s="283">
        <v>0</v>
      </c>
      <c r="F2055" s="284"/>
      <c r="G2055" s="337">
        <f t="shared" si="2540"/>
        <v>0</v>
      </c>
      <c r="H2055" s="285"/>
      <c r="I2055" s="285"/>
      <c r="J2055" s="356" t="str">
        <f>IFERROR(G2055/#REF!,"-")</f>
        <v>-</v>
      </c>
      <c r="K2055" s="337">
        <f t="shared" si="2541"/>
        <v>0</v>
      </c>
      <c r="L2055" s="275">
        <f t="shared" ref="L2055:M2055" si="2545">+H2055+L1946</f>
        <v>0</v>
      </c>
      <c r="M2055" s="276">
        <f t="shared" si="2545"/>
        <v>0</v>
      </c>
      <c r="N2055" s="341" t="str">
        <f t="shared" si="2543"/>
        <v>-</v>
      </c>
      <c r="O2055" s="350" t="str">
        <f t="shared" si="2538"/>
        <v>-</v>
      </c>
    </row>
    <row r="2056" spans="1:15" ht="24" thickBot="1" x14ac:dyDescent="0.35">
      <c r="A2056" s="277" t="s">
        <v>110</v>
      </c>
      <c r="B2056" s="968" t="s">
        <v>50</v>
      </c>
      <c r="C2056" s="968"/>
      <c r="D2056" s="989"/>
      <c r="E2056" s="323">
        <f t="shared" ref="E2056" si="2546">SUM(E2053:E2055)</f>
        <v>0</v>
      </c>
      <c r="F2056" s="288">
        <v>50000</v>
      </c>
      <c r="G2056" s="323">
        <f>SUM(G2053:G2055)</f>
        <v>0</v>
      </c>
      <c r="H2056" s="324">
        <f t="shared" ref="H2056:I2056" si="2547">SUM(H2053:H2055)</f>
        <v>0</v>
      </c>
      <c r="I2056" s="324">
        <f t="shared" si="2547"/>
        <v>0</v>
      </c>
      <c r="J2056" s="348">
        <f>+G2056/F2056</f>
        <v>0</v>
      </c>
      <c r="K2056" s="323">
        <f t="shared" ref="K2056:M2056" si="2548">SUM(K2053:K2055)</f>
        <v>0</v>
      </c>
      <c r="L2056" s="324">
        <f t="shared" si="2548"/>
        <v>0</v>
      </c>
      <c r="M2056" s="325">
        <f t="shared" si="2548"/>
        <v>0</v>
      </c>
      <c r="N2056" s="342" t="str">
        <f t="shared" si="2543"/>
        <v>-</v>
      </c>
      <c r="O2056" s="348" t="str">
        <f t="shared" si="2538"/>
        <v>-</v>
      </c>
    </row>
    <row r="2057" spans="1:15" ht="24" thickBot="1" x14ac:dyDescent="0.35">
      <c r="A2057" s="277" t="s">
        <v>110</v>
      </c>
      <c r="B2057" s="981" t="s">
        <v>21</v>
      </c>
      <c r="C2057" s="982"/>
      <c r="D2057" s="983"/>
      <c r="E2057" s="329">
        <f>+E2032+E2040+E2048+E2052+E2056</f>
        <v>4750000</v>
      </c>
      <c r="F2057" s="330">
        <f>+F2032+F2040+F2048+F2052+F2056</f>
        <v>455000</v>
      </c>
      <c r="G2057" s="329">
        <f>+G2032+G2040+G2048+G2052+G2056</f>
        <v>84020</v>
      </c>
      <c r="H2057" s="327">
        <f>+H2032+H2040+H2048+H2052+H2056</f>
        <v>167100</v>
      </c>
      <c r="I2057" s="327">
        <f>+I2032+I2040+I2048+I2052+I2056</f>
        <v>2432</v>
      </c>
      <c r="J2057" s="352">
        <f>+G2057/F2057</f>
        <v>0.18465934065934067</v>
      </c>
      <c r="K2057" s="329">
        <f>+K2032+K2040+K2048+K2052+K2056</f>
        <v>3141706</v>
      </c>
      <c r="L2057" s="327">
        <f>+L2032+L2040+L2048+L2052+L2056</f>
        <v>3119610</v>
      </c>
      <c r="M2057" s="328">
        <f>+M2032+M2040+M2048+M2052+M2056</f>
        <v>22096</v>
      </c>
      <c r="N2057" s="344">
        <f>IFERROR(K2057/E2057,"-")</f>
        <v>0.66141178947368418</v>
      </c>
      <c r="O2057" s="352">
        <f t="shared" si="2538"/>
        <v>7.0331214951367188E-3</v>
      </c>
    </row>
    <row r="2058" spans="1:15" ht="23.4" x14ac:dyDescent="0.3">
      <c r="A2058" s="277" t="s">
        <v>110</v>
      </c>
      <c r="B2058" s="956" t="s">
        <v>481</v>
      </c>
      <c r="C2058" s="272" t="s">
        <v>132</v>
      </c>
      <c r="D2058" s="272"/>
      <c r="E2058" s="273">
        <v>0</v>
      </c>
      <c r="F2058" s="274"/>
      <c r="G2058" s="335">
        <f t="shared" ref="G2058:G2061" si="2549">+H2058+I2058</f>
        <v>0</v>
      </c>
      <c r="H2058" s="275"/>
      <c r="I2058" s="275"/>
      <c r="J2058" s="354" t="str">
        <f>IFERROR(G2058/#REF!,"-")</f>
        <v>-</v>
      </c>
      <c r="K2058" s="335">
        <f t="shared" ref="K2058:K2061" si="2550">+L2058+M2058</f>
        <v>0</v>
      </c>
      <c r="L2058" s="275">
        <f t="shared" ref="L2058:M2058" si="2551">+H2058+L1949</f>
        <v>0</v>
      </c>
      <c r="M2058" s="276">
        <f t="shared" si="2551"/>
        <v>0</v>
      </c>
      <c r="N2058" s="339" t="str">
        <f t="shared" ref="N2058:N2072" si="2552">IFERROR(K2058/E2058,"-")</f>
        <v>-</v>
      </c>
      <c r="O2058" s="349" t="str">
        <f t="shared" si="2538"/>
        <v>-</v>
      </c>
    </row>
    <row r="2059" spans="1:15" ht="23.4" x14ac:dyDescent="0.3">
      <c r="A2059" s="277" t="s">
        <v>110</v>
      </c>
      <c r="B2059" s="957"/>
      <c r="C2059" s="298" t="s">
        <v>283</v>
      </c>
      <c r="D2059" s="298" t="s">
        <v>194</v>
      </c>
      <c r="E2059" s="279">
        <v>0</v>
      </c>
      <c r="F2059" s="280"/>
      <c r="G2059" s="336">
        <f t="shared" si="2549"/>
        <v>0</v>
      </c>
      <c r="H2059" s="281"/>
      <c r="I2059" s="281"/>
      <c r="J2059" s="355" t="str">
        <f>IFERROR(G2059/#REF!,"-")</f>
        <v>-</v>
      </c>
      <c r="K2059" s="336">
        <f t="shared" si="2550"/>
        <v>0</v>
      </c>
      <c r="L2059" s="275">
        <f t="shared" ref="L2059:M2059" si="2553">+H2059+L1950</f>
        <v>0</v>
      </c>
      <c r="M2059" s="276">
        <f t="shared" si="2553"/>
        <v>0</v>
      </c>
      <c r="N2059" s="340" t="str">
        <f t="shared" si="2552"/>
        <v>-</v>
      </c>
      <c r="O2059" s="264" t="str">
        <f t="shared" si="2538"/>
        <v>-</v>
      </c>
    </row>
    <row r="2060" spans="1:15" ht="23.4" x14ac:dyDescent="0.3">
      <c r="A2060" s="277" t="s">
        <v>110</v>
      </c>
      <c r="B2060" s="957"/>
      <c r="C2060" s="298" t="s">
        <v>405</v>
      </c>
      <c r="D2060" s="298" t="s">
        <v>194</v>
      </c>
      <c r="E2060" s="279">
        <v>1000000</v>
      </c>
      <c r="F2060" s="280"/>
      <c r="G2060" s="336">
        <f t="shared" si="2549"/>
        <v>0</v>
      </c>
      <c r="H2060" s="281"/>
      <c r="I2060" s="281"/>
      <c r="J2060" s="355" t="str">
        <f>IFERROR(G2060/#REF!,"-")</f>
        <v>-</v>
      </c>
      <c r="K2060" s="336">
        <f t="shared" si="2550"/>
        <v>362579</v>
      </c>
      <c r="L2060" s="275">
        <f t="shared" ref="L2060:M2060" si="2554">+H2060+L1951</f>
        <v>359670</v>
      </c>
      <c r="M2060" s="276">
        <f t="shared" si="2554"/>
        <v>2909</v>
      </c>
      <c r="N2060" s="340">
        <f t="shared" si="2552"/>
        <v>0.36257899999999998</v>
      </c>
      <c r="O2060" s="264">
        <f t="shared" si="2538"/>
        <v>8.0230791082770928E-3</v>
      </c>
    </row>
    <row r="2061" spans="1:15" ht="24" thickBot="1" x14ac:dyDescent="0.35">
      <c r="A2061" s="277" t="s">
        <v>110</v>
      </c>
      <c r="B2061" s="958"/>
      <c r="C2061" s="282" t="s">
        <v>195</v>
      </c>
      <c r="D2061" s="282" t="s">
        <v>100</v>
      </c>
      <c r="E2061" s="283">
        <v>0</v>
      </c>
      <c r="F2061" s="284"/>
      <c r="G2061" s="337">
        <f t="shared" si="2549"/>
        <v>0</v>
      </c>
      <c r="H2061" s="285"/>
      <c r="I2061" s="285"/>
      <c r="J2061" s="356" t="str">
        <f>IFERROR(G2061/#REF!,"-")</f>
        <v>-</v>
      </c>
      <c r="K2061" s="337">
        <f t="shared" si="2550"/>
        <v>0</v>
      </c>
      <c r="L2061" s="275">
        <f t="shared" ref="L2061:M2061" si="2555">+H2061+L1952</f>
        <v>0</v>
      </c>
      <c r="M2061" s="276">
        <f t="shared" si="2555"/>
        <v>0</v>
      </c>
      <c r="N2061" s="341" t="str">
        <f t="shared" si="2552"/>
        <v>-</v>
      </c>
      <c r="O2061" s="350" t="str">
        <f t="shared" si="2538"/>
        <v>-</v>
      </c>
    </row>
    <row r="2062" spans="1:15" ht="24" thickBot="1" x14ac:dyDescent="0.35">
      <c r="A2062" s="277" t="s">
        <v>110</v>
      </c>
      <c r="B2062" s="967" t="s">
        <v>51</v>
      </c>
      <c r="C2062" s="968"/>
      <c r="D2062" s="969"/>
      <c r="E2062" s="287">
        <f>SUM(E2058:E2061)</f>
        <v>1000000</v>
      </c>
      <c r="F2062" s="288">
        <v>80000</v>
      </c>
      <c r="G2062" s="323">
        <f>SUM(G2058:G2061)</f>
        <v>0</v>
      </c>
      <c r="H2062" s="324">
        <f t="shared" ref="H2062:I2062" si="2556">SUM(H2058:H2061)</f>
        <v>0</v>
      </c>
      <c r="I2062" s="324">
        <f t="shared" si="2556"/>
        <v>0</v>
      </c>
      <c r="J2062" s="348">
        <f>+G2062/F2062</f>
        <v>0</v>
      </c>
      <c r="K2062" s="323">
        <f t="shared" ref="K2062:M2062" si="2557">SUM(K2058:K2061)</f>
        <v>362579</v>
      </c>
      <c r="L2062" s="324">
        <f t="shared" si="2557"/>
        <v>359670</v>
      </c>
      <c r="M2062" s="325">
        <f t="shared" si="2557"/>
        <v>2909</v>
      </c>
      <c r="N2062" s="342">
        <f t="shared" si="2552"/>
        <v>0.36257899999999998</v>
      </c>
      <c r="O2062" s="348">
        <f t="shared" si="2538"/>
        <v>8.0230791082770928E-3</v>
      </c>
    </row>
    <row r="2063" spans="1:15" ht="23.4" x14ac:dyDescent="0.3">
      <c r="A2063" s="277" t="s">
        <v>110</v>
      </c>
      <c r="B2063" s="956" t="s">
        <v>23</v>
      </c>
      <c r="C2063" s="278" t="s">
        <v>260</v>
      </c>
      <c r="D2063" s="299" t="s">
        <v>258</v>
      </c>
      <c r="E2063" s="273">
        <f>25000+10875+6000</f>
        <v>41875</v>
      </c>
      <c r="F2063" s="274"/>
      <c r="G2063" s="335">
        <f t="shared" ref="G2063:G2070" si="2558">+H2063+I2063</f>
        <v>0</v>
      </c>
      <c r="H2063" s="275"/>
      <c r="I2063" s="275"/>
      <c r="J2063" s="354" t="str">
        <f>IFERROR(G2063/#REF!,"-")</f>
        <v>-</v>
      </c>
      <c r="K2063" s="335">
        <f t="shared" ref="K2063:K2070" si="2559">+L2063+M2063</f>
        <v>11160</v>
      </c>
      <c r="L2063" s="275">
        <f t="shared" ref="L2063:M2063" si="2560">+H2063+L1954</f>
        <v>11012</v>
      </c>
      <c r="M2063" s="276">
        <f t="shared" si="2560"/>
        <v>148</v>
      </c>
      <c r="N2063" s="339">
        <f t="shared" si="2552"/>
        <v>0.26650746268656716</v>
      </c>
      <c r="O2063" s="349">
        <f t="shared" si="2538"/>
        <v>1.3261648745519713E-2</v>
      </c>
    </row>
    <row r="2064" spans="1:15" ht="23.4" x14ac:dyDescent="0.3">
      <c r="A2064" s="277" t="s">
        <v>110</v>
      </c>
      <c r="B2064" s="957"/>
      <c r="C2064" s="278" t="s">
        <v>24</v>
      </c>
      <c r="D2064" s="278" t="s">
        <v>258</v>
      </c>
      <c r="E2064" s="279">
        <v>97500</v>
      </c>
      <c r="F2064" s="280"/>
      <c r="G2064" s="336">
        <f t="shared" si="2558"/>
        <v>14915</v>
      </c>
      <c r="H2064" s="281">
        <v>14875</v>
      </c>
      <c r="I2064" s="281">
        <v>40</v>
      </c>
      <c r="J2064" s="355" t="str">
        <f>IFERROR(G2064/#REF!,"-")</f>
        <v>-</v>
      </c>
      <c r="K2064" s="336">
        <f t="shared" si="2559"/>
        <v>79050</v>
      </c>
      <c r="L2064" s="275">
        <f t="shared" ref="L2064:M2064" si="2561">+H2064+L1955</f>
        <v>78860</v>
      </c>
      <c r="M2064" s="276">
        <f t="shared" si="2561"/>
        <v>190</v>
      </c>
      <c r="N2064" s="340">
        <f t="shared" si="2552"/>
        <v>0.8107692307692308</v>
      </c>
      <c r="O2064" s="264">
        <f t="shared" si="2538"/>
        <v>2.4035420619860849E-3</v>
      </c>
    </row>
    <row r="2065" spans="1:15" ht="23.4" x14ac:dyDescent="0.3">
      <c r="A2065" s="277" t="s">
        <v>110</v>
      </c>
      <c r="B2065" s="957"/>
      <c r="C2065" s="278" t="s">
        <v>256</v>
      </c>
      <c r="D2065" s="278" t="s">
        <v>258</v>
      </c>
      <c r="E2065" s="279">
        <v>17750</v>
      </c>
      <c r="F2065" s="280"/>
      <c r="G2065" s="336">
        <f t="shared" si="2558"/>
        <v>0</v>
      </c>
      <c r="H2065" s="281"/>
      <c r="I2065" s="281"/>
      <c r="J2065" s="355" t="str">
        <f>IFERROR(G2065/#REF!,"-")</f>
        <v>-</v>
      </c>
      <c r="K2065" s="336">
        <f t="shared" si="2559"/>
        <v>19656</v>
      </c>
      <c r="L2065" s="275">
        <f t="shared" ref="L2065:M2065" si="2562">+H2065+L1956</f>
        <v>19545</v>
      </c>
      <c r="M2065" s="276">
        <f t="shared" si="2562"/>
        <v>111</v>
      </c>
      <c r="N2065" s="340">
        <f t="shared" si="2552"/>
        <v>1.1073802816901408</v>
      </c>
      <c r="O2065" s="264">
        <f t="shared" si="2538"/>
        <v>5.647130647130647E-3</v>
      </c>
    </row>
    <row r="2066" spans="1:15" ht="23.4" x14ac:dyDescent="0.3">
      <c r="A2066" s="277" t="s">
        <v>110</v>
      </c>
      <c r="B2066" s="957"/>
      <c r="C2066" s="278" t="s">
        <v>257</v>
      </c>
      <c r="D2066" s="278" t="s">
        <v>258</v>
      </c>
      <c r="E2066" s="279">
        <v>20000</v>
      </c>
      <c r="F2066" s="280"/>
      <c r="G2066" s="336">
        <f t="shared" si="2558"/>
        <v>0</v>
      </c>
      <c r="H2066" s="281"/>
      <c r="I2066" s="281"/>
      <c r="J2066" s="355" t="str">
        <f>IFERROR(G2066/#REF!,"-")</f>
        <v>-</v>
      </c>
      <c r="K2066" s="336">
        <f t="shared" si="2559"/>
        <v>20512</v>
      </c>
      <c r="L2066" s="275">
        <f t="shared" ref="L2066:M2066" si="2563">+H2066+L1957</f>
        <v>20361</v>
      </c>
      <c r="M2066" s="276">
        <f t="shared" si="2563"/>
        <v>151</v>
      </c>
      <c r="N2066" s="340">
        <f t="shared" si="2552"/>
        <v>1.0256000000000001</v>
      </c>
      <c r="O2066" s="264">
        <f t="shared" si="2538"/>
        <v>7.3615444617784707E-3</v>
      </c>
    </row>
    <row r="2067" spans="1:15" ht="23.4" x14ac:dyDescent="0.3">
      <c r="A2067" s="277" t="s">
        <v>110</v>
      </c>
      <c r="B2067" s="957"/>
      <c r="C2067" s="298" t="s">
        <v>475</v>
      </c>
      <c r="D2067" s="278" t="s">
        <v>258</v>
      </c>
      <c r="E2067" s="279">
        <v>10000</v>
      </c>
      <c r="F2067" s="280"/>
      <c r="G2067" s="336">
        <f t="shared" si="2558"/>
        <v>0</v>
      </c>
      <c r="H2067" s="281"/>
      <c r="I2067" s="281"/>
      <c r="J2067" s="355" t="str">
        <f>IFERROR(G2067/#REF!,"-")</f>
        <v>-</v>
      </c>
      <c r="K2067" s="336">
        <f t="shared" si="2559"/>
        <v>12327</v>
      </c>
      <c r="L2067" s="275">
        <f t="shared" ref="L2067:M2067" si="2564">+H2067+L1958</f>
        <v>12307</v>
      </c>
      <c r="M2067" s="276">
        <f t="shared" si="2564"/>
        <v>20</v>
      </c>
      <c r="N2067" s="340">
        <f t="shared" si="2552"/>
        <v>1.2326999999999999</v>
      </c>
      <c r="O2067" s="264">
        <f t="shared" si="2538"/>
        <v>1.6224547740731727E-3</v>
      </c>
    </row>
    <row r="2068" spans="1:15" ht="23.4" x14ac:dyDescent="0.3">
      <c r="A2068" s="277" t="s">
        <v>110</v>
      </c>
      <c r="B2068" s="957"/>
      <c r="C2068" s="298" t="s">
        <v>506</v>
      </c>
      <c r="D2068" s="278" t="s">
        <v>258</v>
      </c>
      <c r="E2068" s="279">
        <v>9000</v>
      </c>
      <c r="F2068" s="280"/>
      <c r="G2068" s="336">
        <f t="shared" si="2558"/>
        <v>0</v>
      </c>
      <c r="H2068" s="281"/>
      <c r="I2068" s="281"/>
      <c r="J2068" s="355" t="str">
        <f>IFERROR(G2068/#REF!,"-")</f>
        <v>-</v>
      </c>
      <c r="K2068" s="336">
        <f t="shared" si="2559"/>
        <v>26750</v>
      </c>
      <c r="L2068" s="275">
        <f t="shared" ref="L2068:M2068" si="2565">+H2068+L1959</f>
        <v>26682</v>
      </c>
      <c r="M2068" s="276">
        <f t="shared" si="2565"/>
        <v>68</v>
      </c>
      <c r="N2068" s="340">
        <f t="shared" si="2552"/>
        <v>2.9722222222222223</v>
      </c>
      <c r="O2068" s="264">
        <f t="shared" si="2538"/>
        <v>2.542056074766355E-3</v>
      </c>
    </row>
    <row r="2069" spans="1:15" ht="23.4" x14ac:dyDescent="0.3">
      <c r="A2069" s="277" t="s">
        <v>110</v>
      </c>
      <c r="B2069" s="957"/>
      <c r="C2069" s="298" t="s">
        <v>261</v>
      </c>
      <c r="D2069" s="278" t="s">
        <v>263</v>
      </c>
      <c r="E2069" s="279">
        <v>22500</v>
      </c>
      <c r="F2069" s="280"/>
      <c r="G2069" s="336">
        <f t="shared" si="2558"/>
        <v>0</v>
      </c>
      <c r="H2069" s="281"/>
      <c r="I2069" s="281"/>
      <c r="J2069" s="355" t="str">
        <f>IFERROR(G2069/#REF!,"-")</f>
        <v>-</v>
      </c>
      <c r="K2069" s="336">
        <f t="shared" si="2559"/>
        <v>23536</v>
      </c>
      <c r="L2069" s="275">
        <f t="shared" ref="L2069:M2069" si="2566">+H2069+L1960</f>
        <v>23490</v>
      </c>
      <c r="M2069" s="276">
        <f t="shared" si="2566"/>
        <v>46</v>
      </c>
      <c r="N2069" s="340">
        <f t="shared" si="2552"/>
        <v>1.0460444444444446</v>
      </c>
      <c r="O2069" s="264">
        <f t="shared" si="2538"/>
        <v>1.954452753229096E-3</v>
      </c>
    </row>
    <row r="2070" spans="1:15" ht="24" thickBot="1" x14ac:dyDescent="0.35">
      <c r="A2070" s="277" t="s">
        <v>110</v>
      </c>
      <c r="B2070" s="958"/>
      <c r="C2070" s="298" t="s">
        <v>262</v>
      </c>
      <c r="D2070" s="278" t="s">
        <v>258</v>
      </c>
      <c r="E2070" s="283">
        <v>33500</v>
      </c>
      <c r="F2070" s="284"/>
      <c r="G2070" s="337">
        <f t="shared" si="2558"/>
        <v>0</v>
      </c>
      <c r="H2070" s="285"/>
      <c r="I2070" s="285"/>
      <c r="J2070" s="356" t="str">
        <f>IFERROR(G2070/#REF!,"-")</f>
        <v>-</v>
      </c>
      <c r="K2070" s="337">
        <f t="shared" si="2559"/>
        <v>35336</v>
      </c>
      <c r="L2070" s="275">
        <f t="shared" ref="L2070:M2070" si="2567">+H2070+L1961</f>
        <v>35130</v>
      </c>
      <c r="M2070" s="276">
        <f t="shared" si="2567"/>
        <v>206</v>
      </c>
      <c r="N2070" s="341">
        <f t="shared" si="2552"/>
        <v>1.0548059701492538</v>
      </c>
      <c r="O2070" s="350">
        <f t="shared" si="2538"/>
        <v>5.8297486982114557E-3</v>
      </c>
    </row>
    <row r="2071" spans="1:15" ht="24" thickBot="1" x14ac:dyDescent="0.35">
      <c r="A2071" s="277" t="s">
        <v>110</v>
      </c>
      <c r="B2071" s="967" t="s">
        <v>52</v>
      </c>
      <c r="C2071" s="968"/>
      <c r="D2071" s="969"/>
      <c r="E2071" s="287">
        <f>SUM(E2063:E2070)</f>
        <v>252125</v>
      </c>
      <c r="F2071" s="288">
        <v>14000</v>
      </c>
      <c r="G2071" s="323">
        <f>SUM(G2063:G2070)</f>
        <v>14915</v>
      </c>
      <c r="H2071" s="324">
        <f t="shared" ref="H2071:I2071" si="2568">SUM(H2063:H2070)</f>
        <v>14875</v>
      </c>
      <c r="I2071" s="324">
        <f t="shared" si="2568"/>
        <v>40</v>
      </c>
      <c r="J2071" s="348">
        <f>+G2072/F2072</f>
        <v>0.15867021276595744</v>
      </c>
      <c r="K2071" s="323">
        <f>SUM(K2063:K2070)</f>
        <v>228327</v>
      </c>
      <c r="L2071" s="324">
        <f t="shared" ref="L2071:M2071" si="2569">+H2071+L1962</f>
        <v>227387</v>
      </c>
      <c r="M2071" s="325">
        <f t="shared" si="2569"/>
        <v>940</v>
      </c>
      <c r="N2071" s="342">
        <f t="shared" si="2552"/>
        <v>0.90561031234506695</v>
      </c>
      <c r="O2071" s="348">
        <f t="shared" si="2538"/>
        <v>4.1169025126244381E-3</v>
      </c>
    </row>
    <row r="2072" spans="1:15" ht="24" thickBot="1" x14ac:dyDescent="0.35">
      <c r="A2072" s="277" t="s">
        <v>110</v>
      </c>
      <c r="B2072" s="981" t="s">
        <v>25</v>
      </c>
      <c r="C2072" s="982"/>
      <c r="D2072" s="983"/>
      <c r="E2072" s="329">
        <f t="shared" ref="E2072:F2072" si="2570">+E2062+E2071</f>
        <v>1252125</v>
      </c>
      <c r="F2072" s="330">
        <f t="shared" si="2570"/>
        <v>94000</v>
      </c>
      <c r="G2072" s="329">
        <f>+G2062+G2071</f>
        <v>14915</v>
      </c>
      <c r="H2072" s="327">
        <f t="shared" ref="H2072:I2072" si="2571">+H2062+H2071</f>
        <v>14875</v>
      </c>
      <c r="I2072" s="327">
        <f t="shared" si="2571"/>
        <v>40</v>
      </c>
      <c r="J2072" s="352" t="str">
        <f>IFERROR(G2072/#REF!,"-")</f>
        <v>-</v>
      </c>
      <c r="K2072" s="329">
        <f t="shared" ref="K2072" si="2572">+K2062+K2071</f>
        <v>590906</v>
      </c>
      <c r="L2072" s="327">
        <f>+L2062+L2071</f>
        <v>587057</v>
      </c>
      <c r="M2072" s="328">
        <f t="shared" ref="M2072" si="2573">+M2062+M2071</f>
        <v>3849</v>
      </c>
      <c r="N2072" s="344">
        <f t="shared" si="2552"/>
        <v>0.47192253169611659</v>
      </c>
      <c r="O2072" s="352">
        <f t="shared" si="2538"/>
        <v>6.5137263794918313E-3</v>
      </c>
    </row>
    <row r="2073" spans="1:15" ht="24" thickBot="1" x14ac:dyDescent="0.35">
      <c r="A2073" s="277" t="s">
        <v>110</v>
      </c>
      <c r="B2073" s="984" t="s">
        <v>180</v>
      </c>
      <c r="C2073" s="962"/>
      <c r="D2073" s="963"/>
      <c r="E2073" s="333">
        <f>+E2057+E2072</f>
        <v>6002125</v>
      </c>
      <c r="F2073" s="334">
        <f t="shared" ref="F2073:I2073" si="2574">+F2057+F2072</f>
        <v>549000</v>
      </c>
      <c r="G2073" s="333">
        <f t="shared" si="2574"/>
        <v>98935</v>
      </c>
      <c r="H2073" s="331">
        <f t="shared" si="2574"/>
        <v>181975</v>
      </c>
      <c r="I2073" s="331">
        <f t="shared" si="2574"/>
        <v>2472</v>
      </c>
      <c r="J2073" s="353">
        <f>+G2073/F2073</f>
        <v>0.18020947176684882</v>
      </c>
      <c r="K2073" s="333">
        <f>+K2057+K2072</f>
        <v>3732612</v>
      </c>
      <c r="L2073" s="331">
        <f t="shared" ref="L2073:M2073" si="2575">+L2057+L2072</f>
        <v>3706667</v>
      </c>
      <c r="M2073" s="332">
        <f t="shared" si="2575"/>
        <v>25945</v>
      </c>
      <c r="N2073" s="345">
        <f>IFERROR(K2073/E2073,"-")</f>
        <v>0.62188175021346603</v>
      </c>
      <c r="O2073" s="353">
        <f t="shared" si="2538"/>
        <v>6.9508965839471127E-3</v>
      </c>
    </row>
    <row r="2074" spans="1:15" ht="23.4" x14ac:dyDescent="0.3">
      <c r="A2074" s="271" t="s">
        <v>108</v>
      </c>
      <c r="B2074" s="977" t="s">
        <v>26</v>
      </c>
      <c r="C2074" s="300" t="s">
        <v>323</v>
      </c>
      <c r="D2074" s="300" t="s">
        <v>190</v>
      </c>
      <c r="E2074" s="273">
        <v>0</v>
      </c>
      <c r="F2074" s="274"/>
      <c r="G2074" s="335">
        <f t="shared" ref="G2074:G2083" si="2576">+H2074+I2074</f>
        <v>0</v>
      </c>
      <c r="H2074" s="275"/>
      <c r="I2074" s="275"/>
      <c r="J2074" s="354" t="str">
        <f>IFERROR(G2074/#REF!,"-")</f>
        <v>-</v>
      </c>
      <c r="K2074" s="335">
        <f t="shared" ref="K2074:K2083" si="2577">+L2074+M2074</f>
        <v>0</v>
      </c>
      <c r="L2074" s="275">
        <f t="shared" ref="L2074:M2074" si="2578">+H2074+L1965</f>
        <v>0</v>
      </c>
      <c r="M2074" s="276">
        <f t="shared" si="2578"/>
        <v>0</v>
      </c>
      <c r="N2074" s="339" t="str">
        <f t="shared" ref="N2074:N2075" si="2579">IFERROR(K2074/E2074,"-")</f>
        <v>-</v>
      </c>
      <c r="O2074" s="349" t="str">
        <f t="shared" si="2538"/>
        <v>-</v>
      </c>
    </row>
    <row r="2075" spans="1:15" ht="23.4" x14ac:dyDescent="0.3">
      <c r="A2075" s="277" t="s">
        <v>108</v>
      </c>
      <c r="B2075" s="977"/>
      <c r="C2075" s="301" t="s">
        <v>508</v>
      </c>
      <c r="D2075" s="301" t="s">
        <v>507</v>
      </c>
      <c r="E2075" s="279">
        <v>0</v>
      </c>
      <c r="F2075" s="280"/>
      <c r="G2075" s="336">
        <f t="shared" si="2576"/>
        <v>0</v>
      </c>
      <c r="H2075" s="281"/>
      <c r="I2075" s="281"/>
      <c r="J2075" s="355" t="str">
        <f>IFERROR(G2075/#REF!,"-")</f>
        <v>-</v>
      </c>
      <c r="K2075" s="336">
        <f t="shared" si="2577"/>
        <v>190384</v>
      </c>
      <c r="L2075" s="275">
        <f t="shared" ref="L2075:M2075" si="2580">+H2075+L1966</f>
        <v>186966</v>
      </c>
      <c r="M2075" s="276">
        <f t="shared" si="2580"/>
        <v>3418</v>
      </c>
      <c r="N2075" s="340" t="str">
        <f t="shared" si="2579"/>
        <v>-</v>
      </c>
      <c r="O2075" s="264">
        <f t="shared" si="2538"/>
        <v>1.7953189343642324E-2</v>
      </c>
    </row>
    <row r="2076" spans="1:15" ht="23.4" x14ac:dyDescent="0.3">
      <c r="A2076" s="277" t="s">
        <v>108</v>
      </c>
      <c r="B2076" s="977"/>
      <c r="C2076" s="302" t="s">
        <v>27</v>
      </c>
      <c r="D2076" s="302" t="s">
        <v>370</v>
      </c>
      <c r="E2076" s="283">
        <v>0</v>
      </c>
      <c r="F2076" s="284"/>
      <c r="G2076" s="336">
        <f t="shared" si="2576"/>
        <v>0</v>
      </c>
      <c r="H2076" s="285"/>
      <c r="I2076" s="285"/>
      <c r="J2076" s="356" t="str">
        <f>IFERROR(G2076/#REF!,"-")</f>
        <v>-</v>
      </c>
      <c r="K2076" s="336">
        <f t="shared" si="2577"/>
        <v>15312</v>
      </c>
      <c r="L2076" s="275">
        <f t="shared" ref="L2076:M2076" si="2581">+H2076+L1967</f>
        <v>14492</v>
      </c>
      <c r="M2076" s="276">
        <f t="shared" si="2581"/>
        <v>820</v>
      </c>
      <c r="N2076" s="286"/>
      <c r="O2076" s="264">
        <f t="shared" si="2538"/>
        <v>5.3552769070010449E-2</v>
      </c>
    </row>
    <row r="2077" spans="1:15" ht="23.4" x14ac:dyDescent="0.3">
      <c r="A2077" s="277" t="s">
        <v>108</v>
      </c>
      <c r="B2077" s="977"/>
      <c r="C2077" s="302" t="s">
        <v>27</v>
      </c>
      <c r="D2077" s="302" t="s">
        <v>254</v>
      </c>
      <c r="E2077" s="283">
        <v>0</v>
      </c>
      <c r="F2077" s="284"/>
      <c r="G2077" s="336">
        <f t="shared" si="2576"/>
        <v>0</v>
      </c>
      <c r="H2077" s="285"/>
      <c r="I2077" s="285"/>
      <c r="J2077" s="356" t="str">
        <f>IFERROR(G2077/#REF!,"-")</f>
        <v>-</v>
      </c>
      <c r="K2077" s="336">
        <f t="shared" si="2577"/>
        <v>41904</v>
      </c>
      <c r="L2077" s="275">
        <f t="shared" ref="L2077:M2077" si="2582">+H2077+L1968</f>
        <v>39879</v>
      </c>
      <c r="M2077" s="276">
        <f t="shared" si="2582"/>
        <v>2025</v>
      </c>
      <c r="N2077" s="286"/>
      <c r="O2077" s="264">
        <f t="shared" si="2538"/>
        <v>4.8324742268041239E-2</v>
      </c>
    </row>
    <row r="2078" spans="1:15" ht="23.4" x14ac:dyDescent="0.3">
      <c r="A2078" s="277" t="s">
        <v>108</v>
      </c>
      <c r="B2078" s="977"/>
      <c r="C2078" s="302" t="s">
        <v>27</v>
      </c>
      <c r="D2078" s="302" t="s">
        <v>302</v>
      </c>
      <c r="E2078" s="283">
        <v>0</v>
      </c>
      <c r="F2078" s="284"/>
      <c r="G2078" s="336">
        <f t="shared" si="2576"/>
        <v>0</v>
      </c>
      <c r="H2078" s="285"/>
      <c r="I2078" s="285"/>
      <c r="J2078" s="356" t="str">
        <f>IFERROR(G2078/#REF!,"-")</f>
        <v>-</v>
      </c>
      <c r="K2078" s="336">
        <f t="shared" si="2577"/>
        <v>6345</v>
      </c>
      <c r="L2078" s="275">
        <f t="shared" ref="L2078:M2078" si="2583">+H2078+L1969</f>
        <v>5830</v>
      </c>
      <c r="M2078" s="276">
        <f t="shared" si="2583"/>
        <v>515</v>
      </c>
      <c r="N2078" s="286"/>
      <c r="O2078" s="264">
        <f t="shared" si="2538"/>
        <v>8.1166272655634364E-2</v>
      </c>
    </row>
    <row r="2079" spans="1:15" ht="23.4" x14ac:dyDescent="0.3">
      <c r="A2079" s="277"/>
      <c r="B2079" s="977"/>
      <c r="C2079" s="302" t="s">
        <v>541</v>
      </c>
      <c r="D2079" s="302" t="s">
        <v>191</v>
      </c>
      <c r="E2079" s="283">
        <v>0</v>
      </c>
      <c r="F2079" s="284"/>
      <c r="G2079" s="337">
        <f t="shared" si="2576"/>
        <v>0</v>
      </c>
      <c r="H2079" s="285"/>
      <c r="I2079" s="285"/>
      <c r="J2079" s="356" t="str">
        <f>IFERROR(G2079/#REF!,"-")</f>
        <v>-</v>
      </c>
      <c r="K2079" s="337">
        <f t="shared" si="2577"/>
        <v>4273</v>
      </c>
      <c r="L2079" s="275">
        <f t="shared" ref="L2079:M2079" si="2584">+H2079+L1970</f>
        <v>3978</v>
      </c>
      <c r="M2079" s="276">
        <f t="shared" si="2584"/>
        <v>295</v>
      </c>
      <c r="N2079" s="286"/>
      <c r="O2079" s="264">
        <f t="shared" si="2538"/>
        <v>6.9038146501287145E-2</v>
      </c>
    </row>
    <row r="2080" spans="1:15" ht="23.4" x14ac:dyDescent="0.3">
      <c r="A2080" s="277"/>
      <c r="B2080" s="977"/>
      <c r="C2080" s="302" t="s">
        <v>369</v>
      </c>
      <c r="D2080" s="302" t="s">
        <v>101</v>
      </c>
      <c r="E2080" s="283">
        <v>0</v>
      </c>
      <c r="F2080" s="284"/>
      <c r="G2080" s="337">
        <f t="shared" si="2576"/>
        <v>0</v>
      </c>
      <c r="H2080" s="285"/>
      <c r="I2080" s="285"/>
      <c r="J2080" s="356" t="str">
        <f>IFERROR(G2080/#REF!,"-")</f>
        <v>-</v>
      </c>
      <c r="K2080" s="337">
        <f t="shared" si="2577"/>
        <v>6135</v>
      </c>
      <c r="L2080" s="275">
        <f t="shared" ref="L2080:M2080" si="2585">+H2080+L1971</f>
        <v>5899</v>
      </c>
      <c r="M2080" s="276">
        <f t="shared" si="2585"/>
        <v>236</v>
      </c>
      <c r="N2080" s="286"/>
      <c r="O2080" s="264">
        <f t="shared" si="2538"/>
        <v>3.8467807660961695E-2</v>
      </c>
    </row>
    <row r="2081" spans="1:15" ht="23.4" x14ac:dyDescent="0.3">
      <c r="A2081" s="277"/>
      <c r="B2081" s="977"/>
      <c r="C2081" s="302" t="s">
        <v>542</v>
      </c>
      <c r="D2081" s="302" t="s">
        <v>191</v>
      </c>
      <c r="E2081" s="283">
        <v>0</v>
      </c>
      <c r="F2081" s="284"/>
      <c r="G2081" s="337">
        <f t="shared" si="2576"/>
        <v>0</v>
      </c>
      <c r="H2081" s="285"/>
      <c r="I2081" s="285"/>
      <c r="J2081" s="356" t="str">
        <f>IFERROR(G2081/#REF!,"-")</f>
        <v>-</v>
      </c>
      <c r="K2081" s="337">
        <f t="shared" si="2577"/>
        <v>2448</v>
      </c>
      <c r="L2081" s="275">
        <f t="shared" ref="L2081:M2081" si="2586">+H2081+L1972</f>
        <v>2448</v>
      </c>
      <c r="M2081" s="275">
        <f t="shared" si="2586"/>
        <v>0</v>
      </c>
      <c r="N2081" s="286"/>
      <c r="O2081" s="264">
        <f t="shared" si="2538"/>
        <v>0</v>
      </c>
    </row>
    <row r="2082" spans="1:15" ht="23.4" x14ac:dyDescent="0.3">
      <c r="A2082" s="277"/>
      <c r="B2082" s="977"/>
      <c r="C2082" s="302" t="s">
        <v>452</v>
      </c>
      <c r="D2082" s="302" t="s">
        <v>410</v>
      </c>
      <c r="E2082" s="283">
        <v>0</v>
      </c>
      <c r="F2082" s="284"/>
      <c r="G2082" s="337">
        <f t="shared" si="2576"/>
        <v>0</v>
      </c>
      <c r="H2082" s="285"/>
      <c r="I2082" s="285"/>
      <c r="J2082" s="356" t="str">
        <f>IFERROR(G2082/#REF!,"-")</f>
        <v>-</v>
      </c>
      <c r="K2082" s="337">
        <f t="shared" si="2577"/>
        <v>40370</v>
      </c>
      <c r="L2082" s="275">
        <f t="shared" ref="L2082:M2082" si="2587">+H2082+L1973</f>
        <v>39117</v>
      </c>
      <c r="M2082" s="276">
        <f t="shared" si="2587"/>
        <v>1253</v>
      </c>
      <c r="N2082" s="286"/>
      <c r="O2082" s="264">
        <f t="shared" si="2538"/>
        <v>3.1037899430270001E-2</v>
      </c>
    </row>
    <row r="2083" spans="1:15" ht="24" thickBot="1" x14ac:dyDescent="0.35">
      <c r="A2083" s="277" t="s">
        <v>108</v>
      </c>
      <c r="B2083" s="977"/>
      <c r="C2083" s="303" t="s">
        <v>315</v>
      </c>
      <c r="D2083" s="302" t="s">
        <v>313</v>
      </c>
      <c r="E2083" s="283">
        <v>0</v>
      </c>
      <c r="F2083" s="284"/>
      <c r="G2083" s="337">
        <f t="shared" si="2576"/>
        <v>0</v>
      </c>
      <c r="H2083" s="285"/>
      <c r="I2083" s="285"/>
      <c r="J2083" s="356" t="str">
        <f>IFERROR(G2083/#REF!,"-")</f>
        <v>-</v>
      </c>
      <c r="K2083" s="337">
        <f t="shared" si="2577"/>
        <v>16403</v>
      </c>
      <c r="L2083" s="275">
        <f t="shared" ref="L2083:M2083" si="2588">+H2083+L1974</f>
        <v>15912</v>
      </c>
      <c r="M2083" s="276">
        <f t="shared" si="2588"/>
        <v>491</v>
      </c>
      <c r="N2083" s="341" t="str">
        <f t="shared" ref="N2083:N2090" si="2589">IFERROR(K2083/E2083,"-")</f>
        <v>-</v>
      </c>
      <c r="O2083" s="350">
        <f t="shared" si="2538"/>
        <v>2.9933548741083948E-2</v>
      </c>
    </row>
    <row r="2084" spans="1:15" ht="24" thickBot="1" x14ac:dyDescent="0.35">
      <c r="A2084" s="277" t="s">
        <v>108</v>
      </c>
      <c r="B2084" s="990"/>
      <c r="C2084" s="304"/>
      <c r="D2084" s="305" t="s">
        <v>55</v>
      </c>
      <c r="E2084" s="287">
        <f>SUM(E2074:E2083)</f>
        <v>0</v>
      </c>
      <c r="F2084" s="288">
        <v>80000</v>
      </c>
      <c r="G2084" s="323">
        <f>SUM(G2074:G2083)</f>
        <v>0</v>
      </c>
      <c r="H2084" s="324">
        <f>SUM(H2074:H2083)</f>
        <v>0</v>
      </c>
      <c r="I2084" s="324">
        <f>SUM(I2074:I2083)</f>
        <v>0</v>
      </c>
      <c r="J2084" s="348">
        <f>+G2084/F2084</f>
        <v>0</v>
      </c>
      <c r="K2084" s="323">
        <f>SUM(K2074:K2083)</f>
        <v>323574</v>
      </c>
      <c r="L2084" s="324">
        <f>SUM(L2074:L2083)</f>
        <v>314521</v>
      </c>
      <c r="M2084" s="325">
        <f>SUM(M2074:M2083)</f>
        <v>9053</v>
      </c>
      <c r="N2084" s="342" t="str">
        <f t="shared" si="2589"/>
        <v>-</v>
      </c>
      <c r="O2084" s="348">
        <f t="shared" si="2538"/>
        <v>2.7978144103049069E-2</v>
      </c>
    </row>
    <row r="2085" spans="1:15" ht="23.4" x14ac:dyDescent="0.3">
      <c r="A2085" s="277" t="s">
        <v>108</v>
      </c>
      <c r="B2085" s="976" t="s">
        <v>28</v>
      </c>
      <c r="C2085" s="302" t="s">
        <v>27</v>
      </c>
      <c r="D2085" s="300" t="s">
        <v>191</v>
      </c>
      <c r="E2085" s="273">
        <v>2612056</v>
      </c>
      <c r="F2085" s="274"/>
      <c r="G2085" s="335">
        <f t="shared" ref="G2085:G2089" si="2590">+H2085+I2085</f>
        <v>0</v>
      </c>
      <c r="H2085" s="275"/>
      <c r="I2085" s="275"/>
      <c r="J2085" s="354" t="str">
        <f>IFERROR(G2085/#REF!,"-")</f>
        <v>-</v>
      </c>
      <c r="K2085" s="335">
        <f t="shared" ref="K2085:K2089" si="2591">+L2085+M2085</f>
        <v>166634</v>
      </c>
      <c r="L2085" s="275">
        <f t="shared" ref="L2085:M2085" si="2592">+H2085+L1976</f>
        <v>163098</v>
      </c>
      <c r="M2085" s="276">
        <f t="shared" si="2592"/>
        <v>3536</v>
      </c>
      <c r="N2085" s="339">
        <f t="shared" si="2589"/>
        <v>6.3794191242454223E-2</v>
      </c>
      <c r="O2085" s="349">
        <f t="shared" si="2538"/>
        <v>2.1220159151193633E-2</v>
      </c>
    </row>
    <row r="2086" spans="1:15" ht="23.4" x14ac:dyDescent="0.3">
      <c r="A2086" s="277" t="s">
        <v>108</v>
      </c>
      <c r="B2086" s="977"/>
      <c r="C2086" s="302" t="s">
        <v>455</v>
      </c>
      <c r="D2086" s="302" t="s">
        <v>370</v>
      </c>
      <c r="E2086" s="279">
        <v>0</v>
      </c>
      <c r="F2086" s="280"/>
      <c r="G2086" s="336">
        <f t="shared" si="2590"/>
        <v>136308</v>
      </c>
      <c r="H2086" s="281">
        <v>135252</v>
      </c>
      <c r="I2086" s="281">
        <v>1056</v>
      </c>
      <c r="J2086" s="355" t="str">
        <f>IFERROR(G2086/#REF!,"-")</f>
        <v>-</v>
      </c>
      <c r="K2086" s="336">
        <f t="shared" si="2591"/>
        <v>1411509</v>
      </c>
      <c r="L2086" s="275">
        <f t="shared" ref="L2086:M2086" si="2593">+H2086+L1977</f>
        <v>1395972</v>
      </c>
      <c r="M2086" s="276">
        <f t="shared" si="2593"/>
        <v>15537</v>
      </c>
      <c r="N2086" s="340" t="str">
        <f t="shared" si="2589"/>
        <v>-</v>
      </c>
      <c r="O2086" s="264">
        <f t="shared" si="2538"/>
        <v>1.1007368709657536E-2</v>
      </c>
    </row>
    <row r="2087" spans="1:15" ht="23.4" x14ac:dyDescent="0.3">
      <c r="A2087" s="277" t="s">
        <v>108</v>
      </c>
      <c r="B2087" s="977"/>
      <c r="C2087" s="302" t="s">
        <v>27</v>
      </c>
      <c r="D2087" s="302" t="s">
        <v>370</v>
      </c>
      <c r="E2087" s="279">
        <v>0</v>
      </c>
      <c r="F2087" s="280"/>
      <c r="G2087" s="336">
        <f t="shared" si="2590"/>
        <v>0</v>
      </c>
      <c r="H2087" s="281"/>
      <c r="I2087" s="281"/>
      <c r="J2087" s="355" t="str">
        <f>IFERROR(G2087/#REF!,"-")</f>
        <v>-</v>
      </c>
      <c r="K2087" s="336">
        <f t="shared" si="2591"/>
        <v>73114</v>
      </c>
      <c r="L2087" s="275">
        <f t="shared" ref="L2087:M2087" si="2594">+H2087+L1978</f>
        <v>71604</v>
      </c>
      <c r="M2087" s="276">
        <f t="shared" si="2594"/>
        <v>1510</v>
      </c>
      <c r="N2087" s="340" t="str">
        <f t="shared" si="2589"/>
        <v>-</v>
      </c>
      <c r="O2087" s="264">
        <f t="shared" si="2538"/>
        <v>2.065267937741062E-2</v>
      </c>
    </row>
    <row r="2088" spans="1:15" ht="23.4" x14ac:dyDescent="0.3">
      <c r="A2088" s="277" t="s">
        <v>108</v>
      </c>
      <c r="B2088" s="977"/>
      <c r="C2088" s="302" t="s">
        <v>452</v>
      </c>
      <c r="D2088" s="303" t="s">
        <v>410</v>
      </c>
      <c r="E2088" s="283">
        <v>0</v>
      </c>
      <c r="F2088" s="284"/>
      <c r="G2088" s="337">
        <f t="shared" si="2590"/>
        <v>0</v>
      </c>
      <c r="H2088" s="285"/>
      <c r="I2088" s="285"/>
      <c r="J2088" s="356" t="str">
        <f>IFERROR(G2088/#REF!,"-")</f>
        <v>-</v>
      </c>
      <c r="K2088" s="337">
        <f t="shared" si="2591"/>
        <v>249713</v>
      </c>
      <c r="L2088" s="275">
        <f t="shared" ref="L2088:M2088" si="2595">+H2088+L1979</f>
        <v>246636</v>
      </c>
      <c r="M2088" s="755">
        <f t="shared" si="2595"/>
        <v>3077</v>
      </c>
      <c r="N2088" s="341" t="str">
        <f t="shared" si="2589"/>
        <v>-</v>
      </c>
      <c r="O2088" s="350">
        <f t="shared" si="2538"/>
        <v>1.2322145823405269E-2</v>
      </c>
    </row>
    <row r="2089" spans="1:15" ht="24" thickBot="1" x14ac:dyDescent="0.35">
      <c r="A2089" s="277" t="s">
        <v>108</v>
      </c>
      <c r="B2089" s="977"/>
      <c r="C2089" s="302" t="s">
        <v>27</v>
      </c>
      <c r="D2089" s="303" t="s">
        <v>254</v>
      </c>
      <c r="E2089" s="283">
        <v>0</v>
      </c>
      <c r="F2089" s="284"/>
      <c r="G2089" s="337">
        <f t="shared" si="2590"/>
        <v>0</v>
      </c>
      <c r="H2089" s="285"/>
      <c r="I2089" s="285"/>
      <c r="J2089" s="356" t="str">
        <f>IFERROR(G2089/#REF!,"-")</f>
        <v>-</v>
      </c>
      <c r="K2089" s="337">
        <f t="shared" si="2591"/>
        <v>767509</v>
      </c>
      <c r="L2089" s="275">
        <f t="shared" ref="L2089:M2089" si="2596">+H2089+L1980</f>
        <v>758574</v>
      </c>
      <c r="M2089" s="755">
        <f t="shared" si="2596"/>
        <v>8935</v>
      </c>
      <c r="N2089" s="341" t="str">
        <f t="shared" si="2589"/>
        <v>-</v>
      </c>
      <c r="O2089" s="350">
        <f t="shared" si="2538"/>
        <v>1.164155729769944E-2</v>
      </c>
    </row>
    <row r="2090" spans="1:15" ht="24" thickBot="1" x14ac:dyDescent="0.35">
      <c r="A2090" s="277" t="s">
        <v>108</v>
      </c>
      <c r="B2090" s="977"/>
      <c r="C2090" s="307"/>
      <c r="D2090" s="308" t="s">
        <v>55</v>
      </c>
      <c r="E2090" s="309">
        <f>SUM(E2085:E2089)</f>
        <v>2612056</v>
      </c>
      <c r="F2090" s="310">
        <v>160000</v>
      </c>
      <c r="G2090" s="369">
        <f>SUM(G2085:G2089)</f>
        <v>136308</v>
      </c>
      <c r="H2090" s="368">
        <f>SUM(H2085:H2089)</f>
        <v>135252</v>
      </c>
      <c r="I2090" s="368">
        <f>SUM(I2085:I2089)</f>
        <v>1056</v>
      </c>
      <c r="J2090" s="359">
        <f>+G2090/F2090</f>
        <v>0.85192500000000004</v>
      </c>
      <c r="K2090" s="369">
        <f>SUM(K2085:K2089)</f>
        <v>2668479</v>
      </c>
      <c r="L2090" s="368">
        <f>SUM(L2085:L2089)</f>
        <v>2635884</v>
      </c>
      <c r="M2090" s="370">
        <f>SUM(M2085:M2089)</f>
        <v>32595</v>
      </c>
      <c r="N2090" s="358">
        <f t="shared" si="2589"/>
        <v>1.021600991709213</v>
      </c>
      <c r="O2090" s="359">
        <f t="shared" si="2538"/>
        <v>1.2214823500578419E-2</v>
      </c>
    </row>
    <row r="2091" spans="1:15" ht="24" thickBot="1" x14ac:dyDescent="0.35">
      <c r="A2091" s="925" t="s">
        <v>108</v>
      </c>
      <c r="B2091" s="978" t="s">
        <v>170</v>
      </c>
      <c r="C2091" s="979"/>
      <c r="D2091" s="980"/>
      <c r="E2091" s="311">
        <f>+E2090+E2084</f>
        <v>2612056</v>
      </c>
      <c r="F2091" s="312">
        <v>240000</v>
      </c>
      <c r="G2091" s="372">
        <f>+G2084+G2090</f>
        <v>136308</v>
      </c>
      <c r="H2091" s="371">
        <f>+H2084+H2090</f>
        <v>135252</v>
      </c>
      <c r="I2091" s="371">
        <f>+I2084+I2090</f>
        <v>1056</v>
      </c>
      <c r="J2091" s="361">
        <f>+G2091/F2091</f>
        <v>0.56794999999999995</v>
      </c>
      <c r="K2091" s="372">
        <f>+K2084+K2090</f>
        <v>2992053</v>
      </c>
      <c r="L2091" s="371">
        <f>+L2084+L2090</f>
        <v>2950405</v>
      </c>
      <c r="M2091" s="373">
        <f>+M2084+M2090</f>
        <v>41648</v>
      </c>
      <c r="N2091" s="360">
        <f>IFERROR(K2091/E2091,"-")</f>
        <v>1.1454781214491574</v>
      </c>
      <c r="O2091" s="361">
        <f t="shared" si="2538"/>
        <v>1.3919539526873354E-2</v>
      </c>
    </row>
    <row r="2092" spans="1:15" ht="23.4" x14ac:dyDescent="0.3">
      <c r="A2092" s="277" t="s">
        <v>108</v>
      </c>
      <c r="B2092" s="977" t="s">
        <v>30</v>
      </c>
      <c r="C2092" s="306" t="s">
        <v>581</v>
      </c>
      <c r="D2092" s="302" t="s">
        <v>370</v>
      </c>
      <c r="E2092" s="273">
        <v>0</v>
      </c>
      <c r="F2092" s="274"/>
      <c r="G2092" s="335">
        <f t="shared" ref="G2092:G2094" si="2597">+H2092+I2092</f>
        <v>0</v>
      </c>
      <c r="H2092" s="275"/>
      <c r="I2092" s="275"/>
      <c r="J2092" s="354" t="str">
        <f>IFERROR(G2092/#REF!,"-")</f>
        <v>-</v>
      </c>
      <c r="K2092" s="335">
        <f t="shared" ref="K2092:K2094" si="2598">+L2092+M2092</f>
        <v>11232</v>
      </c>
      <c r="L2092" s="275">
        <f t="shared" ref="L2092:M2092" si="2599">+H2092+L1983</f>
        <v>11232</v>
      </c>
      <c r="M2092" s="276">
        <f t="shared" si="2599"/>
        <v>0</v>
      </c>
      <c r="N2092" s="339" t="str">
        <f t="shared" ref="N2092:N2096" si="2600">IFERROR(K2092/E2092,"-")</f>
        <v>-</v>
      </c>
      <c r="O2092" s="349">
        <f t="shared" si="2538"/>
        <v>0</v>
      </c>
    </row>
    <row r="2093" spans="1:15" ht="23.4" x14ac:dyDescent="0.3">
      <c r="A2093" s="277" t="s">
        <v>108</v>
      </c>
      <c r="B2093" s="977"/>
      <c r="C2093" s="303" t="s">
        <v>531</v>
      </c>
      <c r="D2093" s="306" t="s">
        <v>410</v>
      </c>
      <c r="E2093" s="279">
        <v>0</v>
      </c>
      <c r="F2093" s="280"/>
      <c r="G2093" s="336">
        <f t="shared" si="2597"/>
        <v>0</v>
      </c>
      <c r="H2093" s="281"/>
      <c r="I2093" s="281"/>
      <c r="J2093" s="355" t="str">
        <f>IFERROR(G2093/#REF!,"-")</f>
        <v>-</v>
      </c>
      <c r="K2093" s="336">
        <f t="shared" si="2598"/>
        <v>244257</v>
      </c>
      <c r="L2093" s="275">
        <f t="shared" ref="L2093:M2093" si="2601">+H2093+L1984</f>
        <v>239616</v>
      </c>
      <c r="M2093" s="276">
        <f t="shared" si="2601"/>
        <v>4641</v>
      </c>
      <c r="N2093" s="340" t="str">
        <f t="shared" si="2600"/>
        <v>-</v>
      </c>
      <c r="O2093" s="264">
        <f t="shared" si="2538"/>
        <v>1.9000479003672362E-2</v>
      </c>
    </row>
    <row r="2094" spans="1:15" ht="24" thickBot="1" x14ac:dyDescent="0.35">
      <c r="A2094" s="277" t="s">
        <v>108</v>
      </c>
      <c r="B2094" s="977"/>
      <c r="C2094" s="303" t="s">
        <v>316</v>
      </c>
      <c r="D2094" s="303" t="s">
        <v>410</v>
      </c>
      <c r="E2094" s="283">
        <v>0</v>
      </c>
      <c r="F2094" s="284"/>
      <c r="G2094" s="337">
        <f t="shared" si="2597"/>
        <v>0</v>
      </c>
      <c r="H2094" s="285"/>
      <c r="I2094" s="285"/>
      <c r="J2094" s="356" t="str">
        <f>IFERROR(G2094/#REF!,"-")</f>
        <v>-</v>
      </c>
      <c r="K2094" s="337">
        <f t="shared" si="2598"/>
        <v>171639</v>
      </c>
      <c r="L2094" s="275">
        <f t="shared" ref="L2094:M2094" si="2602">+H2094+L1985</f>
        <v>166608</v>
      </c>
      <c r="M2094" s="276">
        <f t="shared" si="2602"/>
        <v>5031</v>
      </c>
      <c r="N2094" s="341" t="str">
        <f t="shared" si="2600"/>
        <v>-</v>
      </c>
      <c r="O2094" s="350">
        <f t="shared" si="2538"/>
        <v>2.9311520109066121E-2</v>
      </c>
    </row>
    <row r="2095" spans="1:15" ht="24" thickBot="1" x14ac:dyDescent="0.35">
      <c r="A2095" s="277" t="s">
        <v>108</v>
      </c>
      <c r="B2095" s="977"/>
      <c r="C2095" s="304"/>
      <c r="D2095" s="305" t="s">
        <v>53</v>
      </c>
      <c r="E2095" s="287">
        <v>0</v>
      </c>
      <c r="F2095" s="288">
        <v>50000</v>
      </c>
      <c r="G2095" s="323">
        <f>SUM(G2092:G2094)</f>
        <v>0</v>
      </c>
      <c r="H2095" s="324">
        <f>SUM(H2092:H2094)</f>
        <v>0</v>
      </c>
      <c r="I2095" s="324">
        <f>SUM(I2092:I2094)</f>
        <v>0</v>
      </c>
      <c r="J2095" s="348" t="e">
        <f>+H2095/G2095</f>
        <v>#DIV/0!</v>
      </c>
      <c r="K2095" s="323">
        <f>SUM(K2092:K2094)</f>
        <v>427128</v>
      </c>
      <c r="L2095" s="324">
        <f>SUM(L2092:L2094)</f>
        <v>417456</v>
      </c>
      <c r="M2095" s="325">
        <f>SUM(M2092:M2094)</f>
        <v>9672</v>
      </c>
      <c r="N2095" s="342" t="str">
        <f t="shared" si="2600"/>
        <v>-</v>
      </c>
      <c r="O2095" s="348">
        <f t="shared" si="2538"/>
        <v>2.2644265887509132E-2</v>
      </c>
    </row>
    <row r="2096" spans="1:15" ht="23.4" x14ac:dyDescent="0.3">
      <c r="A2096" s="277" t="s">
        <v>108</v>
      </c>
      <c r="B2096" s="977"/>
      <c r="C2096" s="300" t="s">
        <v>543</v>
      </c>
      <c r="D2096" s="300" t="s">
        <v>99</v>
      </c>
      <c r="E2096" s="273">
        <v>500000</v>
      </c>
      <c r="F2096" s="274"/>
      <c r="G2096" s="335">
        <f t="shared" ref="G2096" si="2603">+H2096+I2096</f>
        <v>0</v>
      </c>
      <c r="H2096" s="275"/>
      <c r="I2096" s="275"/>
      <c r="J2096" s="354" t="str">
        <f>IFERROR(G2096/#REF!,"-")</f>
        <v>-</v>
      </c>
      <c r="K2096" s="335">
        <f t="shared" ref="K2096:K2100" si="2604">+L2096+M2096</f>
        <v>16626</v>
      </c>
      <c r="L2096" s="275">
        <f t="shared" ref="L2096:M2096" si="2605">+H2096+L1987</f>
        <v>15932</v>
      </c>
      <c r="M2096" s="276">
        <f t="shared" si="2605"/>
        <v>694</v>
      </c>
      <c r="N2096" s="339">
        <f t="shared" si="2600"/>
        <v>3.3251999999999997E-2</v>
      </c>
      <c r="O2096" s="349">
        <f t="shared" si="2538"/>
        <v>4.174185011427884E-2</v>
      </c>
    </row>
    <row r="2097" spans="1:15" ht="23.4" x14ac:dyDescent="0.3">
      <c r="A2097" s="277"/>
      <c r="B2097" s="977"/>
      <c r="C2097" s="306" t="s">
        <v>585</v>
      </c>
      <c r="D2097" s="302" t="s">
        <v>370</v>
      </c>
      <c r="E2097" s="273"/>
      <c r="F2097" s="274"/>
      <c r="G2097" s="335"/>
      <c r="H2097" s="275"/>
      <c r="I2097" s="275"/>
      <c r="J2097" s="354"/>
      <c r="K2097" s="335">
        <f t="shared" si="2604"/>
        <v>47078</v>
      </c>
      <c r="L2097" s="275">
        <f t="shared" ref="L2097:M2097" si="2606">+H2097+L1988</f>
        <v>46800</v>
      </c>
      <c r="M2097" s="276">
        <f t="shared" si="2606"/>
        <v>278</v>
      </c>
      <c r="N2097" s="339"/>
      <c r="O2097" s="349">
        <f t="shared" si="2538"/>
        <v>5.9050936743277119E-3</v>
      </c>
    </row>
    <row r="2098" spans="1:15" ht="23.4" x14ac:dyDescent="0.3">
      <c r="A2098" s="277"/>
      <c r="B2098" s="977"/>
      <c r="C2098" s="306" t="s">
        <v>588</v>
      </c>
      <c r="D2098" s="302" t="s">
        <v>370</v>
      </c>
      <c r="E2098" s="273"/>
      <c r="F2098" s="274"/>
      <c r="G2098" s="335"/>
      <c r="H2098" s="275"/>
      <c r="I2098" s="275"/>
      <c r="J2098" s="354"/>
      <c r="K2098" s="335">
        <f t="shared" si="2604"/>
        <v>2142</v>
      </c>
      <c r="L2098" s="275">
        <f t="shared" ref="L2098:M2098" si="2607">+H2098+L1989</f>
        <v>1872</v>
      </c>
      <c r="M2098" s="276">
        <f t="shared" si="2607"/>
        <v>270</v>
      </c>
      <c r="N2098" s="339"/>
      <c r="O2098" s="349">
        <f t="shared" si="2538"/>
        <v>0.12605042016806722</v>
      </c>
    </row>
    <row r="2099" spans="1:15" ht="23.4" x14ac:dyDescent="0.3">
      <c r="A2099" s="277" t="s">
        <v>108</v>
      </c>
      <c r="B2099" s="977"/>
      <c r="C2099" s="306" t="s">
        <v>373</v>
      </c>
      <c r="D2099" s="306" t="s">
        <v>254</v>
      </c>
      <c r="E2099" s="279">
        <v>0</v>
      </c>
      <c r="F2099" s="280"/>
      <c r="G2099" s="336">
        <f t="shared" ref="G2099:G2100" si="2608">+H2099+I2099</f>
        <v>0</v>
      </c>
      <c r="H2099" s="281"/>
      <c r="I2099" s="281"/>
      <c r="J2099" s="355" t="str">
        <f>IFERROR(G2099/#REF!,"-")</f>
        <v>-</v>
      </c>
      <c r="K2099" s="336">
        <f t="shared" si="2604"/>
        <v>13599</v>
      </c>
      <c r="L2099" s="275">
        <f t="shared" ref="L2099:M2099" si="2609">+H2099+L1990</f>
        <v>13321</v>
      </c>
      <c r="M2099" s="276">
        <f t="shared" si="2609"/>
        <v>278</v>
      </c>
      <c r="N2099" s="340" t="str">
        <f t="shared" ref="N2099:N2104" si="2610">IFERROR(K2099/E2099,"-")</f>
        <v>-</v>
      </c>
      <c r="O2099" s="264">
        <f t="shared" si="2538"/>
        <v>2.0442679608794763E-2</v>
      </c>
    </row>
    <row r="2100" spans="1:15" ht="24" thickBot="1" x14ac:dyDescent="0.35">
      <c r="A2100" s="277" t="s">
        <v>108</v>
      </c>
      <c r="B2100" s="977"/>
      <c r="C2100" s="303" t="s">
        <v>544</v>
      </c>
      <c r="D2100" s="303" t="s">
        <v>507</v>
      </c>
      <c r="E2100" s="283">
        <v>0</v>
      </c>
      <c r="F2100" s="284"/>
      <c r="G2100" s="337">
        <f t="shared" si="2608"/>
        <v>0</v>
      </c>
      <c r="H2100" s="285"/>
      <c r="I2100" s="285"/>
      <c r="J2100" s="356" t="str">
        <f>IFERROR(G2100/#REF!,"-")</f>
        <v>-</v>
      </c>
      <c r="K2100" s="337">
        <f t="shared" si="2604"/>
        <v>845</v>
      </c>
      <c r="L2100" s="275">
        <f t="shared" ref="L2100:M2100" si="2611">+H2100+L1991</f>
        <v>845</v>
      </c>
      <c r="M2100" s="276">
        <f t="shared" si="2611"/>
        <v>0</v>
      </c>
      <c r="N2100" s="341" t="str">
        <f t="shared" si="2610"/>
        <v>-</v>
      </c>
      <c r="O2100" s="350">
        <f t="shared" si="2538"/>
        <v>0</v>
      </c>
    </row>
    <row r="2101" spans="1:15" ht="24" thickBot="1" x14ac:dyDescent="0.35">
      <c r="A2101" s="277" t="s">
        <v>108</v>
      </c>
      <c r="B2101" s="977"/>
      <c r="C2101" s="307"/>
      <c r="D2101" s="308" t="s">
        <v>54</v>
      </c>
      <c r="E2101" s="309">
        <f>SUM(E2096)</f>
        <v>500000</v>
      </c>
      <c r="F2101" s="310">
        <v>50000</v>
      </c>
      <c r="G2101" s="369">
        <f>SUM(G2096:G2100)</f>
        <v>0</v>
      </c>
      <c r="H2101" s="368">
        <f t="shared" ref="H2101:I2101" si="2612">SUM(H2096:H2100)</f>
        <v>0</v>
      </c>
      <c r="I2101" s="368">
        <f t="shared" si="2612"/>
        <v>0</v>
      </c>
      <c r="J2101" s="359">
        <f>+G2101/F2101</f>
        <v>0</v>
      </c>
      <c r="K2101" s="369">
        <f t="shared" ref="K2101:M2101" si="2613">SUM(K2096:K2100)</f>
        <v>80290</v>
      </c>
      <c r="L2101" s="368">
        <f t="shared" si="2613"/>
        <v>78770</v>
      </c>
      <c r="M2101" s="370">
        <f t="shared" si="2613"/>
        <v>1520</v>
      </c>
      <c r="N2101" s="358">
        <f t="shared" si="2610"/>
        <v>0.16058</v>
      </c>
      <c r="O2101" s="359">
        <f t="shared" si="2538"/>
        <v>1.8931373770083446E-2</v>
      </c>
    </row>
    <row r="2102" spans="1:15" ht="24" thickBot="1" x14ac:dyDescent="0.35">
      <c r="A2102" s="277" t="s">
        <v>108</v>
      </c>
      <c r="B2102" s="978" t="s">
        <v>171</v>
      </c>
      <c r="C2102" s="979"/>
      <c r="D2102" s="980"/>
      <c r="E2102" s="311">
        <f>+E2101+E2095</f>
        <v>500000</v>
      </c>
      <c r="F2102" s="312">
        <v>50000</v>
      </c>
      <c r="G2102" s="372">
        <f>+G2095+G2101</f>
        <v>0</v>
      </c>
      <c r="H2102" s="371">
        <f t="shared" ref="H2102:I2102" si="2614">+H2095+H2101</f>
        <v>0</v>
      </c>
      <c r="I2102" s="371">
        <f t="shared" si="2614"/>
        <v>0</v>
      </c>
      <c r="J2102" s="361">
        <f>+G2102/F2102</f>
        <v>0</v>
      </c>
      <c r="K2102" s="372">
        <f t="shared" ref="K2102:M2102" si="2615">+K2095+K2101</f>
        <v>507418</v>
      </c>
      <c r="L2102" s="371">
        <f t="shared" si="2615"/>
        <v>496226</v>
      </c>
      <c r="M2102" s="373">
        <f t="shared" si="2615"/>
        <v>11192</v>
      </c>
      <c r="N2102" s="360">
        <f t="shared" si="2610"/>
        <v>1.0148360000000001</v>
      </c>
      <c r="O2102" s="361">
        <f t="shared" si="2538"/>
        <v>2.2056765822260935E-2</v>
      </c>
    </row>
    <row r="2103" spans="1:15" ht="24" thickBot="1" x14ac:dyDescent="0.35">
      <c r="A2103" s="277" t="s">
        <v>108</v>
      </c>
      <c r="B2103" s="608" t="s">
        <v>32</v>
      </c>
      <c r="C2103" s="921"/>
      <c r="D2103" s="313" t="s">
        <v>32</v>
      </c>
      <c r="E2103" s="290">
        <v>0</v>
      </c>
      <c r="F2103" s="291">
        <v>110000</v>
      </c>
      <c r="G2103" s="338">
        <f t="shared" ref="G2103" si="2616">+H2103+I2103</f>
        <v>0</v>
      </c>
      <c r="H2103" s="292"/>
      <c r="I2103" s="292"/>
      <c r="J2103" s="357" t="str">
        <f>IFERROR(G2103/#REF!,"-")</f>
        <v>-</v>
      </c>
      <c r="K2103" s="338">
        <f>+L2103+M2103</f>
        <v>0</v>
      </c>
      <c r="L2103" s="292">
        <f>+H2103+L1994</f>
        <v>0</v>
      </c>
      <c r="M2103" s="293">
        <f>+I2103+M1994</f>
        <v>0</v>
      </c>
      <c r="N2103" s="343" t="str">
        <f t="shared" si="2610"/>
        <v>-</v>
      </c>
      <c r="O2103" s="351" t="str">
        <f t="shared" si="2538"/>
        <v>-</v>
      </c>
    </row>
    <row r="2104" spans="1:15" ht="24" thickBot="1" x14ac:dyDescent="0.35">
      <c r="A2104" s="277" t="s">
        <v>108</v>
      </c>
      <c r="B2104" s="981" t="s">
        <v>21</v>
      </c>
      <c r="C2104" s="982"/>
      <c r="D2104" s="983"/>
      <c r="E2104" s="329">
        <f>+E2091+E2102+E2103</f>
        <v>3112056</v>
      </c>
      <c r="F2104" s="330">
        <f>+F2091+F2102+F2103</f>
        <v>400000</v>
      </c>
      <c r="G2104" s="329">
        <f>+G2091+G2102+G2103</f>
        <v>136308</v>
      </c>
      <c r="H2104" s="327">
        <f>+H2091+H2102+H2103</f>
        <v>135252</v>
      </c>
      <c r="I2104" s="327">
        <f>+I2091+I2102+I2103</f>
        <v>1056</v>
      </c>
      <c r="J2104" s="352">
        <f>+G2104/F2104</f>
        <v>0.34077000000000002</v>
      </c>
      <c r="K2104" s="329">
        <f>+K2091+K2102+K2103</f>
        <v>3499471</v>
      </c>
      <c r="L2104" s="327">
        <f>+L2091+L2102+L2103</f>
        <v>3446631</v>
      </c>
      <c r="M2104" s="328">
        <f>+M2091+M2102+M2103</f>
        <v>52840</v>
      </c>
      <c r="N2104" s="344">
        <f t="shared" si="2610"/>
        <v>1.124488441082037</v>
      </c>
      <c r="O2104" s="352">
        <f t="shared" si="2538"/>
        <v>1.509942502738271E-2</v>
      </c>
    </row>
    <row r="2105" spans="1:15" ht="24" thickBot="1" x14ac:dyDescent="0.35">
      <c r="A2105" s="277" t="s">
        <v>108</v>
      </c>
      <c r="B2105" s="984" t="s">
        <v>179</v>
      </c>
      <c r="C2105" s="962"/>
      <c r="D2105" s="963"/>
      <c r="E2105" s="333">
        <f>+E2104</f>
        <v>3112056</v>
      </c>
      <c r="F2105" s="334">
        <f t="shared" ref="F2105:I2105" si="2617">+F2104</f>
        <v>400000</v>
      </c>
      <c r="G2105" s="333">
        <f t="shared" si="2617"/>
        <v>136308</v>
      </c>
      <c r="H2105" s="331">
        <f t="shared" si="2617"/>
        <v>135252</v>
      </c>
      <c r="I2105" s="331">
        <f t="shared" si="2617"/>
        <v>1056</v>
      </c>
      <c r="J2105" s="353">
        <f>+J2104</f>
        <v>0.34077000000000002</v>
      </c>
      <c r="K2105" s="333">
        <f>+K2104</f>
        <v>3499471</v>
      </c>
      <c r="L2105" s="331">
        <f t="shared" ref="L2105" si="2618">+L2104</f>
        <v>3446631</v>
      </c>
      <c r="M2105" s="332">
        <f>+M2104</f>
        <v>52840</v>
      </c>
      <c r="N2105" s="345">
        <f t="shared" ref="N2105:O2105" si="2619">+N2104</f>
        <v>1.124488441082037</v>
      </c>
      <c r="O2105" s="353">
        <f t="shared" si="2619"/>
        <v>1.509942502738271E-2</v>
      </c>
    </row>
    <row r="2106" spans="1:15" ht="23.4" x14ac:dyDescent="0.3">
      <c r="A2106" s="271" t="s">
        <v>109</v>
      </c>
      <c r="B2106" s="970" t="s">
        <v>482</v>
      </c>
      <c r="C2106" s="314" t="s">
        <v>120</v>
      </c>
      <c r="D2106" s="314"/>
      <c r="E2106" s="273">
        <v>34000</v>
      </c>
      <c r="F2106" s="274"/>
      <c r="G2106" s="335">
        <f t="shared" ref="G2106:G2108" si="2620">+H2106+I2106</f>
        <v>0</v>
      </c>
      <c r="H2106" s="275"/>
      <c r="I2106" s="275"/>
      <c r="J2106" s="354" t="str">
        <f>IFERROR(G2106/#REF!,"-")</f>
        <v>-</v>
      </c>
      <c r="K2106" s="335">
        <f t="shared" ref="K2106:K2108" si="2621">+L2106+M2106</f>
        <v>0</v>
      </c>
      <c r="L2106" s="275">
        <f t="shared" ref="L2106:M2106" si="2622">+H2106+L1997</f>
        <v>0</v>
      </c>
      <c r="M2106" s="276">
        <f t="shared" si="2622"/>
        <v>0</v>
      </c>
      <c r="N2106" s="339">
        <f t="shared" ref="N2106:N2113" si="2623">IFERROR(K2106/E2106,"-")</f>
        <v>0</v>
      </c>
      <c r="O2106" s="349" t="str">
        <f t="shared" ref="O2106:O2131" si="2624">IFERROR(M2106/K2106,"-")</f>
        <v>-</v>
      </c>
    </row>
    <row r="2107" spans="1:15" ht="23.4" x14ac:dyDescent="0.3">
      <c r="A2107" s="277" t="s">
        <v>109</v>
      </c>
      <c r="B2107" s="972"/>
      <c r="C2107" s="315" t="s">
        <v>267</v>
      </c>
      <c r="D2107" s="315"/>
      <c r="E2107" s="279">
        <v>0</v>
      </c>
      <c r="F2107" s="280"/>
      <c r="G2107" s="336">
        <f t="shared" si="2620"/>
        <v>155</v>
      </c>
      <c r="H2107" s="281">
        <v>138</v>
      </c>
      <c r="I2107" s="281">
        <v>17</v>
      </c>
      <c r="J2107" s="355" t="str">
        <f>IFERROR(G2107/#REF!,"-")</f>
        <v>-</v>
      </c>
      <c r="K2107" s="336">
        <f t="shared" si="2621"/>
        <v>21456</v>
      </c>
      <c r="L2107" s="275">
        <f t="shared" ref="L2107:M2107" si="2625">+H2107+L1998</f>
        <v>20215</v>
      </c>
      <c r="M2107" s="276">
        <f t="shared" si="2625"/>
        <v>1241</v>
      </c>
      <c r="N2107" s="340" t="str">
        <f t="shared" si="2623"/>
        <v>-</v>
      </c>
      <c r="O2107" s="264">
        <f t="shared" si="2624"/>
        <v>5.78392990305742E-2</v>
      </c>
    </row>
    <row r="2108" spans="1:15" ht="24" thickBot="1" x14ac:dyDescent="0.35">
      <c r="A2108" s="277" t="s">
        <v>109</v>
      </c>
      <c r="B2108" s="971"/>
      <c r="C2108" s="316" t="s">
        <v>34</v>
      </c>
      <c r="D2108" s="316"/>
      <c r="E2108" s="283">
        <v>0</v>
      </c>
      <c r="F2108" s="284"/>
      <c r="G2108" s="337">
        <f t="shared" si="2620"/>
        <v>0</v>
      </c>
      <c r="H2108" s="285"/>
      <c r="I2108" s="285"/>
      <c r="J2108" s="356" t="str">
        <f>IFERROR(G2108/#REF!,"-")</f>
        <v>-</v>
      </c>
      <c r="K2108" s="337">
        <f t="shared" si="2621"/>
        <v>0</v>
      </c>
      <c r="L2108" s="275">
        <f t="shared" ref="L2108:M2108" si="2626">+H2108+L1999</f>
        <v>0</v>
      </c>
      <c r="M2108" s="276">
        <f t="shared" si="2626"/>
        <v>0</v>
      </c>
      <c r="N2108" s="341" t="str">
        <f t="shared" si="2623"/>
        <v>-</v>
      </c>
      <c r="O2108" s="350" t="str">
        <f t="shared" si="2624"/>
        <v>-</v>
      </c>
    </row>
    <row r="2109" spans="1:15" ht="24" thickBot="1" x14ac:dyDescent="0.35">
      <c r="A2109" s="277" t="s">
        <v>109</v>
      </c>
      <c r="B2109" s="967" t="s">
        <v>35</v>
      </c>
      <c r="C2109" s="968"/>
      <c r="D2109" s="969"/>
      <c r="E2109" s="287">
        <f>SUM(E2106:E2108)</f>
        <v>34000</v>
      </c>
      <c r="F2109" s="288">
        <v>6500</v>
      </c>
      <c r="G2109" s="323">
        <f>SUM(G2106:G2108)</f>
        <v>155</v>
      </c>
      <c r="H2109" s="324">
        <f t="shared" ref="H2109:I2109" si="2627">SUM(H2106:H2108)</f>
        <v>138</v>
      </c>
      <c r="I2109" s="324">
        <f t="shared" si="2627"/>
        <v>17</v>
      </c>
      <c r="J2109" s="348" t="str">
        <f>IFERROR(G2109/#REF!,"-")</f>
        <v>-</v>
      </c>
      <c r="K2109" s="323">
        <f t="shared" ref="K2109:M2109" si="2628">SUM(K2106:K2108)</f>
        <v>21456</v>
      </c>
      <c r="L2109" s="324">
        <f t="shared" si="2628"/>
        <v>20215</v>
      </c>
      <c r="M2109" s="325">
        <f t="shared" si="2628"/>
        <v>1241</v>
      </c>
      <c r="N2109" s="342">
        <f t="shared" si="2623"/>
        <v>0.63105882352941178</v>
      </c>
      <c r="O2109" s="348">
        <f t="shared" si="2624"/>
        <v>5.78392990305742E-2</v>
      </c>
    </row>
    <row r="2110" spans="1:15" ht="23.4" x14ac:dyDescent="0.3">
      <c r="A2110" s="277" t="s">
        <v>109</v>
      </c>
      <c r="B2110" s="970" t="s">
        <v>36</v>
      </c>
      <c r="C2110" s="314" t="s">
        <v>120</v>
      </c>
      <c r="D2110" s="314"/>
      <c r="E2110" s="273">
        <v>64360</v>
      </c>
      <c r="F2110" s="274"/>
      <c r="G2110" s="335">
        <f t="shared" ref="G2110:G2113" si="2629">+H2110+I2110</f>
        <v>0</v>
      </c>
      <c r="H2110" s="275"/>
      <c r="I2110" s="275"/>
      <c r="J2110" s="354" t="str">
        <f>IFERROR(G2110/#REF!,"-")</f>
        <v>-</v>
      </c>
      <c r="K2110" s="335">
        <f t="shared" ref="K2110:K2113" si="2630">+L2110+M2110</f>
        <v>5880</v>
      </c>
      <c r="L2110" s="275">
        <f t="shared" ref="L2110:M2110" si="2631">+H2110+L2001</f>
        <v>5760</v>
      </c>
      <c r="M2110" s="276">
        <f t="shared" si="2631"/>
        <v>120</v>
      </c>
      <c r="N2110" s="339">
        <f t="shared" si="2623"/>
        <v>9.1361093847110011E-2</v>
      </c>
      <c r="O2110" s="349">
        <f t="shared" si="2624"/>
        <v>2.0408163265306121E-2</v>
      </c>
    </row>
    <row r="2111" spans="1:15" ht="23.4" x14ac:dyDescent="0.3">
      <c r="A2111" s="277" t="s">
        <v>109</v>
      </c>
      <c r="B2111" s="972"/>
      <c r="C2111" s="315" t="s">
        <v>267</v>
      </c>
      <c r="D2111" s="315"/>
      <c r="E2111" s="279">
        <v>0</v>
      </c>
      <c r="F2111" s="280"/>
      <c r="G2111" s="336">
        <f t="shared" si="2629"/>
        <v>3189</v>
      </c>
      <c r="H2111" s="281">
        <v>3189</v>
      </c>
      <c r="I2111" s="281"/>
      <c r="J2111" s="355" t="str">
        <f>IFERROR(G2111/#REF!,"-")</f>
        <v>-</v>
      </c>
      <c r="K2111" s="336">
        <f t="shared" si="2630"/>
        <v>59092</v>
      </c>
      <c r="L2111" s="275">
        <f t="shared" ref="L2111:M2111" si="2632">+H2111+L2002</f>
        <v>57118</v>
      </c>
      <c r="M2111" s="276">
        <f t="shared" si="2632"/>
        <v>1974</v>
      </c>
      <c r="N2111" s="340" t="str">
        <f t="shared" si="2623"/>
        <v>-</v>
      </c>
      <c r="O2111" s="264">
        <f t="shared" si="2624"/>
        <v>3.3405537128545319E-2</v>
      </c>
    </row>
    <row r="2112" spans="1:15" ht="23.4" x14ac:dyDescent="0.3">
      <c r="A2112" s="277" t="s">
        <v>109</v>
      </c>
      <c r="B2112" s="972"/>
      <c r="C2112" s="315" t="s">
        <v>198</v>
      </c>
      <c r="D2112" s="315"/>
      <c r="E2112" s="279">
        <v>0</v>
      </c>
      <c r="F2112" s="280"/>
      <c r="G2112" s="336">
        <f t="shared" si="2629"/>
        <v>0</v>
      </c>
      <c r="H2112" s="281"/>
      <c r="I2112" s="281"/>
      <c r="J2112" s="355" t="str">
        <f>IFERROR(G2112/#REF!,"-")</f>
        <v>-</v>
      </c>
      <c r="K2112" s="336">
        <f t="shared" si="2630"/>
        <v>0</v>
      </c>
      <c r="L2112" s="275">
        <f t="shared" ref="L2112:M2112" si="2633">+H2112+L2003</f>
        <v>0</v>
      </c>
      <c r="M2112" s="276">
        <f t="shared" si="2633"/>
        <v>0</v>
      </c>
      <c r="N2112" s="340" t="str">
        <f t="shared" si="2623"/>
        <v>-</v>
      </c>
      <c r="O2112" s="264" t="str">
        <f t="shared" si="2624"/>
        <v>-</v>
      </c>
    </row>
    <row r="2113" spans="1:15" ht="24" thickBot="1" x14ac:dyDescent="0.35">
      <c r="A2113" s="277" t="s">
        <v>109</v>
      </c>
      <c r="B2113" s="971"/>
      <c r="C2113" s="316" t="s">
        <v>37</v>
      </c>
      <c r="D2113" s="316"/>
      <c r="E2113" s="283">
        <v>0</v>
      </c>
      <c r="F2113" s="284"/>
      <c r="G2113" s="337">
        <f t="shared" si="2629"/>
        <v>0</v>
      </c>
      <c r="H2113" s="285"/>
      <c r="I2113" s="285"/>
      <c r="J2113" s="356" t="str">
        <f>IFERROR(G2113/#REF!,"-")</f>
        <v>-</v>
      </c>
      <c r="K2113" s="337">
        <f t="shared" si="2630"/>
        <v>0</v>
      </c>
      <c r="L2113" s="275">
        <f t="shared" ref="L2113:M2113" si="2634">+H2113+L2004</f>
        <v>0</v>
      </c>
      <c r="M2113" s="276">
        <f t="shared" si="2634"/>
        <v>0</v>
      </c>
      <c r="N2113" s="341" t="str">
        <f t="shared" si="2623"/>
        <v>-</v>
      </c>
      <c r="O2113" s="350" t="str">
        <f t="shared" si="2624"/>
        <v>-</v>
      </c>
    </row>
    <row r="2114" spans="1:15" ht="24" thickBot="1" x14ac:dyDescent="0.35">
      <c r="A2114" s="277" t="s">
        <v>109</v>
      </c>
      <c r="B2114" s="967" t="s">
        <v>38</v>
      </c>
      <c r="C2114" s="968"/>
      <c r="D2114" s="969"/>
      <c r="E2114" s="287">
        <f>SUM(E2110:E2113)</f>
        <v>64360</v>
      </c>
      <c r="F2114" s="288">
        <v>6500</v>
      </c>
      <c r="G2114" s="323">
        <f>SUM(G2110:G2113)</f>
        <v>3189</v>
      </c>
      <c r="H2114" s="324">
        <f t="shared" ref="H2114:I2114" si="2635">SUM(H2110:H2113)</f>
        <v>3189</v>
      </c>
      <c r="I2114" s="324">
        <f t="shared" si="2635"/>
        <v>0</v>
      </c>
      <c r="J2114" s="348" t="str">
        <f>IFERROR(G2114/#REF!,"-")</f>
        <v>-</v>
      </c>
      <c r="K2114" s="323">
        <f t="shared" ref="K2114:M2114" si="2636">SUM(K2110:K2113)</f>
        <v>64972</v>
      </c>
      <c r="L2114" s="324">
        <f t="shared" si="2636"/>
        <v>62878</v>
      </c>
      <c r="M2114" s="325">
        <f t="shared" si="2636"/>
        <v>2094</v>
      </c>
      <c r="N2114" s="342">
        <f>IFERROR(K2114/E2114,"-")</f>
        <v>1.0095090118085768</v>
      </c>
      <c r="O2114" s="348">
        <f t="shared" si="2624"/>
        <v>3.2229267992365945E-2</v>
      </c>
    </row>
    <row r="2115" spans="1:15" ht="23.4" x14ac:dyDescent="0.3">
      <c r="A2115" s="277" t="s">
        <v>109</v>
      </c>
      <c r="B2115" s="970" t="s">
        <v>483</v>
      </c>
      <c r="C2115" s="317" t="s">
        <v>123</v>
      </c>
      <c r="D2115" s="317"/>
      <c r="E2115" s="273">
        <v>39800</v>
      </c>
      <c r="F2115" s="274"/>
      <c r="G2115" s="335">
        <f t="shared" ref="G2115:G2116" si="2637">+H2115+I2115</f>
        <v>0</v>
      </c>
      <c r="H2115" s="275"/>
      <c r="I2115" s="275"/>
      <c r="J2115" s="354" t="str">
        <f>IFERROR(G2115/#REF!,"-")</f>
        <v>-</v>
      </c>
      <c r="K2115" s="335">
        <f t="shared" ref="K2115:K2116" si="2638">+L2115+M2115</f>
        <v>144</v>
      </c>
      <c r="L2115" s="275">
        <f t="shared" ref="L2115:M2115" si="2639">+H2115+L2006</f>
        <v>144</v>
      </c>
      <c r="M2115" s="276">
        <f t="shared" si="2639"/>
        <v>0</v>
      </c>
      <c r="N2115" s="339">
        <f t="shared" ref="N2115:N2131" si="2640">IFERROR(K2115/E2115,"-")</f>
        <v>3.6180904522613066E-3</v>
      </c>
      <c r="O2115" s="349">
        <f t="shared" si="2624"/>
        <v>0</v>
      </c>
    </row>
    <row r="2116" spans="1:15" ht="24" thickBot="1" x14ac:dyDescent="0.35">
      <c r="A2116" s="277" t="s">
        <v>109</v>
      </c>
      <c r="B2116" s="971"/>
      <c r="C2116" s="289" t="s">
        <v>139</v>
      </c>
      <c r="D2116" s="289"/>
      <c r="E2116" s="283">
        <v>0</v>
      </c>
      <c r="F2116" s="284"/>
      <c r="G2116" s="337">
        <f t="shared" si="2637"/>
        <v>1728</v>
      </c>
      <c r="H2116" s="285">
        <v>1600</v>
      </c>
      <c r="I2116" s="285">
        <v>128</v>
      </c>
      <c r="J2116" s="356" t="str">
        <f>IFERROR(G2116/#REF!,"-")</f>
        <v>-</v>
      </c>
      <c r="K2116" s="337">
        <f t="shared" si="2638"/>
        <v>10616</v>
      </c>
      <c r="L2116" s="275">
        <f t="shared" ref="L2116:M2116" si="2641">+H2116+L2007</f>
        <v>9840</v>
      </c>
      <c r="M2116" s="276">
        <f t="shared" si="2641"/>
        <v>776</v>
      </c>
      <c r="N2116" s="341" t="str">
        <f t="shared" si="2640"/>
        <v>-</v>
      </c>
      <c r="O2116" s="350">
        <f t="shared" si="2624"/>
        <v>7.3097211755840247E-2</v>
      </c>
    </row>
    <row r="2117" spans="1:15" ht="24" thickBot="1" x14ac:dyDescent="0.35">
      <c r="A2117" s="925" t="s">
        <v>109</v>
      </c>
      <c r="B2117" s="967" t="s">
        <v>40</v>
      </c>
      <c r="C2117" s="968"/>
      <c r="D2117" s="969"/>
      <c r="E2117" s="287">
        <f>SUM(E2115:E2116)</f>
        <v>39800</v>
      </c>
      <c r="F2117" s="288">
        <v>2800</v>
      </c>
      <c r="G2117" s="323">
        <f>SUM(G2115:G2116)</f>
        <v>1728</v>
      </c>
      <c r="H2117" s="324">
        <f t="shared" ref="H2117:I2117" si="2642">SUM(H2115:H2116)</f>
        <v>1600</v>
      </c>
      <c r="I2117" s="324">
        <f t="shared" si="2642"/>
        <v>128</v>
      </c>
      <c r="J2117" s="348" t="str">
        <f>IFERROR(G2117/#REF!,"-")</f>
        <v>-</v>
      </c>
      <c r="K2117" s="323">
        <f t="shared" ref="K2117:M2117" si="2643">SUM(K2115:K2116)</f>
        <v>10760</v>
      </c>
      <c r="L2117" s="324">
        <f t="shared" si="2643"/>
        <v>9984</v>
      </c>
      <c r="M2117" s="325">
        <f t="shared" si="2643"/>
        <v>776</v>
      </c>
      <c r="N2117" s="342">
        <f t="shared" si="2640"/>
        <v>0.27035175879396983</v>
      </c>
      <c r="O2117" s="348">
        <f t="shared" si="2624"/>
        <v>7.2118959107806691E-2</v>
      </c>
    </row>
    <row r="2118" spans="1:15" ht="23.4" x14ac:dyDescent="0.3">
      <c r="A2118" s="277" t="s">
        <v>109</v>
      </c>
      <c r="B2118" s="970" t="s">
        <v>484</v>
      </c>
      <c r="C2118" s="272" t="s">
        <v>335</v>
      </c>
      <c r="D2118" s="272"/>
      <c r="E2118" s="273">
        <v>916640</v>
      </c>
      <c r="F2118" s="318"/>
      <c r="G2118" s="335">
        <f t="shared" ref="G2118:G2122" si="2644">+H2118+I2118</f>
        <v>26930</v>
      </c>
      <c r="H2118" s="275">
        <v>26880</v>
      </c>
      <c r="I2118" s="275">
        <v>50</v>
      </c>
      <c r="J2118" s="374" t="str">
        <f>IFERROR(G2118/#REF!,"-")</f>
        <v>-</v>
      </c>
      <c r="K2118" s="335">
        <f t="shared" ref="K2118:K2122" si="2645">+L2118+M2118</f>
        <v>558985</v>
      </c>
      <c r="L2118" s="275">
        <f t="shared" ref="L2118:M2118" si="2646">+H2118+L2009</f>
        <v>553344</v>
      </c>
      <c r="M2118" s="275">
        <f t="shared" si="2646"/>
        <v>5641</v>
      </c>
      <c r="N2118" s="362">
        <f t="shared" si="2640"/>
        <v>0.60981955838715307</v>
      </c>
      <c r="O2118" s="363">
        <f t="shared" si="2624"/>
        <v>1.0091505138778321E-2</v>
      </c>
    </row>
    <row r="2119" spans="1:15" ht="23.4" x14ac:dyDescent="0.3">
      <c r="A2119" s="277" t="s">
        <v>109</v>
      </c>
      <c r="B2119" s="972"/>
      <c r="C2119" s="272" t="s">
        <v>336</v>
      </c>
      <c r="D2119" s="278"/>
      <c r="E2119" s="279">
        <v>0</v>
      </c>
      <c r="F2119" s="319"/>
      <c r="G2119" s="336">
        <f t="shared" si="2644"/>
        <v>0</v>
      </c>
      <c r="H2119" s="281"/>
      <c r="I2119" s="281"/>
      <c r="J2119" s="375" t="str">
        <f>IFERROR(G2119/#REF!,"-")</f>
        <v>-</v>
      </c>
      <c r="K2119" s="336">
        <f t="shared" si="2645"/>
        <v>0</v>
      </c>
      <c r="L2119" s="275">
        <f t="shared" ref="L2119:M2119" si="2647">+H2119+L2010</f>
        <v>0</v>
      </c>
      <c r="M2119" s="276">
        <f t="shared" si="2647"/>
        <v>0</v>
      </c>
      <c r="N2119" s="364" t="str">
        <f t="shared" si="2640"/>
        <v>-</v>
      </c>
      <c r="O2119" s="365" t="str">
        <f t="shared" si="2624"/>
        <v>-</v>
      </c>
    </row>
    <row r="2120" spans="1:15" ht="23.4" x14ac:dyDescent="0.3">
      <c r="A2120" s="277" t="s">
        <v>109</v>
      </c>
      <c r="B2120" s="972"/>
      <c r="C2120" s="278" t="s">
        <v>383</v>
      </c>
      <c r="D2120" s="278"/>
      <c r="E2120" s="279">
        <v>40000</v>
      </c>
      <c r="F2120" s="319"/>
      <c r="G2120" s="336">
        <f t="shared" si="2644"/>
        <v>0</v>
      </c>
      <c r="H2120" s="281"/>
      <c r="I2120" s="281"/>
      <c r="J2120" s="375" t="str">
        <f>IFERROR(G2120/#REF!,"-")</f>
        <v>-</v>
      </c>
      <c r="K2120" s="336">
        <f t="shared" si="2645"/>
        <v>0</v>
      </c>
      <c r="L2120" s="275">
        <f t="shared" ref="L2120:M2120" si="2648">+H2120+L2011</f>
        <v>0</v>
      </c>
      <c r="M2120" s="276">
        <f t="shared" si="2648"/>
        <v>0</v>
      </c>
      <c r="N2120" s="364">
        <f t="shared" si="2640"/>
        <v>0</v>
      </c>
      <c r="O2120" s="365" t="str">
        <f t="shared" si="2624"/>
        <v>-</v>
      </c>
    </row>
    <row r="2121" spans="1:15" ht="23.4" x14ac:dyDescent="0.3">
      <c r="A2121" s="277" t="s">
        <v>109</v>
      </c>
      <c r="B2121" s="972"/>
      <c r="C2121" s="278" t="s">
        <v>165</v>
      </c>
      <c r="D2121" s="278"/>
      <c r="E2121" s="279">
        <v>0</v>
      </c>
      <c r="F2121" s="319"/>
      <c r="G2121" s="336">
        <f t="shared" si="2644"/>
        <v>0</v>
      </c>
      <c r="H2121" s="281"/>
      <c r="I2121" s="281"/>
      <c r="J2121" s="375" t="str">
        <f>IFERROR(G2121/#REF!,"-")</f>
        <v>-</v>
      </c>
      <c r="K2121" s="336">
        <f t="shared" si="2645"/>
        <v>0</v>
      </c>
      <c r="L2121" s="275">
        <f t="shared" ref="L2121:M2121" si="2649">+H2121+L2012</f>
        <v>0</v>
      </c>
      <c r="M2121" s="276">
        <f t="shared" si="2649"/>
        <v>0</v>
      </c>
      <c r="N2121" s="364" t="str">
        <f t="shared" si="2640"/>
        <v>-</v>
      </c>
      <c r="O2121" s="365" t="str">
        <f t="shared" si="2624"/>
        <v>-</v>
      </c>
    </row>
    <row r="2122" spans="1:15" ht="24" thickBot="1" x14ac:dyDescent="0.35">
      <c r="A2122" s="277" t="s">
        <v>109</v>
      </c>
      <c r="B2122" s="971"/>
      <c r="C2122" s="282" t="s">
        <v>166</v>
      </c>
      <c r="D2122" s="282"/>
      <c r="E2122" s="283">
        <v>0</v>
      </c>
      <c r="F2122" s="320"/>
      <c r="G2122" s="337">
        <f t="shared" si="2644"/>
        <v>0</v>
      </c>
      <c r="H2122" s="285"/>
      <c r="I2122" s="285"/>
      <c r="J2122" s="376" t="str">
        <f>IFERROR(G2122/#REF!,"-")</f>
        <v>-</v>
      </c>
      <c r="K2122" s="337">
        <f t="shared" si="2645"/>
        <v>0</v>
      </c>
      <c r="L2122" s="275">
        <f t="shared" ref="L2122:M2122" si="2650">+H2122+L2013</f>
        <v>0</v>
      </c>
      <c r="M2122" s="276">
        <f t="shared" si="2650"/>
        <v>0</v>
      </c>
      <c r="N2122" s="366" t="str">
        <f t="shared" si="2640"/>
        <v>-</v>
      </c>
      <c r="O2122" s="367" t="str">
        <f t="shared" si="2624"/>
        <v>-</v>
      </c>
    </row>
    <row r="2123" spans="1:15" ht="24" thickBot="1" x14ac:dyDescent="0.35">
      <c r="A2123" s="277" t="s">
        <v>109</v>
      </c>
      <c r="B2123" s="967" t="s">
        <v>42</v>
      </c>
      <c r="C2123" s="968"/>
      <c r="D2123" s="969"/>
      <c r="E2123" s="323">
        <f>SUM(E2118:E2122)</f>
        <v>956640</v>
      </c>
      <c r="F2123" s="288">
        <v>25000</v>
      </c>
      <c r="G2123" s="323">
        <f>SUM(G2118:G2122)</f>
        <v>26930</v>
      </c>
      <c r="H2123" s="324">
        <f>SUM(H2118:H2122)</f>
        <v>26880</v>
      </c>
      <c r="I2123" s="324">
        <f>SUM(I2118:I2122)</f>
        <v>50</v>
      </c>
      <c r="J2123" s="348" t="str">
        <f>IFERROR(G2123/#REF!,"-")</f>
        <v>-</v>
      </c>
      <c r="K2123" s="323">
        <f>SUM(K2118:K2122)</f>
        <v>558985</v>
      </c>
      <c r="L2123" s="324">
        <f>SUM(L2118:L2122)</f>
        <v>553344</v>
      </c>
      <c r="M2123" s="325">
        <f>SUM(M2118:M2122)</f>
        <v>5641</v>
      </c>
      <c r="N2123" s="342">
        <f t="shared" si="2640"/>
        <v>0.58432116574678039</v>
      </c>
      <c r="O2123" s="348">
        <f t="shared" si="2624"/>
        <v>1.0091505138778321E-2</v>
      </c>
    </row>
    <row r="2124" spans="1:15" ht="23.4" x14ac:dyDescent="0.3">
      <c r="A2124" s="277" t="s">
        <v>109</v>
      </c>
      <c r="B2124" s="970" t="s">
        <v>485</v>
      </c>
      <c r="C2124" s="272" t="s">
        <v>200</v>
      </c>
      <c r="D2124" s="272"/>
      <c r="E2124" s="273">
        <v>0</v>
      </c>
      <c r="F2124" s="274"/>
      <c r="G2124" s="335">
        <f t="shared" ref="G2124:G2126" si="2651">+H2124+I2124</f>
        <v>0</v>
      </c>
      <c r="H2124" s="275"/>
      <c r="I2124" s="275"/>
      <c r="J2124" s="354" t="str">
        <f>IFERROR(G2124/#REF!,"-")</f>
        <v>-</v>
      </c>
      <c r="K2124" s="335">
        <f t="shared" ref="K2124:K2126" si="2652">+L2124+M2124</f>
        <v>0</v>
      </c>
      <c r="L2124" s="275">
        <f t="shared" ref="L2124:M2124" si="2653">+H2124+L2015</f>
        <v>0</v>
      </c>
      <c r="M2124" s="276">
        <f t="shared" si="2653"/>
        <v>0</v>
      </c>
      <c r="N2124" s="339" t="str">
        <f t="shared" si="2640"/>
        <v>-</v>
      </c>
      <c r="O2124" s="349" t="str">
        <f t="shared" si="2624"/>
        <v>-</v>
      </c>
    </row>
    <row r="2125" spans="1:15" ht="23.4" x14ac:dyDescent="0.3">
      <c r="A2125" s="277" t="s">
        <v>109</v>
      </c>
      <c r="B2125" s="972"/>
      <c r="C2125" s="278" t="s">
        <v>167</v>
      </c>
      <c r="D2125" s="278"/>
      <c r="E2125" s="279">
        <v>50000</v>
      </c>
      <c r="F2125" s="280"/>
      <c r="G2125" s="336">
        <f t="shared" si="2651"/>
        <v>8740</v>
      </c>
      <c r="H2125" s="281">
        <v>8640</v>
      </c>
      <c r="I2125" s="281">
        <v>100</v>
      </c>
      <c r="J2125" s="375" t="str">
        <f>IFERROR(G2125/#REF!,"-")</f>
        <v>-</v>
      </c>
      <c r="K2125" s="336">
        <f t="shared" si="2652"/>
        <v>199906</v>
      </c>
      <c r="L2125" s="794">
        <f t="shared" ref="L2125:M2125" si="2654">+H2125+L2016</f>
        <v>195216</v>
      </c>
      <c r="M2125" s="276">
        <f t="shared" si="2654"/>
        <v>4690</v>
      </c>
      <c r="N2125" s="364">
        <f t="shared" si="2640"/>
        <v>3.9981200000000001</v>
      </c>
      <c r="O2125" s="365">
        <f t="shared" si="2624"/>
        <v>2.3461026682540794E-2</v>
      </c>
    </row>
    <row r="2126" spans="1:15" ht="24" thickBot="1" x14ac:dyDescent="0.35">
      <c r="A2126" s="277" t="s">
        <v>109</v>
      </c>
      <c r="B2126" s="971"/>
      <c r="C2126" s="282" t="s">
        <v>200</v>
      </c>
      <c r="D2126" s="282"/>
      <c r="E2126" s="283">
        <v>0</v>
      </c>
      <c r="F2126" s="284"/>
      <c r="G2126" s="337">
        <f t="shared" si="2651"/>
        <v>0</v>
      </c>
      <c r="H2126" s="285"/>
      <c r="I2126" s="285"/>
      <c r="J2126" s="376" t="str">
        <f>IFERROR(G2126/#REF!,"-")</f>
        <v>-</v>
      </c>
      <c r="K2126" s="337">
        <f t="shared" si="2652"/>
        <v>0</v>
      </c>
      <c r="L2126" s="275">
        <f t="shared" ref="L2126:M2126" si="2655">+H2126+L2017</f>
        <v>0</v>
      </c>
      <c r="M2126" s="276">
        <f t="shared" si="2655"/>
        <v>0</v>
      </c>
      <c r="N2126" s="366" t="str">
        <f t="shared" si="2640"/>
        <v>-</v>
      </c>
      <c r="O2126" s="367" t="str">
        <f t="shared" si="2624"/>
        <v>-</v>
      </c>
    </row>
    <row r="2127" spans="1:15" ht="24" thickBot="1" x14ac:dyDescent="0.35">
      <c r="A2127" s="277" t="s">
        <v>109</v>
      </c>
      <c r="B2127" s="973" t="s">
        <v>44</v>
      </c>
      <c r="C2127" s="974"/>
      <c r="D2127" s="975"/>
      <c r="E2127" s="323">
        <f>SUM(E2124:E2126)</f>
        <v>50000</v>
      </c>
      <c r="F2127" s="288"/>
      <c r="G2127" s="323">
        <f>SUM(G2124:G2126)</f>
        <v>8740</v>
      </c>
      <c r="H2127" s="324">
        <f t="shared" ref="H2127:I2127" si="2656">SUM(H2124:H2126)</f>
        <v>8640</v>
      </c>
      <c r="I2127" s="324">
        <f t="shared" si="2656"/>
        <v>100</v>
      </c>
      <c r="J2127" s="348" t="str">
        <f>IFERROR(G2127/#REF!,"-")</f>
        <v>-</v>
      </c>
      <c r="K2127" s="323">
        <f t="shared" ref="K2127:M2127" si="2657">SUM(K2124:K2126)</f>
        <v>199906</v>
      </c>
      <c r="L2127" s="368">
        <f t="shared" si="2657"/>
        <v>195216</v>
      </c>
      <c r="M2127" s="370">
        <f t="shared" si="2657"/>
        <v>4690</v>
      </c>
      <c r="N2127" s="342">
        <f t="shared" si="2640"/>
        <v>3.9981200000000001</v>
      </c>
      <c r="O2127" s="348">
        <f t="shared" si="2624"/>
        <v>2.3461026682540794E-2</v>
      </c>
    </row>
    <row r="2128" spans="1:15" ht="23.4" x14ac:dyDescent="0.3">
      <c r="A2128" s="277" t="s">
        <v>109</v>
      </c>
      <c r="B2128" s="970" t="s">
        <v>45</v>
      </c>
      <c r="C2128" s="272" t="s">
        <v>168</v>
      </c>
      <c r="D2128" s="272"/>
      <c r="E2128" s="273">
        <v>0</v>
      </c>
      <c r="F2128" s="274"/>
      <c r="G2128" s="335">
        <f t="shared" ref="G2128:G2129" si="2658">+H2128+I2128</f>
        <v>0</v>
      </c>
      <c r="H2128" s="275"/>
      <c r="I2128" s="275"/>
      <c r="J2128" s="374" t="str">
        <f>IFERROR(G2128/#REF!,"-")</f>
        <v>-</v>
      </c>
      <c r="K2128" s="739">
        <f t="shared" ref="K2128:K2129" si="2659">+L2128+M2128</f>
        <v>0</v>
      </c>
      <c r="L2128" s="532">
        <f t="shared" ref="L2128:M2128" si="2660">+H2128+L2019</f>
        <v>0</v>
      </c>
      <c r="M2128" s="247">
        <f t="shared" si="2660"/>
        <v>0</v>
      </c>
      <c r="N2128" s="362" t="str">
        <f t="shared" si="2640"/>
        <v>-</v>
      </c>
      <c r="O2128" s="363" t="str">
        <f t="shared" si="2624"/>
        <v>-</v>
      </c>
    </row>
    <row r="2129" spans="1:15" ht="24" thickBot="1" x14ac:dyDescent="0.35">
      <c r="A2129" s="277" t="s">
        <v>109</v>
      </c>
      <c r="B2129" s="971"/>
      <c r="C2129" s="282" t="s">
        <v>169</v>
      </c>
      <c r="D2129" s="282"/>
      <c r="E2129" s="283">
        <v>0</v>
      </c>
      <c r="F2129" s="284"/>
      <c r="G2129" s="337">
        <f t="shared" si="2658"/>
        <v>0</v>
      </c>
      <c r="H2129" s="285"/>
      <c r="I2129" s="285"/>
      <c r="J2129" s="376" t="str">
        <f>IFERROR(G2129/#REF!,"-")</f>
        <v>-</v>
      </c>
      <c r="K2129" s="740">
        <f t="shared" si="2659"/>
        <v>0</v>
      </c>
      <c r="L2129" s="535">
        <f t="shared" ref="L2129:M2129" si="2661">+H2129+L2020</f>
        <v>0</v>
      </c>
      <c r="M2129" s="258">
        <f t="shared" si="2661"/>
        <v>0</v>
      </c>
      <c r="N2129" s="366" t="str">
        <f t="shared" si="2640"/>
        <v>-</v>
      </c>
      <c r="O2129" s="367" t="str">
        <f t="shared" si="2624"/>
        <v>-</v>
      </c>
    </row>
    <row r="2130" spans="1:15" ht="24" thickBot="1" x14ac:dyDescent="0.35">
      <c r="A2130" s="277" t="s">
        <v>109</v>
      </c>
      <c r="B2130" s="973" t="s">
        <v>46</v>
      </c>
      <c r="C2130" s="974"/>
      <c r="D2130" s="975"/>
      <c r="E2130" s="287">
        <v>0</v>
      </c>
      <c r="F2130" s="288">
        <v>25000</v>
      </c>
      <c r="G2130" s="323">
        <f>SUM(G2128:G2129)</f>
        <v>0</v>
      </c>
      <c r="H2130" s="324">
        <f t="shared" ref="H2130:I2130" si="2662">SUM(H2128:H2129)</f>
        <v>0</v>
      </c>
      <c r="I2130" s="324">
        <f t="shared" si="2662"/>
        <v>0</v>
      </c>
      <c r="J2130" s="348" t="str">
        <f>IFERROR(G2130/#REF!,"-")</f>
        <v>-</v>
      </c>
      <c r="K2130" s="323">
        <f t="shared" ref="K2130:M2130" si="2663">SUM(K2128:K2129)</f>
        <v>0</v>
      </c>
      <c r="L2130" s="524">
        <f t="shared" si="2663"/>
        <v>0</v>
      </c>
      <c r="M2130" s="733">
        <f t="shared" si="2663"/>
        <v>0</v>
      </c>
      <c r="N2130" s="342" t="str">
        <f t="shared" si="2640"/>
        <v>-</v>
      </c>
      <c r="O2130" s="348" t="str">
        <f t="shared" si="2624"/>
        <v>-</v>
      </c>
    </row>
    <row r="2131" spans="1:15" ht="24" thickBot="1" x14ac:dyDescent="0.35">
      <c r="A2131" s="277" t="s">
        <v>109</v>
      </c>
      <c r="B2131" s="959" t="s">
        <v>25</v>
      </c>
      <c r="C2131" s="960"/>
      <c r="D2131" s="961"/>
      <c r="E2131" s="329">
        <f t="shared" ref="E2131:F2131" si="2664">+E2109+E2114+E2117+E2123+E2127+E2130</f>
        <v>1144800</v>
      </c>
      <c r="F2131" s="330">
        <f t="shared" si="2664"/>
        <v>65800</v>
      </c>
      <c r="G2131" s="329">
        <f>+G2109+G2114+G2117+G2123+G2127+G2130</f>
        <v>40742</v>
      </c>
      <c r="H2131" s="327">
        <f>+H2109+H2114+H2117+H2123+H2127+H2130</f>
        <v>40447</v>
      </c>
      <c r="I2131" s="327">
        <f t="shared" ref="I2131" si="2665">+I2109+I2114+I2117+I2123+I2127+I2130</f>
        <v>295</v>
      </c>
      <c r="J2131" s="352" t="str">
        <f>IFERROR(G2131/#REF!,"-")</f>
        <v>-</v>
      </c>
      <c r="K2131" s="329">
        <f>+K2109+K2114+K2117+K2123+K2127+K2130</f>
        <v>856079</v>
      </c>
      <c r="L2131" s="327">
        <f t="shared" ref="L2131:M2131" si="2666">+L2109+L2114+L2117+L2123+L2127+L2130</f>
        <v>841637</v>
      </c>
      <c r="M2131" s="328">
        <f t="shared" si="2666"/>
        <v>14442</v>
      </c>
      <c r="N2131" s="344">
        <f t="shared" si="2640"/>
        <v>0.7477978686233403</v>
      </c>
      <c r="O2131" s="352">
        <f t="shared" si="2624"/>
        <v>1.6869938405217274E-2</v>
      </c>
    </row>
    <row r="2132" spans="1:15" ht="24" thickBot="1" x14ac:dyDescent="0.35">
      <c r="A2132" s="321" t="s">
        <v>109</v>
      </c>
      <c r="B2132" s="962" t="s">
        <v>181</v>
      </c>
      <c r="C2132" s="962"/>
      <c r="D2132" s="963"/>
      <c r="E2132" s="333">
        <f>+E2131</f>
        <v>1144800</v>
      </c>
      <c r="F2132" s="334">
        <f t="shared" ref="F2132:O2132" si="2667">+F2131</f>
        <v>65800</v>
      </c>
      <c r="G2132" s="333">
        <f t="shared" si="2667"/>
        <v>40742</v>
      </c>
      <c r="H2132" s="331">
        <f t="shared" si="2667"/>
        <v>40447</v>
      </c>
      <c r="I2132" s="331">
        <f t="shared" si="2667"/>
        <v>295</v>
      </c>
      <c r="J2132" s="353" t="str">
        <f t="shared" si="2667"/>
        <v>-</v>
      </c>
      <c r="K2132" s="333">
        <f t="shared" si="2667"/>
        <v>856079</v>
      </c>
      <c r="L2132" s="331">
        <f t="shared" si="2667"/>
        <v>841637</v>
      </c>
      <c r="M2132" s="332">
        <f t="shared" si="2667"/>
        <v>14442</v>
      </c>
      <c r="N2132" s="345">
        <f t="shared" si="2667"/>
        <v>0.7477978686233403</v>
      </c>
      <c r="O2132" s="353">
        <f t="shared" si="2667"/>
        <v>1.6869938405217274E-2</v>
      </c>
    </row>
    <row r="2133" spans="1:15" ht="24.6" thickBot="1" x14ac:dyDescent="0.35">
      <c r="A2133" s="322"/>
      <c r="B2133" s="964" t="s">
        <v>182</v>
      </c>
      <c r="C2133" s="965"/>
      <c r="D2133" s="966"/>
      <c r="E2133" s="377">
        <f>+E2073+E2105+E2132</f>
        <v>10258981</v>
      </c>
      <c r="F2133" s="377">
        <f>+F2073+F2105+F2132</f>
        <v>1014800</v>
      </c>
      <c r="G2133" s="377">
        <f>+G2073+G2105+G2132</f>
        <v>275985</v>
      </c>
      <c r="H2133" s="377">
        <f>+H2073+H2105+H2132</f>
        <v>357674</v>
      </c>
      <c r="I2133" s="377">
        <f>+I2073+I2105+I2132</f>
        <v>3823</v>
      </c>
      <c r="J2133" s="378" t="str">
        <f>IFERROR(G2133/#REF!,"-")</f>
        <v>-</v>
      </c>
      <c r="K2133" s="377">
        <f>+K2073+K2105+K2132</f>
        <v>8088162</v>
      </c>
      <c r="L2133" s="377">
        <f>+L2073+L2105+L2132</f>
        <v>7994935</v>
      </c>
      <c r="M2133" s="377">
        <f>+M2073+M2105+M2132</f>
        <v>93227</v>
      </c>
      <c r="N2133" s="378">
        <f>IFERROR(K2133/E2133,"-")</f>
        <v>0.78839818496593372</v>
      </c>
      <c r="O2133" s="378">
        <f>IFERROR(M2133/K2133,"-")</f>
        <v>1.1526351722430881E-2</v>
      </c>
    </row>
    <row r="2134" spans="1:15" ht="23.4" x14ac:dyDescent="0.3">
      <c r="A2134" s="991" t="s">
        <v>1</v>
      </c>
      <c r="B2134" s="994" t="s">
        <v>2</v>
      </c>
      <c r="C2134" s="997" t="s">
        <v>477</v>
      </c>
      <c r="D2134" s="997" t="s">
        <v>478</v>
      </c>
      <c r="E2134" s="1000" t="s">
        <v>4</v>
      </c>
      <c r="F2134" s="1001"/>
      <c r="G2134" s="1001"/>
      <c r="H2134" s="1001"/>
      <c r="I2134" s="1001"/>
      <c r="J2134" s="1001"/>
      <c r="K2134" s="1001"/>
      <c r="L2134" s="1001"/>
      <c r="M2134" s="1001"/>
      <c r="N2134" s="1001"/>
      <c r="O2134" s="1002"/>
    </row>
    <row r="2135" spans="1:15" ht="23.4" x14ac:dyDescent="0.3">
      <c r="A2135" s="992"/>
      <c r="B2135" s="995"/>
      <c r="C2135" s="998"/>
      <c r="D2135" s="998"/>
      <c r="E2135" s="1003" t="s">
        <v>7</v>
      </c>
      <c r="F2135" s="1005" t="s">
        <v>115</v>
      </c>
      <c r="G2135" s="1007" t="s">
        <v>595</v>
      </c>
      <c r="H2135" s="1008"/>
      <c r="I2135" s="1008"/>
      <c r="J2135" s="1009"/>
      <c r="K2135" s="1010" t="s">
        <v>479</v>
      </c>
      <c r="L2135" s="1011"/>
      <c r="M2135" s="1012"/>
      <c r="N2135" s="1013" t="s">
        <v>480</v>
      </c>
      <c r="O2135" s="1015" t="s">
        <v>172</v>
      </c>
    </row>
    <row r="2136" spans="1:15" ht="41.4" thickBot="1" x14ac:dyDescent="0.35">
      <c r="A2136" s="993"/>
      <c r="B2136" s="996"/>
      <c r="C2136" s="999"/>
      <c r="D2136" s="999"/>
      <c r="E2136" s="1004"/>
      <c r="F2136" s="1006"/>
      <c r="G2136" s="455" t="s">
        <v>13</v>
      </c>
      <c r="H2136" s="456" t="s">
        <v>14</v>
      </c>
      <c r="I2136" s="456" t="s">
        <v>15</v>
      </c>
      <c r="J2136" s="457" t="s">
        <v>174</v>
      </c>
      <c r="K2136" s="712" t="s">
        <v>13</v>
      </c>
      <c r="L2136" s="710" t="s">
        <v>14</v>
      </c>
      <c r="M2136" s="711" t="s">
        <v>15</v>
      </c>
      <c r="N2136" s="1014"/>
      <c r="O2136" s="1016"/>
    </row>
    <row r="2137" spans="1:15" ht="24" thickBot="1" x14ac:dyDescent="0.35">
      <c r="A2137" s="271" t="s">
        <v>110</v>
      </c>
      <c r="B2137" s="956" t="s">
        <v>16</v>
      </c>
      <c r="C2137" s="272" t="s">
        <v>424</v>
      </c>
      <c r="D2137" s="272" t="s">
        <v>425</v>
      </c>
      <c r="E2137" s="273">
        <v>20000</v>
      </c>
      <c r="F2137" s="274"/>
      <c r="G2137" s="335">
        <f>+H2137+I2137</f>
        <v>0</v>
      </c>
      <c r="H2137" s="275"/>
      <c r="I2137" s="275"/>
      <c r="J2137" s="354"/>
      <c r="K2137" s="461">
        <f>+L2137+M2137</f>
        <v>20432</v>
      </c>
      <c r="L2137" s="732">
        <f>+H2137+L2028</f>
        <v>19840</v>
      </c>
      <c r="M2137" s="732">
        <f>+I2137+M2028</f>
        <v>592</v>
      </c>
      <c r="N2137" s="339">
        <f>IFERROR(K2137/E2137,"-")</f>
        <v>1.0216000000000001</v>
      </c>
      <c r="O2137" s="346">
        <f t="shared" ref="O2137:O2138" si="2668">IFERROR(M2137/K2137,"-")</f>
        <v>2.8974158183241974E-2</v>
      </c>
    </row>
    <row r="2138" spans="1:15" ht="23.4" x14ac:dyDescent="0.3">
      <c r="A2138" s="277" t="s">
        <v>110</v>
      </c>
      <c r="B2138" s="957"/>
      <c r="C2138" s="278" t="s">
        <v>438</v>
      </c>
      <c r="D2138" s="278" t="s">
        <v>437</v>
      </c>
      <c r="E2138" s="279">
        <v>50000</v>
      </c>
      <c r="F2138" s="280"/>
      <c r="G2138" s="336">
        <f t="shared" ref="G2138:G2140" si="2669">+H2138+I2138</f>
        <v>0</v>
      </c>
      <c r="H2138" s="281"/>
      <c r="I2138" s="281"/>
      <c r="J2138" s="355" t="str">
        <f>IFERROR(G2138/#REF!,"-")</f>
        <v>-</v>
      </c>
      <c r="K2138" s="734">
        <f t="shared" ref="K2138:K2140" si="2670">+L2138+M2138</f>
        <v>48806</v>
      </c>
      <c r="L2138" s="532">
        <f t="shared" ref="L2138:L2140" si="2671">+H2138+L2029</f>
        <v>48381</v>
      </c>
      <c r="M2138" s="463">
        <f t="shared" ref="M2138:M2140" si="2672">+I2138+M2029</f>
        <v>425</v>
      </c>
      <c r="N2138" s="340">
        <f t="shared" ref="N2138:N2140" si="2673">IFERROR(K2138/E2138,"-")</f>
        <v>0.97611999999999999</v>
      </c>
      <c r="O2138" s="268">
        <f t="shared" si="2668"/>
        <v>8.7079457443756912E-3</v>
      </c>
    </row>
    <row r="2139" spans="1:15" s="862" customFormat="1" ht="23.4" x14ac:dyDescent="0.3">
      <c r="A2139" s="277" t="s">
        <v>110</v>
      </c>
      <c r="B2139" s="957"/>
      <c r="C2139" s="580" t="s">
        <v>540</v>
      </c>
      <c r="D2139" s="580" t="s">
        <v>410</v>
      </c>
      <c r="E2139" s="859">
        <v>0</v>
      </c>
      <c r="F2139" s="860"/>
      <c r="G2139" s="336">
        <f t="shared" si="2669"/>
        <v>0</v>
      </c>
      <c r="H2139" s="861"/>
      <c r="I2139" s="861"/>
      <c r="J2139" s="355" t="str">
        <f>IFERROR(G2139/#REF!,"-")</f>
        <v>-</v>
      </c>
      <c r="K2139" s="734">
        <f t="shared" si="2670"/>
        <v>28600</v>
      </c>
      <c r="L2139" s="859">
        <f t="shared" si="2671"/>
        <v>28600</v>
      </c>
      <c r="M2139" s="534">
        <f t="shared" si="2672"/>
        <v>0</v>
      </c>
      <c r="N2139" s="340" t="str">
        <f t="shared" si="2673"/>
        <v>-</v>
      </c>
      <c r="O2139" s="268">
        <f>IFERROR(M2139/K2139,"-")</f>
        <v>0</v>
      </c>
    </row>
    <row r="2140" spans="1:15" ht="24" thickBot="1" x14ac:dyDescent="0.35">
      <c r="A2140" s="277" t="s">
        <v>110</v>
      </c>
      <c r="B2140" s="958"/>
      <c r="C2140" s="282" t="s">
        <v>525</v>
      </c>
      <c r="D2140" s="282" t="s">
        <v>436</v>
      </c>
      <c r="E2140" s="283">
        <v>30000</v>
      </c>
      <c r="F2140" s="284"/>
      <c r="G2140" s="337">
        <f t="shared" si="2669"/>
        <v>0</v>
      </c>
      <c r="H2140" s="275"/>
      <c r="I2140" s="275"/>
      <c r="J2140" s="356" t="str">
        <f>IFERROR(G2140/#REF!,"-")</f>
        <v>-</v>
      </c>
      <c r="K2140" s="735">
        <f t="shared" si="2670"/>
        <v>25135</v>
      </c>
      <c r="L2140" s="535">
        <f t="shared" si="2671"/>
        <v>23296</v>
      </c>
      <c r="M2140" s="466">
        <f t="shared" si="2672"/>
        <v>1839</v>
      </c>
      <c r="N2140" s="341">
        <f t="shared" si="2673"/>
        <v>0.83783333333333332</v>
      </c>
      <c r="O2140" s="347">
        <f t="shared" ref="O2140:O2158" si="2674">IFERROR(M2140/K2140,"-")</f>
        <v>7.3164909488760699E-2</v>
      </c>
    </row>
    <row r="2141" spans="1:15" ht="24" thickBot="1" x14ac:dyDescent="0.35">
      <c r="A2141" s="277" t="s">
        <v>110</v>
      </c>
      <c r="B2141" s="967" t="s">
        <v>47</v>
      </c>
      <c r="C2141" s="968"/>
      <c r="D2141" s="969"/>
      <c r="E2141" s="323">
        <f>SUM(E2137:E2140)</f>
        <v>100000</v>
      </c>
      <c r="F2141" s="288">
        <v>15000</v>
      </c>
      <c r="G2141" s="323">
        <f>SUM(G2137:G2140)</f>
        <v>0</v>
      </c>
      <c r="H2141" s="324">
        <f t="shared" ref="H2141:I2141" si="2675">SUM(H2137:H2140)</f>
        <v>0</v>
      </c>
      <c r="I2141" s="324">
        <f t="shared" si="2675"/>
        <v>0</v>
      </c>
      <c r="J2141" s="348">
        <f>+G2141/F2141</f>
        <v>0</v>
      </c>
      <c r="K2141" s="323">
        <f t="shared" ref="K2141:M2141" si="2676">SUM(K2137:K2140)</f>
        <v>122973</v>
      </c>
      <c r="L2141" s="736">
        <f t="shared" si="2676"/>
        <v>120117</v>
      </c>
      <c r="M2141" s="737">
        <f t="shared" si="2676"/>
        <v>2856</v>
      </c>
      <c r="N2141" s="342">
        <f>IFERROR(K2141/E2141,"-")</f>
        <v>1.22973</v>
      </c>
      <c r="O2141" s="348">
        <f t="shared" si="2674"/>
        <v>2.3224610280305431E-2</v>
      </c>
    </row>
    <row r="2142" spans="1:15" ht="23.4" x14ac:dyDescent="0.3">
      <c r="A2142" s="277" t="s">
        <v>110</v>
      </c>
      <c r="B2142" s="956" t="s">
        <v>17</v>
      </c>
      <c r="C2142" s="272" t="s">
        <v>320</v>
      </c>
      <c r="D2142" s="272"/>
      <c r="E2142" s="273">
        <v>0</v>
      </c>
      <c r="F2142" s="274"/>
      <c r="G2142" s="335">
        <f t="shared" ref="G2142:G2148" si="2677">+H2142+I2142</f>
        <v>0</v>
      </c>
      <c r="H2142" s="275"/>
      <c r="I2142" s="275"/>
      <c r="J2142" s="354" t="str">
        <f>IFERROR(G2142/#REF!,"-")</f>
        <v>-</v>
      </c>
      <c r="K2142" s="738">
        <f t="shared" ref="K2142:K2148" si="2678">+L2142+M2142</f>
        <v>200458</v>
      </c>
      <c r="L2142" s="532">
        <f t="shared" ref="L2142:L2148" si="2679">+H2142+L2033</f>
        <v>199652</v>
      </c>
      <c r="M2142" s="463">
        <f t="shared" ref="M2142:M2148" si="2680">+I2142+M2033</f>
        <v>806</v>
      </c>
      <c r="N2142" s="339" t="str">
        <f t="shared" ref="N2142:N2148" si="2681">IFERROR(K2142/E2142,"-")</f>
        <v>-</v>
      </c>
      <c r="O2142" s="349">
        <f t="shared" si="2674"/>
        <v>4.0207923854373483E-3</v>
      </c>
    </row>
    <row r="2143" spans="1:15" ht="23.4" x14ac:dyDescent="0.3">
      <c r="A2143" s="277" t="s">
        <v>110</v>
      </c>
      <c r="B2143" s="957"/>
      <c r="C2143" s="278" t="s">
        <v>382</v>
      </c>
      <c r="D2143" s="278" t="s">
        <v>252</v>
      </c>
      <c r="E2143" s="279">
        <v>2000000</v>
      </c>
      <c r="F2143" s="280"/>
      <c r="G2143" s="336">
        <f t="shared" si="2677"/>
        <v>0</v>
      </c>
      <c r="H2143" s="281"/>
      <c r="I2143" s="281"/>
      <c r="J2143" s="355" t="str">
        <f>IFERROR(G2143/#REF!,"-")</f>
        <v>-</v>
      </c>
      <c r="K2143" s="734">
        <f t="shared" si="2678"/>
        <v>1127181</v>
      </c>
      <c r="L2143" s="279">
        <f t="shared" si="2679"/>
        <v>1119883</v>
      </c>
      <c r="M2143" s="439">
        <f t="shared" si="2680"/>
        <v>7298</v>
      </c>
      <c r="N2143" s="340">
        <f t="shared" si="2681"/>
        <v>0.56359049999999999</v>
      </c>
      <c r="O2143" s="264">
        <f t="shared" si="2674"/>
        <v>6.474559099204121E-3</v>
      </c>
    </row>
    <row r="2144" spans="1:15" ht="23.4" x14ac:dyDescent="0.3">
      <c r="A2144" s="277" t="s">
        <v>110</v>
      </c>
      <c r="B2144" s="957"/>
      <c r="C2144" s="278" t="s">
        <v>422</v>
      </c>
      <c r="D2144" s="278" t="s">
        <v>201</v>
      </c>
      <c r="E2144" s="279">
        <v>1000000</v>
      </c>
      <c r="F2144" s="280"/>
      <c r="G2144" s="336">
        <f t="shared" si="2677"/>
        <v>80967</v>
      </c>
      <c r="H2144" s="281">
        <v>76806</v>
      </c>
      <c r="I2144" s="281">
        <v>4161</v>
      </c>
      <c r="J2144" s="355" t="str">
        <f>IFERROR(G2144/#REF!,"-")</f>
        <v>-</v>
      </c>
      <c r="K2144" s="734">
        <f t="shared" si="2678"/>
        <v>540400</v>
      </c>
      <c r="L2144" s="279">
        <f t="shared" si="2679"/>
        <v>531522</v>
      </c>
      <c r="M2144" s="439">
        <f t="shared" si="2680"/>
        <v>8878</v>
      </c>
      <c r="N2144" s="340">
        <f t="shared" si="2681"/>
        <v>0.54039999999999999</v>
      </c>
      <c r="O2144" s="264">
        <f t="shared" si="2674"/>
        <v>1.6428571428571428E-2</v>
      </c>
    </row>
    <row r="2145" spans="1:15" ht="23.4" x14ac:dyDescent="0.3">
      <c r="A2145" s="277" t="s">
        <v>110</v>
      </c>
      <c r="B2145" s="957"/>
      <c r="C2145" s="278" t="s">
        <v>319</v>
      </c>
      <c r="D2145" s="278" t="s">
        <v>202</v>
      </c>
      <c r="E2145" s="279">
        <v>0</v>
      </c>
      <c r="F2145" s="280"/>
      <c r="G2145" s="336">
        <f t="shared" si="2677"/>
        <v>0</v>
      </c>
      <c r="H2145" s="281"/>
      <c r="I2145" s="281"/>
      <c r="J2145" s="355" t="str">
        <f>IFERROR(G2145/#REF!,"-")</f>
        <v>-</v>
      </c>
      <c r="K2145" s="734">
        <f t="shared" si="2678"/>
        <v>297411</v>
      </c>
      <c r="L2145" s="279">
        <f t="shared" si="2679"/>
        <v>296152</v>
      </c>
      <c r="M2145" s="439">
        <f t="shared" si="2680"/>
        <v>1259</v>
      </c>
      <c r="N2145" s="340" t="str">
        <f t="shared" si="2681"/>
        <v>-</v>
      </c>
      <c r="O2145" s="264">
        <f t="shared" si="2674"/>
        <v>4.2331991755516774E-3</v>
      </c>
    </row>
    <row r="2146" spans="1:15" ht="23.4" x14ac:dyDescent="0.3">
      <c r="A2146" s="277" t="s">
        <v>110</v>
      </c>
      <c r="B2146" s="957"/>
      <c r="C2146" s="278" t="s">
        <v>358</v>
      </c>
      <c r="D2146" s="278" t="s">
        <v>352</v>
      </c>
      <c r="E2146" s="279">
        <v>500000</v>
      </c>
      <c r="F2146" s="280"/>
      <c r="G2146" s="336">
        <f t="shared" si="2677"/>
        <v>0</v>
      </c>
      <c r="H2146" s="281"/>
      <c r="I2146" s="281"/>
      <c r="J2146" s="355" t="str">
        <f>IFERROR(G2146/#REF!,"-")</f>
        <v>-</v>
      </c>
      <c r="K2146" s="734">
        <f t="shared" si="2678"/>
        <v>503292</v>
      </c>
      <c r="L2146" s="279">
        <f t="shared" si="2679"/>
        <v>500882</v>
      </c>
      <c r="M2146" s="439">
        <f t="shared" si="2680"/>
        <v>2410</v>
      </c>
      <c r="N2146" s="340">
        <f t="shared" si="2681"/>
        <v>1.0065839999999999</v>
      </c>
      <c r="O2146" s="264">
        <f t="shared" si="2674"/>
        <v>4.7884726957710434E-3</v>
      </c>
    </row>
    <row r="2147" spans="1:15" ht="23.4" x14ac:dyDescent="0.3">
      <c r="A2147" s="277" t="s">
        <v>110</v>
      </c>
      <c r="B2147" s="957"/>
      <c r="C2147" s="278" t="s">
        <v>392</v>
      </c>
      <c r="D2147" s="278" t="s">
        <v>203</v>
      </c>
      <c r="E2147" s="279">
        <v>0</v>
      </c>
      <c r="F2147" s="280"/>
      <c r="G2147" s="336">
        <f t="shared" si="2677"/>
        <v>0</v>
      </c>
      <c r="H2147" s="281"/>
      <c r="I2147" s="281"/>
      <c r="J2147" s="355" t="str">
        <f>IFERROR(G2147/#REF!,"-")</f>
        <v>-</v>
      </c>
      <c r="K2147" s="734">
        <f t="shared" si="2678"/>
        <v>0</v>
      </c>
      <c r="L2147" s="279">
        <f t="shared" si="2679"/>
        <v>0</v>
      </c>
      <c r="M2147" s="439">
        <f t="shared" si="2680"/>
        <v>0</v>
      </c>
      <c r="N2147" s="340" t="str">
        <f t="shared" si="2681"/>
        <v>-</v>
      </c>
      <c r="O2147" s="264" t="str">
        <f t="shared" si="2674"/>
        <v>-</v>
      </c>
    </row>
    <row r="2148" spans="1:15" ht="24" thickBot="1" x14ac:dyDescent="0.35">
      <c r="A2148" s="277" t="s">
        <v>110</v>
      </c>
      <c r="B2148" s="958"/>
      <c r="C2148" s="282" t="s">
        <v>379</v>
      </c>
      <c r="D2148" s="282" t="s">
        <v>252</v>
      </c>
      <c r="E2148" s="283">
        <v>0</v>
      </c>
      <c r="F2148" s="284"/>
      <c r="G2148" s="337">
        <f t="shared" si="2677"/>
        <v>0</v>
      </c>
      <c r="H2148" s="285"/>
      <c r="I2148" s="285"/>
      <c r="J2148" s="356" t="str">
        <f>IFERROR(G2148/#REF!,"-")</f>
        <v>-</v>
      </c>
      <c r="K2148" s="735">
        <f t="shared" si="2678"/>
        <v>0</v>
      </c>
      <c r="L2148" s="535">
        <f t="shared" si="2679"/>
        <v>0</v>
      </c>
      <c r="M2148" s="466">
        <f t="shared" si="2680"/>
        <v>0</v>
      </c>
      <c r="N2148" s="341" t="str">
        <f t="shared" si="2681"/>
        <v>-</v>
      </c>
      <c r="O2148" s="350" t="str">
        <f t="shared" si="2674"/>
        <v>-</v>
      </c>
    </row>
    <row r="2149" spans="1:15" ht="24" thickBot="1" x14ac:dyDescent="0.35">
      <c r="A2149" s="277" t="s">
        <v>110</v>
      </c>
      <c r="B2149" s="967" t="s">
        <v>48</v>
      </c>
      <c r="C2149" s="968"/>
      <c r="D2149" s="969"/>
      <c r="E2149" s="323">
        <f>SUM(E2142:E2148)</f>
        <v>3500000</v>
      </c>
      <c r="F2149" s="288">
        <v>200000</v>
      </c>
      <c r="G2149" s="323">
        <f>SUM(G2142:G2148)</f>
        <v>80967</v>
      </c>
      <c r="H2149" s="324">
        <f t="shared" ref="H2149:I2149" si="2682">SUM(H2142:H2148)</f>
        <v>76806</v>
      </c>
      <c r="I2149" s="324">
        <f t="shared" si="2682"/>
        <v>4161</v>
      </c>
      <c r="J2149" s="348">
        <f>+G2149/F2149</f>
        <v>0.404835</v>
      </c>
      <c r="K2149" s="323">
        <f>SUM(K2142:K2148)</f>
        <v>2668742</v>
      </c>
      <c r="L2149" s="524">
        <f>SUM(L2142:L2148)</f>
        <v>2648091</v>
      </c>
      <c r="M2149" s="733">
        <f t="shared" ref="M2149" si="2683">SUM(M2142:M2148)</f>
        <v>20651</v>
      </c>
      <c r="N2149" s="342">
        <f>IFERROR(K2149/E2149,"-")</f>
        <v>0.76249771428571433</v>
      </c>
      <c r="O2149" s="348">
        <f t="shared" si="2674"/>
        <v>7.7381028214791835E-3</v>
      </c>
    </row>
    <row r="2150" spans="1:15" ht="23.4" x14ac:dyDescent="0.3">
      <c r="A2150" s="277" t="s">
        <v>110</v>
      </c>
      <c r="B2150" s="956" t="s">
        <v>18</v>
      </c>
      <c r="C2150" s="272" t="s">
        <v>344</v>
      </c>
      <c r="D2150" s="272" t="s">
        <v>99</v>
      </c>
      <c r="E2150" s="273">
        <v>0</v>
      </c>
      <c r="F2150" s="274"/>
      <c r="G2150" s="335">
        <f t="shared" ref="G2150:G2156" si="2684">+H2150+I2150</f>
        <v>0</v>
      </c>
      <c r="H2150" s="275"/>
      <c r="I2150" s="275"/>
      <c r="J2150" s="354" t="str">
        <f>IFERROR(G2150/#REF!,"-")</f>
        <v>-</v>
      </c>
      <c r="K2150" s="335">
        <f t="shared" ref="K2150:K2156" si="2685">+L2150+M2150</f>
        <v>0</v>
      </c>
      <c r="L2150" s="275">
        <f t="shared" ref="L2150:L2156" si="2686">+H2150+L2041</f>
        <v>0</v>
      </c>
      <c r="M2150" s="276">
        <f t="shared" ref="M2150:M2156" si="2687">+I2150+M2041</f>
        <v>0</v>
      </c>
      <c r="N2150" s="339" t="str">
        <f t="shared" ref="N2150:N2157" si="2688">IFERROR(K2150/E2150,"-")</f>
        <v>-</v>
      </c>
      <c r="O2150" s="349" t="str">
        <f t="shared" si="2674"/>
        <v>-</v>
      </c>
    </row>
    <row r="2151" spans="1:15" ht="23.4" x14ac:dyDescent="0.3">
      <c r="A2151" s="277" t="s">
        <v>110</v>
      </c>
      <c r="B2151" s="957"/>
      <c r="C2151" s="278" t="s">
        <v>253</v>
      </c>
      <c r="D2151" s="278" t="s">
        <v>254</v>
      </c>
      <c r="E2151" s="279">
        <v>0</v>
      </c>
      <c r="F2151" s="280"/>
      <c r="G2151" s="336">
        <f t="shared" si="2684"/>
        <v>0</v>
      </c>
      <c r="H2151" s="281"/>
      <c r="I2151" s="281"/>
      <c r="J2151" s="355" t="str">
        <f>IFERROR(G2151/#REF!,"-")</f>
        <v>-</v>
      </c>
      <c r="K2151" s="336">
        <f t="shared" si="2685"/>
        <v>0</v>
      </c>
      <c r="L2151" s="275">
        <f t="shared" si="2686"/>
        <v>0</v>
      </c>
      <c r="M2151" s="276">
        <f t="shared" si="2687"/>
        <v>0</v>
      </c>
      <c r="N2151" s="340" t="str">
        <f t="shared" si="2688"/>
        <v>-</v>
      </c>
      <c r="O2151" s="264" t="str">
        <f t="shared" si="2674"/>
        <v>-</v>
      </c>
    </row>
    <row r="2152" spans="1:15" ht="23.4" x14ac:dyDescent="0.3">
      <c r="A2152" s="277" t="s">
        <v>110</v>
      </c>
      <c r="B2152" s="957"/>
      <c r="C2152" s="278" t="s">
        <v>122</v>
      </c>
      <c r="D2152" s="278"/>
      <c r="E2152" s="279">
        <v>0</v>
      </c>
      <c r="F2152" s="280"/>
      <c r="G2152" s="336">
        <f t="shared" si="2684"/>
        <v>0</v>
      </c>
      <c r="H2152" s="281"/>
      <c r="I2152" s="281"/>
      <c r="J2152" s="355" t="str">
        <f>IFERROR(G2152/#REF!,"-")</f>
        <v>-</v>
      </c>
      <c r="K2152" s="336">
        <f t="shared" si="2685"/>
        <v>0</v>
      </c>
      <c r="L2152" s="275">
        <f t="shared" si="2686"/>
        <v>0</v>
      </c>
      <c r="M2152" s="276">
        <f t="shared" si="2687"/>
        <v>0</v>
      </c>
      <c r="N2152" s="340" t="str">
        <f t="shared" si="2688"/>
        <v>-</v>
      </c>
      <c r="O2152" s="264" t="str">
        <f t="shared" si="2674"/>
        <v>-</v>
      </c>
    </row>
    <row r="2153" spans="1:15" ht="23.4" x14ac:dyDescent="0.3">
      <c r="A2153" s="277" t="s">
        <v>110</v>
      </c>
      <c r="B2153" s="957"/>
      <c r="C2153" s="278" t="s">
        <v>129</v>
      </c>
      <c r="D2153" s="278"/>
      <c r="E2153" s="279">
        <v>0</v>
      </c>
      <c r="F2153" s="280"/>
      <c r="G2153" s="336">
        <f t="shared" si="2684"/>
        <v>0</v>
      </c>
      <c r="H2153" s="281"/>
      <c r="I2153" s="281"/>
      <c r="J2153" s="355" t="str">
        <f>IFERROR(G2153/#REF!,"-")</f>
        <v>-</v>
      </c>
      <c r="K2153" s="336">
        <f t="shared" si="2685"/>
        <v>0</v>
      </c>
      <c r="L2153" s="275">
        <f t="shared" si="2686"/>
        <v>0</v>
      </c>
      <c r="M2153" s="276">
        <f t="shared" si="2687"/>
        <v>0</v>
      </c>
      <c r="N2153" s="340" t="str">
        <f t="shared" si="2688"/>
        <v>-</v>
      </c>
      <c r="O2153" s="264" t="str">
        <f t="shared" si="2674"/>
        <v>-</v>
      </c>
    </row>
    <row r="2154" spans="1:15" ht="23.4" x14ac:dyDescent="0.3">
      <c r="A2154" s="277" t="s">
        <v>110</v>
      </c>
      <c r="B2154" s="957"/>
      <c r="C2154" s="278" t="s">
        <v>189</v>
      </c>
      <c r="D2154" s="278" t="s">
        <v>190</v>
      </c>
      <c r="E2154" s="279">
        <v>0</v>
      </c>
      <c r="F2154" s="280"/>
      <c r="G2154" s="336">
        <f t="shared" si="2684"/>
        <v>0</v>
      </c>
      <c r="H2154" s="281"/>
      <c r="I2154" s="281"/>
      <c r="J2154" s="355" t="str">
        <f>IFERROR(G2154/#REF!,"-")</f>
        <v>-</v>
      </c>
      <c r="K2154" s="336">
        <f t="shared" si="2685"/>
        <v>0</v>
      </c>
      <c r="L2154" s="275">
        <f t="shared" si="2686"/>
        <v>0</v>
      </c>
      <c r="M2154" s="276">
        <f t="shared" si="2687"/>
        <v>0</v>
      </c>
      <c r="N2154" s="340" t="str">
        <f t="shared" si="2688"/>
        <v>-</v>
      </c>
      <c r="O2154" s="264" t="str">
        <f t="shared" si="2674"/>
        <v>-</v>
      </c>
    </row>
    <row r="2155" spans="1:15" ht="23.4" x14ac:dyDescent="0.3">
      <c r="A2155" s="277" t="s">
        <v>110</v>
      </c>
      <c r="B2155" s="957"/>
      <c r="C2155" s="278" t="s">
        <v>192</v>
      </c>
      <c r="D2155" s="278" t="s">
        <v>191</v>
      </c>
      <c r="E2155" s="279">
        <v>0</v>
      </c>
      <c r="F2155" s="280"/>
      <c r="G2155" s="336">
        <f t="shared" si="2684"/>
        <v>0</v>
      </c>
      <c r="H2155" s="281"/>
      <c r="I2155" s="281"/>
      <c r="J2155" s="355" t="str">
        <f>IFERROR(G2155/#REF!,"-")</f>
        <v>-</v>
      </c>
      <c r="K2155" s="336">
        <f t="shared" si="2685"/>
        <v>0</v>
      </c>
      <c r="L2155" s="275">
        <f t="shared" si="2686"/>
        <v>0</v>
      </c>
      <c r="M2155" s="276">
        <f t="shared" si="2687"/>
        <v>0</v>
      </c>
      <c r="N2155" s="340" t="str">
        <f t="shared" si="2688"/>
        <v>-</v>
      </c>
      <c r="O2155" s="264" t="str">
        <f t="shared" si="2674"/>
        <v>-</v>
      </c>
    </row>
    <row r="2156" spans="1:15" ht="24" thickBot="1" x14ac:dyDescent="0.35">
      <c r="A2156" s="277" t="s">
        <v>110</v>
      </c>
      <c r="B2156" s="958"/>
      <c r="C2156" s="289" t="s">
        <v>193</v>
      </c>
      <c r="D2156" s="289" t="s">
        <v>114</v>
      </c>
      <c r="E2156" s="283">
        <v>0</v>
      </c>
      <c r="F2156" s="284"/>
      <c r="G2156" s="337">
        <f t="shared" si="2684"/>
        <v>0</v>
      </c>
      <c r="H2156" s="285"/>
      <c r="I2156" s="285"/>
      <c r="J2156" s="356" t="str">
        <f>IFERROR(G2156/#REF!,"-")</f>
        <v>-</v>
      </c>
      <c r="K2156" s="337">
        <f t="shared" si="2685"/>
        <v>0</v>
      </c>
      <c r="L2156" s="275">
        <f t="shared" si="2686"/>
        <v>0</v>
      </c>
      <c r="M2156" s="276">
        <f t="shared" si="2687"/>
        <v>0</v>
      </c>
      <c r="N2156" s="341" t="str">
        <f t="shared" si="2688"/>
        <v>-</v>
      </c>
      <c r="O2156" s="350" t="str">
        <f t="shared" si="2674"/>
        <v>-</v>
      </c>
    </row>
    <row r="2157" spans="1:15" ht="24" thickBot="1" x14ac:dyDescent="0.35">
      <c r="A2157" s="277" t="s">
        <v>110</v>
      </c>
      <c r="B2157" s="967" t="s">
        <v>29</v>
      </c>
      <c r="C2157" s="968"/>
      <c r="D2157" s="969"/>
      <c r="E2157" s="323">
        <f t="shared" ref="E2157" si="2689">SUM(E2150:E2156)</f>
        <v>0</v>
      </c>
      <c r="F2157" s="288">
        <v>80000</v>
      </c>
      <c r="G2157" s="323">
        <f>SUM(G2150:G2156)</f>
        <v>0</v>
      </c>
      <c r="H2157" s="324">
        <f t="shared" ref="H2157:I2157" si="2690">SUM(H2150:H2156)</f>
        <v>0</v>
      </c>
      <c r="I2157" s="324">
        <f t="shared" si="2690"/>
        <v>0</v>
      </c>
      <c r="J2157" s="348">
        <f>+G2157/F2157</f>
        <v>0</v>
      </c>
      <c r="K2157" s="323">
        <f t="shared" ref="K2157:M2157" si="2691">SUM(K2150:K2156)</f>
        <v>0</v>
      </c>
      <c r="L2157" s="324">
        <f t="shared" si="2691"/>
        <v>0</v>
      </c>
      <c r="M2157" s="325">
        <f t="shared" si="2691"/>
        <v>0</v>
      </c>
      <c r="N2157" s="342" t="str">
        <f t="shared" si="2688"/>
        <v>-</v>
      </c>
      <c r="O2157" s="348" t="str">
        <f t="shared" si="2674"/>
        <v>-</v>
      </c>
    </row>
    <row r="2158" spans="1:15" ht="24" thickBot="1" x14ac:dyDescent="0.35">
      <c r="A2158" s="252" t="s">
        <v>110</v>
      </c>
      <c r="B2158" s="985" t="s">
        <v>19</v>
      </c>
      <c r="C2158" s="653" t="s">
        <v>255</v>
      </c>
      <c r="D2158" s="690" t="s">
        <v>190</v>
      </c>
      <c r="E2158" s="695">
        <v>0</v>
      </c>
      <c r="F2158" s="692">
        <v>110000</v>
      </c>
      <c r="G2158" s="656">
        <f t="shared" ref="G2158:G2160" si="2692">+H2158+I2158</f>
        <v>34027</v>
      </c>
      <c r="H2158" s="462">
        <v>33792</v>
      </c>
      <c r="I2158" s="462">
        <v>235</v>
      </c>
      <c r="J2158" s="536" t="str">
        <f>IFERROR(G2158/#REF!,"-")</f>
        <v>-</v>
      </c>
      <c r="K2158" s="461">
        <f>+L2158+M2158</f>
        <v>54246</v>
      </c>
      <c r="L2158" s="462">
        <f t="shared" ref="L2158:L2160" si="2693">+H2158+L2049</f>
        <v>53856</v>
      </c>
      <c r="M2158" s="463">
        <f t="shared" ref="M2158:M2160" si="2694">+I2158+M2049</f>
        <v>390</v>
      </c>
      <c r="N2158" s="658" t="str">
        <f>IFERROR(K2158/E2158,"-")</f>
        <v>-</v>
      </c>
      <c r="O2158" s="659">
        <f t="shared" si="2674"/>
        <v>7.1894701913505143E-3</v>
      </c>
    </row>
    <row r="2159" spans="1:15" ht="24" thickBot="1" x14ac:dyDescent="0.35">
      <c r="A2159" s="252"/>
      <c r="B2159" s="986"/>
      <c r="C2159" s="299" t="s">
        <v>440</v>
      </c>
      <c r="D2159" s="657" t="s">
        <v>507</v>
      </c>
      <c r="E2159" s="696">
        <v>1000000</v>
      </c>
      <c r="F2159" s="693">
        <v>110000</v>
      </c>
      <c r="G2159" s="652">
        <f t="shared" si="2692"/>
        <v>66484</v>
      </c>
      <c r="H2159" s="275">
        <f>33792+32208</f>
        <v>66000</v>
      </c>
      <c r="I2159" s="275">
        <f>259+225</f>
        <v>484</v>
      </c>
      <c r="J2159" s="354" t="str">
        <f>IFERROR(G2159/#REF!,"-")</f>
        <v>-</v>
      </c>
      <c r="K2159" s="338">
        <f>+L2159+M2159</f>
        <v>477223</v>
      </c>
      <c r="L2159" s="462">
        <f t="shared" si="2693"/>
        <v>474144</v>
      </c>
      <c r="M2159" s="463">
        <f t="shared" si="2694"/>
        <v>3079</v>
      </c>
      <c r="N2159" s="343">
        <f t="shared" ref="N2159:N2160" si="2695">IFERROR(K2159/E2159,"-")</f>
        <v>0.47722300000000001</v>
      </c>
      <c r="O2159" s="651">
        <f>IFERROR(M2159/K2159,"-")</f>
        <v>6.4519103228469713E-3</v>
      </c>
    </row>
    <row r="2160" spans="1:15" ht="24" thickBot="1" x14ac:dyDescent="0.35">
      <c r="A2160" s="252"/>
      <c r="B2160" s="987"/>
      <c r="C2160" s="647" t="s">
        <v>380</v>
      </c>
      <c r="D2160" s="691"/>
      <c r="E2160" s="697">
        <v>150000</v>
      </c>
      <c r="F2160" s="694">
        <v>110000</v>
      </c>
      <c r="G2160" s="599">
        <f t="shared" si="2692"/>
        <v>0</v>
      </c>
      <c r="H2160" s="285"/>
      <c r="I2160" s="285"/>
      <c r="J2160" s="356"/>
      <c r="K2160" s="464">
        <f>+L2160+M2160</f>
        <v>0</v>
      </c>
      <c r="L2160" s="462">
        <f t="shared" si="2693"/>
        <v>0</v>
      </c>
      <c r="M2160" s="463">
        <f t="shared" si="2694"/>
        <v>0</v>
      </c>
      <c r="N2160" s="341">
        <f t="shared" si="2695"/>
        <v>0</v>
      </c>
      <c r="O2160" s="648" t="str">
        <f t="shared" ref="O2160:O2213" si="2696">IFERROR(M2160/K2160,"-")</f>
        <v>-</v>
      </c>
    </row>
    <row r="2161" spans="1:15" ht="24" thickBot="1" x14ac:dyDescent="0.35">
      <c r="A2161" s="277" t="s">
        <v>110</v>
      </c>
      <c r="B2161" s="988" t="s">
        <v>49</v>
      </c>
      <c r="C2161" s="968"/>
      <c r="D2161" s="969"/>
      <c r="E2161" s="323">
        <f>SUM(E2158:E2160)</f>
        <v>1150000</v>
      </c>
      <c r="F2161" s="326">
        <f t="shared" ref="F2161" si="2697">SUM(F2158)</f>
        <v>110000</v>
      </c>
      <c r="G2161" s="323">
        <f>SUM(G2158)</f>
        <v>34027</v>
      </c>
      <c r="H2161" s="324">
        <f>SUM(H2158:H2160)</f>
        <v>99792</v>
      </c>
      <c r="I2161" s="324">
        <f>SUM(I2158:I2160)</f>
        <v>719</v>
      </c>
      <c r="J2161" s="348">
        <f>+G2161/F2161</f>
        <v>0.30933636363636363</v>
      </c>
      <c r="K2161" s="649">
        <f>SUM(K2158:K2159)</f>
        <v>531469</v>
      </c>
      <c r="L2161" s="324">
        <f>SUM(L2158:L2159)</f>
        <v>528000</v>
      </c>
      <c r="M2161" s="325">
        <f>SUM(M2158:M2159)</f>
        <v>3469</v>
      </c>
      <c r="N2161" s="342">
        <f>IFERROR(K2161/E2161,"-")</f>
        <v>0.46214695652173915</v>
      </c>
      <c r="O2161" s="348">
        <f t="shared" si="2696"/>
        <v>6.5271916141863397E-3</v>
      </c>
    </row>
    <row r="2162" spans="1:15" ht="23.4" x14ac:dyDescent="0.3">
      <c r="A2162" s="277" t="s">
        <v>110</v>
      </c>
      <c r="B2162" s="956" t="s">
        <v>20</v>
      </c>
      <c r="C2162" s="294" t="s">
        <v>351</v>
      </c>
      <c r="D2162" s="294" t="s">
        <v>313</v>
      </c>
      <c r="E2162" s="273">
        <v>0</v>
      </c>
      <c r="F2162" s="274"/>
      <c r="G2162" s="335">
        <f t="shared" ref="G2162:G2164" si="2698">+H2162+I2162</f>
        <v>0</v>
      </c>
      <c r="H2162" s="275"/>
      <c r="I2162" s="275"/>
      <c r="J2162" s="354" t="str">
        <f>IFERROR(G2162/#REF!,"-")</f>
        <v>-</v>
      </c>
      <c r="K2162" s="335">
        <f t="shared" ref="K2162:K2164" si="2699">+L2162+M2162</f>
        <v>0</v>
      </c>
      <c r="L2162" s="275">
        <f t="shared" ref="L2162:L2164" si="2700">+H2162+L2053</f>
        <v>0</v>
      </c>
      <c r="M2162" s="276">
        <f t="shared" ref="M2162:M2164" si="2701">+I2162+M2053</f>
        <v>0</v>
      </c>
      <c r="N2162" s="339" t="str">
        <f t="shared" ref="N2162:N2165" si="2702">IFERROR(K2162/E2162,"-")</f>
        <v>-</v>
      </c>
      <c r="O2162" s="349" t="str">
        <f t="shared" si="2696"/>
        <v>-</v>
      </c>
    </row>
    <row r="2163" spans="1:15" ht="23.4" x14ac:dyDescent="0.3">
      <c r="A2163" s="277" t="s">
        <v>110</v>
      </c>
      <c r="B2163" s="957"/>
      <c r="C2163" s="295" t="s">
        <v>121</v>
      </c>
      <c r="D2163" s="295"/>
      <c r="E2163" s="279">
        <v>0</v>
      </c>
      <c r="F2163" s="280"/>
      <c r="G2163" s="336">
        <f t="shared" si="2698"/>
        <v>0</v>
      </c>
      <c r="H2163" s="281"/>
      <c r="I2163" s="281"/>
      <c r="J2163" s="355" t="str">
        <f>IFERROR(G2163/#REF!,"-")</f>
        <v>-</v>
      </c>
      <c r="K2163" s="336">
        <f t="shared" si="2699"/>
        <v>0</v>
      </c>
      <c r="L2163" s="275">
        <f t="shared" si="2700"/>
        <v>0</v>
      </c>
      <c r="M2163" s="276">
        <f t="shared" si="2701"/>
        <v>0</v>
      </c>
      <c r="N2163" s="340" t="str">
        <f t="shared" si="2702"/>
        <v>-</v>
      </c>
      <c r="O2163" s="264" t="str">
        <f t="shared" si="2696"/>
        <v>-</v>
      </c>
    </row>
    <row r="2164" spans="1:15" ht="24" thickBot="1" x14ac:dyDescent="0.35">
      <c r="A2164" s="277" t="s">
        <v>110</v>
      </c>
      <c r="B2164" s="958"/>
      <c r="C2164" s="296" t="s">
        <v>127</v>
      </c>
      <c r="D2164" s="296"/>
      <c r="E2164" s="283">
        <v>0</v>
      </c>
      <c r="F2164" s="284"/>
      <c r="G2164" s="337">
        <f t="shared" si="2698"/>
        <v>0</v>
      </c>
      <c r="H2164" s="285"/>
      <c r="I2164" s="285"/>
      <c r="J2164" s="356" t="str">
        <f>IFERROR(G2164/#REF!,"-")</f>
        <v>-</v>
      </c>
      <c r="K2164" s="337">
        <f t="shared" si="2699"/>
        <v>0</v>
      </c>
      <c r="L2164" s="275">
        <f t="shared" si="2700"/>
        <v>0</v>
      </c>
      <c r="M2164" s="276">
        <f t="shared" si="2701"/>
        <v>0</v>
      </c>
      <c r="N2164" s="341" t="str">
        <f t="shared" si="2702"/>
        <v>-</v>
      </c>
      <c r="O2164" s="350" t="str">
        <f t="shared" si="2696"/>
        <v>-</v>
      </c>
    </row>
    <row r="2165" spans="1:15" ht="24" thickBot="1" x14ac:dyDescent="0.35">
      <c r="A2165" s="277" t="s">
        <v>110</v>
      </c>
      <c r="B2165" s="968" t="s">
        <v>50</v>
      </c>
      <c r="C2165" s="968"/>
      <c r="D2165" s="989"/>
      <c r="E2165" s="323">
        <f t="shared" ref="E2165" si="2703">SUM(E2162:E2164)</f>
        <v>0</v>
      </c>
      <c r="F2165" s="288">
        <v>50000</v>
      </c>
      <c r="G2165" s="323">
        <f>SUM(G2162:G2164)</f>
        <v>0</v>
      </c>
      <c r="H2165" s="324">
        <f t="shared" ref="H2165:I2165" si="2704">SUM(H2162:H2164)</f>
        <v>0</v>
      </c>
      <c r="I2165" s="324">
        <f t="shared" si="2704"/>
        <v>0</v>
      </c>
      <c r="J2165" s="348">
        <f>+G2165/F2165</f>
        <v>0</v>
      </c>
      <c r="K2165" s="323">
        <f t="shared" ref="K2165:M2165" si="2705">SUM(K2162:K2164)</f>
        <v>0</v>
      </c>
      <c r="L2165" s="324">
        <f t="shared" si="2705"/>
        <v>0</v>
      </c>
      <c r="M2165" s="325">
        <f t="shared" si="2705"/>
        <v>0</v>
      </c>
      <c r="N2165" s="342" t="str">
        <f t="shared" si="2702"/>
        <v>-</v>
      </c>
      <c r="O2165" s="348" t="str">
        <f t="shared" si="2696"/>
        <v>-</v>
      </c>
    </row>
    <row r="2166" spans="1:15" ht="24" thickBot="1" x14ac:dyDescent="0.35">
      <c r="A2166" s="277" t="s">
        <v>110</v>
      </c>
      <c r="B2166" s="981" t="s">
        <v>21</v>
      </c>
      <c r="C2166" s="982"/>
      <c r="D2166" s="983"/>
      <c r="E2166" s="329">
        <f>+E2141+E2149+E2157+E2161+E2165</f>
        <v>4750000</v>
      </c>
      <c r="F2166" s="330">
        <f>+F2141+F2149+F2157+F2161+F2165</f>
        <v>455000</v>
      </c>
      <c r="G2166" s="329">
        <f>+G2141+G2149+G2157+G2161+G2165</f>
        <v>114994</v>
      </c>
      <c r="H2166" s="327">
        <f>+H2141+H2149+H2157+H2161+H2165</f>
        <v>176598</v>
      </c>
      <c r="I2166" s="327">
        <f>+I2141+I2149+I2157+I2161+I2165</f>
        <v>4880</v>
      </c>
      <c r="J2166" s="352">
        <f>+G2166/F2166</f>
        <v>0.25273406593406594</v>
      </c>
      <c r="K2166" s="329">
        <f>+K2141+K2149+K2157+K2161+K2165</f>
        <v>3323184</v>
      </c>
      <c r="L2166" s="327">
        <f>+L2141+L2149+L2157+L2161+L2165</f>
        <v>3296208</v>
      </c>
      <c r="M2166" s="328">
        <f>+M2141+M2149+M2157+M2161+M2165</f>
        <v>26976</v>
      </c>
      <c r="N2166" s="344">
        <f>IFERROR(K2166/E2166,"-")</f>
        <v>0.69961768421052628</v>
      </c>
      <c r="O2166" s="352">
        <f t="shared" si="2696"/>
        <v>8.1175162133664581E-3</v>
      </c>
    </row>
    <row r="2167" spans="1:15" ht="23.4" x14ac:dyDescent="0.3">
      <c r="A2167" s="277" t="s">
        <v>110</v>
      </c>
      <c r="B2167" s="956" t="s">
        <v>481</v>
      </c>
      <c r="C2167" s="272" t="s">
        <v>132</v>
      </c>
      <c r="D2167" s="272"/>
      <c r="E2167" s="273">
        <v>0</v>
      </c>
      <c r="F2167" s="274"/>
      <c r="G2167" s="335">
        <f t="shared" ref="G2167:G2170" si="2706">+H2167+I2167</f>
        <v>0</v>
      </c>
      <c r="H2167" s="275"/>
      <c r="I2167" s="275"/>
      <c r="J2167" s="354" t="str">
        <f>IFERROR(G2167/#REF!,"-")</f>
        <v>-</v>
      </c>
      <c r="K2167" s="335">
        <f t="shared" ref="K2167:K2170" si="2707">+L2167+M2167</f>
        <v>0</v>
      </c>
      <c r="L2167" s="275">
        <f t="shared" ref="L2167:L2170" si="2708">+H2167+L2058</f>
        <v>0</v>
      </c>
      <c r="M2167" s="276">
        <f t="shared" ref="M2167:M2170" si="2709">+I2167+M2058</f>
        <v>0</v>
      </c>
      <c r="N2167" s="339" t="str">
        <f t="shared" ref="N2167:N2181" si="2710">IFERROR(K2167/E2167,"-")</f>
        <v>-</v>
      </c>
      <c r="O2167" s="349" t="str">
        <f t="shared" si="2696"/>
        <v>-</v>
      </c>
    </row>
    <row r="2168" spans="1:15" ht="23.4" x14ac:dyDescent="0.3">
      <c r="A2168" s="277" t="s">
        <v>110</v>
      </c>
      <c r="B2168" s="957"/>
      <c r="C2168" s="298" t="s">
        <v>283</v>
      </c>
      <c r="D2168" s="298" t="s">
        <v>194</v>
      </c>
      <c r="E2168" s="279">
        <v>0</v>
      </c>
      <c r="F2168" s="280"/>
      <c r="G2168" s="336">
        <f t="shared" si="2706"/>
        <v>0</v>
      </c>
      <c r="H2168" s="281"/>
      <c r="I2168" s="281"/>
      <c r="J2168" s="355" t="str">
        <f>IFERROR(G2168/#REF!,"-")</f>
        <v>-</v>
      </c>
      <c r="K2168" s="336">
        <f t="shared" si="2707"/>
        <v>0</v>
      </c>
      <c r="L2168" s="275">
        <f t="shared" si="2708"/>
        <v>0</v>
      </c>
      <c r="M2168" s="276">
        <f t="shared" si="2709"/>
        <v>0</v>
      </c>
      <c r="N2168" s="340" t="str">
        <f t="shared" si="2710"/>
        <v>-</v>
      </c>
      <c r="O2168" s="264" t="str">
        <f t="shared" si="2696"/>
        <v>-</v>
      </c>
    </row>
    <row r="2169" spans="1:15" ht="23.4" x14ac:dyDescent="0.3">
      <c r="A2169" s="277" t="s">
        <v>110</v>
      </c>
      <c r="B2169" s="957"/>
      <c r="C2169" s="298" t="s">
        <v>405</v>
      </c>
      <c r="D2169" s="298" t="s">
        <v>194</v>
      </c>
      <c r="E2169" s="279">
        <v>1000000</v>
      </c>
      <c r="F2169" s="280"/>
      <c r="G2169" s="336">
        <f t="shared" si="2706"/>
        <v>0</v>
      </c>
      <c r="H2169" s="281"/>
      <c r="I2169" s="281"/>
      <c r="J2169" s="355" t="str">
        <f>IFERROR(G2169/#REF!,"-")</f>
        <v>-</v>
      </c>
      <c r="K2169" s="336">
        <f t="shared" si="2707"/>
        <v>362579</v>
      </c>
      <c r="L2169" s="275">
        <f t="shared" si="2708"/>
        <v>359670</v>
      </c>
      <c r="M2169" s="276">
        <f t="shared" si="2709"/>
        <v>2909</v>
      </c>
      <c r="N2169" s="340">
        <f t="shared" si="2710"/>
        <v>0.36257899999999998</v>
      </c>
      <c r="O2169" s="264">
        <f t="shared" si="2696"/>
        <v>8.0230791082770928E-3</v>
      </c>
    </row>
    <row r="2170" spans="1:15" ht="24" thickBot="1" x14ac:dyDescent="0.35">
      <c r="A2170" s="277" t="s">
        <v>110</v>
      </c>
      <c r="B2170" s="958"/>
      <c r="C2170" s="282" t="s">
        <v>195</v>
      </c>
      <c r="D2170" s="282" t="s">
        <v>100</v>
      </c>
      <c r="E2170" s="283">
        <v>0</v>
      </c>
      <c r="F2170" s="284"/>
      <c r="G2170" s="337">
        <f t="shared" si="2706"/>
        <v>0</v>
      </c>
      <c r="H2170" s="285"/>
      <c r="I2170" s="285"/>
      <c r="J2170" s="356" t="str">
        <f>IFERROR(G2170/#REF!,"-")</f>
        <v>-</v>
      </c>
      <c r="K2170" s="337">
        <f t="shared" si="2707"/>
        <v>0</v>
      </c>
      <c r="L2170" s="275">
        <f t="shared" si="2708"/>
        <v>0</v>
      </c>
      <c r="M2170" s="276">
        <f t="shared" si="2709"/>
        <v>0</v>
      </c>
      <c r="N2170" s="341" t="str">
        <f t="shared" si="2710"/>
        <v>-</v>
      </c>
      <c r="O2170" s="350" t="str">
        <f t="shared" si="2696"/>
        <v>-</v>
      </c>
    </row>
    <row r="2171" spans="1:15" ht="24" thickBot="1" x14ac:dyDescent="0.35">
      <c r="A2171" s="277" t="s">
        <v>110</v>
      </c>
      <c r="B2171" s="967" t="s">
        <v>51</v>
      </c>
      <c r="C2171" s="968"/>
      <c r="D2171" s="969"/>
      <c r="E2171" s="287">
        <f>SUM(E2167:E2170)</f>
        <v>1000000</v>
      </c>
      <c r="F2171" s="288">
        <v>80000</v>
      </c>
      <c r="G2171" s="323">
        <f>SUM(G2167:G2170)</f>
        <v>0</v>
      </c>
      <c r="H2171" s="324">
        <f t="shared" ref="H2171:I2171" si="2711">SUM(H2167:H2170)</f>
        <v>0</v>
      </c>
      <c r="I2171" s="324">
        <f t="shared" si="2711"/>
        <v>0</v>
      </c>
      <c r="J2171" s="348">
        <f>+G2171/F2171</f>
        <v>0</v>
      </c>
      <c r="K2171" s="323">
        <f t="shared" ref="K2171:M2171" si="2712">SUM(K2167:K2170)</f>
        <v>362579</v>
      </c>
      <c r="L2171" s="324">
        <f t="shared" si="2712"/>
        <v>359670</v>
      </c>
      <c r="M2171" s="325">
        <f t="shared" si="2712"/>
        <v>2909</v>
      </c>
      <c r="N2171" s="342">
        <f t="shared" si="2710"/>
        <v>0.36257899999999998</v>
      </c>
      <c r="O2171" s="348">
        <f t="shared" si="2696"/>
        <v>8.0230791082770928E-3</v>
      </c>
    </row>
    <row r="2172" spans="1:15" ht="23.4" x14ac:dyDescent="0.3">
      <c r="A2172" s="277" t="s">
        <v>110</v>
      </c>
      <c r="B2172" s="956" t="s">
        <v>23</v>
      </c>
      <c r="C2172" s="278" t="s">
        <v>260</v>
      </c>
      <c r="D2172" s="299" t="s">
        <v>258</v>
      </c>
      <c r="E2172" s="273">
        <f>25000+10875+6000</f>
        <v>41875</v>
      </c>
      <c r="F2172" s="274"/>
      <c r="G2172" s="335">
        <f t="shared" ref="G2172:G2179" si="2713">+H2172+I2172</f>
        <v>0</v>
      </c>
      <c r="H2172" s="275"/>
      <c r="I2172" s="275"/>
      <c r="J2172" s="354" t="str">
        <f>IFERROR(G2172/#REF!,"-")</f>
        <v>-</v>
      </c>
      <c r="K2172" s="335">
        <f t="shared" ref="K2172:K2179" si="2714">+L2172+M2172</f>
        <v>11160</v>
      </c>
      <c r="L2172" s="275">
        <f t="shared" ref="L2172:L2180" si="2715">+H2172+L2063</f>
        <v>11012</v>
      </c>
      <c r="M2172" s="276">
        <f t="shared" ref="M2172:M2180" si="2716">+I2172+M2063</f>
        <v>148</v>
      </c>
      <c r="N2172" s="339">
        <f t="shared" si="2710"/>
        <v>0.26650746268656716</v>
      </c>
      <c r="O2172" s="349">
        <f t="shared" si="2696"/>
        <v>1.3261648745519713E-2</v>
      </c>
    </row>
    <row r="2173" spans="1:15" ht="23.4" x14ac:dyDescent="0.3">
      <c r="A2173" s="277" t="s">
        <v>110</v>
      </c>
      <c r="B2173" s="957"/>
      <c r="C2173" s="278" t="s">
        <v>24</v>
      </c>
      <c r="D2173" s="278" t="s">
        <v>258</v>
      </c>
      <c r="E2173" s="279">
        <v>97500</v>
      </c>
      <c r="F2173" s="280"/>
      <c r="G2173" s="336">
        <f t="shared" si="2713"/>
        <v>17550</v>
      </c>
      <c r="H2173" s="281">
        <v>17500</v>
      </c>
      <c r="I2173" s="281">
        <v>50</v>
      </c>
      <c r="J2173" s="355" t="str">
        <f>IFERROR(G2173/#REF!,"-")</f>
        <v>-</v>
      </c>
      <c r="K2173" s="336">
        <f t="shared" si="2714"/>
        <v>96600</v>
      </c>
      <c r="L2173" s="275">
        <f t="shared" si="2715"/>
        <v>96360</v>
      </c>
      <c r="M2173" s="276">
        <f t="shared" si="2716"/>
        <v>240</v>
      </c>
      <c r="N2173" s="340">
        <f t="shared" si="2710"/>
        <v>0.99076923076923074</v>
      </c>
      <c r="O2173" s="264">
        <f t="shared" si="2696"/>
        <v>2.4844720496894411E-3</v>
      </c>
    </row>
    <row r="2174" spans="1:15" ht="23.4" x14ac:dyDescent="0.3">
      <c r="A2174" s="277" t="s">
        <v>110</v>
      </c>
      <c r="B2174" s="957"/>
      <c r="C2174" s="278" t="s">
        <v>256</v>
      </c>
      <c r="D2174" s="278" t="s">
        <v>258</v>
      </c>
      <c r="E2174" s="279">
        <v>17750</v>
      </c>
      <c r="F2174" s="280"/>
      <c r="G2174" s="336">
        <f t="shared" si="2713"/>
        <v>0</v>
      </c>
      <c r="H2174" s="281"/>
      <c r="I2174" s="281"/>
      <c r="J2174" s="355" t="str">
        <f>IFERROR(G2174/#REF!,"-")</f>
        <v>-</v>
      </c>
      <c r="K2174" s="336">
        <f t="shared" si="2714"/>
        <v>19656</v>
      </c>
      <c r="L2174" s="275">
        <f t="shared" si="2715"/>
        <v>19545</v>
      </c>
      <c r="M2174" s="276">
        <f t="shared" si="2716"/>
        <v>111</v>
      </c>
      <c r="N2174" s="340">
        <f t="shared" si="2710"/>
        <v>1.1073802816901408</v>
      </c>
      <c r="O2174" s="264">
        <f t="shared" si="2696"/>
        <v>5.647130647130647E-3</v>
      </c>
    </row>
    <row r="2175" spans="1:15" ht="23.4" x14ac:dyDescent="0.3">
      <c r="A2175" s="277" t="s">
        <v>110</v>
      </c>
      <c r="B2175" s="957"/>
      <c r="C2175" s="278" t="s">
        <v>257</v>
      </c>
      <c r="D2175" s="278" t="s">
        <v>258</v>
      </c>
      <c r="E2175" s="279">
        <v>20000</v>
      </c>
      <c r="F2175" s="280"/>
      <c r="G2175" s="336">
        <f t="shared" si="2713"/>
        <v>0</v>
      </c>
      <c r="H2175" s="281"/>
      <c r="I2175" s="281"/>
      <c r="J2175" s="355" t="str">
        <f>IFERROR(G2175/#REF!,"-")</f>
        <v>-</v>
      </c>
      <c r="K2175" s="336">
        <f t="shared" si="2714"/>
        <v>20512</v>
      </c>
      <c r="L2175" s="275">
        <f t="shared" si="2715"/>
        <v>20361</v>
      </c>
      <c r="M2175" s="276">
        <f t="shared" si="2716"/>
        <v>151</v>
      </c>
      <c r="N2175" s="340">
        <f t="shared" si="2710"/>
        <v>1.0256000000000001</v>
      </c>
      <c r="O2175" s="264">
        <f t="shared" si="2696"/>
        <v>7.3615444617784707E-3</v>
      </c>
    </row>
    <row r="2176" spans="1:15" ht="23.4" x14ac:dyDescent="0.3">
      <c r="A2176" s="277" t="s">
        <v>110</v>
      </c>
      <c r="B2176" s="957"/>
      <c r="C2176" s="298" t="s">
        <v>475</v>
      </c>
      <c r="D2176" s="278" t="s">
        <v>258</v>
      </c>
      <c r="E2176" s="279">
        <v>10000</v>
      </c>
      <c r="F2176" s="280"/>
      <c r="G2176" s="336">
        <f t="shared" si="2713"/>
        <v>0</v>
      </c>
      <c r="H2176" s="281"/>
      <c r="I2176" s="281"/>
      <c r="J2176" s="355" t="str">
        <f>IFERROR(G2176/#REF!,"-")</f>
        <v>-</v>
      </c>
      <c r="K2176" s="336">
        <f t="shared" si="2714"/>
        <v>12327</v>
      </c>
      <c r="L2176" s="275">
        <f t="shared" si="2715"/>
        <v>12307</v>
      </c>
      <c r="M2176" s="276">
        <f t="shared" si="2716"/>
        <v>20</v>
      </c>
      <c r="N2176" s="340">
        <f t="shared" si="2710"/>
        <v>1.2326999999999999</v>
      </c>
      <c r="O2176" s="264">
        <f t="shared" si="2696"/>
        <v>1.6224547740731727E-3</v>
      </c>
    </row>
    <row r="2177" spans="1:15" ht="23.4" x14ac:dyDescent="0.3">
      <c r="A2177" s="277" t="s">
        <v>110</v>
      </c>
      <c r="B2177" s="957"/>
      <c r="C2177" s="298" t="s">
        <v>506</v>
      </c>
      <c r="D2177" s="278" t="s">
        <v>258</v>
      </c>
      <c r="E2177" s="279">
        <v>9000</v>
      </c>
      <c r="F2177" s="280"/>
      <c r="G2177" s="336">
        <f t="shared" si="2713"/>
        <v>0</v>
      </c>
      <c r="H2177" s="281"/>
      <c r="I2177" s="281"/>
      <c r="J2177" s="355" t="str">
        <f>IFERROR(G2177/#REF!,"-")</f>
        <v>-</v>
      </c>
      <c r="K2177" s="336">
        <f t="shared" si="2714"/>
        <v>26750</v>
      </c>
      <c r="L2177" s="275">
        <f t="shared" si="2715"/>
        <v>26682</v>
      </c>
      <c r="M2177" s="276">
        <f t="shared" si="2716"/>
        <v>68</v>
      </c>
      <c r="N2177" s="340">
        <f t="shared" si="2710"/>
        <v>2.9722222222222223</v>
      </c>
      <c r="O2177" s="264">
        <f t="shared" si="2696"/>
        <v>2.542056074766355E-3</v>
      </c>
    </row>
    <row r="2178" spans="1:15" ht="23.4" x14ac:dyDescent="0.3">
      <c r="A2178" s="277" t="s">
        <v>110</v>
      </c>
      <c r="B2178" s="957"/>
      <c r="C2178" s="298" t="s">
        <v>261</v>
      </c>
      <c r="D2178" s="278" t="s">
        <v>263</v>
      </c>
      <c r="E2178" s="279">
        <v>22500</v>
      </c>
      <c r="F2178" s="280"/>
      <c r="G2178" s="336">
        <f t="shared" si="2713"/>
        <v>0</v>
      </c>
      <c r="H2178" s="281"/>
      <c r="I2178" s="281"/>
      <c r="J2178" s="355" t="str">
        <f>IFERROR(G2178/#REF!,"-")</f>
        <v>-</v>
      </c>
      <c r="K2178" s="336">
        <f t="shared" si="2714"/>
        <v>23536</v>
      </c>
      <c r="L2178" s="275">
        <f t="shared" si="2715"/>
        <v>23490</v>
      </c>
      <c r="M2178" s="276">
        <f t="shared" si="2716"/>
        <v>46</v>
      </c>
      <c r="N2178" s="340">
        <f t="shared" si="2710"/>
        <v>1.0460444444444446</v>
      </c>
      <c r="O2178" s="264">
        <f t="shared" si="2696"/>
        <v>1.954452753229096E-3</v>
      </c>
    </row>
    <row r="2179" spans="1:15" ht="24" thickBot="1" x14ac:dyDescent="0.35">
      <c r="A2179" s="277" t="s">
        <v>110</v>
      </c>
      <c r="B2179" s="958"/>
      <c r="C2179" s="298" t="s">
        <v>262</v>
      </c>
      <c r="D2179" s="278" t="s">
        <v>258</v>
      </c>
      <c r="E2179" s="283">
        <v>33500</v>
      </c>
      <c r="F2179" s="284"/>
      <c r="G2179" s="337">
        <f t="shared" si="2713"/>
        <v>0</v>
      </c>
      <c r="H2179" s="285"/>
      <c r="I2179" s="285"/>
      <c r="J2179" s="356" t="str">
        <f>IFERROR(G2179/#REF!,"-")</f>
        <v>-</v>
      </c>
      <c r="K2179" s="337">
        <f t="shared" si="2714"/>
        <v>35336</v>
      </c>
      <c r="L2179" s="275">
        <f t="shared" si="2715"/>
        <v>35130</v>
      </c>
      <c r="M2179" s="276">
        <f t="shared" si="2716"/>
        <v>206</v>
      </c>
      <c r="N2179" s="341">
        <f t="shared" si="2710"/>
        <v>1.0548059701492538</v>
      </c>
      <c r="O2179" s="350">
        <f t="shared" si="2696"/>
        <v>5.8297486982114557E-3</v>
      </c>
    </row>
    <row r="2180" spans="1:15" ht="24" thickBot="1" x14ac:dyDescent="0.35">
      <c r="A2180" s="277" t="s">
        <v>110</v>
      </c>
      <c r="B2180" s="967" t="s">
        <v>52</v>
      </c>
      <c r="C2180" s="968"/>
      <c r="D2180" s="969"/>
      <c r="E2180" s="287">
        <f>SUM(E2172:E2179)</f>
        <v>252125</v>
      </c>
      <c r="F2180" s="288">
        <v>14000</v>
      </c>
      <c r="G2180" s="323">
        <f>SUM(G2172:G2179)</f>
        <v>17550</v>
      </c>
      <c r="H2180" s="324">
        <f t="shared" ref="H2180:I2180" si="2717">SUM(H2172:H2179)</f>
        <v>17500</v>
      </c>
      <c r="I2180" s="324">
        <f t="shared" si="2717"/>
        <v>50</v>
      </c>
      <c r="J2180" s="348">
        <f>+G2181/F2181</f>
        <v>0.18670212765957447</v>
      </c>
      <c r="K2180" s="323">
        <f>SUM(K2172:K2179)</f>
        <v>245877</v>
      </c>
      <c r="L2180" s="324">
        <f t="shared" si="2715"/>
        <v>244887</v>
      </c>
      <c r="M2180" s="325">
        <f t="shared" si="2716"/>
        <v>990</v>
      </c>
      <c r="N2180" s="342">
        <f t="shared" si="2710"/>
        <v>0.97521864154685178</v>
      </c>
      <c r="O2180" s="348">
        <f t="shared" si="2696"/>
        <v>4.0264034456252516E-3</v>
      </c>
    </row>
    <row r="2181" spans="1:15" ht="24" thickBot="1" x14ac:dyDescent="0.35">
      <c r="A2181" s="277" t="s">
        <v>110</v>
      </c>
      <c r="B2181" s="981" t="s">
        <v>25</v>
      </c>
      <c r="C2181" s="982"/>
      <c r="D2181" s="983"/>
      <c r="E2181" s="329">
        <f t="shared" ref="E2181:F2181" si="2718">+E2171+E2180</f>
        <v>1252125</v>
      </c>
      <c r="F2181" s="330">
        <f t="shared" si="2718"/>
        <v>94000</v>
      </c>
      <c r="G2181" s="329">
        <f>+G2171+G2180</f>
        <v>17550</v>
      </c>
      <c r="H2181" s="327">
        <f t="shared" ref="H2181:I2181" si="2719">+H2171+H2180</f>
        <v>17500</v>
      </c>
      <c r="I2181" s="327">
        <f t="shared" si="2719"/>
        <v>50</v>
      </c>
      <c r="J2181" s="352" t="str">
        <f>IFERROR(G2181/#REF!,"-")</f>
        <v>-</v>
      </c>
      <c r="K2181" s="329">
        <f t="shared" ref="K2181" si="2720">+K2171+K2180</f>
        <v>608456</v>
      </c>
      <c r="L2181" s="327">
        <f>+L2171+L2180</f>
        <v>604557</v>
      </c>
      <c r="M2181" s="328">
        <f t="shared" ref="M2181" si="2721">+M2171+M2180</f>
        <v>3899</v>
      </c>
      <c r="N2181" s="344">
        <f t="shared" si="2710"/>
        <v>0.48593870420285512</v>
      </c>
      <c r="O2181" s="352">
        <f t="shared" si="2696"/>
        <v>6.408022930170793E-3</v>
      </c>
    </row>
    <row r="2182" spans="1:15" ht="24" thickBot="1" x14ac:dyDescent="0.35">
      <c r="A2182" s="277" t="s">
        <v>110</v>
      </c>
      <c r="B2182" s="984" t="s">
        <v>180</v>
      </c>
      <c r="C2182" s="962"/>
      <c r="D2182" s="963"/>
      <c r="E2182" s="333">
        <f>+E2166+E2181</f>
        <v>6002125</v>
      </c>
      <c r="F2182" s="334">
        <f t="shared" ref="F2182:I2182" si="2722">+F2166+F2181</f>
        <v>549000</v>
      </c>
      <c r="G2182" s="333">
        <f t="shared" si="2722"/>
        <v>132544</v>
      </c>
      <c r="H2182" s="331">
        <f t="shared" si="2722"/>
        <v>194098</v>
      </c>
      <c r="I2182" s="331">
        <f t="shared" si="2722"/>
        <v>4930</v>
      </c>
      <c r="J2182" s="353">
        <f>+G2182/F2182</f>
        <v>0.24142805100182149</v>
      </c>
      <c r="K2182" s="333">
        <f>+K2166+K2181</f>
        <v>3931640</v>
      </c>
      <c r="L2182" s="331">
        <f t="shared" ref="L2182:M2182" si="2723">+L2166+L2181</f>
        <v>3900765</v>
      </c>
      <c r="M2182" s="332">
        <f t="shared" si="2723"/>
        <v>30875</v>
      </c>
      <c r="N2182" s="345">
        <f>IFERROR(K2182/E2182,"-")</f>
        <v>0.65504133952558474</v>
      </c>
      <c r="O2182" s="353">
        <f t="shared" si="2696"/>
        <v>7.8529570357408103E-3</v>
      </c>
    </row>
    <row r="2183" spans="1:15" ht="23.4" x14ac:dyDescent="0.3">
      <c r="A2183" s="271" t="s">
        <v>108</v>
      </c>
      <c r="B2183" s="977" t="s">
        <v>26</v>
      </c>
      <c r="C2183" s="300" t="s">
        <v>323</v>
      </c>
      <c r="D2183" s="300" t="s">
        <v>190</v>
      </c>
      <c r="E2183" s="273">
        <v>0</v>
      </c>
      <c r="F2183" s="274"/>
      <c r="G2183" s="335">
        <f t="shared" ref="G2183:G2192" si="2724">+H2183+I2183</f>
        <v>0</v>
      </c>
      <c r="H2183" s="275"/>
      <c r="I2183" s="275"/>
      <c r="J2183" s="354" t="str">
        <f>IFERROR(G2183/#REF!,"-")</f>
        <v>-</v>
      </c>
      <c r="K2183" s="335">
        <f t="shared" ref="K2183:K2192" si="2725">+L2183+M2183</f>
        <v>0</v>
      </c>
      <c r="L2183" s="275">
        <f t="shared" ref="L2183:L2192" si="2726">+H2183+L2074</f>
        <v>0</v>
      </c>
      <c r="M2183" s="276">
        <f t="shared" ref="M2183:M2192" si="2727">+I2183+M2074</f>
        <v>0</v>
      </c>
      <c r="N2183" s="339" t="str">
        <f t="shared" ref="N2183:N2184" si="2728">IFERROR(K2183/E2183,"-")</f>
        <v>-</v>
      </c>
      <c r="O2183" s="349" t="str">
        <f t="shared" si="2696"/>
        <v>-</v>
      </c>
    </row>
    <row r="2184" spans="1:15" ht="23.4" x14ac:dyDescent="0.3">
      <c r="A2184" s="277" t="s">
        <v>108</v>
      </c>
      <c r="B2184" s="977"/>
      <c r="C2184" s="301" t="s">
        <v>508</v>
      </c>
      <c r="D2184" s="301" t="s">
        <v>507</v>
      </c>
      <c r="E2184" s="279">
        <v>0</v>
      </c>
      <c r="F2184" s="280"/>
      <c r="G2184" s="336">
        <f t="shared" si="2724"/>
        <v>0</v>
      </c>
      <c r="H2184" s="281"/>
      <c r="I2184" s="281"/>
      <c r="J2184" s="355" t="str">
        <f>IFERROR(G2184/#REF!,"-")</f>
        <v>-</v>
      </c>
      <c r="K2184" s="336">
        <f t="shared" si="2725"/>
        <v>190384</v>
      </c>
      <c r="L2184" s="275">
        <f t="shared" si="2726"/>
        <v>186966</v>
      </c>
      <c r="M2184" s="276">
        <f t="shared" si="2727"/>
        <v>3418</v>
      </c>
      <c r="N2184" s="340" t="str">
        <f t="shared" si="2728"/>
        <v>-</v>
      </c>
      <c r="O2184" s="264">
        <f t="shared" si="2696"/>
        <v>1.7953189343642324E-2</v>
      </c>
    </row>
    <row r="2185" spans="1:15" ht="23.4" x14ac:dyDescent="0.3">
      <c r="A2185" s="277" t="s">
        <v>108</v>
      </c>
      <c r="B2185" s="977"/>
      <c r="C2185" s="302" t="s">
        <v>27</v>
      </c>
      <c r="D2185" s="302" t="s">
        <v>370</v>
      </c>
      <c r="E2185" s="283">
        <v>0</v>
      </c>
      <c r="F2185" s="284"/>
      <c r="G2185" s="336">
        <f t="shared" si="2724"/>
        <v>0</v>
      </c>
      <c r="H2185" s="285"/>
      <c r="I2185" s="285"/>
      <c r="J2185" s="356" t="str">
        <f>IFERROR(G2185/#REF!,"-")</f>
        <v>-</v>
      </c>
      <c r="K2185" s="336">
        <f t="shared" si="2725"/>
        <v>15312</v>
      </c>
      <c r="L2185" s="275">
        <f t="shared" si="2726"/>
        <v>14492</v>
      </c>
      <c r="M2185" s="276">
        <f t="shared" si="2727"/>
        <v>820</v>
      </c>
      <c r="N2185" s="286"/>
      <c r="O2185" s="264">
        <f t="shared" si="2696"/>
        <v>5.3552769070010449E-2</v>
      </c>
    </row>
    <row r="2186" spans="1:15" ht="23.4" x14ac:dyDescent="0.3">
      <c r="A2186" s="277" t="s">
        <v>108</v>
      </c>
      <c r="B2186" s="977"/>
      <c r="C2186" s="302" t="s">
        <v>27</v>
      </c>
      <c r="D2186" s="302" t="s">
        <v>254</v>
      </c>
      <c r="E2186" s="283">
        <v>0</v>
      </c>
      <c r="F2186" s="284"/>
      <c r="G2186" s="336">
        <f t="shared" si="2724"/>
        <v>0</v>
      </c>
      <c r="H2186" s="285"/>
      <c r="I2186" s="285"/>
      <c r="J2186" s="356" t="str">
        <f>IFERROR(G2186/#REF!,"-")</f>
        <v>-</v>
      </c>
      <c r="K2186" s="336">
        <f t="shared" si="2725"/>
        <v>41904</v>
      </c>
      <c r="L2186" s="275">
        <f t="shared" si="2726"/>
        <v>39879</v>
      </c>
      <c r="M2186" s="276">
        <f t="shared" si="2727"/>
        <v>2025</v>
      </c>
      <c r="N2186" s="286"/>
      <c r="O2186" s="264">
        <f t="shared" si="2696"/>
        <v>4.8324742268041239E-2</v>
      </c>
    </row>
    <row r="2187" spans="1:15" ht="23.4" x14ac:dyDescent="0.3">
      <c r="A2187" s="277" t="s">
        <v>108</v>
      </c>
      <c r="B2187" s="977"/>
      <c r="C2187" s="302" t="s">
        <v>27</v>
      </c>
      <c r="D2187" s="302" t="s">
        <v>302</v>
      </c>
      <c r="E2187" s="283">
        <v>0</v>
      </c>
      <c r="F2187" s="284"/>
      <c r="G2187" s="336">
        <f t="shared" si="2724"/>
        <v>0</v>
      </c>
      <c r="H2187" s="285"/>
      <c r="I2187" s="285"/>
      <c r="J2187" s="356" t="str">
        <f>IFERROR(G2187/#REF!,"-")</f>
        <v>-</v>
      </c>
      <c r="K2187" s="336">
        <f t="shared" si="2725"/>
        <v>6345</v>
      </c>
      <c r="L2187" s="275">
        <f t="shared" si="2726"/>
        <v>5830</v>
      </c>
      <c r="M2187" s="276">
        <f t="shared" si="2727"/>
        <v>515</v>
      </c>
      <c r="N2187" s="286"/>
      <c r="O2187" s="264">
        <f t="shared" si="2696"/>
        <v>8.1166272655634364E-2</v>
      </c>
    </row>
    <row r="2188" spans="1:15" ht="23.4" x14ac:dyDescent="0.3">
      <c r="A2188" s="277"/>
      <c r="B2188" s="977"/>
      <c r="C2188" s="302" t="s">
        <v>541</v>
      </c>
      <c r="D2188" s="302" t="s">
        <v>191</v>
      </c>
      <c r="E2188" s="283">
        <v>0</v>
      </c>
      <c r="F2188" s="284"/>
      <c r="G2188" s="337">
        <f t="shared" si="2724"/>
        <v>0</v>
      </c>
      <c r="H2188" s="285"/>
      <c r="I2188" s="285"/>
      <c r="J2188" s="356" t="str">
        <f>IFERROR(G2188/#REF!,"-")</f>
        <v>-</v>
      </c>
      <c r="K2188" s="337">
        <f t="shared" si="2725"/>
        <v>4273</v>
      </c>
      <c r="L2188" s="275">
        <f t="shared" si="2726"/>
        <v>3978</v>
      </c>
      <c r="M2188" s="276">
        <f t="shared" si="2727"/>
        <v>295</v>
      </c>
      <c r="N2188" s="286"/>
      <c r="O2188" s="264">
        <f t="shared" si="2696"/>
        <v>6.9038146501287145E-2</v>
      </c>
    </row>
    <row r="2189" spans="1:15" ht="23.4" x14ac:dyDescent="0.3">
      <c r="A2189" s="277"/>
      <c r="B2189" s="977"/>
      <c r="C2189" s="302" t="s">
        <v>369</v>
      </c>
      <c r="D2189" s="302" t="s">
        <v>101</v>
      </c>
      <c r="E2189" s="283">
        <v>0</v>
      </c>
      <c r="F2189" s="284"/>
      <c r="G2189" s="337">
        <f t="shared" si="2724"/>
        <v>0</v>
      </c>
      <c r="H2189" s="285"/>
      <c r="I2189" s="285"/>
      <c r="J2189" s="356" t="str">
        <f>IFERROR(G2189/#REF!,"-")</f>
        <v>-</v>
      </c>
      <c r="K2189" s="337">
        <f t="shared" si="2725"/>
        <v>6135</v>
      </c>
      <c r="L2189" s="275">
        <f t="shared" si="2726"/>
        <v>5899</v>
      </c>
      <c r="M2189" s="276">
        <f t="shared" si="2727"/>
        <v>236</v>
      </c>
      <c r="N2189" s="286"/>
      <c r="O2189" s="264">
        <f t="shared" si="2696"/>
        <v>3.8467807660961695E-2</v>
      </c>
    </row>
    <row r="2190" spans="1:15" ht="23.4" x14ac:dyDescent="0.3">
      <c r="A2190" s="277"/>
      <c r="B2190" s="977"/>
      <c r="C2190" s="302" t="s">
        <v>542</v>
      </c>
      <c r="D2190" s="302" t="s">
        <v>191</v>
      </c>
      <c r="E2190" s="283">
        <v>0</v>
      </c>
      <c r="F2190" s="284"/>
      <c r="G2190" s="337">
        <f t="shared" si="2724"/>
        <v>0</v>
      </c>
      <c r="H2190" s="285"/>
      <c r="I2190" s="285"/>
      <c r="J2190" s="356" t="str">
        <f>IFERROR(G2190/#REF!,"-")</f>
        <v>-</v>
      </c>
      <c r="K2190" s="337">
        <f t="shared" si="2725"/>
        <v>2448</v>
      </c>
      <c r="L2190" s="275">
        <f t="shared" si="2726"/>
        <v>2448</v>
      </c>
      <c r="M2190" s="275">
        <f t="shared" si="2727"/>
        <v>0</v>
      </c>
      <c r="N2190" s="286"/>
      <c r="O2190" s="264">
        <f t="shared" si="2696"/>
        <v>0</v>
      </c>
    </row>
    <row r="2191" spans="1:15" ht="23.4" x14ac:dyDescent="0.3">
      <c r="A2191" s="277"/>
      <c r="B2191" s="977"/>
      <c r="C2191" s="302" t="s">
        <v>452</v>
      </c>
      <c r="D2191" s="302" t="s">
        <v>410</v>
      </c>
      <c r="E2191" s="283">
        <v>0</v>
      </c>
      <c r="F2191" s="284"/>
      <c r="G2191" s="337">
        <f t="shared" si="2724"/>
        <v>0</v>
      </c>
      <c r="H2191" s="285"/>
      <c r="I2191" s="285"/>
      <c r="J2191" s="356" t="str">
        <f>IFERROR(G2191/#REF!,"-")</f>
        <v>-</v>
      </c>
      <c r="K2191" s="337">
        <f t="shared" si="2725"/>
        <v>40370</v>
      </c>
      <c r="L2191" s="275">
        <f t="shared" si="2726"/>
        <v>39117</v>
      </c>
      <c r="M2191" s="276">
        <f t="shared" si="2727"/>
        <v>1253</v>
      </c>
      <c r="N2191" s="286"/>
      <c r="O2191" s="264">
        <f t="shared" si="2696"/>
        <v>3.1037899430270001E-2</v>
      </c>
    </row>
    <row r="2192" spans="1:15" ht="24" thickBot="1" x14ac:dyDescent="0.35">
      <c r="A2192" s="277" t="s">
        <v>108</v>
      </c>
      <c r="B2192" s="977"/>
      <c r="C2192" s="303" t="s">
        <v>315</v>
      </c>
      <c r="D2192" s="302" t="s">
        <v>313</v>
      </c>
      <c r="E2192" s="283">
        <v>0</v>
      </c>
      <c r="F2192" s="284"/>
      <c r="G2192" s="337">
        <f t="shared" si="2724"/>
        <v>0</v>
      </c>
      <c r="H2192" s="285"/>
      <c r="I2192" s="285"/>
      <c r="J2192" s="356" t="str">
        <f>IFERROR(G2192/#REF!,"-")</f>
        <v>-</v>
      </c>
      <c r="K2192" s="337">
        <f t="shared" si="2725"/>
        <v>16403</v>
      </c>
      <c r="L2192" s="275">
        <f t="shared" si="2726"/>
        <v>15912</v>
      </c>
      <c r="M2192" s="276">
        <f t="shared" si="2727"/>
        <v>491</v>
      </c>
      <c r="N2192" s="341" t="str">
        <f t="shared" ref="N2192:N2199" si="2729">IFERROR(K2192/E2192,"-")</f>
        <v>-</v>
      </c>
      <c r="O2192" s="350">
        <f t="shared" si="2696"/>
        <v>2.9933548741083948E-2</v>
      </c>
    </row>
    <row r="2193" spans="1:15" ht="24" thickBot="1" x14ac:dyDescent="0.35">
      <c r="A2193" s="277" t="s">
        <v>108</v>
      </c>
      <c r="B2193" s="990"/>
      <c r="C2193" s="304"/>
      <c r="D2193" s="305" t="s">
        <v>55</v>
      </c>
      <c r="E2193" s="287">
        <f>SUM(E2183:E2192)</f>
        <v>0</v>
      </c>
      <c r="F2193" s="288">
        <v>80000</v>
      </c>
      <c r="G2193" s="323">
        <f>SUM(G2183:G2192)</f>
        <v>0</v>
      </c>
      <c r="H2193" s="324">
        <f>SUM(H2183:H2192)</f>
        <v>0</v>
      </c>
      <c r="I2193" s="324">
        <f>SUM(I2183:I2192)</f>
        <v>0</v>
      </c>
      <c r="J2193" s="348">
        <f>+G2193/F2193</f>
        <v>0</v>
      </c>
      <c r="K2193" s="323">
        <f>SUM(K2183:K2192)</f>
        <v>323574</v>
      </c>
      <c r="L2193" s="324">
        <f>SUM(L2183:L2192)</f>
        <v>314521</v>
      </c>
      <c r="M2193" s="325">
        <f>SUM(M2183:M2192)</f>
        <v>9053</v>
      </c>
      <c r="N2193" s="342" t="str">
        <f t="shared" si="2729"/>
        <v>-</v>
      </c>
      <c r="O2193" s="348">
        <f t="shared" si="2696"/>
        <v>2.7978144103049069E-2</v>
      </c>
    </row>
    <row r="2194" spans="1:15" ht="23.4" x14ac:dyDescent="0.3">
      <c r="A2194" s="277" t="s">
        <v>108</v>
      </c>
      <c r="B2194" s="976" t="s">
        <v>28</v>
      </c>
      <c r="C2194" s="302" t="s">
        <v>27</v>
      </c>
      <c r="D2194" s="300" t="s">
        <v>191</v>
      </c>
      <c r="E2194" s="273">
        <v>2612056</v>
      </c>
      <c r="F2194" s="274"/>
      <c r="G2194" s="335">
        <f t="shared" ref="G2194:G2198" si="2730">+H2194+I2194</f>
        <v>0</v>
      </c>
      <c r="H2194" s="275"/>
      <c r="I2194" s="275"/>
      <c r="J2194" s="354" t="str">
        <f>IFERROR(G2194/#REF!,"-")</f>
        <v>-</v>
      </c>
      <c r="K2194" s="335">
        <f t="shared" ref="K2194:K2198" si="2731">+L2194+M2194</f>
        <v>166634</v>
      </c>
      <c r="L2194" s="275">
        <f t="shared" ref="L2194:L2198" si="2732">+H2194+L2085</f>
        <v>163098</v>
      </c>
      <c r="M2194" s="276">
        <f t="shared" ref="M2194:M2198" si="2733">+I2194+M2085</f>
        <v>3536</v>
      </c>
      <c r="N2194" s="339">
        <f t="shared" si="2729"/>
        <v>6.3794191242454223E-2</v>
      </c>
      <c r="O2194" s="349">
        <f t="shared" si="2696"/>
        <v>2.1220159151193633E-2</v>
      </c>
    </row>
    <row r="2195" spans="1:15" ht="23.4" x14ac:dyDescent="0.3">
      <c r="A2195" s="277" t="s">
        <v>108</v>
      </c>
      <c r="B2195" s="977"/>
      <c r="C2195" s="302" t="s">
        <v>455</v>
      </c>
      <c r="D2195" s="302" t="s">
        <v>370</v>
      </c>
      <c r="E2195" s="279">
        <v>0</v>
      </c>
      <c r="F2195" s="280"/>
      <c r="G2195" s="336">
        <f t="shared" si="2730"/>
        <v>32414</v>
      </c>
      <c r="H2195" s="281">
        <v>31824</v>
      </c>
      <c r="I2195" s="281">
        <v>590</v>
      </c>
      <c r="J2195" s="355" t="str">
        <f>IFERROR(G2195/#REF!,"-")</f>
        <v>-</v>
      </c>
      <c r="K2195" s="336">
        <f t="shared" si="2731"/>
        <v>1443923</v>
      </c>
      <c r="L2195" s="275">
        <f t="shared" si="2732"/>
        <v>1427796</v>
      </c>
      <c r="M2195" s="276">
        <f t="shared" si="2733"/>
        <v>16127</v>
      </c>
      <c r="N2195" s="340" t="str">
        <f t="shared" si="2729"/>
        <v>-</v>
      </c>
      <c r="O2195" s="264">
        <f t="shared" si="2696"/>
        <v>1.1168878118847057E-2</v>
      </c>
    </row>
    <row r="2196" spans="1:15" ht="23.4" x14ac:dyDescent="0.3">
      <c r="A2196" s="277" t="s">
        <v>108</v>
      </c>
      <c r="B2196" s="977"/>
      <c r="C2196" s="302" t="s">
        <v>27</v>
      </c>
      <c r="D2196" s="302" t="s">
        <v>370</v>
      </c>
      <c r="E2196" s="279">
        <v>0</v>
      </c>
      <c r="F2196" s="280"/>
      <c r="G2196" s="336">
        <f t="shared" si="2730"/>
        <v>8466</v>
      </c>
      <c r="H2196" s="281">
        <v>7956</v>
      </c>
      <c r="I2196" s="281">
        <v>510</v>
      </c>
      <c r="J2196" s="355" t="str">
        <f>IFERROR(G2196/#REF!,"-")</f>
        <v>-</v>
      </c>
      <c r="K2196" s="336">
        <f t="shared" si="2731"/>
        <v>81580</v>
      </c>
      <c r="L2196" s="275">
        <f t="shared" si="2732"/>
        <v>79560</v>
      </c>
      <c r="M2196" s="276">
        <f t="shared" si="2733"/>
        <v>2020</v>
      </c>
      <c r="N2196" s="340" t="str">
        <f t="shared" si="2729"/>
        <v>-</v>
      </c>
      <c r="O2196" s="264">
        <f t="shared" si="2696"/>
        <v>2.476097082618289E-2</v>
      </c>
    </row>
    <row r="2197" spans="1:15" ht="23.4" x14ac:dyDescent="0.3">
      <c r="A2197" s="277" t="s">
        <v>108</v>
      </c>
      <c r="B2197" s="977"/>
      <c r="C2197" s="302" t="s">
        <v>452</v>
      </c>
      <c r="D2197" s="303" t="s">
        <v>410</v>
      </c>
      <c r="E2197" s="283">
        <v>0</v>
      </c>
      <c r="F2197" s="284"/>
      <c r="G2197" s="337">
        <f t="shared" si="2730"/>
        <v>0</v>
      </c>
      <c r="H2197" s="285"/>
      <c r="I2197" s="285"/>
      <c r="J2197" s="356" t="str">
        <f>IFERROR(G2197/#REF!,"-")</f>
        <v>-</v>
      </c>
      <c r="K2197" s="337">
        <f t="shared" si="2731"/>
        <v>249713</v>
      </c>
      <c r="L2197" s="275">
        <f t="shared" si="2732"/>
        <v>246636</v>
      </c>
      <c r="M2197" s="755">
        <f t="shared" si="2733"/>
        <v>3077</v>
      </c>
      <c r="N2197" s="341" t="str">
        <f t="shared" si="2729"/>
        <v>-</v>
      </c>
      <c r="O2197" s="350">
        <f t="shared" si="2696"/>
        <v>1.2322145823405269E-2</v>
      </c>
    </row>
    <row r="2198" spans="1:15" ht="24" thickBot="1" x14ac:dyDescent="0.35">
      <c r="A2198" s="277" t="s">
        <v>108</v>
      </c>
      <c r="B2198" s="977"/>
      <c r="C2198" s="302" t="s">
        <v>27</v>
      </c>
      <c r="D2198" s="303" t="s">
        <v>254</v>
      </c>
      <c r="E2198" s="283">
        <v>0</v>
      </c>
      <c r="F2198" s="284"/>
      <c r="G2198" s="337">
        <f t="shared" si="2730"/>
        <v>0</v>
      </c>
      <c r="H2198" s="285"/>
      <c r="I2198" s="285"/>
      <c r="J2198" s="356" t="str">
        <f>IFERROR(G2198/#REF!,"-")</f>
        <v>-</v>
      </c>
      <c r="K2198" s="337">
        <f t="shared" si="2731"/>
        <v>767509</v>
      </c>
      <c r="L2198" s="275">
        <f t="shared" si="2732"/>
        <v>758574</v>
      </c>
      <c r="M2198" s="755">
        <f t="shared" si="2733"/>
        <v>8935</v>
      </c>
      <c r="N2198" s="341" t="str">
        <f t="shared" si="2729"/>
        <v>-</v>
      </c>
      <c r="O2198" s="350">
        <f t="shared" si="2696"/>
        <v>1.164155729769944E-2</v>
      </c>
    </row>
    <row r="2199" spans="1:15" ht="24" thickBot="1" x14ac:dyDescent="0.35">
      <c r="A2199" s="277" t="s">
        <v>108</v>
      </c>
      <c r="B2199" s="977"/>
      <c r="C2199" s="307"/>
      <c r="D2199" s="308" t="s">
        <v>55</v>
      </c>
      <c r="E2199" s="309">
        <f>SUM(E2194:E2198)</f>
        <v>2612056</v>
      </c>
      <c r="F2199" s="310">
        <v>160000</v>
      </c>
      <c r="G2199" s="369">
        <f>SUM(G2194:G2198)</f>
        <v>40880</v>
      </c>
      <c r="H2199" s="368">
        <f>SUM(H2194:H2198)</f>
        <v>39780</v>
      </c>
      <c r="I2199" s="368">
        <f>SUM(I2194:I2198)</f>
        <v>1100</v>
      </c>
      <c r="J2199" s="359">
        <f>+G2199/F2199</f>
        <v>0.2555</v>
      </c>
      <c r="K2199" s="369">
        <f>SUM(K2194:K2198)</f>
        <v>2709359</v>
      </c>
      <c r="L2199" s="368">
        <f>SUM(L2194:L2198)</f>
        <v>2675664</v>
      </c>
      <c r="M2199" s="370">
        <f>SUM(M2194:M2198)</f>
        <v>33695</v>
      </c>
      <c r="N2199" s="358">
        <f t="shared" si="2729"/>
        <v>1.0372514984364807</v>
      </c>
      <c r="O2199" s="359">
        <f t="shared" si="2696"/>
        <v>1.2436520963076507E-2</v>
      </c>
    </row>
    <row r="2200" spans="1:15" ht="24" thickBot="1" x14ac:dyDescent="0.35">
      <c r="A2200" s="934" t="s">
        <v>108</v>
      </c>
      <c r="B2200" s="978" t="s">
        <v>170</v>
      </c>
      <c r="C2200" s="979"/>
      <c r="D2200" s="980"/>
      <c r="E2200" s="311">
        <f>+E2199+E2193</f>
        <v>2612056</v>
      </c>
      <c r="F2200" s="312">
        <v>240000</v>
      </c>
      <c r="G2200" s="372">
        <f>+G2193+G2199</f>
        <v>40880</v>
      </c>
      <c r="H2200" s="371">
        <f>+H2193+H2199</f>
        <v>39780</v>
      </c>
      <c r="I2200" s="371">
        <f>+I2193+I2199</f>
        <v>1100</v>
      </c>
      <c r="J2200" s="361">
        <f>+G2200/F2200</f>
        <v>0.17033333333333334</v>
      </c>
      <c r="K2200" s="372">
        <f>+K2193+K2199</f>
        <v>3032933</v>
      </c>
      <c r="L2200" s="371">
        <f>+L2193+L2199</f>
        <v>2990185</v>
      </c>
      <c r="M2200" s="373">
        <f>+M2193+M2199</f>
        <v>42748</v>
      </c>
      <c r="N2200" s="360">
        <f>IFERROR(K2200/E2200,"-")</f>
        <v>1.161128628176425</v>
      </c>
      <c r="O2200" s="361">
        <f t="shared" si="2696"/>
        <v>1.4094607431156574E-2</v>
      </c>
    </row>
    <row r="2201" spans="1:15" ht="23.4" x14ac:dyDescent="0.3">
      <c r="A2201" s="277" t="s">
        <v>108</v>
      </c>
      <c r="B2201" s="977" t="s">
        <v>30</v>
      </c>
      <c r="C2201" s="306" t="s">
        <v>581</v>
      </c>
      <c r="D2201" s="302" t="s">
        <v>370</v>
      </c>
      <c r="E2201" s="273">
        <v>0</v>
      </c>
      <c r="F2201" s="274"/>
      <c r="G2201" s="335">
        <f t="shared" ref="G2201:G2203" si="2734">+H2201+I2201</f>
        <v>0</v>
      </c>
      <c r="H2201" s="275"/>
      <c r="I2201" s="275"/>
      <c r="J2201" s="354" t="str">
        <f>IFERROR(G2201/#REF!,"-")</f>
        <v>-</v>
      </c>
      <c r="K2201" s="335">
        <f t="shared" ref="K2201:K2203" si="2735">+L2201+M2201</f>
        <v>11232</v>
      </c>
      <c r="L2201" s="275">
        <f t="shared" ref="L2201:L2203" si="2736">+H2201+L2092</f>
        <v>11232</v>
      </c>
      <c r="M2201" s="276">
        <f t="shared" ref="M2201:M2203" si="2737">+I2201+M2092</f>
        <v>0</v>
      </c>
      <c r="N2201" s="339" t="str">
        <f t="shared" ref="N2201:N2205" si="2738">IFERROR(K2201/E2201,"-")</f>
        <v>-</v>
      </c>
      <c r="O2201" s="349">
        <f t="shared" si="2696"/>
        <v>0</v>
      </c>
    </row>
    <row r="2202" spans="1:15" ht="23.4" x14ac:dyDescent="0.3">
      <c r="A2202" s="277" t="s">
        <v>108</v>
      </c>
      <c r="B2202" s="977"/>
      <c r="C2202" s="303" t="s">
        <v>531</v>
      </c>
      <c r="D2202" s="306" t="s">
        <v>410</v>
      </c>
      <c r="E2202" s="279">
        <v>0</v>
      </c>
      <c r="F2202" s="280"/>
      <c r="G2202" s="336">
        <f t="shared" si="2734"/>
        <v>0</v>
      </c>
      <c r="H2202" s="281"/>
      <c r="I2202" s="281"/>
      <c r="J2202" s="355" t="str">
        <f>IFERROR(G2202/#REF!,"-")</f>
        <v>-</v>
      </c>
      <c r="K2202" s="336">
        <f t="shared" si="2735"/>
        <v>244257</v>
      </c>
      <c r="L2202" s="275">
        <f t="shared" si="2736"/>
        <v>239616</v>
      </c>
      <c r="M2202" s="276">
        <f t="shared" si="2737"/>
        <v>4641</v>
      </c>
      <c r="N2202" s="340" t="str">
        <f t="shared" si="2738"/>
        <v>-</v>
      </c>
      <c r="O2202" s="264">
        <f t="shared" si="2696"/>
        <v>1.9000479003672362E-2</v>
      </c>
    </row>
    <row r="2203" spans="1:15" ht="24" thickBot="1" x14ac:dyDescent="0.35">
      <c r="A2203" s="277" t="s">
        <v>108</v>
      </c>
      <c r="B2203" s="977"/>
      <c r="C2203" s="303" t="s">
        <v>316</v>
      </c>
      <c r="D2203" s="303" t="s">
        <v>410</v>
      </c>
      <c r="E2203" s="283">
        <v>0</v>
      </c>
      <c r="F2203" s="284"/>
      <c r="G2203" s="337">
        <f t="shared" si="2734"/>
        <v>0</v>
      </c>
      <c r="H2203" s="285"/>
      <c r="I2203" s="285"/>
      <c r="J2203" s="356" t="str">
        <f>IFERROR(G2203/#REF!,"-")</f>
        <v>-</v>
      </c>
      <c r="K2203" s="337">
        <f t="shared" si="2735"/>
        <v>171639</v>
      </c>
      <c r="L2203" s="275">
        <f t="shared" si="2736"/>
        <v>166608</v>
      </c>
      <c r="M2203" s="276">
        <f t="shared" si="2737"/>
        <v>5031</v>
      </c>
      <c r="N2203" s="341" t="str">
        <f t="shared" si="2738"/>
        <v>-</v>
      </c>
      <c r="O2203" s="350">
        <f t="shared" si="2696"/>
        <v>2.9311520109066121E-2</v>
      </c>
    </row>
    <row r="2204" spans="1:15" ht="24" thickBot="1" x14ac:dyDescent="0.35">
      <c r="A2204" s="277" t="s">
        <v>108</v>
      </c>
      <c r="B2204" s="977"/>
      <c r="C2204" s="304"/>
      <c r="D2204" s="305" t="s">
        <v>53</v>
      </c>
      <c r="E2204" s="287">
        <v>0</v>
      </c>
      <c r="F2204" s="288">
        <v>50000</v>
      </c>
      <c r="G2204" s="323">
        <f>SUM(G2201:G2203)</f>
        <v>0</v>
      </c>
      <c r="H2204" s="324">
        <f>SUM(H2201:H2203)</f>
        <v>0</v>
      </c>
      <c r="I2204" s="324">
        <f>SUM(I2201:I2203)</f>
        <v>0</v>
      </c>
      <c r="J2204" s="348" t="e">
        <f>+H2204/G2204</f>
        <v>#DIV/0!</v>
      </c>
      <c r="K2204" s="323">
        <f>SUM(K2201:K2203)</f>
        <v>427128</v>
      </c>
      <c r="L2204" s="324">
        <f>SUM(L2201:L2203)</f>
        <v>417456</v>
      </c>
      <c r="M2204" s="325">
        <f>SUM(M2201:M2203)</f>
        <v>9672</v>
      </c>
      <c r="N2204" s="342" t="str">
        <f t="shared" si="2738"/>
        <v>-</v>
      </c>
      <c r="O2204" s="348">
        <f t="shared" si="2696"/>
        <v>2.2644265887509132E-2</v>
      </c>
    </row>
    <row r="2205" spans="1:15" ht="23.4" x14ac:dyDescent="0.3">
      <c r="A2205" s="277" t="s">
        <v>108</v>
      </c>
      <c r="B2205" s="977"/>
      <c r="C2205" s="300" t="s">
        <v>543</v>
      </c>
      <c r="D2205" s="300" t="s">
        <v>99</v>
      </c>
      <c r="E2205" s="273">
        <v>500000</v>
      </c>
      <c r="F2205" s="274"/>
      <c r="G2205" s="335">
        <f t="shared" ref="G2205" si="2739">+H2205+I2205</f>
        <v>0</v>
      </c>
      <c r="H2205" s="275"/>
      <c r="I2205" s="275"/>
      <c r="J2205" s="354" t="str">
        <f>IFERROR(G2205/#REF!,"-")</f>
        <v>-</v>
      </c>
      <c r="K2205" s="335">
        <f t="shared" ref="K2205:K2209" si="2740">+L2205+M2205</f>
        <v>16626</v>
      </c>
      <c r="L2205" s="275">
        <f t="shared" ref="L2205:L2209" si="2741">+H2205+L2096</f>
        <v>15932</v>
      </c>
      <c r="M2205" s="276">
        <f t="shared" ref="M2205:M2209" si="2742">+I2205+M2096</f>
        <v>694</v>
      </c>
      <c r="N2205" s="339">
        <f t="shared" si="2738"/>
        <v>3.3251999999999997E-2</v>
      </c>
      <c r="O2205" s="349">
        <f t="shared" si="2696"/>
        <v>4.174185011427884E-2</v>
      </c>
    </row>
    <row r="2206" spans="1:15" ht="23.4" x14ac:dyDescent="0.3">
      <c r="A2206" s="277"/>
      <c r="B2206" s="977"/>
      <c r="C2206" s="306" t="s">
        <v>585</v>
      </c>
      <c r="D2206" s="302" t="s">
        <v>370</v>
      </c>
      <c r="E2206" s="273"/>
      <c r="F2206" s="274"/>
      <c r="G2206" s="335"/>
      <c r="H2206" s="275"/>
      <c r="I2206" s="275"/>
      <c r="J2206" s="354"/>
      <c r="K2206" s="335">
        <f t="shared" si="2740"/>
        <v>47078</v>
      </c>
      <c r="L2206" s="275">
        <f t="shared" si="2741"/>
        <v>46800</v>
      </c>
      <c r="M2206" s="276">
        <f t="shared" si="2742"/>
        <v>278</v>
      </c>
      <c r="N2206" s="339"/>
      <c r="O2206" s="349">
        <f t="shared" si="2696"/>
        <v>5.9050936743277119E-3</v>
      </c>
    </row>
    <row r="2207" spans="1:15" ht="23.4" x14ac:dyDescent="0.3">
      <c r="A2207" s="277"/>
      <c r="B2207" s="977"/>
      <c r="C2207" s="306" t="s">
        <v>588</v>
      </c>
      <c r="D2207" s="302" t="s">
        <v>370</v>
      </c>
      <c r="E2207" s="273"/>
      <c r="F2207" s="274"/>
      <c r="G2207" s="335"/>
      <c r="H2207" s="275"/>
      <c r="I2207" s="275"/>
      <c r="J2207" s="354"/>
      <c r="K2207" s="335">
        <f t="shared" si="2740"/>
        <v>2142</v>
      </c>
      <c r="L2207" s="275">
        <f t="shared" si="2741"/>
        <v>1872</v>
      </c>
      <c r="M2207" s="276">
        <f t="shared" si="2742"/>
        <v>270</v>
      </c>
      <c r="N2207" s="339"/>
      <c r="O2207" s="349">
        <f t="shared" si="2696"/>
        <v>0.12605042016806722</v>
      </c>
    </row>
    <row r="2208" spans="1:15" ht="23.4" x14ac:dyDescent="0.3">
      <c r="A2208" s="277" t="s">
        <v>108</v>
      </c>
      <c r="B2208" s="977"/>
      <c r="C2208" s="306" t="s">
        <v>373</v>
      </c>
      <c r="D2208" s="306" t="s">
        <v>254</v>
      </c>
      <c r="E2208" s="279">
        <v>0</v>
      </c>
      <c r="F2208" s="280"/>
      <c r="G2208" s="336">
        <f t="shared" ref="G2208:G2209" si="2743">+H2208+I2208</f>
        <v>0</v>
      </c>
      <c r="H2208" s="281"/>
      <c r="I2208" s="281"/>
      <c r="J2208" s="355" t="str">
        <f>IFERROR(G2208/#REF!,"-")</f>
        <v>-</v>
      </c>
      <c r="K2208" s="336">
        <f t="shared" si="2740"/>
        <v>13599</v>
      </c>
      <c r="L2208" s="275">
        <f t="shared" si="2741"/>
        <v>13321</v>
      </c>
      <c r="M2208" s="276">
        <f t="shared" si="2742"/>
        <v>278</v>
      </c>
      <c r="N2208" s="340" t="str">
        <f t="shared" ref="N2208:N2213" si="2744">IFERROR(K2208/E2208,"-")</f>
        <v>-</v>
      </c>
      <c r="O2208" s="264">
        <f t="shared" si="2696"/>
        <v>2.0442679608794763E-2</v>
      </c>
    </row>
    <row r="2209" spans="1:15" ht="24" thickBot="1" x14ac:dyDescent="0.35">
      <c r="A2209" s="277" t="s">
        <v>108</v>
      </c>
      <c r="B2209" s="977"/>
      <c r="C2209" s="303" t="s">
        <v>544</v>
      </c>
      <c r="D2209" s="303" t="s">
        <v>507</v>
      </c>
      <c r="E2209" s="283">
        <v>0</v>
      </c>
      <c r="F2209" s="284"/>
      <c r="G2209" s="337">
        <f t="shared" si="2743"/>
        <v>0</v>
      </c>
      <c r="H2209" s="285"/>
      <c r="I2209" s="285"/>
      <c r="J2209" s="356" t="str">
        <f>IFERROR(G2209/#REF!,"-")</f>
        <v>-</v>
      </c>
      <c r="K2209" s="337">
        <f t="shared" si="2740"/>
        <v>845</v>
      </c>
      <c r="L2209" s="275">
        <f t="shared" si="2741"/>
        <v>845</v>
      </c>
      <c r="M2209" s="276">
        <f t="shared" si="2742"/>
        <v>0</v>
      </c>
      <c r="N2209" s="341" t="str">
        <f t="shared" si="2744"/>
        <v>-</v>
      </c>
      <c r="O2209" s="350">
        <f t="shared" si="2696"/>
        <v>0</v>
      </c>
    </row>
    <row r="2210" spans="1:15" ht="24" thickBot="1" x14ac:dyDescent="0.35">
      <c r="A2210" s="277" t="s">
        <v>108</v>
      </c>
      <c r="B2210" s="977"/>
      <c r="C2210" s="307"/>
      <c r="D2210" s="308" t="s">
        <v>54</v>
      </c>
      <c r="E2210" s="309">
        <f>SUM(E2205)</f>
        <v>500000</v>
      </c>
      <c r="F2210" s="310">
        <v>50000</v>
      </c>
      <c r="G2210" s="369">
        <f>SUM(G2205:G2209)</f>
        <v>0</v>
      </c>
      <c r="H2210" s="368">
        <f t="shared" ref="H2210:I2210" si="2745">SUM(H2205:H2209)</f>
        <v>0</v>
      </c>
      <c r="I2210" s="368">
        <f t="shared" si="2745"/>
        <v>0</v>
      </c>
      <c r="J2210" s="359">
        <f>+G2210/F2210</f>
        <v>0</v>
      </c>
      <c r="K2210" s="369">
        <f t="shared" ref="K2210:M2210" si="2746">SUM(K2205:K2209)</f>
        <v>80290</v>
      </c>
      <c r="L2210" s="368">
        <f t="shared" si="2746"/>
        <v>78770</v>
      </c>
      <c r="M2210" s="370">
        <f t="shared" si="2746"/>
        <v>1520</v>
      </c>
      <c r="N2210" s="358">
        <f t="shared" si="2744"/>
        <v>0.16058</v>
      </c>
      <c r="O2210" s="359">
        <f t="shared" si="2696"/>
        <v>1.8931373770083446E-2</v>
      </c>
    </row>
    <row r="2211" spans="1:15" ht="24" thickBot="1" x14ac:dyDescent="0.35">
      <c r="A2211" s="277" t="s">
        <v>108</v>
      </c>
      <c r="B2211" s="978" t="s">
        <v>171</v>
      </c>
      <c r="C2211" s="979"/>
      <c r="D2211" s="980"/>
      <c r="E2211" s="311">
        <f>+E2210+E2204</f>
        <v>500000</v>
      </c>
      <c r="F2211" s="312">
        <v>50000</v>
      </c>
      <c r="G2211" s="372">
        <f>+G2204+G2210</f>
        <v>0</v>
      </c>
      <c r="H2211" s="371">
        <f t="shared" ref="H2211:I2211" si="2747">+H2204+H2210</f>
        <v>0</v>
      </c>
      <c r="I2211" s="371">
        <f t="shared" si="2747"/>
        <v>0</v>
      </c>
      <c r="J2211" s="361">
        <f>+G2211/F2211</f>
        <v>0</v>
      </c>
      <c r="K2211" s="372">
        <f t="shared" ref="K2211:M2211" si="2748">+K2204+K2210</f>
        <v>507418</v>
      </c>
      <c r="L2211" s="371">
        <f t="shared" si="2748"/>
        <v>496226</v>
      </c>
      <c r="M2211" s="373">
        <f t="shared" si="2748"/>
        <v>11192</v>
      </c>
      <c r="N2211" s="360">
        <f t="shared" si="2744"/>
        <v>1.0148360000000001</v>
      </c>
      <c r="O2211" s="361">
        <f t="shared" si="2696"/>
        <v>2.2056765822260935E-2</v>
      </c>
    </row>
    <row r="2212" spans="1:15" ht="24" thickBot="1" x14ac:dyDescent="0.35">
      <c r="A2212" s="277" t="s">
        <v>108</v>
      </c>
      <c r="B2212" s="608" t="s">
        <v>32</v>
      </c>
      <c r="C2212" s="927"/>
      <c r="D2212" s="313" t="s">
        <v>32</v>
      </c>
      <c r="E2212" s="290">
        <v>0</v>
      </c>
      <c r="F2212" s="291">
        <v>110000</v>
      </c>
      <c r="G2212" s="338">
        <f t="shared" ref="G2212" si="2749">+H2212+I2212</f>
        <v>0</v>
      </c>
      <c r="H2212" s="292"/>
      <c r="I2212" s="292"/>
      <c r="J2212" s="357" t="str">
        <f>IFERROR(G2212/#REF!,"-")</f>
        <v>-</v>
      </c>
      <c r="K2212" s="338">
        <f>+L2212+M2212</f>
        <v>0</v>
      </c>
      <c r="L2212" s="292">
        <f>+H2212+L2103</f>
        <v>0</v>
      </c>
      <c r="M2212" s="293">
        <f>+I2212+M2103</f>
        <v>0</v>
      </c>
      <c r="N2212" s="343" t="str">
        <f t="shared" si="2744"/>
        <v>-</v>
      </c>
      <c r="O2212" s="351" t="str">
        <f t="shared" si="2696"/>
        <v>-</v>
      </c>
    </row>
    <row r="2213" spans="1:15" ht="24" thickBot="1" x14ac:dyDescent="0.35">
      <c r="A2213" s="277" t="s">
        <v>108</v>
      </c>
      <c r="B2213" s="981" t="s">
        <v>21</v>
      </c>
      <c r="C2213" s="982"/>
      <c r="D2213" s="983"/>
      <c r="E2213" s="329">
        <f>+E2200+E2211+E2212</f>
        <v>3112056</v>
      </c>
      <c r="F2213" s="330">
        <f>+F2200+F2211+F2212</f>
        <v>400000</v>
      </c>
      <c r="G2213" s="329">
        <f>+G2200+G2211+G2212</f>
        <v>40880</v>
      </c>
      <c r="H2213" s="327">
        <f>+H2200+H2211+H2212</f>
        <v>39780</v>
      </c>
      <c r="I2213" s="327">
        <f>+I2200+I2211+I2212</f>
        <v>1100</v>
      </c>
      <c r="J2213" s="352">
        <f>+G2213/F2213</f>
        <v>0.1022</v>
      </c>
      <c r="K2213" s="329">
        <f>+K2200+K2211+K2212</f>
        <v>3540351</v>
      </c>
      <c r="L2213" s="327">
        <f>+L2200+L2211+L2212</f>
        <v>3486411</v>
      </c>
      <c r="M2213" s="328">
        <f>+M2200+M2211+M2212</f>
        <v>53940</v>
      </c>
      <c r="N2213" s="344">
        <f t="shared" si="2744"/>
        <v>1.1376244514880196</v>
      </c>
      <c r="O2213" s="352">
        <f t="shared" si="2696"/>
        <v>1.523577746952209E-2</v>
      </c>
    </row>
    <row r="2214" spans="1:15" ht="24" thickBot="1" x14ac:dyDescent="0.35">
      <c r="A2214" s="277" t="s">
        <v>108</v>
      </c>
      <c r="B2214" s="984" t="s">
        <v>179</v>
      </c>
      <c r="C2214" s="962"/>
      <c r="D2214" s="963"/>
      <c r="E2214" s="333">
        <f>+E2213</f>
        <v>3112056</v>
      </c>
      <c r="F2214" s="334">
        <f t="shared" ref="F2214:I2214" si="2750">+F2213</f>
        <v>400000</v>
      </c>
      <c r="G2214" s="333">
        <f t="shared" si="2750"/>
        <v>40880</v>
      </c>
      <c r="H2214" s="331">
        <f t="shared" si="2750"/>
        <v>39780</v>
      </c>
      <c r="I2214" s="331">
        <f t="shared" si="2750"/>
        <v>1100</v>
      </c>
      <c r="J2214" s="353">
        <f>+J2213</f>
        <v>0.1022</v>
      </c>
      <c r="K2214" s="333">
        <f>+K2213</f>
        <v>3540351</v>
      </c>
      <c r="L2214" s="331">
        <f t="shared" ref="L2214" si="2751">+L2213</f>
        <v>3486411</v>
      </c>
      <c r="M2214" s="332">
        <f>+M2213</f>
        <v>53940</v>
      </c>
      <c r="N2214" s="345">
        <f t="shared" ref="N2214:O2214" si="2752">+N2213</f>
        <v>1.1376244514880196</v>
      </c>
      <c r="O2214" s="353">
        <f t="shared" si="2752"/>
        <v>1.523577746952209E-2</v>
      </c>
    </row>
    <row r="2215" spans="1:15" ht="23.4" x14ac:dyDescent="0.3">
      <c r="A2215" s="271" t="s">
        <v>109</v>
      </c>
      <c r="B2215" s="970" t="s">
        <v>482</v>
      </c>
      <c r="C2215" s="314" t="s">
        <v>120</v>
      </c>
      <c r="D2215" s="314"/>
      <c r="E2215" s="273">
        <v>34000</v>
      </c>
      <c r="F2215" s="274"/>
      <c r="G2215" s="335">
        <f t="shared" ref="G2215:G2217" si="2753">+H2215+I2215</f>
        <v>0</v>
      </c>
      <c r="H2215" s="275"/>
      <c r="I2215" s="275"/>
      <c r="J2215" s="354" t="str">
        <f>IFERROR(G2215/#REF!,"-")</f>
        <v>-</v>
      </c>
      <c r="K2215" s="335">
        <f t="shared" ref="K2215:K2217" si="2754">+L2215+M2215</f>
        <v>0</v>
      </c>
      <c r="L2215" s="275">
        <f t="shared" ref="L2215:L2217" si="2755">+H2215+L2106</f>
        <v>0</v>
      </c>
      <c r="M2215" s="276">
        <f t="shared" ref="M2215:M2217" si="2756">+I2215+M2106</f>
        <v>0</v>
      </c>
      <c r="N2215" s="339">
        <f t="shared" ref="N2215:N2222" si="2757">IFERROR(K2215/E2215,"-")</f>
        <v>0</v>
      </c>
      <c r="O2215" s="349" t="str">
        <f t="shared" ref="O2215:O2240" si="2758">IFERROR(M2215/K2215,"-")</f>
        <v>-</v>
      </c>
    </row>
    <row r="2216" spans="1:15" ht="23.4" x14ac:dyDescent="0.3">
      <c r="A2216" s="277" t="s">
        <v>109</v>
      </c>
      <c r="B2216" s="972"/>
      <c r="C2216" s="315" t="s">
        <v>267</v>
      </c>
      <c r="D2216" s="315"/>
      <c r="E2216" s="279">
        <v>0</v>
      </c>
      <c r="F2216" s="280"/>
      <c r="G2216" s="336">
        <f t="shared" si="2753"/>
        <v>0</v>
      </c>
      <c r="H2216" s="281"/>
      <c r="I2216" s="281"/>
      <c r="J2216" s="355" t="str">
        <f>IFERROR(G2216/#REF!,"-")</f>
        <v>-</v>
      </c>
      <c r="K2216" s="336">
        <f t="shared" si="2754"/>
        <v>21456</v>
      </c>
      <c r="L2216" s="275">
        <f t="shared" si="2755"/>
        <v>20215</v>
      </c>
      <c r="M2216" s="276">
        <f t="shared" si="2756"/>
        <v>1241</v>
      </c>
      <c r="N2216" s="340" t="str">
        <f t="shared" si="2757"/>
        <v>-</v>
      </c>
      <c r="O2216" s="264">
        <f t="shared" si="2758"/>
        <v>5.78392990305742E-2</v>
      </c>
    </row>
    <row r="2217" spans="1:15" ht="24" thickBot="1" x14ac:dyDescent="0.35">
      <c r="A2217" s="277" t="s">
        <v>109</v>
      </c>
      <c r="B2217" s="971"/>
      <c r="C2217" s="316" t="s">
        <v>34</v>
      </c>
      <c r="D2217" s="316"/>
      <c r="E2217" s="283">
        <v>0</v>
      </c>
      <c r="F2217" s="284"/>
      <c r="G2217" s="337">
        <f t="shared" si="2753"/>
        <v>0</v>
      </c>
      <c r="H2217" s="285"/>
      <c r="I2217" s="285"/>
      <c r="J2217" s="356" t="str">
        <f>IFERROR(G2217/#REF!,"-")</f>
        <v>-</v>
      </c>
      <c r="K2217" s="337">
        <f t="shared" si="2754"/>
        <v>0</v>
      </c>
      <c r="L2217" s="275">
        <f t="shared" si="2755"/>
        <v>0</v>
      </c>
      <c r="M2217" s="276">
        <f t="shared" si="2756"/>
        <v>0</v>
      </c>
      <c r="N2217" s="341" t="str">
        <f t="shared" si="2757"/>
        <v>-</v>
      </c>
      <c r="O2217" s="350" t="str">
        <f t="shared" si="2758"/>
        <v>-</v>
      </c>
    </row>
    <row r="2218" spans="1:15" ht="24" thickBot="1" x14ac:dyDescent="0.35">
      <c r="A2218" s="277" t="s">
        <v>109</v>
      </c>
      <c r="B2218" s="967" t="s">
        <v>35</v>
      </c>
      <c r="C2218" s="968"/>
      <c r="D2218" s="969"/>
      <c r="E2218" s="287">
        <f>SUM(E2215:E2217)</f>
        <v>34000</v>
      </c>
      <c r="F2218" s="288">
        <v>6500</v>
      </c>
      <c r="G2218" s="323">
        <f>SUM(G2215:G2217)</f>
        <v>0</v>
      </c>
      <c r="H2218" s="324">
        <f t="shared" ref="H2218:I2218" si="2759">SUM(H2215:H2217)</f>
        <v>0</v>
      </c>
      <c r="I2218" s="324">
        <f t="shared" si="2759"/>
        <v>0</v>
      </c>
      <c r="J2218" s="348" t="str">
        <f>IFERROR(G2218/#REF!,"-")</f>
        <v>-</v>
      </c>
      <c r="K2218" s="323">
        <f t="shared" ref="K2218:M2218" si="2760">SUM(K2215:K2217)</f>
        <v>21456</v>
      </c>
      <c r="L2218" s="324">
        <f t="shared" si="2760"/>
        <v>20215</v>
      </c>
      <c r="M2218" s="325">
        <f t="shared" si="2760"/>
        <v>1241</v>
      </c>
      <c r="N2218" s="342">
        <f t="shared" si="2757"/>
        <v>0.63105882352941178</v>
      </c>
      <c r="O2218" s="348">
        <f t="shared" si="2758"/>
        <v>5.78392990305742E-2</v>
      </c>
    </row>
    <row r="2219" spans="1:15" ht="23.4" x14ac:dyDescent="0.3">
      <c r="A2219" s="277" t="s">
        <v>109</v>
      </c>
      <c r="B2219" s="970" t="s">
        <v>36</v>
      </c>
      <c r="C2219" s="314" t="s">
        <v>120</v>
      </c>
      <c r="D2219" s="314"/>
      <c r="E2219" s="273">
        <v>64360</v>
      </c>
      <c r="F2219" s="274"/>
      <c r="G2219" s="335">
        <f t="shared" ref="G2219:G2222" si="2761">+H2219+I2219</f>
        <v>0</v>
      </c>
      <c r="H2219" s="275"/>
      <c r="I2219" s="275"/>
      <c r="J2219" s="354" t="str">
        <f>IFERROR(G2219/#REF!,"-")</f>
        <v>-</v>
      </c>
      <c r="K2219" s="335">
        <f t="shared" ref="K2219:K2222" si="2762">+L2219+M2219</f>
        <v>5880</v>
      </c>
      <c r="L2219" s="275">
        <f t="shared" ref="L2219:L2222" si="2763">+H2219+L2110</f>
        <v>5760</v>
      </c>
      <c r="M2219" s="276">
        <f t="shared" ref="M2219:M2222" si="2764">+I2219+M2110</f>
        <v>120</v>
      </c>
      <c r="N2219" s="339">
        <f t="shared" si="2757"/>
        <v>9.1361093847110011E-2</v>
      </c>
      <c r="O2219" s="349">
        <f t="shared" si="2758"/>
        <v>2.0408163265306121E-2</v>
      </c>
    </row>
    <row r="2220" spans="1:15" ht="23.4" x14ac:dyDescent="0.3">
      <c r="A2220" s="277" t="s">
        <v>109</v>
      </c>
      <c r="B2220" s="972"/>
      <c r="C2220" s="315" t="s">
        <v>267</v>
      </c>
      <c r="D2220" s="315"/>
      <c r="E2220" s="279">
        <v>0</v>
      </c>
      <c r="F2220" s="280"/>
      <c r="G2220" s="336">
        <f t="shared" si="2761"/>
        <v>1324</v>
      </c>
      <c r="H2220" s="281">
        <v>1293</v>
      </c>
      <c r="I2220" s="281">
        <v>31</v>
      </c>
      <c r="J2220" s="355" t="str">
        <f>IFERROR(G2220/#REF!,"-")</f>
        <v>-</v>
      </c>
      <c r="K2220" s="336">
        <f t="shared" si="2762"/>
        <v>60416</v>
      </c>
      <c r="L2220" s="275">
        <f t="shared" si="2763"/>
        <v>58411</v>
      </c>
      <c r="M2220" s="276">
        <f t="shared" si="2764"/>
        <v>2005</v>
      </c>
      <c r="N2220" s="340" t="str">
        <f t="shared" si="2757"/>
        <v>-</v>
      </c>
      <c r="O2220" s="264">
        <f t="shared" si="2758"/>
        <v>3.3186573093220338E-2</v>
      </c>
    </row>
    <row r="2221" spans="1:15" ht="23.4" x14ac:dyDescent="0.3">
      <c r="A2221" s="277" t="s">
        <v>109</v>
      </c>
      <c r="B2221" s="972"/>
      <c r="C2221" s="315" t="s">
        <v>198</v>
      </c>
      <c r="D2221" s="315"/>
      <c r="E2221" s="279">
        <v>0</v>
      </c>
      <c r="F2221" s="280"/>
      <c r="G2221" s="336">
        <f t="shared" si="2761"/>
        <v>0</v>
      </c>
      <c r="H2221" s="281"/>
      <c r="I2221" s="281"/>
      <c r="J2221" s="355" t="str">
        <f>IFERROR(G2221/#REF!,"-")</f>
        <v>-</v>
      </c>
      <c r="K2221" s="336">
        <f t="shared" si="2762"/>
        <v>0</v>
      </c>
      <c r="L2221" s="275">
        <f t="shared" si="2763"/>
        <v>0</v>
      </c>
      <c r="M2221" s="276">
        <f t="shared" si="2764"/>
        <v>0</v>
      </c>
      <c r="N2221" s="340" t="str">
        <f t="shared" si="2757"/>
        <v>-</v>
      </c>
      <c r="O2221" s="264" t="str">
        <f t="shared" si="2758"/>
        <v>-</v>
      </c>
    </row>
    <row r="2222" spans="1:15" ht="24" thickBot="1" x14ac:dyDescent="0.35">
      <c r="A2222" s="277" t="s">
        <v>109</v>
      </c>
      <c r="B2222" s="971"/>
      <c r="C2222" s="316" t="s">
        <v>37</v>
      </c>
      <c r="D2222" s="316"/>
      <c r="E2222" s="283">
        <v>0</v>
      </c>
      <c r="F2222" s="284"/>
      <c r="G2222" s="337">
        <f t="shared" si="2761"/>
        <v>0</v>
      </c>
      <c r="H2222" s="285"/>
      <c r="I2222" s="285"/>
      <c r="J2222" s="356" t="str">
        <f>IFERROR(G2222/#REF!,"-")</f>
        <v>-</v>
      </c>
      <c r="K2222" s="337">
        <f t="shared" si="2762"/>
        <v>0</v>
      </c>
      <c r="L2222" s="275">
        <f t="shared" si="2763"/>
        <v>0</v>
      </c>
      <c r="M2222" s="276">
        <f t="shared" si="2764"/>
        <v>0</v>
      </c>
      <c r="N2222" s="341" t="str">
        <f t="shared" si="2757"/>
        <v>-</v>
      </c>
      <c r="O2222" s="350" t="str">
        <f t="shared" si="2758"/>
        <v>-</v>
      </c>
    </row>
    <row r="2223" spans="1:15" ht="24" thickBot="1" x14ac:dyDescent="0.35">
      <c r="A2223" s="277" t="s">
        <v>109</v>
      </c>
      <c r="B2223" s="967" t="s">
        <v>38</v>
      </c>
      <c r="C2223" s="968"/>
      <c r="D2223" s="969"/>
      <c r="E2223" s="287">
        <f>SUM(E2219:E2222)</f>
        <v>64360</v>
      </c>
      <c r="F2223" s="288">
        <v>6500</v>
      </c>
      <c r="G2223" s="323">
        <f>SUM(G2219:G2222)</f>
        <v>1324</v>
      </c>
      <c r="H2223" s="324">
        <f t="shared" ref="H2223:I2223" si="2765">SUM(H2219:H2222)</f>
        <v>1293</v>
      </c>
      <c r="I2223" s="324">
        <f t="shared" si="2765"/>
        <v>31</v>
      </c>
      <c r="J2223" s="348" t="str">
        <f>IFERROR(G2223/#REF!,"-")</f>
        <v>-</v>
      </c>
      <c r="K2223" s="323">
        <f t="shared" ref="K2223:M2223" si="2766">SUM(K2219:K2222)</f>
        <v>66296</v>
      </c>
      <c r="L2223" s="324">
        <f t="shared" si="2766"/>
        <v>64171</v>
      </c>
      <c r="M2223" s="325">
        <f t="shared" si="2766"/>
        <v>2125</v>
      </c>
      <c r="N2223" s="342">
        <f>IFERROR(K2223/E2223,"-")</f>
        <v>1.030080795525171</v>
      </c>
      <c r="O2223" s="348">
        <f t="shared" si="2758"/>
        <v>3.2053215880294438E-2</v>
      </c>
    </row>
    <row r="2224" spans="1:15" ht="23.4" x14ac:dyDescent="0.3">
      <c r="A2224" s="277" t="s">
        <v>109</v>
      </c>
      <c r="B2224" s="970" t="s">
        <v>483</v>
      </c>
      <c r="C2224" s="317" t="s">
        <v>123</v>
      </c>
      <c r="D2224" s="317"/>
      <c r="E2224" s="273">
        <v>39800</v>
      </c>
      <c r="F2224" s="274"/>
      <c r="G2224" s="335">
        <f t="shared" ref="G2224:G2225" si="2767">+H2224+I2224</f>
        <v>0</v>
      </c>
      <c r="H2224" s="275"/>
      <c r="I2224" s="275"/>
      <c r="J2224" s="354" t="str">
        <f>IFERROR(G2224/#REF!,"-")</f>
        <v>-</v>
      </c>
      <c r="K2224" s="335">
        <f t="shared" ref="K2224:K2225" si="2768">+L2224+M2224</f>
        <v>144</v>
      </c>
      <c r="L2224" s="275">
        <f t="shared" ref="L2224:L2225" si="2769">+H2224+L2115</f>
        <v>144</v>
      </c>
      <c r="M2224" s="276">
        <f t="shared" ref="M2224:M2225" si="2770">+I2224+M2115</f>
        <v>0</v>
      </c>
      <c r="N2224" s="339">
        <f t="shared" ref="N2224:N2240" si="2771">IFERROR(K2224/E2224,"-")</f>
        <v>3.6180904522613066E-3</v>
      </c>
      <c r="O2224" s="349">
        <f t="shared" si="2758"/>
        <v>0</v>
      </c>
    </row>
    <row r="2225" spans="1:15" ht="24" thickBot="1" x14ac:dyDescent="0.35">
      <c r="A2225" s="277" t="s">
        <v>109</v>
      </c>
      <c r="B2225" s="971"/>
      <c r="C2225" s="289" t="s">
        <v>139</v>
      </c>
      <c r="D2225" s="289"/>
      <c r="E2225" s="283">
        <v>0</v>
      </c>
      <c r="F2225" s="284"/>
      <c r="G2225" s="337">
        <f t="shared" si="2767"/>
        <v>1213</v>
      </c>
      <c r="H2225" s="285">
        <v>1200</v>
      </c>
      <c r="I2225" s="285">
        <v>13</v>
      </c>
      <c r="J2225" s="356" t="str">
        <f>IFERROR(G2225/#REF!,"-")</f>
        <v>-</v>
      </c>
      <c r="K2225" s="337">
        <f t="shared" si="2768"/>
        <v>11829</v>
      </c>
      <c r="L2225" s="275">
        <f t="shared" si="2769"/>
        <v>11040</v>
      </c>
      <c r="M2225" s="276">
        <f t="shared" si="2770"/>
        <v>789</v>
      </c>
      <c r="N2225" s="341" t="str">
        <f t="shared" si="2771"/>
        <v>-</v>
      </c>
      <c r="O2225" s="350">
        <f t="shared" si="2758"/>
        <v>6.6700481866599035E-2</v>
      </c>
    </row>
    <row r="2226" spans="1:15" ht="24" thickBot="1" x14ac:dyDescent="0.35">
      <c r="A2226" s="934" t="s">
        <v>109</v>
      </c>
      <c r="B2226" s="967" t="s">
        <v>40</v>
      </c>
      <c r="C2226" s="968"/>
      <c r="D2226" s="969"/>
      <c r="E2226" s="287">
        <f>SUM(E2224:E2225)</f>
        <v>39800</v>
      </c>
      <c r="F2226" s="288">
        <v>2800</v>
      </c>
      <c r="G2226" s="323">
        <f>SUM(G2224:G2225)</f>
        <v>1213</v>
      </c>
      <c r="H2226" s="324">
        <f t="shared" ref="H2226:I2226" si="2772">SUM(H2224:H2225)</f>
        <v>1200</v>
      </c>
      <c r="I2226" s="324">
        <f t="shared" si="2772"/>
        <v>13</v>
      </c>
      <c r="J2226" s="348" t="str">
        <f>IFERROR(G2226/#REF!,"-")</f>
        <v>-</v>
      </c>
      <c r="K2226" s="323">
        <f t="shared" ref="K2226:M2226" si="2773">SUM(K2224:K2225)</f>
        <v>11973</v>
      </c>
      <c r="L2226" s="324">
        <f t="shared" si="2773"/>
        <v>11184</v>
      </c>
      <c r="M2226" s="325">
        <f t="shared" si="2773"/>
        <v>789</v>
      </c>
      <c r="N2226" s="342">
        <f t="shared" si="2771"/>
        <v>0.30082914572864322</v>
      </c>
      <c r="O2226" s="348">
        <f t="shared" si="2758"/>
        <v>6.5898271109997492E-2</v>
      </c>
    </row>
    <row r="2227" spans="1:15" ht="23.4" x14ac:dyDescent="0.3">
      <c r="A2227" s="277" t="s">
        <v>109</v>
      </c>
      <c r="B2227" s="970" t="s">
        <v>484</v>
      </c>
      <c r="C2227" s="272" t="s">
        <v>335</v>
      </c>
      <c r="D2227" s="272"/>
      <c r="E2227" s="273">
        <v>916640</v>
      </c>
      <c r="F2227" s="318"/>
      <c r="G2227" s="335">
        <f t="shared" ref="G2227:G2231" si="2774">+H2227+I2227</f>
        <v>18700</v>
      </c>
      <c r="H2227" s="275">
        <v>18480</v>
      </c>
      <c r="I2227" s="275">
        <v>220</v>
      </c>
      <c r="J2227" s="374" t="str">
        <f>IFERROR(G2227/#REF!,"-")</f>
        <v>-</v>
      </c>
      <c r="K2227" s="335">
        <f t="shared" ref="K2227:K2231" si="2775">+L2227+M2227</f>
        <v>577685</v>
      </c>
      <c r="L2227" s="275">
        <f t="shared" ref="L2227:L2231" si="2776">+H2227+L2118</f>
        <v>571824</v>
      </c>
      <c r="M2227" s="275">
        <f t="shared" ref="M2227:M2231" si="2777">+I2227+M2118</f>
        <v>5861</v>
      </c>
      <c r="N2227" s="362">
        <f t="shared" si="2771"/>
        <v>0.63022015185896318</v>
      </c>
      <c r="O2227" s="363">
        <f t="shared" si="2758"/>
        <v>1.0145667621627703E-2</v>
      </c>
    </row>
    <row r="2228" spans="1:15" ht="23.4" x14ac:dyDescent="0.3">
      <c r="A2228" s="277" t="s">
        <v>109</v>
      </c>
      <c r="B2228" s="972"/>
      <c r="C2228" s="272" t="s">
        <v>336</v>
      </c>
      <c r="D2228" s="278"/>
      <c r="E2228" s="279">
        <v>0</v>
      </c>
      <c r="F2228" s="319"/>
      <c r="G2228" s="336">
        <f t="shared" si="2774"/>
        <v>0</v>
      </c>
      <c r="H2228" s="281"/>
      <c r="I2228" s="281"/>
      <c r="J2228" s="375" t="str">
        <f>IFERROR(G2228/#REF!,"-")</f>
        <v>-</v>
      </c>
      <c r="K2228" s="336">
        <f t="shared" si="2775"/>
        <v>0</v>
      </c>
      <c r="L2228" s="275">
        <f t="shared" si="2776"/>
        <v>0</v>
      </c>
      <c r="M2228" s="276">
        <f t="shared" si="2777"/>
        <v>0</v>
      </c>
      <c r="N2228" s="364" t="str">
        <f t="shared" si="2771"/>
        <v>-</v>
      </c>
      <c r="O2228" s="365" t="str">
        <f t="shared" si="2758"/>
        <v>-</v>
      </c>
    </row>
    <row r="2229" spans="1:15" ht="23.4" x14ac:dyDescent="0.3">
      <c r="A2229" s="277" t="s">
        <v>109</v>
      </c>
      <c r="B2229" s="972"/>
      <c r="C2229" s="278" t="s">
        <v>383</v>
      </c>
      <c r="D2229" s="278"/>
      <c r="E2229" s="279">
        <v>40000</v>
      </c>
      <c r="F2229" s="319"/>
      <c r="G2229" s="336">
        <f t="shared" si="2774"/>
        <v>0</v>
      </c>
      <c r="H2229" s="281"/>
      <c r="I2229" s="281"/>
      <c r="J2229" s="375" t="str">
        <f>IFERROR(G2229/#REF!,"-")</f>
        <v>-</v>
      </c>
      <c r="K2229" s="336">
        <f t="shared" si="2775"/>
        <v>0</v>
      </c>
      <c r="L2229" s="275">
        <f t="shared" si="2776"/>
        <v>0</v>
      </c>
      <c r="M2229" s="276">
        <f t="shared" si="2777"/>
        <v>0</v>
      </c>
      <c r="N2229" s="364">
        <f t="shared" si="2771"/>
        <v>0</v>
      </c>
      <c r="O2229" s="365" t="str">
        <f t="shared" si="2758"/>
        <v>-</v>
      </c>
    </row>
    <row r="2230" spans="1:15" ht="23.4" x14ac:dyDescent="0.3">
      <c r="A2230" s="277" t="s">
        <v>109</v>
      </c>
      <c r="B2230" s="972"/>
      <c r="C2230" s="278" t="s">
        <v>165</v>
      </c>
      <c r="D2230" s="278"/>
      <c r="E2230" s="279">
        <v>0</v>
      </c>
      <c r="F2230" s="319"/>
      <c r="G2230" s="336">
        <f t="shared" si="2774"/>
        <v>0</v>
      </c>
      <c r="H2230" s="281"/>
      <c r="I2230" s="281"/>
      <c r="J2230" s="375" t="str">
        <f>IFERROR(G2230/#REF!,"-")</f>
        <v>-</v>
      </c>
      <c r="K2230" s="336">
        <f t="shared" si="2775"/>
        <v>0</v>
      </c>
      <c r="L2230" s="275">
        <f t="shared" si="2776"/>
        <v>0</v>
      </c>
      <c r="M2230" s="276">
        <f t="shared" si="2777"/>
        <v>0</v>
      </c>
      <c r="N2230" s="364" t="str">
        <f t="shared" si="2771"/>
        <v>-</v>
      </c>
      <c r="O2230" s="365" t="str">
        <f t="shared" si="2758"/>
        <v>-</v>
      </c>
    </row>
    <row r="2231" spans="1:15" ht="24" thickBot="1" x14ac:dyDescent="0.35">
      <c r="A2231" s="277" t="s">
        <v>109</v>
      </c>
      <c r="B2231" s="971"/>
      <c r="C2231" s="282" t="s">
        <v>166</v>
      </c>
      <c r="D2231" s="282"/>
      <c r="E2231" s="283">
        <v>0</v>
      </c>
      <c r="F2231" s="320"/>
      <c r="G2231" s="337">
        <f t="shared" si="2774"/>
        <v>0</v>
      </c>
      <c r="H2231" s="285"/>
      <c r="I2231" s="285"/>
      <c r="J2231" s="376" t="str">
        <f>IFERROR(G2231/#REF!,"-")</f>
        <v>-</v>
      </c>
      <c r="K2231" s="337">
        <f t="shared" si="2775"/>
        <v>0</v>
      </c>
      <c r="L2231" s="275">
        <f t="shared" si="2776"/>
        <v>0</v>
      </c>
      <c r="M2231" s="276">
        <f t="shared" si="2777"/>
        <v>0</v>
      </c>
      <c r="N2231" s="366" t="str">
        <f t="shared" si="2771"/>
        <v>-</v>
      </c>
      <c r="O2231" s="367" t="str">
        <f t="shared" si="2758"/>
        <v>-</v>
      </c>
    </row>
    <row r="2232" spans="1:15" ht="24" thickBot="1" x14ac:dyDescent="0.35">
      <c r="A2232" s="277" t="s">
        <v>109</v>
      </c>
      <c r="B2232" s="967" t="s">
        <v>42</v>
      </c>
      <c r="C2232" s="968"/>
      <c r="D2232" s="969"/>
      <c r="E2232" s="323">
        <f>SUM(E2227:E2231)</f>
        <v>956640</v>
      </c>
      <c r="F2232" s="288">
        <v>25000</v>
      </c>
      <c r="G2232" s="323">
        <f>SUM(G2227:G2231)</f>
        <v>18700</v>
      </c>
      <c r="H2232" s="324">
        <f>SUM(H2227:H2231)</f>
        <v>18480</v>
      </c>
      <c r="I2232" s="324">
        <f>SUM(I2227:I2231)</f>
        <v>220</v>
      </c>
      <c r="J2232" s="348" t="str">
        <f>IFERROR(G2232/#REF!,"-")</f>
        <v>-</v>
      </c>
      <c r="K2232" s="323">
        <f>SUM(K2227:K2231)</f>
        <v>577685</v>
      </c>
      <c r="L2232" s="324">
        <f>SUM(L2227:L2231)</f>
        <v>571824</v>
      </c>
      <c r="M2232" s="325">
        <f>SUM(M2227:M2231)</f>
        <v>5861</v>
      </c>
      <c r="N2232" s="342">
        <f t="shared" si="2771"/>
        <v>0.60386874895467468</v>
      </c>
      <c r="O2232" s="348">
        <f t="shared" si="2758"/>
        <v>1.0145667621627703E-2</v>
      </c>
    </row>
    <row r="2233" spans="1:15" ht="23.4" x14ac:dyDescent="0.3">
      <c r="A2233" s="277" t="s">
        <v>109</v>
      </c>
      <c r="B2233" s="970" t="s">
        <v>485</v>
      </c>
      <c r="C2233" s="272" t="s">
        <v>200</v>
      </c>
      <c r="D2233" s="272"/>
      <c r="E2233" s="273">
        <v>0</v>
      </c>
      <c r="F2233" s="274"/>
      <c r="G2233" s="335">
        <f t="shared" ref="G2233:G2235" si="2778">+H2233+I2233</f>
        <v>0</v>
      </c>
      <c r="H2233" s="275"/>
      <c r="I2233" s="275"/>
      <c r="J2233" s="354" t="str">
        <f>IFERROR(G2233/#REF!,"-")</f>
        <v>-</v>
      </c>
      <c r="K2233" s="335">
        <f t="shared" ref="K2233:K2235" si="2779">+L2233+M2233</f>
        <v>0</v>
      </c>
      <c r="L2233" s="275">
        <f t="shared" ref="L2233:L2235" si="2780">+H2233+L2124</f>
        <v>0</v>
      </c>
      <c r="M2233" s="276">
        <f t="shared" ref="M2233:M2235" si="2781">+I2233+M2124</f>
        <v>0</v>
      </c>
      <c r="N2233" s="339" t="str">
        <f t="shared" si="2771"/>
        <v>-</v>
      </c>
      <c r="O2233" s="349" t="str">
        <f t="shared" si="2758"/>
        <v>-</v>
      </c>
    </row>
    <row r="2234" spans="1:15" ht="23.4" x14ac:dyDescent="0.3">
      <c r="A2234" s="277" t="s">
        <v>109</v>
      </c>
      <c r="B2234" s="972"/>
      <c r="C2234" s="278" t="s">
        <v>167</v>
      </c>
      <c r="D2234" s="278"/>
      <c r="E2234" s="279">
        <v>50000</v>
      </c>
      <c r="F2234" s="280"/>
      <c r="G2234" s="336">
        <f t="shared" si="2778"/>
        <v>14600</v>
      </c>
      <c r="H2234" s="281">
        <v>14480</v>
      </c>
      <c r="I2234" s="281">
        <v>120</v>
      </c>
      <c r="J2234" s="375" t="str">
        <f>IFERROR(G2234/#REF!,"-")</f>
        <v>-</v>
      </c>
      <c r="K2234" s="336">
        <f t="shared" si="2779"/>
        <v>214506</v>
      </c>
      <c r="L2234" s="794">
        <f t="shared" si="2780"/>
        <v>209696</v>
      </c>
      <c r="M2234" s="276">
        <f t="shared" si="2781"/>
        <v>4810</v>
      </c>
      <c r="N2234" s="364">
        <f t="shared" si="2771"/>
        <v>4.2901199999999999</v>
      </c>
      <c r="O2234" s="365">
        <f t="shared" si="2758"/>
        <v>2.242361519025109E-2</v>
      </c>
    </row>
    <row r="2235" spans="1:15" ht="24" thickBot="1" x14ac:dyDescent="0.35">
      <c r="A2235" s="277" t="s">
        <v>109</v>
      </c>
      <c r="B2235" s="971"/>
      <c r="C2235" s="282" t="s">
        <v>200</v>
      </c>
      <c r="D2235" s="282"/>
      <c r="E2235" s="283">
        <v>0</v>
      </c>
      <c r="F2235" s="284"/>
      <c r="G2235" s="337">
        <f t="shared" si="2778"/>
        <v>0</v>
      </c>
      <c r="H2235" s="285"/>
      <c r="I2235" s="285"/>
      <c r="J2235" s="376" t="str">
        <f>IFERROR(G2235/#REF!,"-")</f>
        <v>-</v>
      </c>
      <c r="K2235" s="337">
        <f t="shared" si="2779"/>
        <v>0</v>
      </c>
      <c r="L2235" s="275">
        <f t="shared" si="2780"/>
        <v>0</v>
      </c>
      <c r="M2235" s="276">
        <f t="shared" si="2781"/>
        <v>0</v>
      </c>
      <c r="N2235" s="366" t="str">
        <f t="shared" si="2771"/>
        <v>-</v>
      </c>
      <c r="O2235" s="367" t="str">
        <f t="shared" si="2758"/>
        <v>-</v>
      </c>
    </row>
    <row r="2236" spans="1:15" ht="24" thickBot="1" x14ac:dyDescent="0.35">
      <c r="A2236" s="277" t="s">
        <v>109</v>
      </c>
      <c r="B2236" s="973" t="s">
        <v>44</v>
      </c>
      <c r="C2236" s="974"/>
      <c r="D2236" s="975"/>
      <c r="E2236" s="323">
        <f>SUM(E2233:E2235)</f>
        <v>50000</v>
      </c>
      <c r="F2236" s="288"/>
      <c r="G2236" s="323">
        <f>SUM(G2233:G2235)</f>
        <v>14600</v>
      </c>
      <c r="H2236" s="324">
        <f t="shared" ref="H2236:I2236" si="2782">SUM(H2233:H2235)</f>
        <v>14480</v>
      </c>
      <c r="I2236" s="324">
        <f t="shared" si="2782"/>
        <v>120</v>
      </c>
      <c r="J2236" s="348" t="str">
        <f>IFERROR(G2236/#REF!,"-")</f>
        <v>-</v>
      </c>
      <c r="K2236" s="323">
        <f t="shared" ref="K2236:M2236" si="2783">SUM(K2233:K2235)</f>
        <v>214506</v>
      </c>
      <c r="L2236" s="368">
        <f t="shared" si="2783"/>
        <v>209696</v>
      </c>
      <c r="M2236" s="370">
        <f t="shared" si="2783"/>
        <v>4810</v>
      </c>
      <c r="N2236" s="342">
        <f t="shared" si="2771"/>
        <v>4.2901199999999999</v>
      </c>
      <c r="O2236" s="348">
        <f t="shared" si="2758"/>
        <v>2.242361519025109E-2</v>
      </c>
    </row>
    <row r="2237" spans="1:15" ht="23.4" x14ac:dyDescent="0.3">
      <c r="A2237" s="277" t="s">
        <v>109</v>
      </c>
      <c r="B2237" s="970" t="s">
        <v>45</v>
      </c>
      <c r="C2237" s="272" t="s">
        <v>168</v>
      </c>
      <c r="D2237" s="272"/>
      <c r="E2237" s="273">
        <v>0</v>
      </c>
      <c r="F2237" s="274"/>
      <c r="G2237" s="335">
        <f t="shared" ref="G2237:G2238" si="2784">+H2237+I2237</f>
        <v>0</v>
      </c>
      <c r="H2237" s="275"/>
      <c r="I2237" s="275"/>
      <c r="J2237" s="374" t="str">
        <f>IFERROR(G2237/#REF!,"-")</f>
        <v>-</v>
      </c>
      <c r="K2237" s="739">
        <f t="shared" ref="K2237:K2238" si="2785">+L2237+M2237</f>
        <v>0</v>
      </c>
      <c r="L2237" s="532">
        <f t="shared" ref="L2237:L2238" si="2786">+H2237+L2128</f>
        <v>0</v>
      </c>
      <c r="M2237" s="247">
        <f t="shared" ref="M2237:M2238" si="2787">+I2237+M2128</f>
        <v>0</v>
      </c>
      <c r="N2237" s="362" t="str">
        <f t="shared" si="2771"/>
        <v>-</v>
      </c>
      <c r="O2237" s="363" t="str">
        <f t="shared" si="2758"/>
        <v>-</v>
      </c>
    </row>
    <row r="2238" spans="1:15" ht="24" thickBot="1" x14ac:dyDescent="0.35">
      <c r="A2238" s="277" t="s">
        <v>109</v>
      </c>
      <c r="B2238" s="971"/>
      <c r="C2238" s="282" t="s">
        <v>169</v>
      </c>
      <c r="D2238" s="282"/>
      <c r="E2238" s="283">
        <v>0</v>
      </c>
      <c r="F2238" s="284"/>
      <c r="G2238" s="337">
        <f t="shared" si="2784"/>
        <v>0</v>
      </c>
      <c r="H2238" s="285"/>
      <c r="I2238" s="285"/>
      <c r="J2238" s="376" t="str">
        <f>IFERROR(G2238/#REF!,"-")</f>
        <v>-</v>
      </c>
      <c r="K2238" s="740">
        <f t="shared" si="2785"/>
        <v>0</v>
      </c>
      <c r="L2238" s="535">
        <f t="shared" si="2786"/>
        <v>0</v>
      </c>
      <c r="M2238" s="258">
        <f t="shared" si="2787"/>
        <v>0</v>
      </c>
      <c r="N2238" s="366" t="str">
        <f t="shared" si="2771"/>
        <v>-</v>
      </c>
      <c r="O2238" s="367" t="str">
        <f t="shared" si="2758"/>
        <v>-</v>
      </c>
    </row>
    <row r="2239" spans="1:15" ht="24" thickBot="1" x14ac:dyDescent="0.35">
      <c r="A2239" s="277" t="s">
        <v>109</v>
      </c>
      <c r="B2239" s="973" t="s">
        <v>46</v>
      </c>
      <c r="C2239" s="974"/>
      <c r="D2239" s="975"/>
      <c r="E2239" s="287">
        <v>0</v>
      </c>
      <c r="F2239" s="288">
        <v>25000</v>
      </c>
      <c r="G2239" s="323">
        <f>SUM(G2237:G2238)</f>
        <v>0</v>
      </c>
      <c r="H2239" s="324">
        <f t="shared" ref="H2239:I2239" si="2788">SUM(H2237:H2238)</f>
        <v>0</v>
      </c>
      <c r="I2239" s="324">
        <f t="shared" si="2788"/>
        <v>0</v>
      </c>
      <c r="J2239" s="348" t="str">
        <f>IFERROR(G2239/#REF!,"-")</f>
        <v>-</v>
      </c>
      <c r="K2239" s="323">
        <f t="shared" ref="K2239:M2239" si="2789">SUM(K2237:K2238)</f>
        <v>0</v>
      </c>
      <c r="L2239" s="524">
        <f t="shared" si="2789"/>
        <v>0</v>
      </c>
      <c r="M2239" s="733">
        <f t="shared" si="2789"/>
        <v>0</v>
      </c>
      <c r="N2239" s="342" t="str">
        <f t="shared" si="2771"/>
        <v>-</v>
      </c>
      <c r="O2239" s="348" t="str">
        <f t="shared" si="2758"/>
        <v>-</v>
      </c>
    </row>
    <row r="2240" spans="1:15" ht="24" thickBot="1" x14ac:dyDescent="0.35">
      <c r="A2240" s="277" t="s">
        <v>109</v>
      </c>
      <c r="B2240" s="959" t="s">
        <v>25</v>
      </c>
      <c r="C2240" s="960"/>
      <c r="D2240" s="961"/>
      <c r="E2240" s="329">
        <f t="shared" ref="E2240:F2240" si="2790">+E2218+E2223+E2226+E2232+E2236+E2239</f>
        <v>1144800</v>
      </c>
      <c r="F2240" s="330">
        <f t="shared" si="2790"/>
        <v>65800</v>
      </c>
      <c r="G2240" s="329">
        <f>+G2218+G2223+G2226+G2232+G2236+G2239</f>
        <v>35837</v>
      </c>
      <c r="H2240" s="327">
        <f>+H2218+H2223+H2226+H2232+H2236+H2239</f>
        <v>35453</v>
      </c>
      <c r="I2240" s="327">
        <f t="shared" ref="I2240" si="2791">+I2218+I2223+I2226+I2232+I2236+I2239</f>
        <v>384</v>
      </c>
      <c r="J2240" s="352" t="str">
        <f>IFERROR(G2240/#REF!,"-")</f>
        <v>-</v>
      </c>
      <c r="K2240" s="329">
        <f>+K2218+K2223+K2226+K2232+K2236+K2239</f>
        <v>891916</v>
      </c>
      <c r="L2240" s="327">
        <f t="shared" ref="L2240:M2240" si="2792">+L2218+L2223+L2226+L2232+L2236+L2239</f>
        <v>877090</v>
      </c>
      <c r="M2240" s="328">
        <f t="shared" si="2792"/>
        <v>14826</v>
      </c>
      <c r="N2240" s="344">
        <f t="shared" si="2771"/>
        <v>0.77910202655485672</v>
      </c>
      <c r="O2240" s="352">
        <f t="shared" si="2758"/>
        <v>1.6622641594051458E-2</v>
      </c>
    </row>
    <row r="2241" spans="1:15" ht="24" thickBot="1" x14ac:dyDescent="0.35">
      <c r="A2241" s="321" t="s">
        <v>109</v>
      </c>
      <c r="B2241" s="962" t="s">
        <v>181</v>
      </c>
      <c r="C2241" s="962"/>
      <c r="D2241" s="963"/>
      <c r="E2241" s="333">
        <f>+E2240</f>
        <v>1144800</v>
      </c>
      <c r="F2241" s="334">
        <f t="shared" ref="F2241:O2241" si="2793">+F2240</f>
        <v>65800</v>
      </c>
      <c r="G2241" s="333">
        <f t="shared" si="2793"/>
        <v>35837</v>
      </c>
      <c r="H2241" s="331">
        <f t="shared" si="2793"/>
        <v>35453</v>
      </c>
      <c r="I2241" s="331">
        <f t="shared" si="2793"/>
        <v>384</v>
      </c>
      <c r="J2241" s="353" t="str">
        <f t="shared" si="2793"/>
        <v>-</v>
      </c>
      <c r="K2241" s="333">
        <f t="shared" si="2793"/>
        <v>891916</v>
      </c>
      <c r="L2241" s="331">
        <f t="shared" si="2793"/>
        <v>877090</v>
      </c>
      <c r="M2241" s="332">
        <f t="shared" si="2793"/>
        <v>14826</v>
      </c>
      <c r="N2241" s="345">
        <f t="shared" si="2793"/>
        <v>0.77910202655485672</v>
      </c>
      <c r="O2241" s="353">
        <f t="shared" si="2793"/>
        <v>1.6622641594051458E-2</v>
      </c>
    </row>
    <row r="2242" spans="1:15" ht="24.6" thickBot="1" x14ac:dyDescent="0.35">
      <c r="A2242" s="322"/>
      <c r="B2242" s="964" t="s">
        <v>182</v>
      </c>
      <c r="C2242" s="965"/>
      <c r="D2242" s="966"/>
      <c r="E2242" s="377">
        <f>+E2182+E2214+E2241</f>
        <v>10258981</v>
      </c>
      <c r="F2242" s="377">
        <f>+F2182+F2214+F2241</f>
        <v>1014800</v>
      </c>
      <c r="G2242" s="377">
        <f>+G2182+G2214+G2241</f>
        <v>209261</v>
      </c>
      <c r="H2242" s="377">
        <f>+H2182+H2214+H2241</f>
        <v>269331</v>
      </c>
      <c r="I2242" s="377">
        <f>+I2182+I2214+I2241</f>
        <v>6414</v>
      </c>
      <c r="J2242" s="378" t="str">
        <f>IFERROR(G2242/#REF!,"-")</f>
        <v>-</v>
      </c>
      <c r="K2242" s="377">
        <f>+K2182+K2214+K2241</f>
        <v>8363907</v>
      </c>
      <c r="L2242" s="377">
        <f>+L2182+L2214+L2241</f>
        <v>8264266</v>
      </c>
      <c r="M2242" s="377">
        <f>+M2182+M2214+M2241</f>
        <v>99641</v>
      </c>
      <c r="N2242" s="378">
        <f>IFERROR(K2242/E2242,"-")</f>
        <v>0.8152765854620454</v>
      </c>
      <c r="O2242" s="378">
        <f>IFERROR(M2242/K2242,"-")</f>
        <v>1.1913212330074929E-2</v>
      </c>
    </row>
    <row r="2243" spans="1:15" ht="23.4" x14ac:dyDescent="0.3">
      <c r="A2243" s="991" t="s">
        <v>1</v>
      </c>
      <c r="B2243" s="994" t="s">
        <v>2</v>
      </c>
      <c r="C2243" s="997" t="s">
        <v>477</v>
      </c>
      <c r="D2243" s="997" t="s">
        <v>478</v>
      </c>
      <c r="E2243" s="1000" t="s">
        <v>4</v>
      </c>
      <c r="F2243" s="1001"/>
      <c r="G2243" s="1001"/>
      <c r="H2243" s="1001"/>
      <c r="I2243" s="1001"/>
      <c r="J2243" s="1001"/>
      <c r="K2243" s="1001"/>
      <c r="L2243" s="1001"/>
      <c r="M2243" s="1001"/>
      <c r="N2243" s="1001"/>
      <c r="O2243" s="1002"/>
    </row>
    <row r="2244" spans="1:15" ht="23.4" x14ac:dyDescent="0.3">
      <c r="A2244" s="992"/>
      <c r="B2244" s="995"/>
      <c r="C2244" s="998"/>
      <c r="D2244" s="998"/>
      <c r="E2244" s="1003" t="s">
        <v>7</v>
      </c>
      <c r="F2244" s="1005" t="s">
        <v>115</v>
      </c>
      <c r="G2244" s="1007" t="s">
        <v>600</v>
      </c>
      <c r="H2244" s="1008"/>
      <c r="I2244" s="1008"/>
      <c r="J2244" s="1009"/>
      <c r="K2244" s="1010" t="s">
        <v>479</v>
      </c>
      <c r="L2244" s="1011"/>
      <c r="M2244" s="1012"/>
      <c r="N2244" s="1013" t="s">
        <v>480</v>
      </c>
      <c r="O2244" s="1015" t="s">
        <v>172</v>
      </c>
    </row>
    <row r="2245" spans="1:15" ht="41.4" thickBot="1" x14ac:dyDescent="0.35">
      <c r="A2245" s="993"/>
      <c r="B2245" s="996"/>
      <c r="C2245" s="999"/>
      <c r="D2245" s="999"/>
      <c r="E2245" s="1004"/>
      <c r="F2245" s="1006"/>
      <c r="G2245" s="455" t="s">
        <v>13</v>
      </c>
      <c r="H2245" s="456" t="s">
        <v>14</v>
      </c>
      <c r="I2245" s="456" t="s">
        <v>15</v>
      </c>
      <c r="J2245" s="457" t="s">
        <v>174</v>
      </c>
      <c r="K2245" s="712" t="s">
        <v>13</v>
      </c>
      <c r="L2245" s="710" t="s">
        <v>14</v>
      </c>
      <c r="M2245" s="711" t="s">
        <v>15</v>
      </c>
      <c r="N2245" s="1014"/>
      <c r="O2245" s="1016"/>
    </row>
    <row r="2246" spans="1:15" ht="24" thickBot="1" x14ac:dyDescent="0.35">
      <c r="A2246" s="271" t="s">
        <v>110</v>
      </c>
      <c r="B2246" s="956" t="s">
        <v>16</v>
      </c>
      <c r="C2246" s="272" t="s">
        <v>424</v>
      </c>
      <c r="D2246" s="272" t="s">
        <v>425</v>
      </c>
      <c r="E2246" s="273">
        <v>20000</v>
      </c>
      <c r="F2246" s="274"/>
      <c r="G2246" s="335">
        <f>+H2246+I2246</f>
        <v>0</v>
      </c>
      <c r="H2246" s="275"/>
      <c r="I2246" s="275"/>
      <c r="J2246" s="354"/>
      <c r="K2246" s="461">
        <f>+L2246+M2246</f>
        <v>20432</v>
      </c>
      <c r="L2246" s="732">
        <f>+H2246+L2137</f>
        <v>19840</v>
      </c>
      <c r="M2246" s="732">
        <f>+I2246+M2137</f>
        <v>592</v>
      </c>
      <c r="N2246" s="339">
        <f>IFERROR(K2246/E2246,"-")</f>
        <v>1.0216000000000001</v>
      </c>
      <c r="O2246" s="346">
        <f t="shared" ref="O2246:O2247" si="2794">IFERROR(M2246/K2246,"-")</f>
        <v>2.8974158183241974E-2</v>
      </c>
    </row>
    <row r="2247" spans="1:15" ht="23.4" x14ac:dyDescent="0.3">
      <c r="A2247" s="277" t="s">
        <v>110</v>
      </c>
      <c r="B2247" s="957"/>
      <c r="C2247" s="278" t="s">
        <v>438</v>
      </c>
      <c r="D2247" s="278" t="s">
        <v>437</v>
      </c>
      <c r="E2247" s="279">
        <v>50000</v>
      </c>
      <c r="F2247" s="280"/>
      <c r="G2247" s="336">
        <f t="shared" ref="G2247:G2249" si="2795">+H2247+I2247</f>
        <v>0</v>
      </c>
      <c r="H2247" s="281"/>
      <c r="I2247" s="281"/>
      <c r="J2247" s="355" t="str">
        <f>IFERROR(G2247/#REF!,"-")</f>
        <v>-</v>
      </c>
      <c r="K2247" s="734">
        <f t="shared" ref="K2247:K2249" si="2796">+L2247+M2247</f>
        <v>48806</v>
      </c>
      <c r="L2247" s="532">
        <f t="shared" ref="L2247:L2249" si="2797">+H2247+L2138</f>
        <v>48381</v>
      </c>
      <c r="M2247" s="463">
        <f t="shared" ref="M2247:M2249" si="2798">+I2247+M2138</f>
        <v>425</v>
      </c>
      <c r="N2247" s="340">
        <f t="shared" ref="N2247:N2249" si="2799">IFERROR(K2247/E2247,"-")</f>
        <v>0.97611999999999999</v>
      </c>
      <c r="O2247" s="268">
        <f t="shared" si="2794"/>
        <v>8.7079457443756912E-3</v>
      </c>
    </row>
    <row r="2248" spans="1:15" s="862" customFormat="1" ht="23.4" x14ac:dyDescent="0.3">
      <c r="A2248" s="277" t="s">
        <v>110</v>
      </c>
      <c r="B2248" s="957"/>
      <c r="C2248" s="580" t="s">
        <v>540</v>
      </c>
      <c r="D2248" s="580" t="s">
        <v>410</v>
      </c>
      <c r="E2248" s="859">
        <v>0</v>
      </c>
      <c r="F2248" s="860"/>
      <c r="G2248" s="336">
        <f t="shared" si="2795"/>
        <v>0</v>
      </c>
      <c r="H2248" s="861"/>
      <c r="I2248" s="861"/>
      <c r="J2248" s="355" t="str">
        <f>IFERROR(G2248/#REF!,"-")</f>
        <v>-</v>
      </c>
      <c r="K2248" s="734">
        <f t="shared" si="2796"/>
        <v>28600</v>
      </c>
      <c r="L2248" s="859">
        <f t="shared" si="2797"/>
        <v>28600</v>
      </c>
      <c r="M2248" s="534">
        <f t="shared" si="2798"/>
        <v>0</v>
      </c>
      <c r="N2248" s="340" t="str">
        <f t="shared" si="2799"/>
        <v>-</v>
      </c>
      <c r="O2248" s="268">
        <f>IFERROR(M2248/K2248,"-")</f>
        <v>0</v>
      </c>
    </row>
    <row r="2249" spans="1:15" ht="24" thickBot="1" x14ac:dyDescent="0.35">
      <c r="A2249" s="277" t="s">
        <v>110</v>
      </c>
      <c r="B2249" s="958"/>
      <c r="C2249" s="282" t="s">
        <v>525</v>
      </c>
      <c r="D2249" s="282" t="s">
        <v>436</v>
      </c>
      <c r="E2249" s="283">
        <v>30000</v>
      </c>
      <c r="F2249" s="284"/>
      <c r="G2249" s="337">
        <f t="shared" si="2795"/>
        <v>0</v>
      </c>
      <c r="H2249" s="275"/>
      <c r="I2249" s="275"/>
      <c r="J2249" s="356" t="str">
        <f>IFERROR(G2249/#REF!,"-")</f>
        <v>-</v>
      </c>
      <c r="K2249" s="735">
        <f t="shared" si="2796"/>
        <v>25135</v>
      </c>
      <c r="L2249" s="535">
        <f t="shared" si="2797"/>
        <v>23296</v>
      </c>
      <c r="M2249" s="466">
        <f t="shared" si="2798"/>
        <v>1839</v>
      </c>
      <c r="N2249" s="341">
        <f t="shared" si="2799"/>
        <v>0.83783333333333332</v>
      </c>
      <c r="O2249" s="347">
        <f t="shared" ref="O2249:O2267" si="2800">IFERROR(M2249/K2249,"-")</f>
        <v>7.3164909488760699E-2</v>
      </c>
    </row>
    <row r="2250" spans="1:15" ht="24" thickBot="1" x14ac:dyDescent="0.35">
      <c r="A2250" s="277" t="s">
        <v>110</v>
      </c>
      <c r="B2250" s="967" t="s">
        <v>47</v>
      </c>
      <c r="C2250" s="968"/>
      <c r="D2250" s="969"/>
      <c r="E2250" s="323">
        <f>SUM(E2246:E2249)</f>
        <v>100000</v>
      </c>
      <c r="F2250" s="288">
        <v>15000</v>
      </c>
      <c r="G2250" s="323">
        <f>SUM(G2246:G2249)</f>
        <v>0</v>
      </c>
      <c r="H2250" s="324">
        <f t="shared" ref="H2250:I2250" si="2801">SUM(H2246:H2249)</f>
        <v>0</v>
      </c>
      <c r="I2250" s="324">
        <f t="shared" si="2801"/>
        <v>0</v>
      </c>
      <c r="J2250" s="348">
        <f>+G2250/F2250</f>
        <v>0</v>
      </c>
      <c r="K2250" s="323">
        <f t="shared" ref="K2250:M2250" si="2802">SUM(K2246:K2249)</f>
        <v>122973</v>
      </c>
      <c r="L2250" s="736">
        <f t="shared" si="2802"/>
        <v>120117</v>
      </c>
      <c r="M2250" s="737">
        <f t="shared" si="2802"/>
        <v>2856</v>
      </c>
      <c r="N2250" s="342">
        <f>IFERROR(K2250/E2250,"-")</f>
        <v>1.22973</v>
      </c>
      <c r="O2250" s="348">
        <f t="shared" si="2800"/>
        <v>2.3224610280305431E-2</v>
      </c>
    </row>
    <row r="2251" spans="1:15" ht="23.4" x14ac:dyDescent="0.3">
      <c r="A2251" s="277" t="s">
        <v>110</v>
      </c>
      <c r="B2251" s="956" t="s">
        <v>17</v>
      </c>
      <c r="C2251" s="272" t="s">
        <v>320</v>
      </c>
      <c r="D2251" s="272"/>
      <c r="E2251" s="273">
        <v>0</v>
      </c>
      <c r="F2251" s="274"/>
      <c r="G2251" s="335">
        <f t="shared" ref="G2251:G2257" si="2803">+H2251+I2251</f>
        <v>0</v>
      </c>
      <c r="H2251" s="275"/>
      <c r="I2251" s="275"/>
      <c r="J2251" s="354" t="str">
        <f>IFERROR(G2251/#REF!,"-")</f>
        <v>-</v>
      </c>
      <c r="K2251" s="738">
        <f t="shared" ref="K2251:K2257" si="2804">+L2251+M2251</f>
        <v>200458</v>
      </c>
      <c r="L2251" s="532">
        <f t="shared" ref="L2251:L2257" si="2805">+H2251+L2142</f>
        <v>199652</v>
      </c>
      <c r="M2251" s="463">
        <f t="shared" ref="M2251:M2257" si="2806">+I2251+M2142</f>
        <v>806</v>
      </c>
      <c r="N2251" s="339" t="str">
        <f t="shared" ref="N2251:N2257" si="2807">IFERROR(K2251/E2251,"-")</f>
        <v>-</v>
      </c>
      <c r="O2251" s="349">
        <f t="shared" si="2800"/>
        <v>4.0207923854373483E-3</v>
      </c>
    </row>
    <row r="2252" spans="1:15" ht="23.4" x14ac:dyDescent="0.3">
      <c r="A2252" s="277" t="s">
        <v>110</v>
      </c>
      <c r="B2252" s="957"/>
      <c r="C2252" s="278" t="s">
        <v>382</v>
      </c>
      <c r="D2252" s="278" t="s">
        <v>252</v>
      </c>
      <c r="E2252" s="279">
        <v>2000000</v>
      </c>
      <c r="F2252" s="280"/>
      <c r="G2252" s="336">
        <f t="shared" si="2803"/>
        <v>12184</v>
      </c>
      <c r="H2252" s="281">
        <v>12184</v>
      </c>
      <c r="I2252" s="281"/>
      <c r="J2252" s="355" t="str">
        <f>IFERROR(G2252/#REF!,"-")</f>
        <v>-</v>
      </c>
      <c r="K2252" s="734">
        <f t="shared" si="2804"/>
        <v>1139365</v>
      </c>
      <c r="L2252" s="279">
        <f t="shared" si="2805"/>
        <v>1132067</v>
      </c>
      <c r="M2252" s="439">
        <f t="shared" si="2806"/>
        <v>7298</v>
      </c>
      <c r="N2252" s="340">
        <f t="shared" si="2807"/>
        <v>0.56968249999999998</v>
      </c>
      <c r="O2252" s="264">
        <f t="shared" si="2800"/>
        <v>6.4053222628393889E-3</v>
      </c>
    </row>
    <row r="2253" spans="1:15" ht="23.4" x14ac:dyDescent="0.3">
      <c r="A2253" s="277" t="s">
        <v>110</v>
      </c>
      <c r="B2253" s="957"/>
      <c r="C2253" s="278" t="s">
        <v>422</v>
      </c>
      <c r="D2253" s="278" t="s">
        <v>201</v>
      </c>
      <c r="E2253" s="279">
        <v>1000000</v>
      </c>
      <c r="F2253" s="280"/>
      <c r="G2253" s="336">
        <f t="shared" si="2803"/>
        <v>88924</v>
      </c>
      <c r="H2253" s="281">
        <v>88434</v>
      </c>
      <c r="I2253" s="281">
        <v>490</v>
      </c>
      <c r="J2253" s="355" t="str">
        <f>IFERROR(G2253/#REF!,"-")</f>
        <v>-</v>
      </c>
      <c r="K2253" s="734">
        <f t="shared" si="2804"/>
        <v>629324</v>
      </c>
      <c r="L2253" s="279">
        <f t="shared" si="2805"/>
        <v>619956</v>
      </c>
      <c r="M2253" s="439">
        <f t="shared" si="2806"/>
        <v>9368</v>
      </c>
      <c r="N2253" s="340">
        <f t="shared" si="2807"/>
        <v>0.62932399999999999</v>
      </c>
      <c r="O2253" s="264">
        <f t="shared" si="2800"/>
        <v>1.4885813984529431E-2</v>
      </c>
    </row>
    <row r="2254" spans="1:15" ht="23.4" x14ac:dyDescent="0.3">
      <c r="A2254" s="277" t="s">
        <v>110</v>
      </c>
      <c r="B2254" s="957"/>
      <c r="C2254" s="278" t="s">
        <v>319</v>
      </c>
      <c r="D2254" s="278" t="s">
        <v>202</v>
      </c>
      <c r="E2254" s="279">
        <v>0</v>
      </c>
      <c r="F2254" s="280"/>
      <c r="G2254" s="336">
        <f t="shared" si="2803"/>
        <v>0</v>
      </c>
      <c r="H2254" s="281"/>
      <c r="I2254" s="281"/>
      <c r="J2254" s="355" t="str">
        <f>IFERROR(G2254/#REF!,"-")</f>
        <v>-</v>
      </c>
      <c r="K2254" s="734">
        <f t="shared" si="2804"/>
        <v>297411</v>
      </c>
      <c r="L2254" s="279">
        <f t="shared" si="2805"/>
        <v>296152</v>
      </c>
      <c r="M2254" s="439">
        <f t="shared" si="2806"/>
        <v>1259</v>
      </c>
      <c r="N2254" s="340" t="str">
        <f t="shared" si="2807"/>
        <v>-</v>
      </c>
      <c r="O2254" s="264">
        <f t="shared" si="2800"/>
        <v>4.2331991755516774E-3</v>
      </c>
    </row>
    <row r="2255" spans="1:15" ht="23.4" x14ac:dyDescent="0.3">
      <c r="A2255" s="277" t="s">
        <v>110</v>
      </c>
      <c r="B2255" s="957"/>
      <c r="C2255" s="278" t="s">
        <v>358</v>
      </c>
      <c r="D2255" s="278" t="s">
        <v>352</v>
      </c>
      <c r="E2255" s="279">
        <v>500000</v>
      </c>
      <c r="F2255" s="280"/>
      <c r="G2255" s="336">
        <f t="shared" si="2803"/>
        <v>0</v>
      </c>
      <c r="H2255" s="281"/>
      <c r="I2255" s="281"/>
      <c r="J2255" s="355" t="str">
        <f>IFERROR(G2255/#REF!,"-")</f>
        <v>-</v>
      </c>
      <c r="K2255" s="734">
        <f t="shared" si="2804"/>
        <v>503292</v>
      </c>
      <c r="L2255" s="279">
        <f t="shared" si="2805"/>
        <v>500882</v>
      </c>
      <c r="M2255" s="439">
        <f t="shared" si="2806"/>
        <v>2410</v>
      </c>
      <c r="N2255" s="340">
        <f t="shared" si="2807"/>
        <v>1.0065839999999999</v>
      </c>
      <c r="O2255" s="264">
        <f t="shared" si="2800"/>
        <v>4.7884726957710434E-3</v>
      </c>
    </row>
    <row r="2256" spans="1:15" ht="23.4" x14ac:dyDescent="0.3">
      <c r="A2256" s="277" t="s">
        <v>110</v>
      </c>
      <c r="B2256" s="957"/>
      <c r="C2256" s="278" t="s">
        <v>392</v>
      </c>
      <c r="D2256" s="278" t="s">
        <v>203</v>
      </c>
      <c r="E2256" s="279">
        <v>0</v>
      </c>
      <c r="F2256" s="280"/>
      <c r="G2256" s="336">
        <f t="shared" si="2803"/>
        <v>0</v>
      </c>
      <c r="H2256" s="281"/>
      <c r="I2256" s="281"/>
      <c r="J2256" s="355" t="str">
        <f>IFERROR(G2256/#REF!,"-")</f>
        <v>-</v>
      </c>
      <c r="K2256" s="734">
        <f t="shared" si="2804"/>
        <v>0</v>
      </c>
      <c r="L2256" s="279">
        <f t="shared" si="2805"/>
        <v>0</v>
      </c>
      <c r="M2256" s="439">
        <f t="shared" si="2806"/>
        <v>0</v>
      </c>
      <c r="N2256" s="340" t="str">
        <f t="shared" si="2807"/>
        <v>-</v>
      </c>
      <c r="O2256" s="264" t="str">
        <f t="shared" si="2800"/>
        <v>-</v>
      </c>
    </row>
    <row r="2257" spans="1:15" ht="24" thickBot="1" x14ac:dyDescent="0.35">
      <c r="A2257" s="277" t="s">
        <v>110</v>
      </c>
      <c r="B2257" s="958"/>
      <c r="C2257" s="282" t="s">
        <v>379</v>
      </c>
      <c r="D2257" s="282" t="s">
        <v>252</v>
      </c>
      <c r="E2257" s="283">
        <v>0</v>
      </c>
      <c r="F2257" s="284"/>
      <c r="G2257" s="337">
        <f t="shared" si="2803"/>
        <v>0</v>
      </c>
      <c r="H2257" s="285"/>
      <c r="I2257" s="285"/>
      <c r="J2257" s="356" t="str">
        <f>IFERROR(G2257/#REF!,"-")</f>
        <v>-</v>
      </c>
      <c r="K2257" s="735">
        <f t="shared" si="2804"/>
        <v>0</v>
      </c>
      <c r="L2257" s="535">
        <f t="shared" si="2805"/>
        <v>0</v>
      </c>
      <c r="M2257" s="466">
        <f t="shared" si="2806"/>
        <v>0</v>
      </c>
      <c r="N2257" s="341" t="str">
        <f t="shared" si="2807"/>
        <v>-</v>
      </c>
      <c r="O2257" s="350" t="str">
        <f t="shared" si="2800"/>
        <v>-</v>
      </c>
    </row>
    <row r="2258" spans="1:15" ht="24" thickBot="1" x14ac:dyDescent="0.35">
      <c r="A2258" s="277" t="s">
        <v>110</v>
      </c>
      <c r="B2258" s="967" t="s">
        <v>48</v>
      </c>
      <c r="C2258" s="968"/>
      <c r="D2258" s="969"/>
      <c r="E2258" s="323">
        <f>SUM(E2251:E2257)</f>
        <v>3500000</v>
      </c>
      <c r="F2258" s="288">
        <v>200000</v>
      </c>
      <c r="G2258" s="323">
        <f>SUM(G2251:G2257)</f>
        <v>101108</v>
      </c>
      <c r="H2258" s="324">
        <f t="shared" ref="H2258:I2258" si="2808">SUM(H2251:H2257)</f>
        <v>100618</v>
      </c>
      <c r="I2258" s="324">
        <f t="shared" si="2808"/>
        <v>490</v>
      </c>
      <c r="J2258" s="348">
        <f>+G2258/F2258</f>
        <v>0.50553999999999999</v>
      </c>
      <c r="K2258" s="323">
        <f>SUM(K2251:K2257)</f>
        <v>2769850</v>
      </c>
      <c r="L2258" s="524">
        <f>SUM(L2251:L2257)</f>
        <v>2748709</v>
      </c>
      <c r="M2258" s="733">
        <f t="shared" ref="M2258" si="2809">SUM(M2251:M2257)</f>
        <v>21141</v>
      </c>
      <c r="N2258" s="342">
        <f>IFERROR(K2258/E2258,"-")</f>
        <v>0.79138571428571425</v>
      </c>
      <c r="O2258" s="348">
        <f t="shared" si="2800"/>
        <v>7.632543278516887E-3</v>
      </c>
    </row>
    <row r="2259" spans="1:15" ht="23.4" x14ac:dyDescent="0.3">
      <c r="A2259" s="277" t="s">
        <v>110</v>
      </c>
      <c r="B2259" s="956" t="s">
        <v>18</v>
      </c>
      <c r="C2259" s="272" t="s">
        <v>344</v>
      </c>
      <c r="D2259" s="272" t="s">
        <v>99</v>
      </c>
      <c r="E2259" s="273">
        <v>0</v>
      </c>
      <c r="F2259" s="274"/>
      <c r="G2259" s="335">
        <f t="shared" ref="G2259:G2265" si="2810">+H2259+I2259</f>
        <v>0</v>
      </c>
      <c r="H2259" s="275"/>
      <c r="I2259" s="275"/>
      <c r="J2259" s="354" t="str">
        <f>IFERROR(G2259/#REF!,"-")</f>
        <v>-</v>
      </c>
      <c r="K2259" s="335">
        <f t="shared" ref="K2259:K2265" si="2811">+L2259+M2259</f>
        <v>0</v>
      </c>
      <c r="L2259" s="275">
        <f t="shared" ref="L2259:L2265" si="2812">+H2259+L2150</f>
        <v>0</v>
      </c>
      <c r="M2259" s="276">
        <f t="shared" ref="M2259:M2265" si="2813">+I2259+M2150</f>
        <v>0</v>
      </c>
      <c r="N2259" s="339" t="str">
        <f t="shared" ref="N2259:N2266" si="2814">IFERROR(K2259/E2259,"-")</f>
        <v>-</v>
      </c>
      <c r="O2259" s="349" t="str">
        <f t="shared" si="2800"/>
        <v>-</v>
      </c>
    </row>
    <row r="2260" spans="1:15" ht="23.4" x14ac:dyDescent="0.3">
      <c r="A2260" s="277" t="s">
        <v>110</v>
      </c>
      <c r="B2260" s="957"/>
      <c r="C2260" s="278" t="s">
        <v>253</v>
      </c>
      <c r="D2260" s="278" t="s">
        <v>254</v>
      </c>
      <c r="E2260" s="279">
        <v>0</v>
      </c>
      <c r="F2260" s="280"/>
      <c r="G2260" s="336">
        <f t="shared" si="2810"/>
        <v>0</v>
      </c>
      <c r="H2260" s="281"/>
      <c r="I2260" s="281"/>
      <c r="J2260" s="355" t="str">
        <f>IFERROR(G2260/#REF!,"-")</f>
        <v>-</v>
      </c>
      <c r="K2260" s="336">
        <f t="shared" si="2811"/>
        <v>0</v>
      </c>
      <c r="L2260" s="275">
        <f t="shared" si="2812"/>
        <v>0</v>
      </c>
      <c r="M2260" s="276">
        <f t="shared" si="2813"/>
        <v>0</v>
      </c>
      <c r="N2260" s="340" t="str">
        <f t="shared" si="2814"/>
        <v>-</v>
      </c>
      <c r="O2260" s="264" t="str">
        <f t="shared" si="2800"/>
        <v>-</v>
      </c>
    </row>
    <row r="2261" spans="1:15" ht="23.4" x14ac:dyDescent="0.3">
      <c r="A2261" s="277" t="s">
        <v>110</v>
      </c>
      <c r="B2261" s="957"/>
      <c r="C2261" s="278" t="s">
        <v>122</v>
      </c>
      <c r="D2261" s="278"/>
      <c r="E2261" s="279">
        <v>0</v>
      </c>
      <c r="F2261" s="280"/>
      <c r="G2261" s="336">
        <f t="shared" si="2810"/>
        <v>0</v>
      </c>
      <c r="H2261" s="281"/>
      <c r="I2261" s="281"/>
      <c r="J2261" s="355" t="str">
        <f>IFERROR(G2261/#REF!,"-")</f>
        <v>-</v>
      </c>
      <c r="K2261" s="336">
        <f t="shared" si="2811"/>
        <v>0</v>
      </c>
      <c r="L2261" s="275">
        <f t="shared" si="2812"/>
        <v>0</v>
      </c>
      <c r="M2261" s="276">
        <f t="shared" si="2813"/>
        <v>0</v>
      </c>
      <c r="N2261" s="340" t="str">
        <f t="shared" si="2814"/>
        <v>-</v>
      </c>
      <c r="O2261" s="264" t="str">
        <f t="shared" si="2800"/>
        <v>-</v>
      </c>
    </row>
    <row r="2262" spans="1:15" ht="23.4" x14ac:dyDescent="0.3">
      <c r="A2262" s="277" t="s">
        <v>110</v>
      </c>
      <c r="B2262" s="957"/>
      <c r="C2262" s="278" t="s">
        <v>129</v>
      </c>
      <c r="D2262" s="278"/>
      <c r="E2262" s="279">
        <v>0</v>
      </c>
      <c r="F2262" s="280"/>
      <c r="G2262" s="336">
        <f t="shared" si="2810"/>
        <v>0</v>
      </c>
      <c r="H2262" s="281"/>
      <c r="I2262" s="281"/>
      <c r="J2262" s="355" t="str">
        <f>IFERROR(G2262/#REF!,"-")</f>
        <v>-</v>
      </c>
      <c r="K2262" s="336">
        <f t="shared" si="2811"/>
        <v>0</v>
      </c>
      <c r="L2262" s="275">
        <f t="shared" si="2812"/>
        <v>0</v>
      </c>
      <c r="M2262" s="276">
        <f t="shared" si="2813"/>
        <v>0</v>
      </c>
      <c r="N2262" s="340" t="str">
        <f t="shared" si="2814"/>
        <v>-</v>
      </c>
      <c r="O2262" s="264" t="str">
        <f t="shared" si="2800"/>
        <v>-</v>
      </c>
    </row>
    <row r="2263" spans="1:15" ht="23.4" x14ac:dyDescent="0.3">
      <c r="A2263" s="277" t="s">
        <v>110</v>
      </c>
      <c r="B2263" s="957"/>
      <c r="C2263" s="278" t="s">
        <v>189</v>
      </c>
      <c r="D2263" s="278" t="s">
        <v>190</v>
      </c>
      <c r="E2263" s="279">
        <v>0</v>
      </c>
      <c r="F2263" s="280"/>
      <c r="G2263" s="336">
        <f t="shared" si="2810"/>
        <v>0</v>
      </c>
      <c r="H2263" s="281"/>
      <c r="I2263" s="281"/>
      <c r="J2263" s="355" t="str">
        <f>IFERROR(G2263/#REF!,"-")</f>
        <v>-</v>
      </c>
      <c r="K2263" s="336">
        <f t="shared" si="2811"/>
        <v>0</v>
      </c>
      <c r="L2263" s="275">
        <f t="shared" si="2812"/>
        <v>0</v>
      </c>
      <c r="M2263" s="276">
        <f t="shared" si="2813"/>
        <v>0</v>
      </c>
      <c r="N2263" s="340" t="str">
        <f t="shared" si="2814"/>
        <v>-</v>
      </c>
      <c r="O2263" s="264" t="str">
        <f t="shared" si="2800"/>
        <v>-</v>
      </c>
    </row>
    <row r="2264" spans="1:15" ht="23.4" x14ac:dyDescent="0.3">
      <c r="A2264" s="277" t="s">
        <v>110</v>
      </c>
      <c r="B2264" s="957"/>
      <c r="C2264" s="278" t="s">
        <v>192</v>
      </c>
      <c r="D2264" s="278" t="s">
        <v>191</v>
      </c>
      <c r="E2264" s="279">
        <v>0</v>
      </c>
      <c r="F2264" s="280"/>
      <c r="G2264" s="336">
        <f t="shared" si="2810"/>
        <v>0</v>
      </c>
      <c r="H2264" s="281"/>
      <c r="I2264" s="281"/>
      <c r="J2264" s="355" t="str">
        <f>IFERROR(G2264/#REF!,"-")</f>
        <v>-</v>
      </c>
      <c r="K2264" s="336">
        <f t="shared" si="2811"/>
        <v>0</v>
      </c>
      <c r="L2264" s="275">
        <f t="shared" si="2812"/>
        <v>0</v>
      </c>
      <c r="M2264" s="276">
        <f t="shared" si="2813"/>
        <v>0</v>
      </c>
      <c r="N2264" s="340" t="str">
        <f t="shared" si="2814"/>
        <v>-</v>
      </c>
      <c r="O2264" s="264" t="str">
        <f t="shared" si="2800"/>
        <v>-</v>
      </c>
    </row>
    <row r="2265" spans="1:15" ht="24" thickBot="1" x14ac:dyDescent="0.35">
      <c r="A2265" s="277" t="s">
        <v>110</v>
      </c>
      <c r="B2265" s="958"/>
      <c r="C2265" s="289" t="s">
        <v>193</v>
      </c>
      <c r="D2265" s="289" t="s">
        <v>114</v>
      </c>
      <c r="E2265" s="283">
        <v>0</v>
      </c>
      <c r="F2265" s="284"/>
      <c r="G2265" s="337">
        <f t="shared" si="2810"/>
        <v>0</v>
      </c>
      <c r="H2265" s="285"/>
      <c r="I2265" s="285"/>
      <c r="J2265" s="356" t="str">
        <f>IFERROR(G2265/#REF!,"-")</f>
        <v>-</v>
      </c>
      <c r="K2265" s="337">
        <f t="shared" si="2811"/>
        <v>0</v>
      </c>
      <c r="L2265" s="275">
        <f t="shared" si="2812"/>
        <v>0</v>
      </c>
      <c r="M2265" s="276">
        <f t="shared" si="2813"/>
        <v>0</v>
      </c>
      <c r="N2265" s="341" t="str">
        <f t="shared" si="2814"/>
        <v>-</v>
      </c>
      <c r="O2265" s="350" t="str">
        <f t="shared" si="2800"/>
        <v>-</v>
      </c>
    </row>
    <row r="2266" spans="1:15" ht="24" thickBot="1" x14ac:dyDescent="0.35">
      <c r="A2266" s="277" t="s">
        <v>110</v>
      </c>
      <c r="B2266" s="967" t="s">
        <v>29</v>
      </c>
      <c r="C2266" s="968"/>
      <c r="D2266" s="969"/>
      <c r="E2266" s="323">
        <f t="shared" ref="E2266" si="2815">SUM(E2259:E2265)</f>
        <v>0</v>
      </c>
      <c r="F2266" s="288">
        <v>80000</v>
      </c>
      <c r="G2266" s="323">
        <f>SUM(G2259:G2265)</f>
        <v>0</v>
      </c>
      <c r="H2266" s="324">
        <f t="shared" ref="H2266:I2266" si="2816">SUM(H2259:H2265)</f>
        <v>0</v>
      </c>
      <c r="I2266" s="324">
        <f t="shared" si="2816"/>
        <v>0</v>
      </c>
      <c r="J2266" s="348">
        <f>+G2266/F2266</f>
        <v>0</v>
      </c>
      <c r="K2266" s="323">
        <f t="shared" ref="K2266:M2266" si="2817">SUM(K2259:K2265)</f>
        <v>0</v>
      </c>
      <c r="L2266" s="324">
        <f t="shared" si="2817"/>
        <v>0</v>
      </c>
      <c r="M2266" s="325">
        <f t="shared" si="2817"/>
        <v>0</v>
      </c>
      <c r="N2266" s="342" t="str">
        <f t="shared" si="2814"/>
        <v>-</v>
      </c>
      <c r="O2266" s="348" t="str">
        <f t="shared" si="2800"/>
        <v>-</v>
      </c>
    </row>
    <row r="2267" spans="1:15" ht="24" thickBot="1" x14ac:dyDescent="0.35">
      <c r="A2267" s="252" t="s">
        <v>110</v>
      </c>
      <c r="B2267" s="985" t="s">
        <v>19</v>
      </c>
      <c r="C2267" s="653" t="s">
        <v>255</v>
      </c>
      <c r="D2267" s="690" t="s">
        <v>190</v>
      </c>
      <c r="E2267" s="695">
        <v>0</v>
      </c>
      <c r="F2267" s="692">
        <v>110000</v>
      </c>
      <c r="G2267" s="656">
        <f t="shared" ref="G2267:G2269" si="2818">+H2267+I2267</f>
        <v>3696</v>
      </c>
      <c r="H2267" s="462">
        <v>3696</v>
      </c>
      <c r="I2267" s="462"/>
      <c r="J2267" s="536" t="str">
        <f>IFERROR(G2267/#REF!,"-")</f>
        <v>-</v>
      </c>
      <c r="K2267" s="461">
        <f>+L2267+M2267</f>
        <v>57942</v>
      </c>
      <c r="L2267" s="462">
        <f t="shared" ref="L2267:L2269" si="2819">+H2267+L2158</f>
        <v>57552</v>
      </c>
      <c r="M2267" s="463">
        <f t="shared" ref="M2267:M2269" si="2820">+I2267+M2158</f>
        <v>390</v>
      </c>
      <c r="N2267" s="658" t="str">
        <f>IFERROR(K2267/E2267,"-")</f>
        <v>-</v>
      </c>
      <c r="O2267" s="659">
        <f t="shared" si="2800"/>
        <v>6.7308687998343169E-3</v>
      </c>
    </row>
    <row r="2268" spans="1:15" ht="24" thickBot="1" x14ac:dyDescent="0.35">
      <c r="A2268" s="252"/>
      <c r="B2268" s="986"/>
      <c r="C2268" s="299" t="s">
        <v>440</v>
      </c>
      <c r="D2268" s="657" t="s">
        <v>507</v>
      </c>
      <c r="E2268" s="696">
        <v>1000000</v>
      </c>
      <c r="F2268" s="693">
        <v>110000</v>
      </c>
      <c r="G2268" s="652">
        <f t="shared" si="2818"/>
        <v>92321</v>
      </c>
      <c r="H2268" s="275">
        <v>91872</v>
      </c>
      <c r="I2268" s="275">
        <v>449</v>
      </c>
      <c r="J2268" s="354" t="str">
        <f>IFERROR(G2268/#REF!,"-")</f>
        <v>-</v>
      </c>
      <c r="K2268" s="338">
        <f>+L2268+M2268</f>
        <v>569544</v>
      </c>
      <c r="L2268" s="462">
        <f>+H2268+L2159</f>
        <v>566016</v>
      </c>
      <c r="M2268" s="463">
        <f t="shared" si="2820"/>
        <v>3528</v>
      </c>
      <c r="N2268" s="343">
        <f t="shared" ref="N2268:N2269" si="2821">IFERROR(K2268/E2268,"-")</f>
        <v>0.56954400000000005</v>
      </c>
      <c r="O2268" s="651">
        <f>IFERROR(M2268/K2268,"-")</f>
        <v>6.1944292275926006E-3</v>
      </c>
    </row>
    <row r="2269" spans="1:15" ht="24" thickBot="1" x14ac:dyDescent="0.35">
      <c r="A2269" s="252"/>
      <c r="B2269" s="987"/>
      <c r="C2269" s="647" t="s">
        <v>380</v>
      </c>
      <c r="D2269" s="691"/>
      <c r="E2269" s="697">
        <v>150000</v>
      </c>
      <c r="F2269" s="694">
        <v>110000</v>
      </c>
      <c r="G2269" s="599">
        <f t="shared" si="2818"/>
        <v>0</v>
      </c>
      <c r="H2269" s="285"/>
      <c r="I2269" s="285"/>
      <c r="J2269" s="356"/>
      <c r="K2269" s="464">
        <f>+L2269+M2269</f>
        <v>0</v>
      </c>
      <c r="L2269" s="462">
        <f t="shared" si="2819"/>
        <v>0</v>
      </c>
      <c r="M2269" s="463">
        <f t="shared" si="2820"/>
        <v>0</v>
      </c>
      <c r="N2269" s="341">
        <f t="shared" si="2821"/>
        <v>0</v>
      </c>
      <c r="O2269" s="648" t="str">
        <f t="shared" ref="O2269:O2326" si="2822">IFERROR(M2269/K2269,"-")</f>
        <v>-</v>
      </c>
    </row>
    <row r="2270" spans="1:15" ht="24" thickBot="1" x14ac:dyDescent="0.35">
      <c r="A2270" s="277" t="s">
        <v>110</v>
      </c>
      <c r="B2270" s="988" t="s">
        <v>49</v>
      </c>
      <c r="C2270" s="968"/>
      <c r="D2270" s="969"/>
      <c r="E2270" s="323">
        <f>SUM(E2267:E2269)</f>
        <v>1150000</v>
      </c>
      <c r="F2270" s="326">
        <f t="shared" ref="F2270" si="2823">SUM(F2267)</f>
        <v>110000</v>
      </c>
      <c r="G2270" s="323">
        <f>SUM(G2267)</f>
        <v>3696</v>
      </c>
      <c r="H2270" s="324">
        <f>SUM(H2267:H2269)</f>
        <v>95568</v>
      </c>
      <c r="I2270" s="324">
        <f>SUM(I2267:I2269)</f>
        <v>449</v>
      </c>
      <c r="J2270" s="348">
        <f>+G2270/F2270</f>
        <v>3.3599999999999998E-2</v>
      </c>
      <c r="K2270" s="649">
        <f>SUM(K2267:K2268)</f>
        <v>627486</v>
      </c>
      <c r="L2270" s="324">
        <f>SUM(L2267:L2268)</f>
        <v>623568</v>
      </c>
      <c r="M2270" s="325">
        <f>SUM(M2267:M2268)</f>
        <v>3918</v>
      </c>
      <c r="N2270" s="342">
        <f>IFERROR(K2270/E2270,"-")</f>
        <v>0.54564000000000001</v>
      </c>
      <c r="O2270" s="348">
        <f t="shared" si="2822"/>
        <v>6.2439640087587614E-3</v>
      </c>
    </row>
    <row r="2271" spans="1:15" ht="23.4" x14ac:dyDescent="0.3">
      <c r="A2271" s="277" t="s">
        <v>110</v>
      </c>
      <c r="B2271" s="956" t="s">
        <v>20</v>
      </c>
      <c r="C2271" s="294" t="s">
        <v>351</v>
      </c>
      <c r="D2271" s="294" t="s">
        <v>313</v>
      </c>
      <c r="E2271" s="273">
        <v>0</v>
      </c>
      <c r="F2271" s="274"/>
      <c r="G2271" s="335">
        <f t="shared" ref="G2271:G2273" si="2824">+H2271+I2271</f>
        <v>0</v>
      </c>
      <c r="H2271" s="275"/>
      <c r="I2271" s="275"/>
      <c r="J2271" s="354" t="str">
        <f>IFERROR(G2271/#REF!,"-")</f>
        <v>-</v>
      </c>
      <c r="K2271" s="335">
        <f t="shared" ref="K2271:K2273" si="2825">+L2271+M2271</f>
        <v>0</v>
      </c>
      <c r="L2271" s="275">
        <f t="shared" ref="L2271:L2273" si="2826">+H2271+L2162</f>
        <v>0</v>
      </c>
      <c r="M2271" s="276">
        <f t="shared" ref="M2271:M2273" si="2827">+I2271+M2162</f>
        <v>0</v>
      </c>
      <c r="N2271" s="339" t="str">
        <f t="shared" ref="N2271:N2274" si="2828">IFERROR(K2271/E2271,"-")</f>
        <v>-</v>
      </c>
      <c r="O2271" s="349" t="str">
        <f t="shared" si="2822"/>
        <v>-</v>
      </c>
    </row>
    <row r="2272" spans="1:15" ht="23.4" x14ac:dyDescent="0.3">
      <c r="A2272" s="277" t="s">
        <v>110</v>
      </c>
      <c r="B2272" s="957"/>
      <c r="C2272" s="295" t="s">
        <v>121</v>
      </c>
      <c r="D2272" s="295"/>
      <c r="E2272" s="279">
        <v>0</v>
      </c>
      <c r="F2272" s="280"/>
      <c r="G2272" s="336">
        <f t="shared" si="2824"/>
        <v>0</v>
      </c>
      <c r="H2272" s="281"/>
      <c r="I2272" s="281"/>
      <c r="J2272" s="355" t="str">
        <f>IFERROR(G2272/#REF!,"-")</f>
        <v>-</v>
      </c>
      <c r="K2272" s="336">
        <f t="shared" si="2825"/>
        <v>0</v>
      </c>
      <c r="L2272" s="275">
        <f t="shared" si="2826"/>
        <v>0</v>
      </c>
      <c r="M2272" s="276">
        <f t="shared" si="2827"/>
        <v>0</v>
      </c>
      <c r="N2272" s="340" t="str">
        <f t="shared" si="2828"/>
        <v>-</v>
      </c>
      <c r="O2272" s="264" t="str">
        <f t="shared" si="2822"/>
        <v>-</v>
      </c>
    </row>
    <row r="2273" spans="1:15" ht="24" thickBot="1" x14ac:dyDescent="0.35">
      <c r="A2273" s="277" t="s">
        <v>110</v>
      </c>
      <c r="B2273" s="958"/>
      <c r="C2273" s="296" t="s">
        <v>127</v>
      </c>
      <c r="D2273" s="296"/>
      <c r="E2273" s="283">
        <v>0</v>
      </c>
      <c r="F2273" s="284"/>
      <c r="G2273" s="337">
        <f t="shared" si="2824"/>
        <v>0</v>
      </c>
      <c r="H2273" s="285"/>
      <c r="I2273" s="285"/>
      <c r="J2273" s="356" t="str">
        <f>IFERROR(G2273/#REF!,"-")</f>
        <v>-</v>
      </c>
      <c r="K2273" s="337">
        <f t="shared" si="2825"/>
        <v>0</v>
      </c>
      <c r="L2273" s="275">
        <f t="shared" si="2826"/>
        <v>0</v>
      </c>
      <c r="M2273" s="276">
        <f t="shared" si="2827"/>
        <v>0</v>
      </c>
      <c r="N2273" s="341" t="str">
        <f t="shared" si="2828"/>
        <v>-</v>
      </c>
      <c r="O2273" s="350" t="str">
        <f t="shared" si="2822"/>
        <v>-</v>
      </c>
    </row>
    <row r="2274" spans="1:15" ht="24" thickBot="1" x14ac:dyDescent="0.35">
      <c r="A2274" s="277" t="s">
        <v>110</v>
      </c>
      <c r="B2274" s="968" t="s">
        <v>50</v>
      </c>
      <c r="C2274" s="968"/>
      <c r="D2274" s="989"/>
      <c r="E2274" s="323">
        <f t="shared" ref="E2274" si="2829">SUM(E2271:E2273)</f>
        <v>0</v>
      </c>
      <c r="F2274" s="288">
        <v>50000</v>
      </c>
      <c r="G2274" s="323">
        <f>SUM(G2271:G2273)</f>
        <v>0</v>
      </c>
      <c r="H2274" s="324">
        <f t="shared" ref="H2274:I2274" si="2830">SUM(H2271:H2273)</f>
        <v>0</v>
      </c>
      <c r="I2274" s="324">
        <f t="shared" si="2830"/>
        <v>0</v>
      </c>
      <c r="J2274" s="348">
        <f>+G2274/F2274</f>
        <v>0</v>
      </c>
      <c r="K2274" s="323">
        <f t="shared" ref="K2274:M2274" si="2831">SUM(K2271:K2273)</f>
        <v>0</v>
      </c>
      <c r="L2274" s="324">
        <f t="shared" si="2831"/>
        <v>0</v>
      </c>
      <c r="M2274" s="325">
        <f t="shared" si="2831"/>
        <v>0</v>
      </c>
      <c r="N2274" s="342" t="str">
        <f t="shared" si="2828"/>
        <v>-</v>
      </c>
      <c r="O2274" s="348" t="str">
        <f t="shared" si="2822"/>
        <v>-</v>
      </c>
    </row>
    <row r="2275" spans="1:15" ht="24" thickBot="1" x14ac:dyDescent="0.35">
      <c r="A2275" s="277" t="s">
        <v>110</v>
      </c>
      <c r="B2275" s="981" t="s">
        <v>21</v>
      </c>
      <c r="C2275" s="982"/>
      <c r="D2275" s="983"/>
      <c r="E2275" s="329">
        <f>+E2250+E2258+E2266+E2270+E2274</f>
        <v>4750000</v>
      </c>
      <c r="F2275" s="330">
        <f>+F2250+F2258+F2266+F2270+F2274</f>
        <v>455000</v>
      </c>
      <c r="G2275" s="329">
        <f>+G2250+G2258+G2266+G2270+G2274</f>
        <v>104804</v>
      </c>
      <c r="H2275" s="327">
        <f>+H2250+H2258+H2266+H2270+H2274</f>
        <v>196186</v>
      </c>
      <c r="I2275" s="327">
        <f>+I2250+I2258+I2266+I2270+I2274</f>
        <v>939</v>
      </c>
      <c r="J2275" s="352">
        <f>+G2275/F2275</f>
        <v>0.23033846153846155</v>
      </c>
      <c r="K2275" s="329">
        <f>+K2250+K2258+K2266+K2270+K2274</f>
        <v>3520309</v>
      </c>
      <c r="L2275" s="327">
        <f>+L2250+L2258+L2266+L2270+L2274</f>
        <v>3492394</v>
      </c>
      <c r="M2275" s="328">
        <f>+M2250+M2258+M2266+M2270+M2274</f>
        <v>27915</v>
      </c>
      <c r="N2275" s="344">
        <f>IFERROR(K2275/E2275,"-")</f>
        <v>0.74111768421052626</v>
      </c>
      <c r="O2275" s="352">
        <f t="shared" si="2822"/>
        <v>7.9297016256243413E-3</v>
      </c>
    </row>
    <row r="2276" spans="1:15" ht="23.4" x14ac:dyDescent="0.3">
      <c r="A2276" s="277" t="s">
        <v>110</v>
      </c>
      <c r="B2276" s="956" t="s">
        <v>481</v>
      </c>
      <c r="C2276" s="272" t="s">
        <v>132</v>
      </c>
      <c r="D2276" s="272"/>
      <c r="E2276" s="273">
        <v>0</v>
      </c>
      <c r="F2276" s="274"/>
      <c r="G2276" s="335">
        <f t="shared" ref="G2276:G2279" si="2832">+H2276+I2276</f>
        <v>0</v>
      </c>
      <c r="H2276" s="275"/>
      <c r="I2276" s="275"/>
      <c r="J2276" s="354" t="str">
        <f>IFERROR(G2276/#REF!,"-")</f>
        <v>-</v>
      </c>
      <c r="K2276" s="335">
        <f t="shared" ref="K2276:K2279" si="2833">+L2276+M2276</f>
        <v>0</v>
      </c>
      <c r="L2276" s="275">
        <f t="shared" ref="L2276:L2279" si="2834">+H2276+L2167</f>
        <v>0</v>
      </c>
      <c r="M2276" s="276">
        <f t="shared" ref="M2276:M2279" si="2835">+I2276+M2167</f>
        <v>0</v>
      </c>
      <c r="N2276" s="339" t="str">
        <f t="shared" ref="N2276:N2291" si="2836">IFERROR(K2276/E2276,"-")</f>
        <v>-</v>
      </c>
      <c r="O2276" s="349" t="str">
        <f t="shared" si="2822"/>
        <v>-</v>
      </c>
    </row>
    <row r="2277" spans="1:15" ht="23.4" x14ac:dyDescent="0.3">
      <c r="A2277" s="277" t="s">
        <v>110</v>
      </c>
      <c r="B2277" s="957"/>
      <c r="C2277" s="298" t="s">
        <v>283</v>
      </c>
      <c r="D2277" s="298" t="s">
        <v>194</v>
      </c>
      <c r="E2277" s="279">
        <v>0</v>
      </c>
      <c r="F2277" s="280"/>
      <c r="G2277" s="336">
        <f t="shared" si="2832"/>
        <v>0</v>
      </c>
      <c r="H2277" s="281"/>
      <c r="I2277" s="281"/>
      <c r="J2277" s="355" t="str">
        <f>IFERROR(G2277/#REF!,"-")</f>
        <v>-</v>
      </c>
      <c r="K2277" s="336">
        <f t="shared" si="2833"/>
        <v>0</v>
      </c>
      <c r="L2277" s="275">
        <f t="shared" si="2834"/>
        <v>0</v>
      </c>
      <c r="M2277" s="276">
        <f t="shared" si="2835"/>
        <v>0</v>
      </c>
      <c r="N2277" s="340" t="str">
        <f t="shared" si="2836"/>
        <v>-</v>
      </c>
      <c r="O2277" s="264" t="str">
        <f t="shared" si="2822"/>
        <v>-</v>
      </c>
    </row>
    <row r="2278" spans="1:15" ht="23.4" x14ac:dyDescent="0.3">
      <c r="A2278" s="277" t="s">
        <v>110</v>
      </c>
      <c r="B2278" s="957"/>
      <c r="C2278" s="298" t="s">
        <v>405</v>
      </c>
      <c r="D2278" s="298" t="s">
        <v>194</v>
      </c>
      <c r="E2278" s="279">
        <v>1000000</v>
      </c>
      <c r="F2278" s="280"/>
      <c r="G2278" s="336">
        <f t="shared" si="2832"/>
        <v>0</v>
      </c>
      <c r="H2278" s="281"/>
      <c r="I2278" s="281"/>
      <c r="J2278" s="355" t="str">
        <f>IFERROR(G2278/#REF!,"-")</f>
        <v>-</v>
      </c>
      <c r="K2278" s="336">
        <f t="shared" si="2833"/>
        <v>362579</v>
      </c>
      <c r="L2278" s="275">
        <f t="shared" si="2834"/>
        <v>359670</v>
      </c>
      <c r="M2278" s="276">
        <f t="shared" si="2835"/>
        <v>2909</v>
      </c>
      <c r="N2278" s="340">
        <f t="shared" si="2836"/>
        <v>0.36257899999999998</v>
      </c>
      <c r="O2278" s="264">
        <f t="shared" si="2822"/>
        <v>8.0230791082770928E-3</v>
      </c>
    </row>
    <row r="2279" spans="1:15" ht="24" thickBot="1" x14ac:dyDescent="0.35">
      <c r="A2279" s="277" t="s">
        <v>110</v>
      </c>
      <c r="B2279" s="958"/>
      <c r="C2279" s="282" t="s">
        <v>195</v>
      </c>
      <c r="D2279" s="282" t="s">
        <v>100</v>
      </c>
      <c r="E2279" s="283">
        <v>0</v>
      </c>
      <c r="F2279" s="284"/>
      <c r="G2279" s="337">
        <f t="shared" si="2832"/>
        <v>0</v>
      </c>
      <c r="H2279" s="285"/>
      <c r="I2279" s="285"/>
      <c r="J2279" s="356" t="str">
        <f>IFERROR(G2279/#REF!,"-")</f>
        <v>-</v>
      </c>
      <c r="K2279" s="337">
        <f t="shared" si="2833"/>
        <v>0</v>
      </c>
      <c r="L2279" s="275">
        <f t="shared" si="2834"/>
        <v>0</v>
      </c>
      <c r="M2279" s="276">
        <f t="shared" si="2835"/>
        <v>0</v>
      </c>
      <c r="N2279" s="341" t="str">
        <f t="shared" si="2836"/>
        <v>-</v>
      </c>
      <c r="O2279" s="350" t="str">
        <f t="shared" si="2822"/>
        <v>-</v>
      </c>
    </row>
    <row r="2280" spans="1:15" ht="24" thickBot="1" x14ac:dyDescent="0.35">
      <c r="A2280" s="277" t="s">
        <v>110</v>
      </c>
      <c r="B2280" s="967" t="s">
        <v>51</v>
      </c>
      <c r="C2280" s="968"/>
      <c r="D2280" s="969"/>
      <c r="E2280" s="287">
        <f>SUM(E2276:E2279)</f>
        <v>1000000</v>
      </c>
      <c r="F2280" s="288">
        <v>80000</v>
      </c>
      <c r="G2280" s="323">
        <f>SUM(G2276:G2279)</f>
        <v>0</v>
      </c>
      <c r="H2280" s="324">
        <f t="shared" ref="H2280:I2280" si="2837">SUM(H2276:H2279)</f>
        <v>0</v>
      </c>
      <c r="I2280" s="324">
        <f t="shared" si="2837"/>
        <v>0</v>
      </c>
      <c r="J2280" s="348">
        <f>+G2280/F2280</f>
        <v>0</v>
      </c>
      <c r="K2280" s="323">
        <f t="shared" ref="K2280:M2280" si="2838">SUM(K2276:K2279)</f>
        <v>362579</v>
      </c>
      <c r="L2280" s="324">
        <f t="shared" si="2838"/>
        <v>359670</v>
      </c>
      <c r="M2280" s="325">
        <f t="shared" si="2838"/>
        <v>2909</v>
      </c>
      <c r="N2280" s="342">
        <f t="shared" si="2836"/>
        <v>0.36257899999999998</v>
      </c>
      <c r="O2280" s="348">
        <f t="shared" si="2822"/>
        <v>8.0230791082770928E-3</v>
      </c>
    </row>
    <row r="2281" spans="1:15" ht="23.4" x14ac:dyDescent="0.3">
      <c r="A2281" s="277" t="s">
        <v>110</v>
      </c>
      <c r="B2281" s="956" t="s">
        <v>23</v>
      </c>
      <c r="C2281" s="278" t="s">
        <v>260</v>
      </c>
      <c r="D2281" s="299" t="s">
        <v>258</v>
      </c>
      <c r="E2281" s="273">
        <f>25000+10875+6000</f>
        <v>41875</v>
      </c>
      <c r="F2281" s="274"/>
      <c r="G2281" s="335">
        <f t="shared" ref="G2281:G2289" si="2839">+H2281+I2281</f>
        <v>0</v>
      </c>
      <c r="H2281" s="275"/>
      <c r="I2281" s="275"/>
      <c r="J2281" s="354" t="str">
        <f>IFERROR(G2281/#REF!,"-")</f>
        <v>-</v>
      </c>
      <c r="K2281" s="335">
        <f t="shared" ref="K2281:K2289" si="2840">+L2281+M2281</f>
        <v>11160</v>
      </c>
      <c r="L2281" s="275">
        <f t="shared" ref="L2281:L2287" si="2841">+H2281+L2172</f>
        <v>11012</v>
      </c>
      <c r="M2281" s="276">
        <f t="shared" ref="M2281:M2287" si="2842">+I2281+M2172</f>
        <v>148</v>
      </c>
      <c r="N2281" s="339">
        <f t="shared" si="2836"/>
        <v>0.26650746268656716</v>
      </c>
      <c r="O2281" s="349">
        <f t="shared" si="2822"/>
        <v>1.3261648745519713E-2</v>
      </c>
    </row>
    <row r="2282" spans="1:15" ht="23.4" x14ac:dyDescent="0.3">
      <c r="A2282" s="277" t="s">
        <v>110</v>
      </c>
      <c r="B2282" s="957"/>
      <c r="C2282" s="278" t="s">
        <v>24</v>
      </c>
      <c r="D2282" s="278" t="s">
        <v>258</v>
      </c>
      <c r="E2282" s="279">
        <v>97500</v>
      </c>
      <c r="F2282" s="280"/>
      <c r="G2282" s="336">
        <f t="shared" si="2839"/>
        <v>4462</v>
      </c>
      <c r="H2282" s="281">
        <v>4462</v>
      </c>
      <c r="I2282" s="281"/>
      <c r="J2282" s="355" t="str">
        <f>IFERROR(G2282/#REF!,"-")</f>
        <v>-</v>
      </c>
      <c r="K2282" s="336">
        <f t="shared" si="2840"/>
        <v>101062</v>
      </c>
      <c r="L2282" s="275">
        <f t="shared" si="2841"/>
        <v>100822</v>
      </c>
      <c r="M2282" s="276">
        <f t="shared" si="2842"/>
        <v>240</v>
      </c>
      <c r="N2282" s="340">
        <f t="shared" si="2836"/>
        <v>1.0365333333333333</v>
      </c>
      <c r="O2282" s="264">
        <f t="shared" si="2822"/>
        <v>2.3747798381191744E-3</v>
      </c>
    </row>
    <row r="2283" spans="1:15" ht="23.4" x14ac:dyDescent="0.3">
      <c r="A2283" s="277" t="s">
        <v>110</v>
      </c>
      <c r="B2283" s="957"/>
      <c r="C2283" s="278" t="s">
        <v>256</v>
      </c>
      <c r="D2283" s="278" t="s">
        <v>258</v>
      </c>
      <c r="E2283" s="279">
        <v>17750</v>
      </c>
      <c r="F2283" s="280"/>
      <c r="G2283" s="336">
        <f t="shared" si="2839"/>
        <v>0</v>
      </c>
      <c r="H2283" s="281"/>
      <c r="I2283" s="281"/>
      <c r="J2283" s="355" t="str">
        <f>IFERROR(G2283/#REF!,"-")</f>
        <v>-</v>
      </c>
      <c r="K2283" s="336">
        <f t="shared" si="2840"/>
        <v>19656</v>
      </c>
      <c r="L2283" s="275">
        <f t="shared" si="2841"/>
        <v>19545</v>
      </c>
      <c r="M2283" s="276">
        <f t="shared" si="2842"/>
        <v>111</v>
      </c>
      <c r="N2283" s="340">
        <f t="shared" si="2836"/>
        <v>1.1073802816901408</v>
      </c>
      <c r="O2283" s="264">
        <f t="shared" si="2822"/>
        <v>5.647130647130647E-3</v>
      </c>
    </row>
    <row r="2284" spans="1:15" ht="23.4" x14ac:dyDescent="0.3">
      <c r="A2284" s="277" t="s">
        <v>110</v>
      </c>
      <c r="B2284" s="957"/>
      <c r="C2284" s="278" t="s">
        <v>257</v>
      </c>
      <c r="D2284" s="278" t="s">
        <v>258</v>
      </c>
      <c r="E2284" s="279">
        <v>20000</v>
      </c>
      <c r="F2284" s="280"/>
      <c r="G2284" s="336">
        <f t="shared" si="2839"/>
        <v>0</v>
      </c>
      <c r="H2284" s="281"/>
      <c r="I2284" s="281"/>
      <c r="J2284" s="355" t="str">
        <f>IFERROR(G2284/#REF!,"-")</f>
        <v>-</v>
      </c>
      <c r="K2284" s="336">
        <f t="shared" si="2840"/>
        <v>20512</v>
      </c>
      <c r="L2284" s="275">
        <f t="shared" si="2841"/>
        <v>20361</v>
      </c>
      <c r="M2284" s="276">
        <f t="shared" si="2842"/>
        <v>151</v>
      </c>
      <c r="N2284" s="340">
        <f t="shared" si="2836"/>
        <v>1.0256000000000001</v>
      </c>
      <c r="O2284" s="264">
        <f t="shared" si="2822"/>
        <v>7.3615444617784707E-3</v>
      </c>
    </row>
    <row r="2285" spans="1:15" ht="23.4" x14ac:dyDescent="0.3">
      <c r="A2285" s="277" t="s">
        <v>110</v>
      </c>
      <c r="B2285" s="957"/>
      <c r="C2285" s="298" t="s">
        <v>475</v>
      </c>
      <c r="D2285" s="278" t="s">
        <v>258</v>
      </c>
      <c r="E2285" s="279">
        <v>10000</v>
      </c>
      <c r="F2285" s="280"/>
      <c r="G2285" s="336">
        <f t="shared" si="2839"/>
        <v>0</v>
      </c>
      <c r="H2285" s="281"/>
      <c r="I2285" s="281"/>
      <c r="J2285" s="355" t="str">
        <f>IFERROR(G2285/#REF!,"-")</f>
        <v>-</v>
      </c>
      <c r="K2285" s="336">
        <f t="shared" si="2840"/>
        <v>12327</v>
      </c>
      <c r="L2285" s="275">
        <f t="shared" si="2841"/>
        <v>12307</v>
      </c>
      <c r="M2285" s="276">
        <f t="shared" si="2842"/>
        <v>20</v>
      </c>
      <c r="N2285" s="340">
        <f t="shared" si="2836"/>
        <v>1.2326999999999999</v>
      </c>
      <c r="O2285" s="264">
        <f t="shared" si="2822"/>
        <v>1.6224547740731727E-3</v>
      </c>
    </row>
    <row r="2286" spans="1:15" ht="23.4" x14ac:dyDescent="0.3">
      <c r="A2286" s="277" t="s">
        <v>110</v>
      </c>
      <c r="B2286" s="957"/>
      <c r="C2286" s="298" t="s">
        <v>506</v>
      </c>
      <c r="D2286" s="278" t="s">
        <v>258</v>
      </c>
      <c r="E2286" s="279">
        <v>9000</v>
      </c>
      <c r="F2286" s="280"/>
      <c r="G2286" s="336">
        <f t="shared" si="2839"/>
        <v>0</v>
      </c>
      <c r="H2286" s="281"/>
      <c r="I2286" s="281"/>
      <c r="J2286" s="355" t="str">
        <f>IFERROR(G2286/#REF!,"-")</f>
        <v>-</v>
      </c>
      <c r="K2286" s="336">
        <f t="shared" si="2840"/>
        <v>26750</v>
      </c>
      <c r="L2286" s="275">
        <f t="shared" si="2841"/>
        <v>26682</v>
      </c>
      <c r="M2286" s="276">
        <f t="shared" si="2842"/>
        <v>68</v>
      </c>
      <c r="N2286" s="340">
        <f t="shared" si="2836"/>
        <v>2.9722222222222223</v>
      </c>
      <c r="O2286" s="264">
        <f t="shared" si="2822"/>
        <v>2.542056074766355E-3</v>
      </c>
    </row>
    <row r="2287" spans="1:15" ht="23.4" x14ac:dyDescent="0.3">
      <c r="A2287" s="277" t="s">
        <v>110</v>
      </c>
      <c r="B2287" s="957"/>
      <c r="C2287" s="298" t="s">
        <v>261</v>
      </c>
      <c r="D2287" s="278" t="s">
        <v>263</v>
      </c>
      <c r="E2287" s="279">
        <v>22500</v>
      </c>
      <c r="F2287" s="280"/>
      <c r="G2287" s="336">
        <f t="shared" si="2839"/>
        <v>0</v>
      </c>
      <c r="H2287" s="281"/>
      <c r="I2287" s="281"/>
      <c r="J2287" s="355" t="str">
        <f>IFERROR(G2287/#REF!,"-")</f>
        <v>-</v>
      </c>
      <c r="K2287" s="336">
        <f t="shared" si="2840"/>
        <v>23536</v>
      </c>
      <c r="L2287" s="275">
        <f t="shared" si="2841"/>
        <v>23490</v>
      </c>
      <c r="M2287" s="276">
        <f t="shared" si="2842"/>
        <v>46</v>
      </c>
      <c r="N2287" s="340">
        <f t="shared" si="2836"/>
        <v>1.0460444444444446</v>
      </c>
      <c r="O2287" s="264">
        <f t="shared" si="2822"/>
        <v>1.954452753229096E-3</v>
      </c>
    </row>
    <row r="2288" spans="1:15" ht="23.4" x14ac:dyDescent="0.3">
      <c r="A2288" s="277"/>
      <c r="B2288" s="958"/>
      <c r="C2288" s="298" t="s">
        <v>604</v>
      </c>
      <c r="D2288" s="278" t="s">
        <v>258</v>
      </c>
      <c r="E2288" s="283"/>
      <c r="F2288" s="284"/>
      <c r="G2288" s="336">
        <f t="shared" si="2839"/>
        <v>11504</v>
      </c>
      <c r="H2288" s="285">
        <v>11469</v>
      </c>
      <c r="I2288" s="285">
        <v>35</v>
      </c>
      <c r="J2288" s="355" t="str">
        <f>IFERROR(G2288/#REF!,"-")</f>
        <v>-</v>
      </c>
      <c r="K2288" s="336">
        <f t="shared" si="2840"/>
        <v>11504</v>
      </c>
      <c r="L2288" s="275">
        <f>+H2288</f>
        <v>11469</v>
      </c>
      <c r="M2288" s="276">
        <f>+I2288</f>
        <v>35</v>
      </c>
      <c r="N2288" s="341"/>
      <c r="O2288" s="350"/>
    </row>
    <row r="2289" spans="1:15" ht="24" thickBot="1" x14ac:dyDescent="0.35">
      <c r="A2289" s="277" t="s">
        <v>110</v>
      </c>
      <c r="B2289" s="958"/>
      <c r="C2289" s="298" t="s">
        <v>262</v>
      </c>
      <c r="D2289" s="278" t="s">
        <v>258</v>
      </c>
      <c r="E2289" s="283">
        <v>33500</v>
      </c>
      <c r="F2289" s="284"/>
      <c r="G2289" s="337">
        <f t="shared" si="2839"/>
        <v>0</v>
      </c>
      <c r="H2289" s="285"/>
      <c r="I2289" s="285"/>
      <c r="J2289" s="356" t="str">
        <f>IFERROR(G2289/#REF!,"-")</f>
        <v>-</v>
      </c>
      <c r="K2289" s="337">
        <f t="shared" si="2840"/>
        <v>35336</v>
      </c>
      <c r="L2289" s="275">
        <f>+H2289+L2179</f>
        <v>35130</v>
      </c>
      <c r="M2289" s="276">
        <f>+I2289+M2179</f>
        <v>206</v>
      </c>
      <c r="N2289" s="341">
        <f t="shared" si="2836"/>
        <v>1.0548059701492538</v>
      </c>
      <c r="O2289" s="350">
        <f t="shared" si="2822"/>
        <v>5.8297486982114557E-3</v>
      </c>
    </row>
    <row r="2290" spans="1:15" ht="24" thickBot="1" x14ac:dyDescent="0.35">
      <c r="A2290" s="277" t="s">
        <v>110</v>
      </c>
      <c r="B2290" s="967" t="s">
        <v>52</v>
      </c>
      <c r="C2290" s="968"/>
      <c r="D2290" s="969"/>
      <c r="E2290" s="287">
        <f>SUM(E2281:E2289)</f>
        <v>252125</v>
      </c>
      <c r="F2290" s="288">
        <v>14000</v>
      </c>
      <c r="G2290" s="323">
        <f>SUM(G2281:G2289)</f>
        <v>15966</v>
      </c>
      <c r="H2290" s="324">
        <f t="shared" ref="H2290:I2290" si="2843">SUM(H2281:H2289)</f>
        <v>15931</v>
      </c>
      <c r="I2290" s="324">
        <f t="shared" si="2843"/>
        <v>35</v>
      </c>
      <c r="J2290" s="348">
        <f>+G2291/F2291</f>
        <v>0.16985106382978724</v>
      </c>
      <c r="K2290" s="323">
        <f>SUM(K2281:K2289)</f>
        <v>261843</v>
      </c>
      <c r="L2290" s="324">
        <f>+H2290+L2180</f>
        <v>260818</v>
      </c>
      <c r="M2290" s="325">
        <f>+I2290+M2180</f>
        <v>1025</v>
      </c>
      <c r="N2290" s="342">
        <f t="shared" si="2836"/>
        <v>1.0385443728309371</v>
      </c>
      <c r="O2290" s="348">
        <f t="shared" si="2822"/>
        <v>3.9145594879374281E-3</v>
      </c>
    </row>
    <row r="2291" spans="1:15" ht="24" thickBot="1" x14ac:dyDescent="0.35">
      <c r="A2291" s="277" t="s">
        <v>110</v>
      </c>
      <c r="B2291" s="981" t="s">
        <v>25</v>
      </c>
      <c r="C2291" s="982"/>
      <c r="D2291" s="983"/>
      <c r="E2291" s="329">
        <f t="shared" ref="E2291:F2291" si="2844">+E2280+E2290</f>
        <v>1252125</v>
      </c>
      <c r="F2291" s="330">
        <f t="shared" si="2844"/>
        <v>94000</v>
      </c>
      <c r="G2291" s="329">
        <f>+G2280+G2290</f>
        <v>15966</v>
      </c>
      <c r="H2291" s="327">
        <f t="shared" ref="H2291:I2291" si="2845">+H2280+H2290</f>
        <v>15931</v>
      </c>
      <c r="I2291" s="327">
        <f t="shared" si="2845"/>
        <v>35</v>
      </c>
      <c r="J2291" s="352" t="str">
        <f>IFERROR(G2291/#REF!,"-")</f>
        <v>-</v>
      </c>
      <c r="K2291" s="329">
        <f t="shared" ref="K2291" si="2846">+K2280+K2290</f>
        <v>624422</v>
      </c>
      <c r="L2291" s="327">
        <f>+L2280+L2290</f>
        <v>620488</v>
      </c>
      <c r="M2291" s="328">
        <f t="shared" ref="M2291" si="2847">+M2280+M2290</f>
        <v>3934</v>
      </c>
      <c r="N2291" s="344">
        <f t="shared" si="2836"/>
        <v>0.4986898272936009</v>
      </c>
      <c r="O2291" s="352">
        <f t="shared" si="2822"/>
        <v>6.3002264494204244E-3</v>
      </c>
    </row>
    <row r="2292" spans="1:15" ht="24" thickBot="1" x14ac:dyDescent="0.35">
      <c r="A2292" s="277" t="s">
        <v>110</v>
      </c>
      <c r="B2292" s="984" t="s">
        <v>180</v>
      </c>
      <c r="C2292" s="962"/>
      <c r="D2292" s="963"/>
      <c r="E2292" s="333">
        <f>+E2275+E2291</f>
        <v>6002125</v>
      </c>
      <c r="F2292" s="334">
        <f t="shared" ref="F2292:I2292" si="2848">+F2275+F2291</f>
        <v>549000</v>
      </c>
      <c r="G2292" s="333">
        <f t="shared" si="2848"/>
        <v>120770</v>
      </c>
      <c r="H2292" s="331">
        <f t="shared" si="2848"/>
        <v>212117</v>
      </c>
      <c r="I2292" s="331">
        <f t="shared" si="2848"/>
        <v>974</v>
      </c>
      <c r="J2292" s="353">
        <f>+G2292/F2292</f>
        <v>0.21998178506375227</v>
      </c>
      <c r="K2292" s="333">
        <f>+K2275+K2291</f>
        <v>4144731</v>
      </c>
      <c r="L2292" s="331">
        <f t="shared" ref="L2292:M2292" si="2849">+L2275+L2291</f>
        <v>4112882</v>
      </c>
      <c r="M2292" s="332">
        <f t="shared" si="2849"/>
        <v>31849</v>
      </c>
      <c r="N2292" s="345">
        <f>IFERROR(K2292/E2292,"-")</f>
        <v>0.69054393235729017</v>
      </c>
      <c r="O2292" s="353">
        <f t="shared" si="2822"/>
        <v>7.684214005685773E-3</v>
      </c>
    </row>
    <row r="2293" spans="1:15" ht="23.4" x14ac:dyDescent="0.3">
      <c r="A2293" s="271" t="s">
        <v>108</v>
      </c>
      <c r="B2293" s="977" t="s">
        <v>26</v>
      </c>
      <c r="C2293" s="300" t="s">
        <v>323</v>
      </c>
      <c r="D2293" s="300" t="s">
        <v>190</v>
      </c>
      <c r="E2293" s="273">
        <v>0</v>
      </c>
      <c r="F2293" s="274"/>
      <c r="G2293" s="335">
        <f t="shared" ref="G2293:G2302" si="2850">+H2293+I2293</f>
        <v>0</v>
      </c>
      <c r="H2293" s="275"/>
      <c r="I2293" s="275"/>
      <c r="J2293" s="354" t="str">
        <f>IFERROR(G2293/#REF!,"-")</f>
        <v>-</v>
      </c>
      <c r="K2293" s="335">
        <f t="shared" ref="K2293:K2302" si="2851">+L2293+M2293</f>
        <v>0</v>
      </c>
      <c r="L2293" s="275">
        <f t="shared" ref="L2293:L2302" si="2852">+H2293+L2183</f>
        <v>0</v>
      </c>
      <c r="M2293" s="276">
        <f t="shared" ref="M2293:M2302" si="2853">+I2293+M2183</f>
        <v>0</v>
      </c>
      <c r="N2293" s="339" t="str">
        <f t="shared" ref="N2293:N2294" si="2854">IFERROR(K2293/E2293,"-")</f>
        <v>-</v>
      </c>
      <c r="O2293" s="349" t="str">
        <f t="shared" si="2822"/>
        <v>-</v>
      </c>
    </row>
    <row r="2294" spans="1:15" ht="23.4" x14ac:dyDescent="0.3">
      <c r="A2294" s="277" t="s">
        <v>108</v>
      </c>
      <c r="B2294" s="977"/>
      <c r="C2294" s="301" t="s">
        <v>508</v>
      </c>
      <c r="D2294" s="301" t="s">
        <v>507</v>
      </c>
      <c r="E2294" s="279">
        <v>0</v>
      </c>
      <c r="F2294" s="280"/>
      <c r="G2294" s="336">
        <f t="shared" si="2850"/>
        <v>0</v>
      </c>
      <c r="H2294" s="281"/>
      <c r="I2294" s="281"/>
      <c r="J2294" s="355" t="str">
        <f>IFERROR(G2294/#REF!,"-")</f>
        <v>-</v>
      </c>
      <c r="K2294" s="336">
        <f t="shared" si="2851"/>
        <v>190384</v>
      </c>
      <c r="L2294" s="275">
        <f t="shared" si="2852"/>
        <v>186966</v>
      </c>
      <c r="M2294" s="276">
        <f t="shared" si="2853"/>
        <v>3418</v>
      </c>
      <c r="N2294" s="340" t="str">
        <f t="shared" si="2854"/>
        <v>-</v>
      </c>
      <c r="O2294" s="264">
        <f t="shared" si="2822"/>
        <v>1.7953189343642324E-2</v>
      </c>
    </row>
    <row r="2295" spans="1:15" ht="23.4" x14ac:dyDescent="0.3">
      <c r="A2295" s="277" t="s">
        <v>108</v>
      </c>
      <c r="B2295" s="977"/>
      <c r="C2295" s="302" t="s">
        <v>27</v>
      </c>
      <c r="D2295" s="302" t="s">
        <v>370</v>
      </c>
      <c r="E2295" s="283">
        <v>0</v>
      </c>
      <c r="F2295" s="284"/>
      <c r="G2295" s="336">
        <f t="shared" si="2850"/>
        <v>3981</v>
      </c>
      <c r="H2295" s="285">
        <v>3466</v>
      </c>
      <c r="I2295" s="285">
        <v>515</v>
      </c>
      <c r="J2295" s="356" t="str">
        <f>IFERROR(G2295/#REF!,"-")</f>
        <v>-</v>
      </c>
      <c r="K2295" s="336">
        <f t="shared" si="2851"/>
        <v>19293</v>
      </c>
      <c r="L2295" s="275">
        <f t="shared" si="2852"/>
        <v>17958</v>
      </c>
      <c r="M2295" s="276">
        <f t="shared" si="2853"/>
        <v>1335</v>
      </c>
      <c r="N2295" s="286"/>
      <c r="O2295" s="264">
        <f t="shared" si="2822"/>
        <v>6.9196081480329658E-2</v>
      </c>
    </row>
    <row r="2296" spans="1:15" ht="23.4" x14ac:dyDescent="0.3">
      <c r="A2296" s="277" t="s">
        <v>108</v>
      </c>
      <c r="B2296" s="977"/>
      <c r="C2296" s="302" t="s">
        <v>27</v>
      </c>
      <c r="D2296" s="302" t="s">
        <v>254</v>
      </c>
      <c r="E2296" s="283">
        <v>0</v>
      </c>
      <c r="F2296" s="284"/>
      <c r="G2296" s="336">
        <f t="shared" si="2850"/>
        <v>0</v>
      </c>
      <c r="H2296" s="285"/>
      <c r="I2296" s="285"/>
      <c r="J2296" s="356" t="str">
        <f>IFERROR(G2296/#REF!,"-")</f>
        <v>-</v>
      </c>
      <c r="K2296" s="336">
        <f t="shared" si="2851"/>
        <v>41904</v>
      </c>
      <c r="L2296" s="275">
        <f t="shared" si="2852"/>
        <v>39879</v>
      </c>
      <c r="M2296" s="276">
        <f t="shared" si="2853"/>
        <v>2025</v>
      </c>
      <c r="N2296" s="286"/>
      <c r="O2296" s="264">
        <f t="shared" si="2822"/>
        <v>4.8324742268041239E-2</v>
      </c>
    </row>
    <row r="2297" spans="1:15" ht="23.4" x14ac:dyDescent="0.3">
      <c r="A2297" s="277" t="s">
        <v>108</v>
      </c>
      <c r="B2297" s="977"/>
      <c r="C2297" s="302" t="s">
        <v>27</v>
      </c>
      <c r="D2297" s="302" t="s">
        <v>302</v>
      </c>
      <c r="E2297" s="283">
        <v>0</v>
      </c>
      <c r="F2297" s="284"/>
      <c r="G2297" s="336">
        <f t="shared" si="2850"/>
        <v>4779</v>
      </c>
      <c r="H2297" s="285">
        <v>2809</v>
      </c>
      <c r="I2297" s="285">
        <v>1970</v>
      </c>
      <c r="J2297" s="356" t="str">
        <f>IFERROR(G2297/#REF!,"-")</f>
        <v>-</v>
      </c>
      <c r="K2297" s="336">
        <f t="shared" si="2851"/>
        <v>11124</v>
      </c>
      <c r="L2297" s="275">
        <f t="shared" si="2852"/>
        <v>8639</v>
      </c>
      <c r="M2297" s="276">
        <f t="shared" si="2853"/>
        <v>2485</v>
      </c>
      <c r="N2297" s="286"/>
      <c r="O2297" s="264">
        <f t="shared" si="2822"/>
        <v>0.2233908665947501</v>
      </c>
    </row>
    <row r="2298" spans="1:15" ht="22.5" customHeight="1" x14ac:dyDescent="0.3">
      <c r="A2298" s="277"/>
      <c r="B2298" s="977"/>
      <c r="C2298" s="302" t="s">
        <v>541</v>
      </c>
      <c r="D2298" s="302" t="s">
        <v>191</v>
      </c>
      <c r="E2298" s="283">
        <v>0</v>
      </c>
      <c r="F2298" s="284"/>
      <c r="G2298" s="337">
        <f t="shared" si="2850"/>
        <v>3087</v>
      </c>
      <c r="H2298" s="285">
        <f>2142</f>
        <v>2142</v>
      </c>
      <c r="I2298" s="285">
        <f>945</f>
        <v>945</v>
      </c>
      <c r="J2298" s="356" t="str">
        <f>IFERROR(G2298/#REF!,"-")</f>
        <v>-</v>
      </c>
      <c r="K2298" s="337">
        <f t="shared" si="2851"/>
        <v>7360</v>
      </c>
      <c r="L2298" s="275">
        <f t="shared" si="2852"/>
        <v>6120</v>
      </c>
      <c r="M2298" s="276">
        <f t="shared" si="2853"/>
        <v>1240</v>
      </c>
      <c r="N2298" s="286"/>
      <c r="O2298" s="264">
        <f t="shared" si="2822"/>
        <v>0.16847826086956522</v>
      </c>
    </row>
    <row r="2299" spans="1:15" ht="23.4" x14ac:dyDescent="0.3">
      <c r="A2299" s="277"/>
      <c r="B2299" s="977"/>
      <c r="C2299" s="302" t="s">
        <v>369</v>
      </c>
      <c r="D2299" s="302" t="s">
        <v>101</v>
      </c>
      <c r="E2299" s="283">
        <v>0</v>
      </c>
      <c r="F2299" s="284"/>
      <c r="G2299" s="337">
        <f t="shared" si="2850"/>
        <v>12928</v>
      </c>
      <c r="H2299" s="285">
        <v>11628</v>
      </c>
      <c r="I2299" s="285">
        <v>1300</v>
      </c>
      <c r="J2299" s="356" t="str">
        <f>IFERROR(G2299/#REF!,"-")</f>
        <v>-</v>
      </c>
      <c r="K2299" s="337">
        <f t="shared" si="2851"/>
        <v>19063</v>
      </c>
      <c r="L2299" s="275">
        <f t="shared" si="2852"/>
        <v>17527</v>
      </c>
      <c r="M2299" s="276">
        <f t="shared" si="2853"/>
        <v>1536</v>
      </c>
      <c r="N2299" s="286"/>
      <c r="O2299" s="264">
        <f t="shared" si="2822"/>
        <v>8.0574935739390438E-2</v>
      </c>
    </row>
    <row r="2300" spans="1:15" ht="23.4" x14ac:dyDescent="0.3">
      <c r="A2300" s="277"/>
      <c r="B2300" s="977"/>
      <c r="C2300" s="302" t="s">
        <v>542</v>
      </c>
      <c r="D2300" s="302" t="s">
        <v>191</v>
      </c>
      <c r="E2300" s="283">
        <v>0</v>
      </c>
      <c r="F2300" s="284"/>
      <c r="G2300" s="337">
        <f t="shared" si="2850"/>
        <v>0</v>
      </c>
      <c r="H2300" s="285"/>
      <c r="I2300" s="285"/>
      <c r="J2300" s="356" t="str">
        <f>IFERROR(G2300/#REF!,"-")</f>
        <v>-</v>
      </c>
      <c r="K2300" s="337">
        <f t="shared" si="2851"/>
        <v>2448</v>
      </c>
      <c r="L2300" s="275">
        <f t="shared" si="2852"/>
        <v>2448</v>
      </c>
      <c r="M2300" s="275">
        <f t="shared" si="2853"/>
        <v>0</v>
      </c>
      <c r="N2300" s="286"/>
      <c r="O2300" s="264">
        <f t="shared" si="2822"/>
        <v>0</v>
      </c>
    </row>
    <row r="2301" spans="1:15" ht="23.4" x14ac:dyDescent="0.3">
      <c r="A2301" s="277"/>
      <c r="B2301" s="977"/>
      <c r="C2301" s="302" t="s">
        <v>452</v>
      </c>
      <c r="D2301" s="302" t="s">
        <v>410</v>
      </c>
      <c r="E2301" s="283">
        <v>0</v>
      </c>
      <c r="F2301" s="284"/>
      <c r="G2301" s="337">
        <f t="shared" si="2850"/>
        <v>0</v>
      </c>
      <c r="H2301" s="285"/>
      <c r="I2301" s="285"/>
      <c r="J2301" s="356" t="str">
        <f>IFERROR(G2301/#REF!,"-")</f>
        <v>-</v>
      </c>
      <c r="K2301" s="337">
        <f t="shared" si="2851"/>
        <v>40370</v>
      </c>
      <c r="L2301" s="275">
        <f t="shared" si="2852"/>
        <v>39117</v>
      </c>
      <c r="M2301" s="276">
        <f t="shared" si="2853"/>
        <v>1253</v>
      </c>
      <c r="N2301" s="286"/>
      <c r="O2301" s="264">
        <f t="shared" si="2822"/>
        <v>3.1037899430270001E-2</v>
      </c>
    </row>
    <row r="2302" spans="1:15" ht="24" thickBot="1" x14ac:dyDescent="0.35">
      <c r="A2302" s="277" t="s">
        <v>108</v>
      </c>
      <c r="B2302" s="977"/>
      <c r="C2302" s="303" t="s">
        <v>315</v>
      </c>
      <c r="D2302" s="302" t="s">
        <v>313</v>
      </c>
      <c r="E2302" s="283">
        <v>0</v>
      </c>
      <c r="F2302" s="284"/>
      <c r="G2302" s="337">
        <f t="shared" si="2850"/>
        <v>20797</v>
      </c>
      <c r="H2302" s="285">
        <v>18797</v>
      </c>
      <c r="I2302" s="285">
        <v>2000</v>
      </c>
      <c r="J2302" s="356" t="str">
        <f>IFERROR(G2302/#REF!,"-")</f>
        <v>-</v>
      </c>
      <c r="K2302" s="337">
        <f t="shared" si="2851"/>
        <v>37200</v>
      </c>
      <c r="L2302" s="275">
        <f t="shared" si="2852"/>
        <v>34709</v>
      </c>
      <c r="M2302" s="276">
        <f t="shared" si="2853"/>
        <v>2491</v>
      </c>
      <c r="N2302" s="341" t="str">
        <f t="shared" ref="N2302:N2311" si="2855">IFERROR(K2302/E2302,"-")</f>
        <v>-</v>
      </c>
      <c r="O2302" s="350">
        <f t="shared" si="2822"/>
        <v>6.6962365591397843E-2</v>
      </c>
    </row>
    <row r="2303" spans="1:15" ht="24" thickBot="1" x14ac:dyDescent="0.35">
      <c r="A2303" s="277" t="s">
        <v>108</v>
      </c>
      <c r="B2303" s="990"/>
      <c r="C2303" s="304"/>
      <c r="D2303" s="305" t="s">
        <v>55</v>
      </c>
      <c r="E2303" s="287">
        <f>SUM(E2293:E2302)</f>
        <v>0</v>
      </c>
      <c r="F2303" s="288">
        <v>80000</v>
      </c>
      <c r="G2303" s="323">
        <f>SUM(G2293:G2302)</f>
        <v>45572</v>
      </c>
      <c r="H2303" s="324">
        <f>SUM(H2293:H2302)</f>
        <v>38842</v>
      </c>
      <c r="I2303" s="324">
        <f>SUM(I2293:I2302)</f>
        <v>6730</v>
      </c>
      <c r="J2303" s="348">
        <f>+G2303/F2303</f>
        <v>0.56964999999999999</v>
      </c>
      <c r="K2303" s="323">
        <f>SUM(K2293:K2302)</f>
        <v>369146</v>
      </c>
      <c r="L2303" s="324">
        <f>SUM(L2293:L2302)</f>
        <v>353363</v>
      </c>
      <c r="M2303" s="325">
        <f>SUM(M2293:M2302)</f>
        <v>15783</v>
      </c>
      <c r="N2303" s="342" t="str">
        <f t="shared" si="2855"/>
        <v>-</v>
      </c>
      <c r="O2303" s="348">
        <f t="shared" si="2822"/>
        <v>4.2755440936648376E-2</v>
      </c>
    </row>
    <row r="2304" spans="1:15" ht="23.4" x14ac:dyDescent="0.3">
      <c r="A2304" s="277" t="s">
        <v>108</v>
      </c>
      <c r="B2304" s="976" t="s">
        <v>28</v>
      </c>
      <c r="C2304" s="302" t="s">
        <v>27</v>
      </c>
      <c r="D2304" s="300" t="s">
        <v>191</v>
      </c>
      <c r="E2304" s="273">
        <v>2612056</v>
      </c>
      <c r="F2304" s="274"/>
      <c r="G2304" s="335">
        <f t="shared" ref="G2304:G2310" si="2856">+H2304+I2304</f>
        <v>0</v>
      </c>
      <c r="H2304" s="275"/>
      <c r="I2304" s="275"/>
      <c r="J2304" s="354" t="str">
        <f>IFERROR(G2304/#REF!,"-")</f>
        <v>-</v>
      </c>
      <c r="K2304" s="335">
        <f t="shared" ref="K2304:K2310" si="2857">+L2304+M2304</f>
        <v>166634</v>
      </c>
      <c r="L2304" s="275">
        <f t="shared" ref="L2304:M2306" si="2858">+H2304+L2194</f>
        <v>163098</v>
      </c>
      <c r="M2304" s="276">
        <f t="shared" si="2858"/>
        <v>3536</v>
      </c>
      <c r="N2304" s="339">
        <f t="shared" si="2855"/>
        <v>6.3794191242454223E-2</v>
      </c>
      <c r="O2304" s="349">
        <f t="shared" si="2822"/>
        <v>2.1220159151193633E-2</v>
      </c>
    </row>
    <row r="2305" spans="1:15" ht="23.4" x14ac:dyDescent="0.3">
      <c r="A2305" s="277" t="s">
        <v>108</v>
      </c>
      <c r="B2305" s="977"/>
      <c r="C2305" s="302" t="s">
        <v>455</v>
      </c>
      <c r="D2305" s="302" t="s">
        <v>370</v>
      </c>
      <c r="E2305" s="279">
        <v>0</v>
      </c>
      <c r="F2305" s="280"/>
      <c r="G2305" s="336">
        <f t="shared" si="2856"/>
        <v>0</v>
      </c>
      <c r="H2305" s="281"/>
      <c r="I2305" s="281"/>
      <c r="J2305" s="355" t="str">
        <f>IFERROR(G2305/#REF!,"-")</f>
        <v>-</v>
      </c>
      <c r="K2305" s="336">
        <f t="shared" si="2857"/>
        <v>1443923</v>
      </c>
      <c r="L2305" s="275">
        <f t="shared" si="2858"/>
        <v>1427796</v>
      </c>
      <c r="M2305" s="276">
        <f t="shared" si="2858"/>
        <v>16127</v>
      </c>
      <c r="N2305" s="340" t="str">
        <f t="shared" si="2855"/>
        <v>-</v>
      </c>
      <c r="O2305" s="264">
        <f t="shared" si="2822"/>
        <v>1.1168878118847057E-2</v>
      </c>
    </row>
    <row r="2306" spans="1:15" ht="23.4" x14ac:dyDescent="0.3">
      <c r="A2306" s="277" t="s">
        <v>108</v>
      </c>
      <c r="B2306" s="977"/>
      <c r="C2306" s="302" t="s">
        <v>27</v>
      </c>
      <c r="D2306" s="302" t="s">
        <v>370</v>
      </c>
      <c r="E2306" s="279">
        <v>0</v>
      </c>
      <c r="F2306" s="280"/>
      <c r="G2306" s="336">
        <f t="shared" si="2856"/>
        <v>0</v>
      </c>
      <c r="H2306" s="281"/>
      <c r="I2306" s="281"/>
      <c r="J2306" s="355" t="str">
        <f>IFERROR(G2306/#REF!,"-")</f>
        <v>-</v>
      </c>
      <c r="K2306" s="336">
        <f t="shared" si="2857"/>
        <v>81580</v>
      </c>
      <c r="L2306" s="275">
        <f t="shared" si="2858"/>
        <v>79560</v>
      </c>
      <c r="M2306" s="276">
        <f t="shared" si="2858"/>
        <v>2020</v>
      </c>
      <c r="N2306" s="340" t="str">
        <f t="shared" si="2855"/>
        <v>-</v>
      </c>
      <c r="O2306" s="264">
        <f t="shared" si="2822"/>
        <v>2.476097082618289E-2</v>
      </c>
    </row>
    <row r="2307" spans="1:15" ht="23.4" x14ac:dyDescent="0.3">
      <c r="A2307" s="277"/>
      <c r="B2307" s="977"/>
      <c r="C2307" s="302" t="s">
        <v>608</v>
      </c>
      <c r="D2307" s="302" t="s">
        <v>370</v>
      </c>
      <c r="E2307" s="283"/>
      <c r="F2307" s="284"/>
      <c r="G2307" s="336">
        <f t="shared" si="2856"/>
        <v>2536</v>
      </c>
      <c r="H2307" s="285">
        <v>1556</v>
      </c>
      <c r="I2307" s="285">
        <v>980</v>
      </c>
      <c r="J2307" s="356"/>
      <c r="K2307" s="336">
        <f t="shared" si="2857"/>
        <v>2536</v>
      </c>
      <c r="L2307" s="275">
        <f>+H2307</f>
        <v>1556</v>
      </c>
      <c r="M2307" s="276">
        <f>+I2307</f>
        <v>980</v>
      </c>
      <c r="N2307" s="341"/>
      <c r="O2307" s="350"/>
    </row>
    <row r="2308" spans="1:15" ht="23.4" x14ac:dyDescent="0.3">
      <c r="A2308" s="277" t="s">
        <v>108</v>
      </c>
      <c r="B2308" s="977"/>
      <c r="C2308" s="302" t="s">
        <v>452</v>
      </c>
      <c r="D2308" s="303" t="s">
        <v>410</v>
      </c>
      <c r="E2308" s="283">
        <v>0</v>
      </c>
      <c r="F2308" s="284"/>
      <c r="G2308" s="337">
        <f t="shared" si="2856"/>
        <v>0</v>
      </c>
      <c r="H2308" s="285"/>
      <c r="I2308" s="285"/>
      <c r="J2308" s="356" t="str">
        <f>IFERROR(G2308/#REF!,"-")</f>
        <v>-</v>
      </c>
      <c r="K2308" s="337">
        <f t="shared" si="2857"/>
        <v>249713</v>
      </c>
      <c r="L2308" s="275">
        <f>+H2308+L2197</f>
        <v>246636</v>
      </c>
      <c r="M2308" s="755">
        <f>+I2308+M2197</f>
        <v>3077</v>
      </c>
      <c r="N2308" s="341" t="str">
        <f t="shared" si="2855"/>
        <v>-</v>
      </c>
      <c r="O2308" s="350">
        <f t="shared" si="2822"/>
        <v>1.2322145823405269E-2</v>
      </c>
    </row>
    <row r="2309" spans="1:15" ht="23.4" x14ac:dyDescent="0.3">
      <c r="A2309" s="277"/>
      <c r="B2309" s="977"/>
      <c r="C2309" s="302" t="s">
        <v>606</v>
      </c>
      <c r="D2309" s="303" t="s">
        <v>303</v>
      </c>
      <c r="E2309" s="283"/>
      <c r="F2309" s="284"/>
      <c r="G2309" s="337"/>
      <c r="H2309" s="285">
        <v>1274</v>
      </c>
      <c r="I2309" s="285">
        <v>1245</v>
      </c>
      <c r="J2309" s="356"/>
      <c r="K2309" s="337">
        <f t="shared" si="2857"/>
        <v>2519</v>
      </c>
      <c r="L2309" s="275">
        <f>+H2309</f>
        <v>1274</v>
      </c>
      <c r="M2309" s="275">
        <f>+I2309</f>
        <v>1245</v>
      </c>
      <c r="N2309" s="341"/>
      <c r="O2309" s="350"/>
    </row>
    <row r="2310" spans="1:15" ht="24" thickBot="1" x14ac:dyDescent="0.35">
      <c r="A2310" s="277" t="s">
        <v>108</v>
      </c>
      <c r="B2310" s="977"/>
      <c r="C2310" s="302" t="s">
        <v>27</v>
      </c>
      <c r="D2310" s="303" t="s">
        <v>254</v>
      </c>
      <c r="E2310" s="283">
        <v>0</v>
      </c>
      <c r="F2310" s="284"/>
      <c r="G2310" s="337">
        <f t="shared" si="2856"/>
        <v>0</v>
      </c>
      <c r="H2310" s="285"/>
      <c r="I2310" s="285"/>
      <c r="J2310" s="356" t="str">
        <f>IFERROR(G2310/#REF!,"-")</f>
        <v>-</v>
      </c>
      <c r="K2310" s="337">
        <f t="shared" si="2857"/>
        <v>767509</v>
      </c>
      <c r="L2310" s="275">
        <f>+H2310+L2198</f>
        <v>758574</v>
      </c>
      <c r="M2310" s="755">
        <f>+I2310+M2198</f>
        <v>8935</v>
      </c>
      <c r="N2310" s="341" t="str">
        <f t="shared" si="2855"/>
        <v>-</v>
      </c>
      <c r="O2310" s="350">
        <f t="shared" si="2822"/>
        <v>1.164155729769944E-2</v>
      </c>
    </row>
    <row r="2311" spans="1:15" ht="24" thickBot="1" x14ac:dyDescent="0.35">
      <c r="A2311" s="277" t="s">
        <v>108</v>
      </c>
      <c r="B2311" s="977"/>
      <c r="C2311" s="307"/>
      <c r="D2311" s="308" t="s">
        <v>55</v>
      </c>
      <c r="E2311" s="309">
        <f>SUM(E2304:E2310)</f>
        <v>2612056</v>
      </c>
      <c r="F2311" s="310">
        <v>160000</v>
      </c>
      <c r="G2311" s="369">
        <f>SUM(G2304:G2310)</f>
        <v>2536</v>
      </c>
      <c r="H2311" s="368">
        <f>SUM(H2304:H2310)</f>
        <v>2830</v>
      </c>
      <c r="I2311" s="368">
        <f>SUM(I2304:I2310)</f>
        <v>2225</v>
      </c>
      <c r="J2311" s="359">
        <f>+G2311/F2311</f>
        <v>1.585E-2</v>
      </c>
      <c r="K2311" s="369">
        <f>SUM(K2304:K2310)</f>
        <v>2714414</v>
      </c>
      <c r="L2311" s="368">
        <f>SUM(L2304:L2310)</f>
        <v>2678494</v>
      </c>
      <c r="M2311" s="370">
        <f>SUM(M2304:M2310)</f>
        <v>35920</v>
      </c>
      <c r="N2311" s="358">
        <f t="shared" si="2855"/>
        <v>1.039186755567262</v>
      </c>
      <c r="O2311" s="359">
        <f t="shared" si="2822"/>
        <v>1.3233058774380031E-2</v>
      </c>
    </row>
    <row r="2312" spans="1:15" ht="24" thickBot="1" x14ac:dyDescent="0.35">
      <c r="A2312" s="934" t="s">
        <v>108</v>
      </c>
      <c r="B2312" s="978" t="s">
        <v>170</v>
      </c>
      <c r="C2312" s="979"/>
      <c r="D2312" s="980"/>
      <c r="E2312" s="311">
        <f>+E2311+E2303</f>
        <v>2612056</v>
      </c>
      <c r="F2312" s="312">
        <v>240000</v>
      </c>
      <c r="G2312" s="372">
        <f>+G2303+G2311</f>
        <v>48108</v>
      </c>
      <c r="H2312" s="371">
        <f>+H2303+H2311</f>
        <v>41672</v>
      </c>
      <c r="I2312" s="371">
        <f>+I2303+I2311</f>
        <v>8955</v>
      </c>
      <c r="J2312" s="361">
        <f>+G2312/F2312</f>
        <v>0.20044999999999999</v>
      </c>
      <c r="K2312" s="372">
        <f>+K2303+K2311</f>
        <v>3083560</v>
      </c>
      <c r="L2312" s="371">
        <f>+L2303+L2311</f>
        <v>3031857</v>
      </c>
      <c r="M2312" s="373">
        <f>+M2303+M2311</f>
        <v>51703</v>
      </c>
      <c r="N2312" s="360">
        <f>IFERROR(K2312/E2312,"-")</f>
        <v>1.1805106781784158</v>
      </c>
      <c r="O2312" s="361">
        <f t="shared" si="2822"/>
        <v>1.6767307916823411E-2</v>
      </c>
    </row>
    <row r="2313" spans="1:15" ht="23.4" x14ac:dyDescent="0.3">
      <c r="A2313" s="277" t="s">
        <v>108</v>
      </c>
      <c r="B2313" s="977" t="s">
        <v>30</v>
      </c>
      <c r="C2313" s="306" t="s">
        <v>581</v>
      </c>
      <c r="D2313" s="302" t="s">
        <v>370</v>
      </c>
      <c r="E2313" s="273">
        <v>0</v>
      </c>
      <c r="F2313" s="274"/>
      <c r="G2313" s="335">
        <f t="shared" ref="G2313:G2315" si="2859">+H2313+I2313</f>
        <v>0</v>
      </c>
      <c r="H2313" s="275"/>
      <c r="I2313" s="275"/>
      <c r="J2313" s="354" t="str">
        <f>IFERROR(G2313/#REF!,"-")</f>
        <v>-</v>
      </c>
      <c r="K2313" s="335">
        <f t="shared" ref="K2313:K2315" si="2860">+L2313+M2313</f>
        <v>11232</v>
      </c>
      <c r="L2313" s="275">
        <f t="shared" ref="L2313:M2315" si="2861">+H2313+L2201</f>
        <v>11232</v>
      </c>
      <c r="M2313" s="276">
        <f t="shared" si="2861"/>
        <v>0</v>
      </c>
      <c r="N2313" s="339" t="str">
        <f t="shared" ref="N2313:N2317" si="2862">IFERROR(K2313/E2313,"-")</f>
        <v>-</v>
      </c>
      <c r="O2313" s="349">
        <f t="shared" si="2822"/>
        <v>0</v>
      </c>
    </row>
    <row r="2314" spans="1:15" ht="23.4" x14ac:dyDescent="0.3">
      <c r="A2314" s="277" t="s">
        <v>108</v>
      </c>
      <c r="B2314" s="977"/>
      <c r="C2314" s="303" t="s">
        <v>531</v>
      </c>
      <c r="D2314" s="306" t="s">
        <v>410</v>
      </c>
      <c r="E2314" s="279">
        <v>0</v>
      </c>
      <c r="F2314" s="280"/>
      <c r="G2314" s="336">
        <f t="shared" si="2859"/>
        <v>2003</v>
      </c>
      <c r="H2314" s="281">
        <v>1092</v>
      </c>
      <c r="I2314" s="281">
        <v>911</v>
      </c>
      <c r="J2314" s="355" t="str">
        <f>IFERROR(G2314/#REF!,"-")</f>
        <v>-</v>
      </c>
      <c r="K2314" s="336">
        <f t="shared" si="2860"/>
        <v>246260</v>
      </c>
      <c r="L2314" s="275">
        <f t="shared" si="2861"/>
        <v>240708</v>
      </c>
      <c r="M2314" s="276">
        <f t="shared" si="2861"/>
        <v>5552</v>
      </c>
      <c r="N2314" s="340" t="str">
        <f t="shared" si="2862"/>
        <v>-</v>
      </c>
      <c r="O2314" s="264">
        <f t="shared" si="2822"/>
        <v>2.2545277349143182E-2</v>
      </c>
    </row>
    <row r="2315" spans="1:15" ht="24" thickBot="1" x14ac:dyDescent="0.35">
      <c r="A2315" s="277" t="s">
        <v>108</v>
      </c>
      <c r="B2315" s="977"/>
      <c r="C2315" s="303" t="s">
        <v>316</v>
      </c>
      <c r="D2315" s="303" t="s">
        <v>410</v>
      </c>
      <c r="E2315" s="283">
        <v>0</v>
      </c>
      <c r="F2315" s="284"/>
      <c r="G2315" s="337">
        <f t="shared" si="2859"/>
        <v>1038</v>
      </c>
      <c r="H2315" s="285">
        <v>588</v>
      </c>
      <c r="I2315" s="285">
        <v>450</v>
      </c>
      <c r="J2315" s="356" t="str">
        <f>IFERROR(G2315/#REF!,"-")</f>
        <v>-</v>
      </c>
      <c r="K2315" s="337">
        <f t="shared" si="2860"/>
        <v>172677</v>
      </c>
      <c r="L2315" s="275">
        <f t="shared" si="2861"/>
        <v>167196</v>
      </c>
      <c r="M2315" s="276">
        <f t="shared" si="2861"/>
        <v>5481</v>
      </c>
      <c r="N2315" s="341" t="str">
        <f t="shared" si="2862"/>
        <v>-</v>
      </c>
      <c r="O2315" s="350">
        <f t="shared" si="2822"/>
        <v>3.1741343664761376E-2</v>
      </c>
    </row>
    <row r="2316" spans="1:15" ht="24" thickBot="1" x14ac:dyDescent="0.35">
      <c r="A2316" s="277" t="s">
        <v>108</v>
      </c>
      <c r="B2316" s="977"/>
      <c r="C2316" s="304"/>
      <c r="D2316" s="305" t="s">
        <v>53</v>
      </c>
      <c r="E2316" s="287">
        <v>0</v>
      </c>
      <c r="F2316" s="288">
        <v>50000</v>
      </c>
      <c r="G2316" s="323">
        <f>SUM(G2313:G2315)</f>
        <v>3041</v>
      </c>
      <c r="H2316" s="324">
        <f>SUM(H2313:H2315)</f>
        <v>1680</v>
      </c>
      <c r="I2316" s="324">
        <f>SUM(I2313:I2315)</f>
        <v>1361</v>
      </c>
      <c r="J2316" s="348">
        <f>+H2316/G2316</f>
        <v>0.55244985202236108</v>
      </c>
      <c r="K2316" s="323">
        <f>SUM(K2313:K2315)</f>
        <v>430169</v>
      </c>
      <c r="L2316" s="324">
        <f>SUM(L2313:L2315)</f>
        <v>419136</v>
      </c>
      <c r="M2316" s="325">
        <f>SUM(M2313:M2315)</f>
        <v>11033</v>
      </c>
      <c r="N2316" s="342" t="str">
        <f t="shared" si="2862"/>
        <v>-</v>
      </c>
      <c r="O2316" s="348">
        <f t="shared" si="2822"/>
        <v>2.5648059251131533E-2</v>
      </c>
    </row>
    <row r="2317" spans="1:15" ht="23.4" x14ac:dyDescent="0.3">
      <c r="A2317" s="277" t="s">
        <v>108</v>
      </c>
      <c r="B2317" s="977"/>
      <c r="C2317" s="300" t="s">
        <v>543</v>
      </c>
      <c r="D2317" s="300" t="s">
        <v>99</v>
      </c>
      <c r="E2317" s="273">
        <v>500000</v>
      </c>
      <c r="F2317" s="274"/>
      <c r="G2317" s="335">
        <f t="shared" ref="G2317:G2318" si="2863">+H2317+I2317</f>
        <v>1471</v>
      </c>
      <c r="H2317" s="275">
        <v>1471</v>
      </c>
      <c r="I2317" s="275"/>
      <c r="J2317" s="354" t="str">
        <f>IFERROR(G2317/#REF!,"-")</f>
        <v>-</v>
      </c>
      <c r="K2317" s="335">
        <f t="shared" ref="K2317:K2322" si="2864">+L2317+M2317</f>
        <v>18097</v>
      </c>
      <c r="L2317" s="275">
        <f t="shared" ref="L2317:M2320" si="2865">+H2317+L2205</f>
        <v>17403</v>
      </c>
      <c r="M2317" s="276">
        <f t="shared" si="2865"/>
        <v>694</v>
      </c>
      <c r="N2317" s="339">
        <f t="shared" si="2862"/>
        <v>3.6193999999999997E-2</v>
      </c>
      <c r="O2317" s="349">
        <f t="shared" si="2822"/>
        <v>3.8348897607338235E-2</v>
      </c>
    </row>
    <row r="2318" spans="1:15" ht="23.4" x14ac:dyDescent="0.3">
      <c r="A2318" s="277"/>
      <c r="B2318" s="977"/>
      <c r="C2318" s="306" t="s">
        <v>585</v>
      </c>
      <c r="D2318" s="302" t="s">
        <v>370</v>
      </c>
      <c r="E2318" s="273"/>
      <c r="F2318" s="274"/>
      <c r="G2318" s="335">
        <f t="shared" si="2863"/>
        <v>2872</v>
      </c>
      <c r="H2318" s="275">
        <v>2872</v>
      </c>
      <c r="I2318" s="275"/>
      <c r="J2318" s="354" t="str">
        <f>IFERROR(G2318/#REF!,"-")</f>
        <v>-</v>
      </c>
      <c r="K2318" s="335">
        <f t="shared" si="2864"/>
        <v>49950</v>
      </c>
      <c r="L2318" s="275">
        <f t="shared" si="2865"/>
        <v>49672</v>
      </c>
      <c r="M2318" s="276">
        <f t="shared" si="2865"/>
        <v>278</v>
      </c>
      <c r="N2318" s="340" t="str">
        <f t="shared" ref="N2318:N2326" si="2866">IFERROR(K2318/E2318,"-")</f>
        <v>-</v>
      </c>
      <c r="O2318" s="349">
        <f t="shared" si="2822"/>
        <v>5.5655655655655655E-3</v>
      </c>
    </row>
    <row r="2319" spans="1:15" ht="23.4" x14ac:dyDescent="0.3">
      <c r="A2319" s="277"/>
      <c r="B2319" s="977"/>
      <c r="C2319" s="306" t="s">
        <v>588</v>
      </c>
      <c r="D2319" s="302" t="s">
        <v>370</v>
      </c>
      <c r="E2319" s="273"/>
      <c r="F2319" s="274"/>
      <c r="G2319" s="335"/>
      <c r="H2319" s="275">
        <v>1872</v>
      </c>
      <c r="I2319" s="275">
        <v>1275</v>
      </c>
      <c r="J2319" s="354"/>
      <c r="K2319" s="335">
        <f t="shared" si="2864"/>
        <v>5289</v>
      </c>
      <c r="L2319" s="275">
        <f t="shared" si="2865"/>
        <v>3744</v>
      </c>
      <c r="M2319" s="276">
        <f t="shared" si="2865"/>
        <v>1545</v>
      </c>
      <c r="N2319" s="340" t="str">
        <f t="shared" si="2866"/>
        <v>-</v>
      </c>
      <c r="O2319" s="349">
        <f t="shared" si="2822"/>
        <v>0.29211571185479296</v>
      </c>
    </row>
    <row r="2320" spans="1:15" ht="23.4" x14ac:dyDescent="0.3">
      <c r="A2320" s="277" t="s">
        <v>108</v>
      </c>
      <c r="B2320" s="977"/>
      <c r="C2320" s="306" t="s">
        <v>373</v>
      </c>
      <c r="D2320" s="306" t="s">
        <v>254</v>
      </c>
      <c r="E2320" s="279">
        <v>0</v>
      </c>
      <c r="F2320" s="280"/>
      <c r="G2320" s="336">
        <f t="shared" ref="G2320:G2322" si="2867">+H2320+I2320</f>
        <v>0</v>
      </c>
      <c r="H2320" s="281"/>
      <c r="I2320" s="281"/>
      <c r="J2320" s="355" t="str">
        <f>IFERROR(G2320/#REF!,"-")</f>
        <v>-</v>
      </c>
      <c r="K2320" s="336">
        <f t="shared" si="2864"/>
        <v>13599</v>
      </c>
      <c r="L2320" s="275">
        <f t="shared" si="2865"/>
        <v>13321</v>
      </c>
      <c r="M2320" s="276">
        <f t="shared" si="2865"/>
        <v>278</v>
      </c>
      <c r="N2320" s="340" t="str">
        <f t="shared" si="2866"/>
        <v>-</v>
      </c>
      <c r="O2320" s="264">
        <f t="shared" si="2822"/>
        <v>2.0442679608794763E-2</v>
      </c>
    </row>
    <row r="2321" spans="1:15" ht="23.4" x14ac:dyDescent="0.3">
      <c r="A2321" s="277"/>
      <c r="B2321" s="977"/>
      <c r="C2321" s="303" t="s">
        <v>607</v>
      </c>
      <c r="D2321" s="303" t="s">
        <v>410</v>
      </c>
      <c r="E2321" s="283"/>
      <c r="F2321" s="284"/>
      <c r="G2321" s="337"/>
      <c r="H2321" s="285">
        <v>442</v>
      </c>
      <c r="I2321" s="285">
        <v>500</v>
      </c>
      <c r="J2321" s="356"/>
      <c r="K2321" s="336">
        <f t="shared" si="2864"/>
        <v>942</v>
      </c>
      <c r="L2321" s="275">
        <f>+H2321</f>
        <v>442</v>
      </c>
      <c r="M2321" s="275">
        <f>+I2321</f>
        <v>500</v>
      </c>
      <c r="N2321" s="340" t="str">
        <f t="shared" si="2866"/>
        <v>-</v>
      </c>
      <c r="O2321" s="264">
        <f t="shared" si="2822"/>
        <v>0.53078556263269638</v>
      </c>
    </row>
    <row r="2322" spans="1:15" ht="24" thickBot="1" x14ac:dyDescent="0.35">
      <c r="A2322" s="277" t="s">
        <v>108</v>
      </c>
      <c r="B2322" s="977"/>
      <c r="C2322" s="303" t="s">
        <v>544</v>
      </c>
      <c r="D2322" s="303" t="s">
        <v>507</v>
      </c>
      <c r="E2322" s="283">
        <v>0</v>
      </c>
      <c r="F2322" s="284"/>
      <c r="G2322" s="337">
        <f t="shared" si="2867"/>
        <v>0</v>
      </c>
      <c r="H2322" s="285"/>
      <c r="I2322" s="285"/>
      <c r="J2322" s="356" t="str">
        <f>IFERROR(G2322/#REF!,"-")</f>
        <v>-</v>
      </c>
      <c r="K2322" s="337">
        <f t="shared" si="2864"/>
        <v>845</v>
      </c>
      <c r="L2322" s="275">
        <f>+H2322+L2209</f>
        <v>845</v>
      </c>
      <c r="M2322" s="276">
        <f>+I2322+M2209</f>
        <v>0</v>
      </c>
      <c r="N2322" s="341" t="str">
        <f t="shared" si="2866"/>
        <v>-</v>
      </c>
      <c r="O2322" s="350">
        <f t="shared" si="2822"/>
        <v>0</v>
      </c>
    </row>
    <row r="2323" spans="1:15" ht="24" thickBot="1" x14ac:dyDescent="0.35">
      <c r="A2323" s="277" t="s">
        <v>108</v>
      </c>
      <c r="B2323" s="977"/>
      <c r="C2323" s="307"/>
      <c r="D2323" s="308" t="s">
        <v>54</v>
      </c>
      <c r="E2323" s="309">
        <f>SUM(E2317)</f>
        <v>500000</v>
      </c>
      <c r="F2323" s="310">
        <v>50000</v>
      </c>
      <c r="G2323" s="369">
        <f>SUM(G2317:G2322)</f>
        <v>4343</v>
      </c>
      <c r="H2323" s="368">
        <f t="shared" ref="H2323:I2323" si="2868">SUM(H2317:H2322)</f>
        <v>6657</v>
      </c>
      <c r="I2323" s="368">
        <f t="shared" si="2868"/>
        <v>1775</v>
      </c>
      <c r="J2323" s="359">
        <f>+G2323/F2323</f>
        <v>8.6860000000000007E-2</v>
      </c>
      <c r="K2323" s="369">
        <f t="shared" ref="K2323:M2323" si="2869">SUM(K2317:K2322)</f>
        <v>88722</v>
      </c>
      <c r="L2323" s="368">
        <f t="shared" si="2869"/>
        <v>85427</v>
      </c>
      <c r="M2323" s="370">
        <f t="shared" si="2869"/>
        <v>3295</v>
      </c>
      <c r="N2323" s="358">
        <f t="shared" si="2866"/>
        <v>0.17744399999999999</v>
      </c>
      <c r="O2323" s="359">
        <f t="shared" si="2822"/>
        <v>3.7138477491490275E-2</v>
      </c>
    </row>
    <row r="2324" spans="1:15" ht="24" thickBot="1" x14ac:dyDescent="0.35">
      <c r="A2324" s="277" t="s">
        <v>108</v>
      </c>
      <c r="B2324" s="978" t="s">
        <v>171</v>
      </c>
      <c r="C2324" s="979"/>
      <c r="D2324" s="980"/>
      <c r="E2324" s="311">
        <f>+E2323+E2316</f>
        <v>500000</v>
      </c>
      <c r="F2324" s="312">
        <v>50000</v>
      </c>
      <c r="G2324" s="372">
        <f>+G2316+G2323</f>
        <v>7384</v>
      </c>
      <c r="H2324" s="371">
        <f t="shared" ref="H2324:I2324" si="2870">+H2316+H2323</f>
        <v>8337</v>
      </c>
      <c r="I2324" s="371">
        <f t="shared" si="2870"/>
        <v>3136</v>
      </c>
      <c r="J2324" s="361">
        <f>+G2324/F2324</f>
        <v>0.14768000000000001</v>
      </c>
      <c r="K2324" s="372">
        <f t="shared" ref="K2324:M2324" si="2871">+K2316+K2323</f>
        <v>518891</v>
      </c>
      <c r="L2324" s="371">
        <f t="shared" si="2871"/>
        <v>504563</v>
      </c>
      <c r="M2324" s="373">
        <f t="shared" si="2871"/>
        <v>14328</v>
      </c>
      <c r="N2324" s="360">
        <f t="shared" si="2866"/>
        <v>1.037782</v>
      </c>
      <c r="O2324" s="361">
        <f t="shared" si="2822"/>
        <v>2.7612735622703034E-2</v>
      </c>
    </row>
    <row r="2325" spans="1:15" ht="24" thickBot="1" x14ac:dyDescent="0.35">
      <c r="A2325" s="277" t="s">
        <v>108</v>
      </c>
      <c r="B2325" s="608" t="s">
        <v>32</v>
      </c>
      <c r="C2325" s="927"/>
      <c r="D2325" s="313" t="s">
        <v>32</v>
      </c>
      <c r="E2325" s="290">
        <v>0</v>
      </c>
      <c r="F2325" s="291">
        <v>110000</v>
      </c>
      <c r="G2325" s="338">
        <f t="shared" ref="G2325" si="2872">+H2325+I2325</f>
        <v>0</v>
      </c>
      <c r="H2325" s="292"/>
      <c r="I2325" s="292"/>
      <c r="J2325" s="357" t="str">
        <f>IFERROR(G2325/#REF!,"-")</f>
        <v>-</v>
      </c>
      <c r="K2325" s="338">
        <f>+L2325+M2325</f>
        <v>0</v>
      </c>
      <c r="L2325" s="292">
        <f>+H2325+L2212</f>
        <v>0</v>
      </c>
      <c r="M2325" s="293">
        <f>+I2325+M2212</f>
        <v>0</v>
      </c>
      <c r="N2325" s="343" t="str">
        <f t="shared" si="2866"/>
        <v>-</v>
      </c>
      <c r="O2325" s="351" t="str">
        <f t="shared" si="2822"/>
        <v>-</v>
      </c>
    </row>
    <row r="2326" spans="1:15" ht="24" thickBot="1" x14ac:dyDescent="0.35">
      <c r="A2326" s="277" t="s">
        <v>108</v>
      </c>
      <c r="B2326" s="981" t="s">
        <v>21</v>
      </c>
      <c r="C2326" s="982"/>
      <c r="D2326" s="983"/>
      <c r="E2326" s="329">
        <f>+E2312+E2324+E2325</f>
        <v>3112056</v>
      </c>
      <c r="F2326" s="330">
        <f>+F2312+F2324+F2325</f>
        <v>400000</v>
      </c>
      <c r="G2326" s="329">
        <f>+G2312+G2324+G2325</f>
        <v>55492</v>
      </c>
      <c r="H2326" s="327">
        <f>+H2312+H2324+H2325</f>
        <v>50009</v>
      </c>
      <c r="I2326" s="327">
        <f>+I2312+I2324+I2325</f>
        <v>12091</v>
      </c>
      <c r="J2326" s="352">
        <f>+G2326/F2326</f>
        <v>0.13872999999999999</v>
      </c>
      <c r="K2326" s="329">
        <f>+K2312+K2324+K2325</f>
        <v>3602451</v>
      </c>
      <c r="L2326" s="327">
        <f>+L2312+L2324+L2325</f>
        <v>3536420</v>
      </c>
      <c r="M2326" s="328">
        <f>+M2312+M2324+M2325</f>
        <v>66031</v>
      </c>
      <c r="N2326" s="344">
        <f t="shared" si="2866"/>
        <v>1.1575791052603166</v>
      </c>
      <c r="O2326" s="352">
        <f t="shared" si="2822"/>
        <v>1.8329465133599319E-2</v>
      </c>
    </row>
    <row r="2327" spans="1:15" ht="24" thickBot="1" x14ac:dyDescent="0.35">
      <c r="A2327" s="277" t="s">
        <v>108</v>
      </c>
      <c r="B2327" s="984" t="s">
        <v>179</v>
      </c>
      <c r="C2327" s="962"/>
      <c r="D2327" s="963"/>
      <c r="E2327" s="333">
        <f>+E2326</f>
        <v>3112056</v>
      </c>
      <c r="F2327" s="334">
        <f t="shared" ref="F2327:I2327" si="2873">+F2326</f>
        <v>400000</v>
      </c>
      <c r="G2327" s="333">
        <f t="shared" si="2873"/>
        <v>55492</v>
      </c>
      <c r="H2327" s="331">
        <f t="shared" si="2873"/>
        <v>50009</v>
      </c>
      <c r="I2327" s="331">
        <f t="shared" si="2873"/>
        <v>12091</v>
      </c>
      <c r="J2327" s="353">
        <f>+J2326</f>
        <v>0.13872999999999999</v>
      </c>
      <c r="K2327" s="333">
        <f>+K2326</f>
        <v>3602451</v>
      </c>
      <c r="L2327" s="331">
        <f t="shared" ref="L2327" si="2874">+L2326</f>
        <v>3536420</v>
      </c>
      <c r="M2327" s="332">
        <f>+M2326</f>
        <v>66031</v>
      </c>
      <c r="N2327" s="345">
        <f t="shared" ref="N2327:O2327" si="2875">+N2326</f>
        <v>1.1575791052603166</v>
      </c>
      <c r="O2327" s="353">
        <f t="shared" si="2875"/>
        <v>1.8329465133599319E-2</v>
      </c>
    </row>
    <row r="2328" spans="1:15" ht="23.4" x14ac:dyDescent="0.3">
      <c r="A2328" s="271" t="s">
        <v>109</v>
      </c>
      <c r="B2328" s="970" t="s">
        <v>482</v>
      </c>
      <c r="C2328" s="314" t="s">
        <v>120</v>
      </c>
      <c r="D2328" s="314"/>
      <c r="E2328" s="273">
        <v>34000</v>
      </c>
      <c r="F2328" s="274"/>
      <c r="G2328" s="335">
        <f t="shared" ref="G2328:G2330" si="2876">+H2328+I2328</f>
        <v>0</v>
      </c>
      <c r="H2328" s="275"/>
      <c r="I2328" s="275"/>
      <c r="J2328" s="354" t="str">
        <f>IFERROR(G2328/#REF!,"-")</f>
        <v>-</v>
      </c>
      <c r="K2328" s="335">
        <f t="shared" ref="K2328:K2330" si="2877">+L2328+M2328</f>
        <v>0</v>
      </c>
      <c r="L2328" s="275">
        <f t="shared" ref="L2328:M2330" si="2878">+H2328+L2215</f>
        <v>0</v>
      </c>
      <c r="M2328" s="276">
        <f t="shared" si="2878"/>
        <v>0</v>
      </c>
      <c r="N2328" s="339">
        <f t="shared" ref="N2328:N2335" si="2879">IFERROR(K2328/E2328,"-")</f>
        <v>0</v>
      </c>
      <c r="O2328" s="349" t="str">
        <f t="shared" ref="O2328:O2353" si="2880">IFERROR(M2328/K2328,"-")</f>
        <v>-</v>
      </c>
    </row>
    <row r="2329" spans="1:15" ht="23.4" x14ac:dyDescent="0.3">
      <c r="A2329" s="277" t="s">
        <v>109</v>
      </c>
      <c r="B2329" s="972"/>
      <c r="C2329" s="315" t="s">
        <v>267</v>
      </c>
      <c r="D2329" s="315"/>
      <c r="E2329" s="279">
        <v>0</v>
      </c>
      <c r="F2329" s="280"/>
      <c r="G2329" s="336">
        <f t="shared" si="2876"/>
        <v>3676</v>
      </c>
      <c r="H2329" s="281">
        <v>3600</v>
      </c>
      <c r="I2329" s="281">
        <v>76</v>
      </c>
      <c r="J2329" s="355" t="str">
        <f>IFERROR(G2329/#REF!,"-")</f>
        <v>-</v>
      </c>
      <c r="K2329" s="336">
        <f t="shared" si="2877"/>
        <v>25132</v>
      </c>
      <c r="L2329" s="275">
        <f t="shared" si="2878"/>
        <v>23815</v>
      </c>
      <c r="M2329" s="276">
        <f t="shared" si="2878"/>
        <v>1317</v>
      </c>
      <c r="N2329" s="340" t="str">
        <f t="shared" si="2879"/>
        <v>-</v>
      </c>
      <c r="O2329" s="264">
        <f t="shared" si="2880"/>
        <v>5.2403310520452016E-2</v>
      </c>
    </row>
    <row r="2330" spans="1:15" ht="24" thickBot="1" x14ac:dyDescent="0.35">
      <c r="A2330" s="277" t="s">
        <v>109</v>
      </c>
      <c r="B2330" s="971"/>
      <c r="C2330" s="316" t="s">
        <v>34</v>
      </c>
      <c r="D2330" s="316"/>
      <c r="E2330" s="283">
        <v>0</v>
      </c>
      <c r="F2330" s="284"/>
      <c r="G2330" s="337">
        <f t="shared" si="2876"/>
        <v>0</v>
      </c>
      <c r="H2330" s="285"/>
      <c r="I2330" s="285"/>
      <c r="J2330" s="356" t="str">
        <f>IFERROR(G2330/#REF!,"-")</f>
        <v>-</v>
      </c>
      <c r="K2330" s="337">
        <f t="shared" si="2877"/>
        <v>0</v>
      </c>
      <c r="L2330" s="275">
        <f t="shared" si="2878"/>
        <v>0</v>
      </c>
      <c r="M2330" s="276">
        <f t="shared" si="2878"/>
        <v>0</v>
      </c>
      <c r="N2330" s="341" t="str">
        <f t="shared" si="2879"/>
        <v>-</v>
      </c>
      <c r="O2330" s="350" t="str">
        <f t="shared" si="2880"/>
        <v>-</v>
      </c>
    </row>
    <row r="2331" spans="1:15" ht="24" thickBot="1" x14ac:dyDescent="0.35">
      <c r="A2331" s="277" t="s">
        <v>109</v>
      </c>
      <c r="B2331" s="967" t="s">
        <v>35</v>
      </c>
      <c r="C2331" s="968"/>
      <c r="D2331" s="969"/>
      <c r="E2331" s="287">
        <f>SUM(E2328:E2330)</f>
        <v>34000</v>
      </c>
      <c r="F2331" s="288">
        <v>6500</v>
      </c>
      <c r="G2331" s="323">
        <f>SUM(G2328:G2330)</f>
        <v>3676</v>
      </c>
      <c r="H2331" s="324">
        <f t="shared" ref="H2331:I2331" si="2881">SUM(H2328:H2330)</f>
        <v>3600</v>
      </c>
      <c r="I2331" s="324">
        <f t="shared" si="2881"/>
        <v>76</v>
      </c>
      <c r="J2331" s="348" t="str">
        <f>IFERROR(G2331/#REF!,"-")</f>
        <v>-</v>
      </c>
      <c r="K2331" s="323">
        <f t="shared" ref="K2331:M2331" si="2882">SUM(K2328:K2330)</f>
        <v>25132</v>
      </c>
      <c r="L2331" s="324">
        <f t="shared" si="2882"/>
        <v>23815</v>
      </c>
      <c r="M2331" s="325">
        <f t="shared" si="2882"/>
        <v>1317</v>
      </c>
      <c r="N2331" s="342">
        <f t="shared" si="2879"/>
        <v>0.73917647058823532</v>
      </c>
      <c r="O2331" s="348">
        <f t="shared" si="2880"/>
        <v>5.2403310520452016E-2</v>
      </c>
    </row>
    <row r="2332" spans="1:15" ht="23.4" x14ac:dyDescent="0.3">
      <c r="A2332" s="277" t="s">
        <v>109</v>
      </c>
      <c r="B2332" s="970" t="s">
        <v>36</v>
      </c>
      <c r="C2332" s="314" t="s">
        <v>120</v>
      </c>
      <c r="D2332" s="314"/>
      <c r="E2332" s="273">
        <v>64360</v>
      </c>
      <c r="F2332" s="274"/>
      <c r="G2332" s="335">
        <f t="shared" ref="G2332:G2335" si="2883">+H2332+I2332</f>
        <v>0</v>
      </c>
      <c r="H2332" s="275"/>
      <c r="I2332" s="275"/>
      <c r="J2332" s="354" t="str">
        <f>IFERROR(G2332/#REF!,"-")</f>
        <v>-</v>
      </c>
      <c r="K2332" s="335">
        <f t="shared" ref="K2332:K2335" si="2884">+L2332+M2332</f>
        <v>5880</v>
      </c>
      <c r="L2332" s="275">
        <f t="shared" ref="L2332:M2335" si="2885">+H2332+L2219</f>
        <v>5760</v>
      </c>
      <c r="M2332" s="276">
        <f t="shared" si="2885"/>
        <v>120</v>
      </c>
      <c r="N2332" s="339">
        <f t="shared" si="2879"/>
        <v>9.1361093847110011E-2</v>
      </c>
      <c r="O2332" s="349">
        <f t="shared" si="2880"/>
        <v>2.0408163265306121E-2</v>
      </c>
    </row>
    <row r="2333" spans="1:15" ht="23.4" x14ac:dyDescent="0.3">
      <c r="A2333" s="277" t="s">
        <v>109</v>
      </c>
      <c r="B2333" s="972"/>
      <c r="C2333" s="315" t="s">
        <v>267</v>
      </c>
      <c r="D2333" s="315"/>
      <c r="E2333" s="279">
        <v>0</v>
      </c>
      <c r="F2333" s="280"/>
      <c r="G2333" s="336">
        <f t="shared" si="2883"/>
        <v>0</v>
      </c>
      <c r="H2333" s="281"/>
      <c r="I2333" s="281"/>
      <c r="J2333" s="355" t="str">
        <f>IFERROR(G2333/#REF!,"-")</f>
        <v>-</v>
      </c>
      <c r="K2333" s="336">
        <f t="shared" si="2884"/>
        <v>60416</v>
      </c>
      <c r="L2333" s="275">
        <f t="shared" si="2885"/>
        <v>58411</v>
      </c>
      <c r="M2333" s="276">
        <f t="shared" si="2885"/>
        <v>2005</v>
      </c>
      <c r="N2333" s="340" t="str">
        <f t="shared" si="2879"/>
        <v>-</v>
      </c>
      <c r="O2333" s="264">
        <f t="shared" si="2880"/>
        <v>3.3186573093220338E-2</v>
      </c>
    </row>
    <row r="2334" spans="1:15" ht="23.4" x14ac:dyDescent="0.3">
      <c r="A2334" s="277" t="s">
        <v>109</v>
      </c>
      <c r="B2334" s="972"/>
      <c r="C2334" s="315" t="s">
        <v>198</v>
      </c>
      <c r="D2334" s="315"/>
      <c r="E2334" s="279">
        <v>0</v>
      </c>
      <c r="F2334" s="280"/>
      <c r="G2334" s="336">
        <f t="shared" si="2883"/>
        <v>0</v>
      </c>
      <c r="H2334" s="281"/>
      <c r="I2334" s="281"/>
      <c r="J2334" s="355" t="str">
        <f>IFERROR(G2334/#REF!,"-")</f>
        <v>-</v>
      </c>
      <c r="K2334" s="336">
        <f t="shared" si="2884"/>
        <v>0</v>
      </c>
      <c r="L2334" s="275">
        <f t="shared" si="2885"/>
        <v>0</v>
      </c>
      <c r="M2334" s="276">
        <f t="shared" si="2885"/>
        <v>0</v>
      </c>
      <c r="N2334" s="340" t="str">
        <f t="shared" si="2879"/>
        <v>-</v>
      </c>
      <c r="O2334" s="264" t="str">
        <f t="shared" si="2880"/>
        <v>-</v>
      </c>
    </row>
    <row r="2335" spans="1:15" ht="24" thickBot="1" x14ac:dyDescent="0.35">
      <c r="A2335" s="277" t="s">
        <v>109</v>
      </c>
      <c r="B2335" s="971"/>
      <c r="C2335" s="316" t="s">
        <v>37</v>
      </c>
      <c r="D2335" s="316"/>
      <c r="E2335" s="283">
        <v>0</v>
      </c>
      <c r="F2335" s="284"/>
      <c r="G2335" s="337">
        <f t="shared" si="2883"/>
        <v>0</v>
      </c>
      <c r="H2335" s="285"/>
      <c r="I2335" s="285"/>
      <c r="J2335" s="356" t="str">
        <f>IFERROR(G2335/#REF!,"-")</f>
        <v>-</v>
      </c>
      <c r="K2335" s="337">
        <f t="shared" si="2884"/>
        <v>0</v>
      </c>
      <c r="L2335" s="275">
        <f t="shared" si="2885"/>
        <v>0</v>
      </c>
      <c r="M2335" s="276">
        <f t="shared" si="2885"/>
        <v>0</v>
      </c>
      <c r="N2335" s="341" t="str">
        <f t="shared" si="2879"/>
        <v>-</v>
      </c>
      <c r="O2335" s="350" t="str">
        <f t="shared" si="2880"/>
        <v>-</v>
      </c>
    </row>
    <row r="2336" spans="1:15" ht="24" thickBot="1" x14ac:dyDescent="0.35">
      <c r="A2336" s="277" t="s">
        <v>109</v>
      </c>
      <c r="B2336" s="967" t="s">
        <v>38</v>
      </c>
      <c r="C2336" s="968"/>
      <c r="D2336" s="969"/>
      <c r="E2336" s="287">
        <f>SUM(E2332:E2335)</f>
        <v>64360</v>
      </c>
      <c r="F2336" s="288">
        <v>6500</v>
      </c>
      <c r="G2336" s="323">
        <f>SUM(G2332:G2335)</f>
        <v>0</v>
      </c>
      <c r="H2336" s="324">
        <f t="shared" ref="H2336:I2336" si="2886">SUM(H2332:H2335)</f>
        <v>0</v>
      </c>
      <c r="I2336" s="324">
        <f t="shared" si="2886"/>
        <v>0</v>
      </c>
      <c r="J2336" s="348" t="str">
        <f>IFERROR(G2336/#REF!,"-")</f>
        <v>-</v>
      </c>
      <c r="K2336" s="323">
        <f t="shared" ref="K2336:M2336" si="2887">SUM(K2332:K2335)</f>
        <v>66296</v>
      </c>
      <c r="L2336" s="324">
        <f t="shared" si="2887"/>
        <v>64171</v>
      </c>
      <c r="M2336" s="325">
        <f t="shared" si="2887"/>
        <v>2125</v>
      </c>
      <c r="N2336" s="342">
        <f>IFERROR(K2336/E2336,"-")</f>
        <v>1.030080795525171</v>
      </c>
      <c r="O2336" s="348">
        <f t="shared" si="2880"/>
        <v>3.2053215880294438E-2</v>
      </c>
    </row>
    <row r="2337" spans="1:15" ht="23.4" x14ac:dyDescent="0.3">
      <c r="A2337" s="277" t="s">
        <v>109</v>
      </c>
      <c r="B2337" s="970" t="s">
        <v>483</v>
      </c>
      <c r="C2337" s="317" t="s">
        <v>123</v>
      </c>
      <c r="D2337" s="317"/>
      <c r="E2337" s="273">
        <v>39800</v>
      </c>
      <c r="F2337" s="274"/>
      <c r="G2337" s="335">
        <f t="shared" ref="G2337:G2338" si="2888">+H2337+I2337</f>
        <v>0</v>
      </c>
      <c r="H2337" s="275"/>
      <c r="I2337" s="275"/>
      <c r="J2337" s="354" t="str">
        <f>IFERROR(G2337/#REF!,"-")</f>
        <v>-</v>
      </c>
      <c r="K2337" s="335">
        <f t="shared" ref="K2337:K2338" si="2889">+L2337+M2337</f>
        <v>144</v>
      </c>
      <c r="L2337" s="275">
        <f>+H2337+L2224</f>
        <v>144</v>
      </c>
      <c r="M2337" s="276">
        <f>+I2337+M2224</f>
        <v>0</v>
      </c>
      <c r="N2337" s="339">
        <f t="shared" ref="N2337:N2353" si="2890">IFERROR(K2337/E2337,"-")</f>
        <v>3.6180904522613066E-3</v>
      </c>
      <c r="O2337" s="349">
        <f t="shared" si="2880"/>
        <v>0</v>
      </c>
    </row>
    <row r="2338" spans="1:15" ht="24" thickBot="1" x14ac:dyDescent="0.35">
      <c r="A2338" s="277" t="s">
        <v>109</v>
      </c>
      <c r="B2338" s="971"/>
      <c r="C2338" s="289" t="s">
        <v>139</v>
      </c>
      <c r="D2338" s="289"/>
      <c r="E2338" s="283">
        <v>0</v>
      </c>
      <c r="F2338" s="284"/>
      <c r="G2338" s="337">
        <f t="shared" si="2888"/>
        <v>7150</v>
      </c>
      <c r="H2338" s="285">
        <v>7110</v>
      </c>
      <c r="I2338" s="285">
        <v>40</v>
      </c>
      <c r="J2338" s="356" t="str">
        <f>IFERROR(G2338/#REF!,"-")</f>
        <v>-</v>
      </c>
      <c r="K2338" s="337">
        <f t="shared" si="2889"/>
        <v>18979</v>
      </c>
      <c r="L2338" s="275">
        <f>+H2338+L2225</f>
        <v>18150</v>
      </c>
      <c r="M2338" s="276">
        <f>+I2338+M2225</f>
        <v>829</v>
      </c>
      <c r="N2338" s="341" t="str">
        <f t="shared" si="2890"/>
        <v>-</v>
      </c>
      <c r="O2338" s="350">
        <f t="shared" si="2880"/>
        <v>4.3679856683703042E-2</v>
      </c>
    </row>
    <row r="2339" spans="1:15" ht="24" thickBot="1" x14ac:dyDescent="0.35">
      <c r="A2339" s="934" t="s">
        <v>109</v>
      </c>
      <c r="B2339" s="967" t="s">
        <v>40</v>
      </c>
      <c r="C2339" s="968"/>
      <c r="D2339" s="969"/>
      <c r="E2339" s="287">
        <f>SUM(E2337:E2338)</f>
        <v>39800</v>
      </c>
      <c r="F2339" s="288">
        <v>2800</v>
      </c>
      <c r="G2339" s="323">
        <f>SUM(G2337:G2338)</f>
        <v>7150</v>
      </c>
      <c r="H2339" s="324">
        <f t="shared" ref="H2339:I2339" si="2891">SUM(H2337:H2338)</f>
        <v>7110</v>
      </c>
      <c r="I2339" s="324">
        <f t="shared" si="2891"/>
        <v>40</v>
      </c>
      <c r="J2339" s="348" t="str">
        <f>IFERROR(G2339/#REF!,"-")</f>
        <v>-</v>
      </c>
      <c r="K2339" s="323">
        <f t="shared" ref="K2339:M2339" si="2892">SUM(K2337:K2338)</f>
        <v>19123</v>
      </c>
      <c r="L2339" s="324">
        <f t="shared" si="2892"/>
        <v>18294</v>
      </c>
      <c r="M2339" s="325">
        <f t="shared" si="2892"/>
        <v>829</v>
      </c>
      <c r="N2339" s="342">
        <f t="shared" si="2890"/>
        <v>0.48047738693467335</v>
      </c>
      <c r="O2339" s="348">
        <f t="shared" si="2880"/>
        <v>4.3350938660252053E-2</v>
      </c>
    </row>
    <row r="2340" spans="1:15" ht="23.4" x14ac:dyDescent="0.3">
      <c r="A2340" s="277" t="s">
        <v>109</v>
      </c>
      <c r="B2340" s="970" t="s">
        <v>484</v>
      </c>
      <c r="C2340" s="272" t="s">
        <v>335</v>
      </c>
      <c r="D2340" s="272"/>
      <c r="E2340" s="273">
        <v>916640</v>
      </c>
      <c r="F2340" s="318"/>
      <c r="G2340" s="335">
        <f t="shared" ref="G2340:G2344" si="2893">+H2340+I2340</f>
        <v>20068</v>
      </c>
      <c r="H2340" s="275">
        <v>20016</v>
      </c>
      <c r="I2340" s="275">
        <v>52</v>
      </c>
      <c r="J2340" s="374" t="str">
        <f>IFERROR(G2340/#REF!,"-")</f>
        <v>-</v>
      </c>
      <c r="K2340" s="335">
        <f t="shared" ref="K2340:K2344" si="2894">+L2340+M2340</f>
        <v>597753</v>
      </c>
      <c r="L2340" s="275">
        <f t="shared" ref="L2340:M2344" si="2895">+H2340+L2227</f>
        <v>591840</v>
      </c>
      <c r="M2340" s="275">
        <f t="shared" si="2895"/>
        <v>5913</v>
      </c>
      <c r="N2340" s="362">
        <f t="shared" si="2890"/>
        <v>0.6521131523826148</v>
      </c>
      <c r="O2340" s="363">
        <f t="shared" si="2880"/>
        <v>9.8920457111884002E-3</v>
      </c>
    </row>
    <row r="2341" spans="1:15" ht="23.4" x14ac:dyDescent="0.3">
      <c r="A2341" s="277" t="s">
        <v>109</v>
      </c>
      <c r="B2341" s="972"/>
      <c r="C2341" s="272" t="s">
        <v>336</v>
      </c>
      <c r="D2341" s="278"/>
      <c r="E2341" s="279">
        <v>0</v>
      </c>
      <c r="F2341" s="319"/>
      <c r="G2341" s="336">
        <f t="shared" si="2893"/>
        <v>0</v>
      </c>
      <c r="H2341" s="281"/>
      <c r="I2341" s="281"/>
      <c r="J2341" s="375" t="str">
        <f>IFERROR(G2341/#REF!,"-")</f>
        <v>-</v>
      </c>
      <c r="K2341" s="336">
        <f t="shared" si="2894"/>
        <v>0</v>
      </c>
      <c r="L2341" s="275">
        <f t="shared" si="2895"/>
        <v>0</v>
      </c>
      <c r="M2341" s="276">
        <f t="shared" si="2895"/>
        <v>0</v>
      </c>
      <c r="N2341" s="364" t="str">
        <f t="shared" si="2890"/>
        <v>-</v>
      </c>
      <c r="O2341" s="365" t="str">
        <f t="shared" si="2880"/>
        <v>-</v>
      </c>
    </row>
    <row r="2342" spans="1:15" ht="23.4" x14ac:dyDescent="0.3">
      <c r="A2342" s="277" t="s">
        <v>109</v>
      </c>
      <c r="B2342" s="972"/>
      <c r="C2342" s="278" t="s">
        <v>383</v>
      </c>
      <c r="D2342" s="278"/>
      <c r="E2342" s="279">
        <v>40000</v>
      </c>
      <c r="F2342" s="319"/>
      <c r="G2342" s="336">
        <f t="shared" si="2893"/>
        <v>0</v>
      </c>
      <c r="H2342" s="281"/>
      <c r="I2342" s="281"/>
      <c r="J2342" s="375" t="str">
        <f>IFERROR(G2342/#REF!,"-")</f>
        <v>-</v>
      </c>
      <c r="K2342" s="336">
        <f t="shared" si="2894"/>
        <v>0</v>
      </c>
      <c r="L2342" s="275">
        <f t="shared" si="2895"/>
        <v>0</v>
      </c>
      <c r="M2342" s="276">
        <f t="shared" si="2895"/>
        <v>0</v>
      </c>
      <c r="N2342" s="364">
        <f t="shared" si="2890"/>
        <v>0</v>
      </c>
      <c r="O2342" s="365" t="str">
        <f t="shared" si="2880"/>
        <v>-</v>
      </c>
    </row>
    <row r="2343" spans="1:15" ht="23.4" x14ac:dyDescent="0.3">
      <c r="A2343" s="277" t="s">
        <v>109</v>
      </c>
      <c r="B2343" s="972"/>
      <c r="C2343" s="278" t="s">
        <v>165</v>
      </c>
      <c r="D2343" s="278"/>
      <c r="E2343" s="279">
        <v>0</v>
      </c>
      <c r="F2343" s="319"/>
      <c r="G2343" s="336">
        <f t="shared" si="2893"/>
        <v>0</v>
      </c>
      <c r="H2343" s="281"/>
      <c r="I2343" s="281"/>
      <c r="J2343" s="375" t="str">
        <f>IFERROR(G2343/#REF!,"-")</f>
        <v>-</v>
      </c>
      <c r="K2343" s="336">
        <f t="shared" si="2894"/>
        <v>0</v>
      </c>
      <c r="L2343" s="275">
        <f t="shared" si="2895"/>
        <v>0</v>
      </c>
      <c r="M2343" s="276">
        <f t="shared" si="2895"/>
        <v>0</v>
      </c>
      <c r="N2343" s="364" t="str">
        <f t="shared" si="2890"/>
        <v>-</v>
      </c>
      <c r="O2343" s="365" t="str">
        <f t="shared" si="2880"/>
        <v>-</v>
      </c>
    </row>
    <row r="2344" spans="1:15" ht="24" thickBot="1" x14ac:dyDescent="0.35">
      <c r="A2344" s="277" t="s">
        <v>109</v>
      </c>
      <c r="B2344" s="971"/>
      <c r="C2344" s="282" t="s">
        <v>166</v>
      </c>
      <c r="D2344" s="282"/>
      <c r="E2344" s="283">
        <v>0</v>
      </c>
      <c r="F2344" s="320"/>
      <c r="G2344" s="337">
        <f t="shared" si="2893"/>
        <v>0</v>
      </c>
      <c r="H2344" s="285"/>
      <c r="I2344" s="285"/>
      <c r="J2344" s="376" t="str">
        <f>IFERROR(G2344/#REF!,"-")</f>
        <v>-</v>
      </c>
      <c r="K2344" s="337">
        <f t="shared" si="2894"/>
        <v>0</v>
      </c>
      <c r="L2344" s="275">
        <f t="shared" si="2895"/>
        <v>0</v>
      </c>
      <c r="M2344" s="276">
        <f t="shared" si="2895"/>
        <v>0</v>
      </c>
      <c r="N2344" s="366" t="str">
        <f t="shared" si="2890"/>
        <v>-</v>
      </c>
      <c r="O2344" s="367" t="str">
        <f t="shared" si="2880"/>
        <v>-</v>
      </c>
    </row>
    <row r="2345" spans="1:15" ht="24" thickBot="1" x14ac:dyDescent="0.35">
      <c r="A2345" s="277" t="s">
        <v>109</v>
      </c>
      <c r="B2345" s="967" t="s">
        <v>42</v>
      </c>
      <c r="C2345" s="968"/>
      <c r="D2345" s="969"/>
      <c r="E2345" s="323">
        <f>SUM(E2340:E2344)</f>
        <v>956640</v>
      </c>
      <c r="F2345" s="288">
        <v>25000</v>
      </c>
      <c r="G2345" s="323">
        <f>SUM(G2340:G2344)</f>
        <v>20068</v>
      </c>
      <c r="H2345" s="324">
        <f>SUM(H2340:H2344)</f>
        <v>20016</v>
      </c>
      <c r="I2345" s="324">
        <f>SUM(I2340:I2344)</f>
        <v>52</v>
      </c>
      <c r="J2345" s="348" t="str">
        <f>IFERROR(G2345/#REF!,"-")</f>
        <v>-</v>
      </c>
      <c r="K2345" s="323">
        <f>SUM(K2340:K2344)</f>
        <v>597753</v>
      </c>
      <c r="L2345" s="324">
        <f>SUM(L2340:L2344)</f>
        <v>591840</v>
      </c>
      <c r="M2345" s="325">
        <f>SUM(M2340:M2344)</f>
        <v>5913</v>
      </c>
      <c r="N2345" s="342">
        <f t="shared" si="2890"/>
        <v>0.6248463371801305</v>
      </c>
      <c r="O2345" s="348">
        <f t="shared" si="2880"/>
        <v>9.8920457111884002E-3</v>
      </c>
    </row>
    <row r="2346" spans="1:15" ht="23.4" x14ac:dyDescent="0.3">
      <c r="A2346" s="277" t="s">
        <v>109</v>
      </c>
      <c r="B2346" s="970" t="s">
        <v>485</v>
      </c>
      <c r="C2346" s="272" t="s">
        <v>200</v>
      </c>
      <c r="D2346" s="272"/>
      <c r="E2346" s="273">
        <v>0</v>
      </c>
      <c r="F2346" s="274"/>
      <c r="G2346" s="335">
        <f t="shared" ref="G2346:G2348" si="2896">+H2346+I2346</f>
        <v>0</v>
      </c>
      <c r="H2346" s="275"/>
      <c r="I2346" s="275"/>
      <c r="J2346" s="354" t="str">
        <f>IFERROR(G2346/#REF!,"-")</f>
        <v>-</v>
      </c>
      <c r="K2346" s="335">
        <f t="shared" ref="K2346:K2348" si="2897">+L2346+M2346</f>
        <v>0</v>
      </c>
      <c r="L2346" s="275">
        <f t="shared" ref="L2346:M2348" si="2898">+H2346+L2233</f>
        <v>0</v>
      </c>
      <c r="M2346" s="276">
        <f t="shared" si="2898"/>
        <v>0</v>
      </c>
      <c r="N2346" s="339" t="str">
        <f t="shared" si="2890"/>
        <v>-</v>
      </c>
      <c r="O2346" s="349" t="str">
        <f t="shared" si="2880"/>
        <v>-</v>
      </c>
    </row>
    <row r="2347" spans="1:15" ht="23.4" x14ac:dyDescent="0.3">
      <c r="A2347" s="277" t="s">
        <v>109</v>
      </c>
      <c r="B2347" s="972"/>
      <c r="C2347" s="278" t="s">
        <v>167</v>
      </c>
      <c r="D2347" s="278"/>
      <c r="E2347" s="279">
        <v>50000</v>
      </c>
      <c r="F2347" s="280"/>
      <c r="G2347" s="336">
        <f t="shared" si="2896"/>
        <v>7098</v>
      </c>
      <c r="H2347" s="281">
        <v>6648</v>
      </c>
      <c r="I2347" s="281">
        <v>450</v>
      </c>
      <c r="J2347" s="375" t="str">
        <f>IFERROR(G2347/#REF!,"-")</f>
        <v>-</v>
      </c>
      <c r="K2347" s="336">
        <f t="shared" si="2897"/>
        <v>221604</v>
      </c>
      <c r="L2347" s="794">
        <f t="shared" si="2898"/>
        <v>216344</v>
      </c>
      <c r="M2347" s="276">
        <f t="shared" si="2898"/>
        <v>5260</v>
      </c>
      <c r="N2347" s="364">
        <f t="shared" si="2890"/>
        <v>4.43208</v>
      </c>
      <c r="O2347" s="365">
        <f t="shared" si="2880"/>
        <v>2.3736033645602065E-2</v>
      </c>
    </row>
    <row r="2348" spans="1:15" ht="24" thickBot="1" x14ac:dyDescent="0.35">
      <c r="A2348" s="277" t="s">
        <v>109</v>
      </c>
      <c r="B2348" s="971"/>
      <c r="C2348" s="282" t="s">
        <v>200</v>
      </c>
      <c r="D2348" s="282"/>
      <c r="E2348" s="283">
        <v>0</v>
      </c>
      <c r="F2348" s="284"/>
      <c r="G2348" s="337">
        <f t="shared" si="2896"/>
        <v>0</v>
      </c>
      <c r="H2348" s="285"/>
      <c r="I2348" s="285"/>
      <c r="J2348" s="376" t="str">
        <f>IFERROR(G2348/#REF!,"-")</f>
        <v>-</v>
      </c>
      <c r="K2348" s="337">
        <f t="shared" si="2897"/>
        <v>0</v>
      </c>
      <c r="L2348" s="275">
        <f t="shared" si="2898"/>
        <v>0</v>
      </c>
      <c r="M2348" s="276">
        <f t="shared" si="2898"/>
        <v>0</v>
      </c>
      <c r="N2348" s="366" t="str">
        <f t="shared" si="2890"/>
        <v>-</v>
      </c>
      <c r="O2348" s="367" t="str">
        <f t="shared" si="2880"/>
        <v>-</v>
      </c>
    </row>
    <row r="2349" spans="1:15" ht="24" thickBot="1" x14ac:dyDescent="0.35">
      <c r="A2349" s="277" t="s">
        <v>109</v>
      </c>
      <c r="B2349" s="973" t="s">
        <v>44</v>
      </c>
      <c r="C2349" s="974"/>
      <c r="D2349" s="975"/>
      <c r="E2349" s="323">
        <f>SUM(E2346:E2348)</f>
        <v>50000</v>
      </c>
      <c r="F2349" s="288"/>
      <c r="G2349" s="323">
        <f>SUM(G2346:G2348)</f>
        <v>7098</v>
      </c>
      <c r="H2349" s="324">
        <f t="shared" ref="H2349:I2349" si="2899">SUM(H2346:H2348)</f>
        <v>6648</v>
      </c>
      <c r="I2349" s="324">
        <f t="shared" si="2899"/>
        <v>450</v>
      </c>
      <c r="J2349" s="348" t="str">
        <f>IFERROR(G2349/#REF!,"-")</f>
        <v>-</v>
      </c>
      <c r="K2349" s="323">
        <f t="shared" ref="K2349:M2349" si="2900">SUM(K2346:K2348)</f>
        <v>221604</v>
      </c>
      <c r="L2349" s="368">
        <f t="shared" si="2900"/>
        <v>216344</v>
      </c>
      <c r="M2349" s="370">
        <f t="shared" si="2900"/>
        <v>5260</v>
      </c>
      <c r="N2349" s="342">
        <f t="shared" si="2890"/>
        <v>4.43208</v>
      </c>
      <c r="O2349" s="348">
        <f t="shared" si="2880"/>
        <v>2.3736033645602065E-2</v>
      </c>
    </row>
    <row r="2350" spans="1:15" ht="23.4" x14ac:dyDescent="0.3">
      <c r="A2350" s="277" t="s">
        <v>109</v>
      </c>
      <c r="B2350" s="970" t="s">
        <v>45</v>
      </c>
      <c r="C2350" s="272" t="s">
        <v>168</v>
      </c>
      <c r="D2350" s="272"/>
      <c r="E2350" s="273">
        <v>0</v>
      </c>
      <c r="F2350" s="274"/>
      <c r="G2350" s="335">
        <f t="shared" ref="G2350:G2351" si="2901">+H2350+I2350</f>
        <v>0</v>
      </c>
      <c r="H2350" s="275"/>
      <c r="I2350" s="275"/>
      <c r="J2350" s="374" t="str">
        <f>IFERROR(G2350/#REF!,"-")</f>
        <v>-</v>
      </c>
      <c r="K2350" s="739">
        <f t="shared" ref="K2350:K2351" si="2902">+L2350+M2350</f>
        <v>0</v>
      </c>
      <c r="L2350" s="532">
        <f>+H2350+L2237</f>
        <v>0</v>
      </c>
      <c r="M2350" s="247">
        <f>+I2350+M2237</f>
        <v>0</v>
      </c>
      <c r="N2350" s="362" t="str">
        <f t="shared" si="2890"/>
        <v>-</v>
      </c>
      <c r="O2350" s="363" t="str">
        <f t="shared" si="2880"/>
        <v>-</v>
      </c>
    </row>
    <row r="2351" spans="1:15" ht="24" thickBot="1" x14ac:dyDescent="0.35">
      <c r="A2351" s="277" t="s">
        <v>109</v>
      </c>
      <c r="B2351" s="971"/>
      <c r="C2351" s="282" t="s">
        <v>169</v>
      </c>
      <c r="D2351" s="282"/>
      <c r="E2351" s="283">
        <v>0</v>
      </c>
      <c r="F2351" s="284"/>
      <c r="G2351" s="337">
        <f t="shared" si="2901"/>
        <v>0</v>
      </c>
      <c r="H2351" s="285"/>
      <c r="I2351" s="285"/>
      <c r="J2351" s="376" t="str">
        <f>IFERROR(G2351/#REF!,"-")</f>
        <v>-</v>
      </c>
      <c r="K2351" s="740">
        <f t="shared" si="2902"/>
        <v>0</v>
      </c>
      <c r="L2351" s="535">
        <f>+H2351+L2238</f>
        <v>0</v>
      </c>
      <c r="M2351" s="258">
        <f>+I2351+M2238</f>
        <v>0</v>
      </c>
      <c r="N2351" s="366" t="str">
        <f t="shared" si="2890"/>
        <v>-</v>
      </c>
      <c r="O2351" s="367" t="str">
        <f t="shared" si="2880"/>
        <v>-</v>
      </c>
    </row>
    <row r="2352" spans="1:15" ht="24" thickBot="1" x14ac:dyDescent="0.35">
      <c r="A2352" s="277" t="s">
        <v>109</v>
      </c>
      <c r="B2352" s="973" t="s">
        <v>46</v>
      </c>
      <c r="C2352" s="974"/>
      <c r="D2352" s="975"/>
      <c r="E2352" s="287">
        <v>0</v>
      </c>
      <c r="F2352" s="288">
        <v>25000</v>
      </c>
      <c r="G2352" s="323">
        <f>SUM(G2350:G2351)</f>
        <v>0</v>
      </c>
      <c r="H2352" s="324">
        <f t="shared" ref="H2352:I2352" si="2903">SUM(H2350:H2351)</f>
        <v>0</v>
      </c>
      <c r="I2352" s="324">
        <f t="shared" si="2903"/>
        <v>0</v>
      </c>
      <c r="J2352" s="348" t="str">
        <f>IFERROR(G2352/#REF!,"-")</f>
        <v>-</v>
      </c>
      <c r="K2352" s="323">
        <f t="shared" ref="K2352:M2352" si="2904">SUM(K2350:K2351)</f>
        <v>0</v>
      </c>
      <c r="L2352" s="524">
        <f t="shared" si="2904"/>
        <v>0</v>
      </c>
      <c r="M2352" s="733">
        <f t="shared" si="2904"/>
        <v>0</v>
      </c>
      <c r="N2352" s="342" t="str">
        <f t="shared" si="2890"/>
        <v>-</v>
      </c>
      <c r="O2352" s="348" t="str">
        <f t="shared" si="2880"/>
        <v>-</v>
      </c>
    </row>
    <row r="2353" spans="1:15" ht="24" thickBot="1" x14ac:dyDescent="0.35">
      <c r="A2353" s="277" t="s">
        <v>109</v>
      </c>
      <c r="B2353" s="959" t="s">
        <v>25</v>
      </c>
      <c r="C2353" s="960"/>
      <c r="D2353" s="961"/>
      <c r="E2353" s="329">
        <f t="shared" ref="E2353:F2353" si="2905">+E2331+E2336+E2339+E2345+E2349+E2352</f>
        <v>1144800</v>
      </c>
      <c r="F2353" s="330">
        <f t="shared" si="2905"/>
        <v>65800</v>
      </c>
      <c r="G2353" s="329">
        <f>+G2331+G2336+G2339+G2345+G2349+G2352</f>
        <v>37992</v>
      </c>
      <c r="H2353" s="327">
        <f>+H2331+H2336+H2339+H2345+H2349+H2352</f>
        <v>37374</v>
      </c>
      <c r="I2353" s="327">
        <f t="shared" ref="I2353" si="2906">+I2331+I2336+I2339+I2345+I2349+I2352</f>
        <v>618</v>
      </c>
      <c r="J2353" s="352" t="str">
        <f>IFERROR(G2353/#REF!,"-")</f>
        <v>-</v>
      </c>
      <c r="K2353" s="329">
        <f>+K2331+K2336+K2339+K2345+K2349+K2352</f>
        <v>929908</v>
      </c>
      <c r="L2353" s="327">
        <f t="shared" ref="L2353:M2353" si="2907">+L2331+L2336+L2339+L2345+L2349+L2352</f>
        <v>914464</v>
      </c>
      <c r="M2353" s="328">
        <f t="shared" si="2907"/>
        <v>15444</v>
      </c>
      <c r="N2353" s="344">
        <f t="shared" si="2890"/>
        <v>0.81228860936408109</v>
      </c>
      <c r="O2353" s="352">
        <f t="shared" si="2880"/>
        <v>1.6608094564193446E-2</v>
      </c>
    </row>
    <row r="2354" spans="1:15" ht="24" thickBot="1" x14ac:dyDescent="0.35">
      <c r="A2354" s="321" t="s">
        <v>109</v>
      </c>
      <c r="B2354" s="962" t="s">
        <v>181</v>
      </c>
      <c r="C2354" s="962"/>
      <c r="D2354" s="963"/>
      <c r="E2354" s="333">
        <f>+E2353</f>
        <v>1144800</v>
      </c>
      <c r="F2354" s="334">
        <f t="shared" ref="F2354:O2354" si="2908">+F2353</f>
        <v>65800</v>
      </c>
      <c r="G2354" s="333">
        <f t="shared" si="2908"/>
        <v>37992</v>
      </c>
      <c r="H2354" s="331">
        <f t="shared" si="2908"/>
        <v>37374</v>
      </c>
      <c r="I2354" s="331">
        <f t="shared" si="2908"/>
        <v>618</v>
      </c>
      <c r="J2354" s="353" t="str">
        <f t="shared" si="2908"/>
        <v>-</v>
      </c>
      <c r="K2354" s="333">
        <f t="shared" si="2908"/>
        <v>929908</v>
      </c>
      <c r="L2354" s="331">
        <f t="shared" si="2908"/>
        <v>914464</v>
      </c>
      <c r="M2354" s="332">
        <f t="shared" si="2908"/>
        <v>15444</v>
      </c>
      <c r="N2354" s="345">
        <f t="shared" si="2908"/>
        <v>0.81228860936408109</v>
      </c>
      <c r="O2354" s="353">
        <f t="shared" si="2908"/>
        <v>1.6608094564193446E-2</v>
      </c>
    </row>
    <row r="2355" spans="1:15" ht="24.6" thickBot="1" x14ac:dyDescent="0.35">
      <c r="A2355" s="322"/>
      <c r="B2355" s="964" t="s">
        <v>182</v>
      </c>
      <c r="C2355" s="965"/>
      <c r="D2355" s="966"/>
      <c r="E2355" s="377">
        <f>+E2292+E2327+E2354</f>
        <v>10258981</v>
      </c>
      <c r="F2355" s="377">
        <f>+F2292+F2327+F2354</f>
        <v>1014800</v>
      </c>
      <c r="G2355" s="377">
        <f>+G2292+G2327+G2354</f>
        <v>214254</v>
      </c>
      <c r="H2355" s="377">
        <f>+H2292+H2327+H2354</f>
        <v>299500</v>
      </c>
      <c r="I2355" s="377">
        <f>+I2292+I2327+I2354</f>
        <v>13683</v>
      </c>
      <c r="J2355" s="378" t="str">
        <f>IFERROR(G2355/#REF!,"-")</f>
        <v>-</v>
      </c>
      <c r="K2355" s="377">
        <f>+K2292+K2327+K2354</f>
        <v>8677090</v>
      </c>
      <c r="L2355" s="377">
        <f>+L2292+L2327+L2354</f>
        <v>8563766</v>
      </c>
      <c r="M2355" s="377">
        <f>+M2292+M2327+M2354</f>
        <v>113324</v>
      </c>
      <c r="N2355" s="378">
        <f>IFERROR(K2355/E2355,"-")</f>
        <v>0.84580427627266297</v>
      </c>
      <c r="O2355" s="378">
        <f>IFERROR(M2355/K2355,"-")</f>
        <v>1.306013882534352E-2</v>
      </c>
    </row>
    <row r="2356" spans="1:15" x14ac:dyDescent="0.3">
      <c r="G2356" s="222"/>
      <c r="J2356" s="222"/>
      <c r="K2356" s="222"/>
      <c r="N2356" s="222"/>
      <c r="O2356" s="222"/>
    </row>
  </sheetData>
  <mergeCells count="1101">
    <mergeCell ref="B2350:B2351"/>
    <mergeCell ref="B2352:D2352"/>
    <mergeCell ref="B2353:D2353"/>
    <mergeCell ref="B2354:D2354"/>
    <mergeCell ref="B2355:D2355"/>
    <mergeCell ref="B2275:D2275"/>
    <mergeCell ref="B2276:B2279"/>
    <mergeCell ref="B2280:D2280"/>
    <mergeCell ref="B2281:B2289"/>
    <mergeCell ref="B2290:D2290"/>
    <mergeCell ref="B2291:D2291"/>
    <mergeCell ref="B2292:D2292"/>
    <mergeCell ref="B2293:B2303"/>
    <mergeCell ref="B2304:B2311"/>
    <mergeCell ref="B2312:D2312"/>
    <mergeCell ref="B2313:B2323"/>
    <mergeCell ref="B2324:D2324"/>
    <mergeCell ref="B2326:D2326"/>
    <mergeCell ref="B2327:D2327"/>
    <mergeCell ref="B2328:B2330"/>
    <mergeCell ref="B2331:D2331"/>
    <mergeCell ref="B2332:B2335"/>
    <mergeCell ref="B2246:B2249"/>
    <mergeCell ref="B2250:D2250"/>
    <mergeCell ref="B2251:B2257"/>
    <mergeCell ref="B2258:D2258"/>
    <mergeCell ref="B2259:B2265"/>
    <mergeCell ref="B2266:D2266"/>
    <mergeCell ref="B2267:B2269"/>
    <mergeCell ref="B2270:D2270"/>
    <mergeCell ref="B2271:B2273"/>
    <mergeCell ref="B2274:D2274"/>
    <mergeCell ref="B2336:D2336"/>
    <mergeCell ref="B2337:B2338"/>
    <mergeCell ref="B2339:D2339"/>
    <mergeCell ref="B2340:B2344"/>
    <mergeCell ref="B2345:D2345"/>
    <mergeCell ref="B2346:B2348"/>
    <mergeCell ref="B2349:D2349"/>
    <mergeCell ref="B2223:D2223"/>
    <mergeCell ref="B2224:B2225"/>
    <mergeCell ref="B2226:D2226"/>
    <mergeCell ref="B2227:B2231"/>
    <mergeCell ref="B2232:D2232"/>
    <mergeCell ref="B2233:B2235"/>
    <mergeCell ref="B2236:D2236"/>
    <mergeCell ref="B2237:B2238"/>
    <mergeCell ref="B2239:D2239"/>
    <mergeCell ref="B2240:D2240"/>
    <mergeCell ref="B2241:D2241"/>
    <mergeCell ref="B2242:D2242"/>
    <mergeCell ref="A2243:A2245"/>
    <mergeCell ref="B2243:B2245"/>
    <mergeCell ref="C2243:C2245"/>
    <mergeCell ref="D2243:D2245"/>
    <mergeCell ref="E2243:O2243"/>
    <mergeCell ref="E2244:E2245"/>
    <mergeCell ref="F2244:F2245"/>
    <mergeCell ref="G2244:J2244"/>
    <mergeCell ref="K2244:M2244"/>
    <mergeCell ref="N2244:N2245"/>
    <mergeCell ref="O2244:O2245"/>
    <mergeCell ref="B2166:D2166"/>
    <mergeCell ref="B2167:B2170"/>
    <mergeCell ref="B2171:D2171"/>
    <mergeCell ref="B2172:B2179"/>
    <mergeCell ref="B2180:D2180"/>
    <mergeCell ref="B2181:D2181"/>
    <mergeCell ref="B2182:D2182"/>
    <mergeCell ref="B2183:B2193"/>
    <mergeCell ref="B2194:B2199"/>
    <mergeCell ref="B2200:D2200"/>
    <mergeCell ref="B2201:B2210"/>
    <mergeCell ref="B2211:D2211"/>
    <mergeCell ref="B2213:D2213"/>
    <mergeCell ref="B2214:D2214"/>
    <mergeCell ref="B2215:B2217"/>
    <mergeCell ref="B2218:D2218"/>
    <mergeCell ref="B2219:B2222"/>
    <mergeCell ref="E2134:O2134"/>
    <mergeCell ref="E2135:E2136"/>
    <mergeCell ref="F2135:F2136"/>
    <mergeCell ref="G2135:J2135"/>
    <mergeCell ref="K2135:M2135"/>
    <mergeCell ref="N2135:N2136"/>
    <mergeCell ref="O2135:O2136"/>
    <mergeCell ref="B2137:B2140"/>
    <mergeCell ref="B2141:D2141"/>
    <mergeCell ref="B2142:B2148"/>
    <mergeCell ref="B2149:D2149"/>
    <mergeCell ref="B2150:B2156"/>
    <mergeCell ref="B2157:D2157"/>
    <mergeCell ref="B2158:B2160"/>
    <mergeCell ref="B2161:D2161"/>
    <mergeCell ref="B2162:B2164"/>
    <mergeCell ref="B2165:D2165"/>
    <mergeCell ref="B1996:D1996"/>
    <mergeCell ref="B1997:B1999"/>
    <mergeCell ref="B2000:D2000"/>
    <mergeCell ref="B2001:B2004"/>
    <mergeCell ref="B2022:D2022"/>
    <mergeCell ref="B2023:D2023"/>
    <mergeCell ref="B2024:D2024"/>
    <mergeCell ref="B2005:D2005"/>
    <mergeCell ref="B2006:B2007"/>
    <mergeCell ref="B2008:D2008"/>
    <mergeCell ref="B2009:B2013"/>
    <mergeCell ref="B2014:D2014"/>
    <mergeCell ref="B2015:B2017"/>
    <mergeCell ref="B2018:D2018"/>
    <mergeCell ref="B2019:B2020"/>
    <mergeCell ref="B2021:D2021"/>
    <mergeCell ref="A2134:A2136"/>
    <mergeCell ref="B2134:B2136"/>
    <mergeCell ref="C2134:C2136"/>
    <mergeCell ref="D2134:D2136"/>
    <mergeCell ref="B2109:D2109"/>
    <mergeCell ref="B2110:B2113"/>
    <mergeCell ref="B2071:D2071"/>
    <mergeCell ref="B2072:D2072"/>
    <mergeCell ref="B2073:D2073"/>
    <mergeCell ref="B2074:B2084"/>
    <mergeCell ref="B2033:B2039"/>
    <mergeCell ref="B2040:D2040"/>
    <mergeCell ref="B2041:B2047"/>
    <mergeCell ref="B2048:D2048"/>
    <mergeCell ref="B2049:B2051"/>
    <mergeCell ref="B2052:D2052"/>
    <mergeCell ref="B1940:B1942"/>
    <mergeCell ref="B1943:D1943"/>
    <mergeCell ref="B1944:B1946"/>
    <mergeCell ref="B1947:D1947"/>
    <mergeCell ref="B1948:D1948"/>
    <mergeCell ref="B1949:B1952"/>
    <mergeCell ref="B1953:D1953"/>
    <mergeCell ref="B1954:B1961"/>
    <mergeCell ref="B1962:D1962"/>
    <mergeCell ref="B1963:D1963"/>
    <mergeCell ref="B1964:D1964"/>
    <mergeCell ref="B1965:B1975"/>
    <mergeCell ref="B1976:B1981"/>
    <mergeCell ref="B1982:D1982"/>
    <mergeCell ref="B1983:B1992"/>
    <mergeCell ref="B1993:D1993"/>
    <mergeCell ref="B1995:D1995"/>
    <mergeCell ref="A1916:A1918"/>
    <mergeCell ref="B1916:B1918"/>
    <mergeCell ref="C1916:C1918"/>
    <mergeCell ref="D1916:D1918"/>
    <mergeCell ref="E1916:O1916"/>
    <mergeCell ref="E1917:E1918"/>
    <mergeCell ref="F1917:F1918"/>
    <mergeCell ref="G1917:J1917"/>
    <mergeCell ref="K1917:M1917"/>
    <mergeCell ref="N1917:N1918"/>
    <mergeCell ref="O1917:O1918"/>
    <mergeCell ref="B1919:B1922"/>
    <mergeCell ref="B1923:D1923"/>
    <mergeCell ref="B1924:B1930"/>
    <mergeCell ref="B1931:D1931"/>
    <mergeCell ref="B1932:B1938"/>
    <mergeCell ref="B1939:D1939"/>
    <mergeCell ref="B1884:D1884"/>
    <mergeCell ref="B1886:D1886"/>
    <mergeCell ref="B1887:D1887"/>
    <mergeCell ref="B1888:B1890"/>
    <mergeCell ref="B1891:D1891"/>
    <mergeCell ref="B1892:B1895"/>
    <mergeCell ref="B1913:D1913"/>
    <mergeCell ref="B1914:D1914"/>
    <mergeCell ref="B1915:D1915"/>
    <mergeCell ref="B1896:D1896"/>
    <mergeCell ref="B1897:B1898"/>
    <mergeCell ref="B1899:D1899"/>
    <mergeCell ref="B1900:B1904"/>
    <mergeCell ref="B1905:D1905"/>
    <mergeCell ref="B1906:B1908"/>
    <mergeCell ref="B1909:D1909"/>
    <mergeCell ref="B1910:B1911"/>
    <mergeCell ref="B1912:D1912"/>
    <mergeCell ref="B1825:B1831"/>
    <mergeCell ref="B1832:D1832"/>
    <mergeCell ref="B1833:B1835"/>
    <mergeCell ref="B1836:D1836"/>
    <mergeCell ref="B1837:B1839"/>
    <mergeCell ref="B1840:D1840"/>
    <mergeCell ref="B1841:D1841"/>
    <mergeCell ref="B1842:B1845"/>
    <mergeCell ref="B1846:D1846"/>
    <mergeCell ref="B1847:B1854"/>
    <mergeCell ref="B1855:D1855"/>
    <mergeCell ref="B1856:D1856"/>
    <mergeCell ref="B1857:D1857"/>
    <mergeCell ref="B1858:B1868"/>
    <mergeCell ref="B1869:B1874"/>
    <mergeCell ref="B1875:D1875"/>
    <mergeCell ref="B1876:B1883"/>
    <mergeCell ref="B1803:B1804"/>
    <mergeCell ref="B1805:D1805"/>
    <mergeCell ref="A1809:A1811"/>
    <mergeCell ref="B1809:B1811"/>
    <mergeCell ref="C1809:C1811"/>
    <mergeCell ref="D1809:D1811"/>
    <mergeCell ref="E1809:O1809"/>
    <mergeCell ref="E1810:E1811"/>
    <mergeCell ref="F1810:F1811"/>
    <mergeCell ref="G1810:J1810"/>
    <mergeCell ref="K1810:M1810"/>
    <mergeCell ref="N1810:N1811"/>
    <mergeCell ref="O1810:O1811"/>
    <mergeCell ref="B1812:B1815"/>
    <mergeCell ref="B1816:D1816"/>
    <mergeCell ref="B1817:B1823"/>
    <mergeCell ref="B1824:D1824"/>
    <mergeCell ref="B1592:D1592"/>
    <mergeCell ref="B1593:D1593"/>
    <mergeCell ref="B1594:D1594"/>
    <mergeCell ref="B1575:D1575"/>
    <mergeCell ref="B1576:B1577"/>
    <mergeCell ref="B1578:D1578"/>
    <mergeCell ref="B1579:B1583"/>
    <mergeCell ref="B1584:D1584"/>
    <mergeCell ref="B1585:B1587"/>
    <mergeCell ref="B1588:D1588"/>
    <mergeCell ref="B1589:B1590"/>
    <mergeCell ref="B1591:D1591"/>
    <mergeCell ref="A1702:A1704"/>
    <mergeCell ref="B1702:B1704"/>
    <mergeCell ref="C1702:C1704"/>
    <mergeCell ref="D1702:D1704"/>
    <mergeCell ref="E1702:O1702"/>
    <mergeCell ref="E1703:E1704"/>
    <mergeCell ref="F1703:F1704"/>
    <mergeCell ref="G1703:J1703"/>
    <mergeCell ref="K1703:M1703"/>
    <mergeCell ref="N1703:N1704"/>
    <mergeCell ref="O1703:O1704"/>
    <mergeCell ref="B1598:B1601"/>
    <mergeCell ref="B1602:D1602"/>
    <mergeCell ref="B1603:B1609"/>
    <mergeCell ref="B1610:D1610"/>
    <mergeCell ref="B1611:B1617"/>
    <mergeCell ref="B1618:D1618"/>
    <mergeCell ref="B1619:B1621"/>
    <mergeCell ref="B1622:D1622"/>
    <mergeCell ref="B1623:B1625"/>
    <mergeCell ref="B1520:D1520"/>
    <mergeCell ref="B1521:B1524"/>
    <mergeCell ref="B1525:D1525"/>
    <mergeCell ref="B1526:B1533"/>
    <mergeCell ref="B1534:D1534"/>
    <mergeCell ref="B1535:D1535"/>
    <mergeCell ref="B1536:D1536"/>
    <mergeCell ref="B1537:B1547"/>
    <mergeCell ref="B1548:B1553"/>
    <mergeCell ref="B1554:D1554"/>
    <mergeCell ref="B1555:B1562"/>
    <mergeCell ref="B1563:D1563"/>
    <mergeCell ref="B1565:D1565"/>
    <mergeCell ref="B1566:D1566"/>
    <mergeCell ref="B1567:B1569"/>
    <mergeCell ref="B1570:D1570"/>
    <mergeCell ref="B1571:B1574"/>
    <mergeCell ref="E1488:O1488"/>
    <mergeCell ref="E1489:E1490"/>
    <mergeCell ref="F1489:F1490"/>
    <mergeCell ref="G1489:J1489"/>
    <mergeCell ref="K1489:M1489"/>
    <mergeCell ref="N1489:N1490"/>
    <mergeCell ref="O1489:O1490"/>
    <mergeCell ref="B1491:B1494"/>
    <mergeCell ref="B1495:D1495"/>
    <mergeCell ref="B1496:B1502"/>
    <mergeCell ref="B1503:D1503"/>
    <mergeCell ref="B1504:B1510"/>
    <mergeCell ref="B1511:D1511"/>
    <mergeCell ref="B1512:B1514"/>
    <mergeCell ref="B1515:D1515"/>
    <mergeCell ref="B1516:B1518"/>
    <mergeCell ref="B1519:D1519"/>
    <mergeCell ref="B1246:D1246"/>
    <mergeCell ref="B1247:B1249"/>
    <mergeCell ref="B1250:D1250"/>
    <mergeCell ref="B1251:B1254"/>
    <mergeCell ref="B1272:D1272"/>
    <mergeCell ref="B1273:D1273"/>
    <mergeCell ref="B1274:D1274"/>
    <mergeCell ref="B1255:D1255"/>
    <mergeCell ref="B1256:B1257"/>
    <mergeCell ref="B1258:D1258"/>
    <mergeCell ref="B1259:B1263"/>
    <mergeCell ref="B1264:D1264"/>
    <mergeCell ref="B1265:B1267"/>
    <mergeCell ref="B1268:D1268"/>
    <mergeCell ref="B1269:B1270"/>
    <mergeCell ref="B1271:D1271"/>
    <mergeCell ref="A1488:A1490"/>
    <mergeCell ref="B1488:B1490"/>
    <mergeCell ref="C1488:C1490"/>
    <mergeCell ref="D1488:D1490"/>
    <mergeCell ref="B1278:B1281"/>
    <mergeCell ref="B1282:D1282"/>
    <mergeCell ref="B1283:B1289"/>
    <mergeCell ref="B1290:D1290"/>
    <mergeCell ref="B1291:B1297"/>
    <mergeCell ref="B1298:D1298"/>
    <mergeCell ref="B1299:B1301"/>
    <mergeCell ref="B1302:D1302"/>
    <mergeCell ref="B1303:B1305"/>
    <mergeCell ref="A1275:A1277"/>
    <mergeCell ref="B1275:B1277"/>
    <mergeCell ref="C1275:C1277"/>
    <mergeCell ref="B1193:B1195"/>
    <mergeCell ref="B1196:D1196"/>
    <mergeCell ref="B1197:B1199"/>
    <mergeCell ref="B1200:D1200"/>
    <mergeCell ref="B1201:D1201"/>
    <mergeCell ref="B1202:B1205"/>
    <mergeCell ref="B1206:D1206"/>
    <mergeCell ref="B1207:B1214"/>
    <mergeCell ref="B1215:D1215"/>
    <mergeCell ref="B1216:D1216"/>
    <mergeCell ref="B1217:D1217"/>
    <mergeCell ref="B1218:B1227"/>
    <mergeCell ref="B1228:B1233"/>
    <mergeCell ref="B1234:D1234"/>
    <mergeCell ref="B1235:B1242"/>
    <mergeCell ref="B1243:D1243"/>
    <mergeCell ref="B1245:D1245"/>
    <mergeCell ref="A1169:A1171"/>
    <mergeCell ref="B1169:B1171"/>
    <mergeCell ref="C1169:C1171"/>
    <mergeCell ref="D1169:D1171"/>
    <mergeCell ref="E1169:O1169"/>
    <mergeCell ref="E1170:E1171"/>
    <mergeCell ref="F1170:F1171"/>
    <mergeCell ref="G1170:J1170"/>
    <mergeCell ref="K1170:M1170"/>
    <mergeCell ref="N1170:N1171"/>
    <mergeCell ref="O1170:O1171"/>
    <mergeCell ref="B1172:B1175"/>
    <mergeCell ref="B1176:D1176"/>
    <mergeCell ref="B1177:B1183"/>
    <mergeCell ref="B1184:D1184"/>
    <mergeCell ref="B1185:B1191"/>
    <mergeCell ref="B1192:D1192"/>
    <mergeCell ref="B900:B909"/>
    <mergeCell ref="B910:B915"/>
    <mergeCell ref="B916:D916"/>
    <mergeCell ref="B917:B924"/>
    <mergeCell ref="B925:D925"/>
    <mergeCell ref="B927:D927"/>
    <mergeCell ref="B928:D928"/>
    <mergeCell ref="B929:B931"/>
    <mergeCell ref="B932:D932"/>
    <mergeCell ref="B933:B936"/>
    <mergeCell ref="B954:D954"/>
    <mergeCell ref="B955:D955"/>
    <mergeCell ref="B956:D956"/>
    <mergeCell ref="B937:D937"/>
    <mergeCell ref="B938:B939"/>
    <mergeCell ref="B940:D940"/>
    <mergeCell ref="B941:B945"/>
    <mergeCell ref="B946:D946"/>
    <mergeCell ref="B947:B949"/>
    <mergeCell ref="B950:D950"/>
    <mergeCell ref="B951:B952"/>
    <mergeCell ref="B953:D953"/>
    <mergeCell ref="B854:B857"/>
    <mergeCell ref="B858:D858"/>
    <mergeCell ref="B859:B865"/>
    <mergeCell ref="B866:D866"/>
    <mergeCell ref="B867:B873"/>
    <mergeCell ref="B874:D874"/>
    <mergeCell ref="B875:B877"/>
    <mergeCell ref="B878:D878"/>
    <mergeCell ref="B879:B881"/>
    <mergeCell ref="B882:D882"/>
    <mergeCell ref="B883:D883"/>
    <mergeCell ref="B884:B887"/>
    <mergeCell ref="B888:D888"/>
    <mergeCell ref="B889:B896"/>
    <mergeCell ref="B897:D897"/>
    <mergeCell ref="B898:D898"/>
    <mergeCell ref="B899:D899"/>
    <mergeCell ref="B848:D848"/>
    <mergeCell ref="B849:D849"/>
    <mergeCell ref="B850:D850"/>
    <mergeCell ref="B831:D831"/>
    <mergeCell ref="B832:B833"/>
    <mergeCell ref="B834:D834"/>
    <mergeCell ref="B835:B839"/>
    <mergeCell ref="B840:D840"/>
    <mergeCell ref="B841:B843"/>
    <mergeCell ref="B844:D844"/>
    <mergeCell ref="B845:B846"/>
    <mergeCell ref="B847:D847"/>
    <mergeCell ref="A851:A853"/>
    <mergeCell ref="B851:B853"/>
    <mergeCell ref="C851:C853"/>
    <mergeCell ref="D851:D853"/>
    <mergeCell ref="E851:O851"/>
    <mergeCell ref="E852:E853"/>
    <mergeCell ref="F852:F853"/>
    <mergeCell ref="G852:J852"/>
    <mergeCell ref="K852:M852"/>
    <mergeCell ref="N852:N853"/>
    <mergeCell ref="O852:O853"/>
    <mergeCell ref="B777:D777"/>
    <mergeCell ref="B778:B781"/>
    <mergeCell ref="B782:D782"/>
    <mergeCell ref="B783:B790"/>
    <mergeCell ref="B791:D791"/>
    <mergeCell ref="B792:D792"/>
    <mergeCell ref="B793:D793"/>
    <mergeCell ref="B794:B803"/>
    <mergeCell ref="B804:B809"/>
    <mergeCell ref="B810:D810"/>
    <mergeCell ref="B811:B818"/>
    <mergeCell ref="B819:D819"/>
    <mergeCell ref="B821:D821"/>
    <mergeCell ref="B822:D822"/>
    <mergeCell ref="B823:B825"/>
    <mergeCell ref="B826:D826"/>
    <mergeCell ref="B827:B830"/>
    <mergeCell ref="E745:O745"/>
    <mergeCell ref="E746:E747"/>
    <mergeCell ref="F746:F747"/>
    <mergeCell ref="G746:J746"/>
    <mergeCell ref="K746:M746"/>
    <mergeCell ref="N746:N747"/>
    <mergeCell ref="O746:O747"/>
    <mergeCell ref="B748:B751"/>
    <mergeCell ref="B752:D752"/>
    <mergeCell ref="B753:B759"/>
    <mergeCell ref="B760:D760"/>
    <mergeCell ref="B761:B767"/>
    <mergeCell ref="B768:D768"/>
    <mergeCell ref="B769:B771"/>
    <mergeCell ref="B772:D772"/>
    <mergeCell ref="B773:B775"/>
    <mergeCell ref="B776:D776"/>
    <mergeCell ref="B716:D716"/>
    <mergeCell ref="B717:B719"/>
    <mergeCell ref="B720:D720"/>
    <mergeCell ref="B721:B724"/>
    <mergeCell ref="B742:D742"/>
    <mergeCell ref="B743:D743"/>
    <mergeCell ref="B744:D744"/>
    <mergeCell ref="B725:D725"/>
    <mergeCell ref="B726:B727"/>
    <mergeCell ref="B728:D728"/>
    <mergeCell ref="B729:B733"/>
    <mergeCell ref="B734:D734"/>
    <mergeCell ref="B735:B737"/>
    <mergeCell ref="B738:D738"/>
    <mergeCell ref="B739:B740"/>
    <mergeCell ref="B741:D741"/>
    <mergeCell ref="A745:A747"/>
    <mergeCell ref="B745:B747"/>
    <mergeCell ref="C745:C747"/>
    <mergeCell ref="D745:D747"/>
    <mergeCell ref="B663:B665"/>
    <mergeCell ref="B666:D666"/>
    <mergeCell ref="B667:B669"/>
    <mergeCell ref="B670:D670"/>
    <mergeCell ref="B671:D671"/>
    <mergeCell ref="B672:B675"/>
    <mergeCell ref="B676:D676"/>
    <mergeCell ref="B677:B684"/>
    <mergeCell ref="B685:D685"/>
    <mergeCell ref="B686:D686"/>
    <mergeCell ref="B687:D687"/>
    <mergeCell ref="B688:B697"/>
    <mergeCell ref="B698:B703"/>
    <mergeCell ref="B704:D704"/>
    <mergeCell ref="B705:B712"/>
    <mergeCell ref="B713:D713"/>
    <mergeCell ref="B715:D715"/>
    <mergeCell ref="A639:A641"/>
    <mergeCell ref="B639:B641"/>
    <mergeCell ref="C639:C641"/>
    <mergeCell ref="D639:D641"/>
    <mergeCell ref="E639:O639"/>
    <mergeCell ref="E640:E641"/>
    <mergeCell ref="F640:F641"/>
    <mergeCell ref="G640:J640"/>
    <mergeCell ref="K640:M640"/>
    <mergeCell ref="N640:N641"/>
    <mergeCell ref="O640:O641"/>
    <mergeCell ref="B642:B645"/>
    <mergeCell ref="B646:D646"/>
    <mergeCell ref="B647:B653"/>
    <mergeCell ref="B654:D654"/>
    <mergeCell ref="B655:B661"/>
    <mergeCell ref="B662:D662"/>
    <mergeCell ref="B582:B591"/>
    <mergeCell ref="B592:B597"/>
    <mergeCell ref="B598:D598"/>
    <mergeCell ref="B599:B606"/>
    <mergeCell ref="B607:D607"/>
    <mergeCell ref="B609:D609"/>
    <mergeCell ref="B610:D610"/>
    <mergeCell ref="B611:B613"/>
    <mergeCell ref="B614:D614"/>
    <mergeCell ref="B615:B618"/>
    <mergeCell ref="B636:D636"/>
    <mergeCell ref="B637:D637"/>
    <mergeCell ref="B638:D638"/>
    <mergeCell ref="B619:D619"/>
    <mergeCell ref="B620:B621"/>
    <mergeCell ref="B622:D622"/>
    <mergeCell ref="B623:B627"/>
    <mergeCell ref="B628:D628"/>
    <mergeCell ref="B629:B631"/>
    <mergeCell ref="B632:D632"/>
    <mergeCell ref="B633:B634"/>
    <mergeCell ref="B635:D635"/>
    <mergeCell ref="B536:B539"/>
    <mergeCell ref="B540:D540"/>
    <mergeCell ref="B541:B547"/>
    <mergeCell ref="B548:D548"/>
    <mergeCell ref="B549:B555"/>
    <mergeCell ref="B556:D556"/>
    <mergeCell ref="B557:B559"/>
    <mergeCell ref="B560:D560"/>
    <mergeCell ref="B561:B563"/>
    <mergeCell ref="B564:D564"/>
    <mergeCell ref="B565:D565"/>
    <mergeCell ref="B566:B569"/>
    <mergeCell ref="B570:D570"/>
    <mergeCell ref="B571:B578"/>
    <mergeCell ref="B579:D579"/>
    <mergeCell ref="B580:D580"/>
    <mergeCell ref="B581:D581"/>
    <mergeCell ref="B530:D530"/>
    <mergeCell ref="B531:D531"/>
    <mergeCell ref="B532:D532"/>
    <mergeCell ref="B513:D513"/>
    <mergeCell ref="B514:B515"/>
    <mergeCell ref="B516:D516"/>
    <mergeCell ref="B517:B521"/>
    <mergeCell ref="B522:D522"/>
    <mergeCell ref="B523:B525"/>
    <mergeCell ref="B526:D526"/>
    <mergeCell ref="B527:B528"/>
    <mergeCell ref="B529:D529"/>
    <mergeCell ref="A533:A535"/>
    <mergeCell ref="B533:B535"/>
    <mergeCell ref="C533:C535"/>
    <mergeCell ref="D533:D535"/>
    <mergeCell ref="E533:O533"/>
    <mergeCell ref="E534:E535"/>
    <mergeCell ref="F534:F535"/>
    <mergeCell ref="G534:J534"/>
    <mergeCell ref="K534:M534"/>
    <mergeCell ref="N534:N535"/>
    <mergeCell ref="O534:O535"/>
    <mergeCell ref="B459:D459"/>
    <mergeCell ref="B460:B463"/>
    <mergeCell ref="B464:D464"/>
    <mergeCell ref="B465:B472"/>
    <mergeCell ref="B473:D473"/>
    <mergeCell ref="B474:D474"/>
    <mergeCell ref="B475:D475"/>
    <mergeCell ref="B476:B485"/>
    <mergeCell ref="B486:B491"/>
    <mergeCell ref="B492:D492"/>
    <mergeCell ref="B493:B500"/>
    <mergeCell ref="B501:D501"/>
    <mergeCell ref="B503:D503"/>
    <mergeCell ref="B504:D504"/>
    <mergeCell ref="B505:B507"/>
    <mergeCell ref="B508:D508"/>
    <mergeCell ref="B509:B512"/>
    <mergeCell ref="E427:O427"/>
    <mergeCell ref="E428:E429"/>
    <mergeCell ref="F428:F429"/>
    <mergeCell ref="G428:J428"/>
    <mergeCell ref="K428:M428"/>
    <mergeCell ref="N428:N429"/>
    <mergeCell ref="O428:O429"/>
    <mergeCell ref="B430:B433"/>
    <mergeCell ref="B434:D434"/>
    <mergeCell ref="B435:B441"/>
    <mergeCell ref="B442:D442"/>
    <mergeCell ref="B443:B449"/>
    <mergeCell ref="B450:D450"/>
    <mergeCell ref="B451:B453"/>
    <mergeCell ref="B454:D454"/>
    <mergeCell ref="B455:B457"/>
    <mergeCell ref="B458:D458"/>
    <mergeCell ref="B398:D398"/>
    <mergeCell ref="B399:B401"/>
    <mergeCell ref="B402:D402"/>
    <mergeCell ref="B403:B406"/>
    <mergeCell ref="B424:D424"/>
    <mergeCell ref="B425:D425"/>
    <mergeCell ref="B426:D426"/>
    <mergeCell ref="B407:D407"/>
    <mergeCell ref="B408:B409"/>
    <mergeCell ref="B410:D410"/>
    <mergeCell ref="B411:B415"/>
    <mergeCell ref="B416:D416"/>
    <mergeCell ref="B417:B419"/>
    <mergeCell ref="B420:D420"/>
    <mergeCell ref="B421:B422"/>
    <mergeCell ref="B423:D423"/>
    <mergeCell ref="A427:A429"/>
    <mergeCell ref="B427:B429"/>
    <mergeCell ref="C427:C429"/>
    <mergeCell ref="D427:D429"/>
    <mergeCell ref="B347:B349"/>
    <mergeCell ref="B350:D350"/>
    <mergeCell ref="B351:B353"/>
    <mergeCell ref="B354:D354"/>
    <mergeCell ref="B355:D355"/>
    <mergeCell ref="B356:B359"/>
    <mergeCell ref="B360:D360"/>
    <mergeCell ref="B361:B368"/>
    <mergeCell ref="B369:D369"/>
    <mergeCell ref="B370:D370"/>
    <mergeCell ref="B371:D371"/>
    <mergeCell ref="B372:B381"/>
    <mergeCell ref="B382:B385"/>
    <mergeCell ref="B386:D386"/>
    <mergeCell ref="B387:B394"/>
    <mergeCell ref="B395:D395"/>
    <mergeCell ref="B397:D397"/>
    <mergeCell ref="A323:A325"/>
    <mergeCell ref="B323:B325"/>
    <mergeCell ref="C323:C325"/>
    <mergeCell ref="D323:D325"/>
    <mergeCell ref="E323:O323"/>
    <mergeCell ref="E324:E325"/>
    <mergeCell ref="F324:F325"/>
    <mergeCell ref="G324:J324"/>
    <mergeCell ref="K324:M324"/>
    <mergeCell ref="N324:N325"/>
    <mergeCell ref="O324:O325"/>
    <mergeCell ref="B326:B329"/>
    <mergeCell ref="B330:D330"/>
    <mergeCell ref="B331:B337"/>
    <mergeCell ref="B338:D338"/>
    <mergeCell ref="B339:B345"/>
    <mergeCell ref="B346:D346"/>
    <mergeCell ref="B268:B277"/>
    <mergeCell ref="B278:B281"/>
    <mergeCell ref="B282:D282"/>
    <mergeCell ref="B283:B290"/>
    <mergeCell ref="B291:D291"/>
    <mergeCell ref="B293:D293"/>
    <mergeCell ref="B294:D294"/>
    <mergeCell ref="B295:B297"/>
    <mergeCell ref="B298:D298"/>
    <mergeCell ref="B299:B302"/>
    <mergeCell ref="B320:D320"/>
    <mergeCell ref="B321:D321"/>
    <mergeCell ref="B322:D322"/>
    <mergeCell ref="B303:D303"/>
    <mergeCell ref="B304:B305"/>
    <mergeCell ref="B306:D306"/>
    <mergeCell ref="B307:B311"/>
    <mergeCell ref="B312:D312"/>
    <mergeCell ref="B313:B315"/>
    <mergeCell ref="B316:D316"/>
    <mergeCell ref="B317:B318"/>
    <mergeCell ref="B319:D319"/>
    <mergeCell ref="B222:B225"/>
    <mergeCell ref="B226:D226"/>
    <mergeCell ref="B227:B233"/>
    <mergeCell ref="B234:D234"/>
    <mergeCell ref="B235:B241"/>
    <mergeCell ref="B242:D242"/>
    <mergeCell ref="B243:B245"/>
    <mergeCell ref="B246:D246"/>
    <mergeCell ref="B247:B249"/>
    <mergeCell ref="B250:D250"/>
    <mergeCell ref="B251:D251"/>
    <mergeCell ref="B252:B255"/>
    <mergeCell ref="B256:D256"/>
    <mergeCell ref="B257:B264"/>
    <mergeCell ref="B265:D265"/>
    <mergeCell ref="B266:D266"/>
    <mergeCell ref="B267:D267"/>
    <mergeCell ref="B215:D215"/>
    <mergeCell ref="B216:D216"/>
    <mergeCell ref="B217:D217"/>
    <mergeCell ref="B218:D218"/>
    <mergeCell ref="B203:B207"/>
    <mergeCell ref="B208:D208"/>
    <mergeCell ref="B209:B211"/>
    <mergeCell ref="B212:D212"/>
    <mergeCell ref="B213:B214"/>
    <mergeCell ref="A219:A221"/>
    <mergeCell ref="B219:B221"/>
    <mergeCell ref="C219:C221"/>
    <mergeCell ref="D219:D221"/>
    <mergeCell ref="E219:O219"/>
    <mergeCell ref="E220:E221"/>
    <mergeCell ref="F220:F221"/>
    <mergeCell ref="G220:J220"/>
    <mergeCell ref="K220:M220"/>
    <mergeCell ref="N220:N221"/>
    <mergeCell ref="O220:O221"/>
    <mergeCell ref="B163:D163"/>
    <mergeCell ref="B164:B173"/>
    <mergeCell ref="B174:B177"/>
    <mergeCell ref="B178:D178"/>
    <mergeCell ref="B147:D147"/>
    <mergeCell ref="B148:B151"/>
    <mergeCell ref="B152:D152"/>
    <mergeCell ref="B153:B160"/>
    <mergeCell ref="B161:D161"/>
    <mergeCell ref="B194:D194"/>
    <mergeCell ref="B195:B198"/>
    <mergeCell ref="B199:D199"/>
    <mergeCell ref="B200:B201"/>
    <mergeCell ref="B202:D202"/>
    <mergeCell ref="B179:B186"/>
    <mergeCell ref="B187:D187"/>
    <mergeCell ref="B189:D189"/>
    <mergeCell ref="B190:D190"/>
    <mergeCell ref="B191:B193"/>
    <mergeCell ref="B139:B141"/>
    <mergeCell ref="B142:D142"/>
    <mergeCell ref="B143:B145"/>
    <mergeCell ref="B146:D146"/>
    <mergeCell ref="B118:B121"/>
    <mergeCell ref="B122:D122"/>
    <mergeCell ref="B123:B129"/>
    <mergeCell ref="B130:D130"/>
    <mergeCell ref="B131:B137"/>
    <mergeCell ref="B105:B107"/>
    <mergeCell ref="B108:D108"/>
    <mergeCell ref="B109:B110"/>
    <mergeCell ref="B111:D111"/>
    <mergeCell ref="B112:D112"/>
    <mergeCell ref="B113:D113"/>
    <mergeCell ref="B114:D114"/>
    <mergeCell ref="B162:D162"/>
    <mergeCell ref="E115:O115"/>
    <mergeCell ref="E116:E117"/>
    <mergeCell ref="F116:F117"/>
    <mergeCell ref="G116:J116"/>
    <mergeCell ref="K116:M116"/>
    <mergeCell ref="N116:N117"/>
    <mergeCell ref="O116:O117"/>
    <mergeCell ref="B86:D86"/>
    <mergeCell ref="B87:B89"/>
    <mergeCell ref="B90:D90"/>
    <mergeCell ref="B91:B94"/>
    <mergeCell ref="B95:D95"/>
    <mergeCell ref="B96:B97"/>
    <mergeCell ref="B98:D98"/>
    <mergeCell ref="B99:B103"/>
    <mergeCell ref="A115:A117"/>
    <mergeCell ref="B115:B117"/>
    <mergeCell ref="C115:C117"/>
    <mergeCell ref="D115:D117"/>
    <mergeCell ref="B34:D34"/>
    <mergeCell ref="A9:O9"/>
    <mergeCell ref="E11:O11"/>
    <mergeCell ref="E12:E13"/>
    <mergeCell ref="F12:F13"/>
    <mergeCell ref="G12:J12"/>
    <mergeCell ref="K12:M12"/>
    <mergeCell ref="N12:N13"/>
    <mergeCell ref="O12:O13"/>
    <mergeCell ref="A11:A13"/>
    <mergeCell ref="B11:B13"/>
    <mergeCell ref="C11:C13"/>
    <mergeCell ref="D11:D13"/>
    <mergeCell ref="B14:B17"/>
    <mergeCell ref="B18:D18"/>
    <mergeCell ref="B19:B25"/>
    <mergeCell ref="B26:D26"/>
    <mergeCell ref="B27:B33"/>
    <mergeCell ref="B35:B37"/>
    <mergeCell ref="B38:D38"/>
    <mergeCell ref="B39:B41"/>
    <mergeCell ref="B42:D42"/>
    <mergeCell ref="B43:D43"/>
    <mergeCell ref="B44:B47"/>
    <mergeCell ref="B960:B963"/>
    <mergeCell ref="B964:D964"/>
    <mergeCell ref="B965:B971"/>
    <mergeCell ref="B972:D972"/>
    <mergeCell ref="B973:B979"/>
    <mergeCell ref="B980:D980"/>
    <mergeCell ref="B981:B983"/>
    <mergeCell ref="B984:D984"/>
    <mergeCell ref="B985:B987"/>
    <mergeCell ref="A957:A959"/>
    <mergeCell ref="B957:B959"/>
    <mergeCell ref="C957:C959"/>
    <mergeCell ref="D957:D959"/>
    <mergeCell ref="B48:D48"/>
    <mergeCell ref="B49:B56"/>
    <mergeCell ref="B57:D57"/>
    <mergeCell ref="B58:D58"/>
    <mergeCell ref="B59:D59"/>
    <mergeCell ref="B60:B69"/>
    <mergeCell ref="B70:B73"/>
    <mergeCell ref="B74:D74"/>
    <mergeCell ref="B75:B82"/>
    <mergeCell ref="B83:D83"/>
    <mergeCell ref="B85:D85"/>
    <mergeCell ref="B104:D104"/>
    <mergeCell ref="B138:D138"/>
    <mergeCell ref="E957:O957"/>
    <mergeCell ref="E958:E959"/>
    <mergeCell ref="F958:F959"/>
    <mergeCell ref="G958:J958"/>
    <mergeCell ref="K958:M958"/>
    <mergeCell ref="N958:N959"/>
    <mergeCell ref="O958:O959"/>
    <mergeCell ref="B1016:B1021"/>
    <mergeCell ref="B1022:D1022"/>
    <mergeCell ref="B1023:B1030"/>
    <mergeCell ref="B1031:D1031"/>
    <mergeCell ref="B1033:D1033"/>
    <mergeCell ref="B1034:D1034"/>
    <mergeCell ref="B1035:B1037"/>
    <mergeCell ref="B1038:D1038"/>
    <mergeCell ref="B1039:B1042"/>
    <mergeCell ref="B988:D988"/>
    <mergeCell ref="B989:D989"/>
    <mergeCell ref="B990:B993"/>
    <mergeCell ref="B994:D994"/>
    <mergeCell ref="B995:B1002"/>
    <mergeCell ref="B1003:D1003"/>
    <mergeCell ref="B1004:D1004"/>
    <mergeCell ref="B1005:D1005"/>
    <mergeCell ref="B1006:B1015"/>
    <mergeCell ref="A1063:A1065"/>
    <mergeCell ref="B1063:B1065"/>
    <mergeCell ref="C1063:C1065"/>
    <mergeCell ref="D1063:D1065"/>
    <mergeCell ref="E1063:O1063"/>
    <mergeCell ref="E1064:E1065"/>
    <mergeCell ref="F1064:F1065"/>
    <mergeCell ref="G1064:J1064"/>
    <mergeCell ref="K1064:M1064"/>
    <mergeCell ref="N1064:N1065"/>
    <mergeCell ref="O1064:O1065"/>
    <mergeCell ref="B1060:D1060"/>
    <mergeCell ref="B1061:D1061"/>
    <mergeCell ref="B1062:D1062"/>
    <mergeCell ref="B1043:D1043"/>
    <mergeCell ref="B1044:B1045"/>
    <mergeCell ref="B1046:D1046"/>
    <mergeCell ref="B1047:B1051"/>
    <mergeCell ref="B1052:D1052"/>
    <mergeCell ref="B1053:B1055"/>
    <mergeCell ref="B1056:D1056"/>
    <mergeCell ref="B1057:B1058"/>
    <mergeCell ref="B1059:D1059"/>
    <mergeCell ref="B1094:D1094"/>
    <mergeCell ref="B1095:D1095"/>
    <mergeCell ref="B1096:B1099"/>
    <mergeCell ref="B1100:D1100"/>
    <mergeCell ref="B1101:B1108"/>
    <mergeCell ref="B1109:D1109"/>
    <mergeCell ref="B1110:D1110"/>
    <mergeCell ref="B1111:D1111"/>
    <mergeCell ref="B1112:B1121"/>
    <mergeCell ref="B1066:B1069"/>
    <mergeCell ref="B1070:D1070"/>
    <mergeCell ref="B1071:B1077"/>
    <mergeCell ref="B1078:D1078"/>
    <mergeCell ref="B1079:B1085"/>
    <mergeCell ref="B1086:D1086"/>
    <mergeCell ref="B1087:B1089"/>
    <mergeCell ref="B1090:D1090"/>
    <mergeCell ref="B1091:B1093"/>
    <mergeCell ref="B1166:D1166"/>
    <mergeCell ref="B1167:D1167"/>
    <mergeCell ref="B1168:D1168"/>
    <mergeCell ref="B1149:D1149"/>
    <mergeCell ref="B1150:B1151"/>
    <mergeCell ref="B1152:D1152"/>
    <mergeCell ref="B1153:B1157"/>
    <mergeCell ref="B1158:D1158"/>
    <mergeCell ref="B1159:B1161"/>
    <mergeCell ref="B1162:D1162"/>
    <mergeCell ref="B1163:B1164"/>
    <mergeCell ref="B1165:D1165"/>
    <mergeCell ref="B1122:B1127"/>
    <mergeCell ref="B1128:D1128"/>
    <mergeCell ref="B1129:B1136"/>
    <mergeCell ref="B1137:D1137"/>
    <mergeCell ref="B1139:D1139"/>
    <mergeCell ref="B1140:D1140"/>
    <mergeCell ref="B1141:B1143"/>
    <mergeCell ref="B1144:D1144"/>
    <mergeCell ref="B1145:B1148"/>
    <mergeCell ref="D1275:D1277"/>
    <mergeCell ref="E1275:O1275"/>
    <mergeCell ref="E1276:E1277"/>
    <mergeCell ref="F1276:F1277"/>
    <mergeCell ref="G1276:J1276"/>
    <mergeCell ref="K1276:M1276"/>
    <mergeCell ref="N1276:N1277"/>
    <mergeCell ref="O1276:O1277"/>
    <mergeCell ref="B1334:B1339"/>
    <mergeCell ref="B1340:D1340"/>
    <mergeCell ref="B1341:B1348"/>
    <mergeCell ref="B1349:D1349"/>
    <mergeCell ref="B1351:D1351"/>
    <mergeCell ref="B1352:D1352"/>
    <mergeCell ref="B1353:B1355"/>
    <mergeCell ref="B1356:D1356"/>
    <mergeCell ref="B1357:B1360"/>
    <mergeCell ref="B1306:D1306"/>
    <mergeCell ref="B1307:D1307"/>
    <mergeCell ref="B1308:B1311"/>
    <mergeCell ref="B1312:D1312"/>
    <mergeCell ref="B1313:B1320"/>
    <mergeCell ref="B1321:D1321"/>
    <mergeCell ref="B1322:D1322"/>
    <mergeCell ref="B1323:D1323"/>
    <mergeCell ref="B1324:B1333"/>
    <mergeCell ref="A1381:A1383"/>
    <mergeCell ref="B1381:B1383"/>
    <mergeCell ref="C1381:C1383"/>
    <mergeCell ref="D1381:D1383"/>
    <mergeCell ref="E1381:O1381"/>
    <mergeCell ref="E1382:E1383"/>
    <mergeCell ref="F1382:F1383"/>
    <mergeCell ref="G1382:J1382"/>
    <mergeCell ref="K1382:M1382"/>
    <mergeCell ref="N1382:N1383"/>
    <mergeCell ref="O1382:O1383"/>
    <mergeCell ref="B1378:D1378"/>
    <mergeCell ref="B1379:D1379"/>
    <mergeCell ref="B1380:D1380"/>
    <mergeCell ref="B1361:D1361"/>
    <mergeCell ref="B1362:B1363"/>
    <mergeCell ref="B1364:D1364"/>
    <mergeCell ref="B1365:B1369"/>
    <mergeCell ref="B1370:D1370"/>
    <mergeCell ref="B1371:B1373"/>
    <mergeCell ref="B1374:D1374"/>
    <mergeCell ref="B1375:B1376"/>
    <mergeCell ref="B1377:D1377"/>
    <mergeCell ref="B1412:D1412"/>
    <mergeCell ref="B1413:D1413"/>
    <mergeCell ref="B1414:B1417"/>
    <mergeCell ref="B1418:D1418"/>
    <mergeCell ref="B1419:B1426"/>
    <mergeCell ref="B1427:D1427"/>
    <mergeCell ref="B1428:D1428"/>
    <mergeCell ref="B1429:D1429"/>
    <mergeCell ref="B1430:B1440"/>
    <mergeCell ref="B1384:B1387"/>
    <mergeCell ref="B1388:D1388"/>
    <mergeCell ref="B1389:B1395"/>
    <mergeCell ref="B1396:D1396"/>
    <mergeCell ref="B1397:B1403"/>
    <mergeCell ref="B1404:D1404"/>
    <mergeCell ref="B1405:B1407"/>
    <mergeCell ref="B1408:D1408"/>
    <mergeCell ref="B1409:B1411"/>
    <mergeCell ref="B1485:D1485"/>
    <mergeCell ref="B1486:D1486"/>
    <mergeCell ref="B1487:D1487"/>
    <mergeCell ref="B1468:D1468"/>
    <mergeCell ref="B1469:B1470"/>
    <mergeCell ref="B1471:D1471"/>
    <mergeCell ref="B1472:B1476"/>
    <mergeCell ref="B1477:D1477"/>
    <mergeCell ref="B1478:B1480"/>
    <mergeCell ref="B1481:D1481"/>
    <mergeCell ref="B1482:B1483"/>
    <mergeCell ref="B1484:D1484"/>
    <mergeCell ref="B1441:B1446"/>
    <mergeCell ref="B1447:D1447"/>
    <mergeCell ref="B1448:B1455"/>
    <mergeCell ref="B1456:D1456"/>
    <mergeCell ref="B1458:D1458"/>
    <mergeCell ref="B1459:D1459"/>
    <mergeCell ref="B1460:B1462"/>
    <mergeCell ref="B1463:D1463"/>
    <mergeCell ref="B1464:B1467"/>
    <mergeCell ref="E2025:O2025"/>
    <mergeCell ref="E2026:E2027"/>
    <mergeCell ref="F2026:F2027"/>
    <mergeCell ref="G2026:J2026"/>
    <mergeCell ref="K2026:M2026"/>
    <mergeCell ref="N2026:N2027"/>
    <mergeCell ref="O2026:O2027"/>
    <mergeCell ref="B1699:D1699"/>
    <mergeCell ref="B1700:D1700"/>
    <mergeCell ref="B1701:D1701"/>
    <mergeCell ref="B1682:D1682"/>
    <mergeCell ref="B1683:B1684"/>
    <mergeCell ref="B1685:D1685"/>
    <mergeCell ref="B1686:B1690"/>
    <mergeCell ref="B1691:D1691"/>
    <mergeCell ref="B1692:B1694"/>
    <mergeCell ref="A1595:A1597"/>
    <mergeCell ref="B1595:B1597"/>
    <mergeCell ref="C1595:C1597"/>
    <mergeCell ref="D1595:D1597"/>
    <mergeCell ref="E1595:O1595"/>
    <mergeCell ref="E1596:E1597"/>
    <mergeCell ref="F1596:F1597"/>
    <mergeCell ref="G1596:J1596"/>
    <mergeCell ref="K1596:M1596"/>
    <mergeCell ref="N1596:N1597"/>
    <mergeCell ref="O1596:O1597"/>
    <mergeCell ref="B1655:B1660"/>
    <mergeCell ref="B1661:D1661"/>
    <mergeCell ref="B1662:B1669"/>
    <mergeCell ref="B1670:D1670"/>
    <mergeCell ref="B1672:D1672"/>
    <mergeCell ref="B1779:D1779"/>
    <mergeCell ref="B1780:D1780"/>
    <mergeCell ref="B1674:B1676"/>
    <mergeCell ref="B1677:D1677"/>
    <mergeCell ref="B1678:B1681"/>
    <mergeCell ref="B1626:D1626"/>
    <mergeCell ref="B1627:D1627"/>
    <mergeCell ref="B1628:B1631"/>
    <mergeCell ref="B1632:D1632"/>
    <mergeCell ref="B1633:B1640"/>
    <mergeCell ref="B1641:D1641"/>
    <mergeCell ref="B1642:D1642"/>
    <mergeCell ref="B1643:D1643"/>
    <mergeCell ref="B1644:B1654"/>
    <mergeCell ref="A2025:A2027"/>
    <mergeCell ref="B2025:B2027"/>
    <mergeCell ref="C2025:C2027"/>
    <mergeCell ref="D2025:D2027"/>
    <mergeCell ref="B1673:D1673"/>
    <mergeCell ref="B1781:B1783"/>
    <mergeCell ref="B1784:D1784"/>
    <mergeCell ref="B1785:B1788"/>
    <mergeCell ref="B1806:D1806"/>
    <mergeCell ref="B1807:D1807"/>
    <mergeCell ref="B1808:D1808"/>
    <mergeCell ref="B1789:D1789"/>
    <mergeCell ref="B1790:B1791"/>
    <mergeCell ref="B1792:D1792"/>
    <mergeCell ref="B1793:B1797"/>
    <mergeCell ref="B1798:D1798"/>
    <mergeCell ref="B1799:B1801"/>
    <mergeCell ref="B1802:D1802"/>
    <mergeCell ref="B1695:D1695"/>
    <mergeCell ref="B1696:B1697"/>
    <mergeCell ref="B1698:D1698"/>
    <mergeCell ref="B1705:B1708"/>
    <mergeCell ref="B1709:D1709"/>
    <mergeCell ref="B1710:B1716"/>
    <mergeCell ref="B1717:D1717"/>
    <mergeCell ref="B1718:B1724"/>
    <mergeCell ref="B1725:D1725"/>
    <mergeCell ref="B1726:B1728"/>
    <mergeCell ref="B1729:D1729"/>
    <mergeCell ref="B1730:B1732"/>
    <mergeCell ref="B2056:D2056"/>
    <mergeCell ref="B2057:D2057"/>
    <mergeCell ref="B2058:B2061"/>
    <mergeCell ref="B2062:D2062"/>
    <mergeCell ref="B2063:B2070"/>
    <mergeCell ref="B1733:D1733"/>
    <mergeCell ref="B1734:D1734"/>
    <mergeCell ref="B1735:B1738"/>
    <mergeCell ref="B1739:D1739"/>
    <mergeCell ref="B1740:B1747"/>
    <mergeCell ref="B1748:D1748"/>
    <mergeCell ref="B1749:D1749"/>
    <mergeCell ref="B1750:D1750"/>
    <mergeCell ref="B1751:B1761"/>
    <mergeCell ref="B1762:B1767"/>
    <mergeCell ref="B1768:D1768"/>
    <mergeCell ref="B1769:B1776"/>
    <mergeCell ref="B1777:D1777"/>
    <mergeCell ref="B2028:B2031"/>
    <mergeCell ref="B2032:D2032"/>
    <mergeCell ref="B2053:B2055"/>
    <mergeCell ref="B2131:D2131"/>
    <mergeCell ref="B2132:D2132"/>
    <mergeCell ref="B2133:D2133"/>
    <mergeCell ref="B2114:D2114"/>
    <mergeCell ref="B2115:B2116"/>
    <mergeCell ref="B2117:D2117"/>
    <mergeCell ref="B2118:B2122"/>
    <mergeCell ref="B2123:D2123"/>
    <mergeCell ref="B2124:B2126"/>
    <mergeCell ref="B2127:D2127"/>
    <mergeCell ref="B2128:B2129"/>
    <mergeCell ref="B2130:D2130"/>
    <mergeCell ref="B2085:B2090"/>
    <mergeCell ref="B2091:D2091"/>
    <mergeCell ref="B2092:B2101"/>
    <mergeCell ref="B2102:D2102"/>
    <mergeCell ref="B2104:D2104"/>
    <mergeCell ref="B2105:D2105"/>
    <mergeCell ref="B2106:B2108"/>
  </mergeCells>
  <pageMargins left="0.19685039370078741" right="0.19685039370078741" top="0.19685039370078741" bottom="0.19685039370078741" header="0.19685039370078741" footer="0.19685039370078741"/>
  <pageSetup paperSize="9" scale="29" orientation="portrait" verticalDpi="300" r:id="rId1"/>
  <rowBreaks count="21" manualBreakCount="21">
    <brk id="114" max="14" man="1"/>
    <brk id="218" max="14" man="1"/>
    <brk id="322" max="14" man="1"/>
    <brk id="426" max="14" man="1"/>
    <brk id="532" max="14" man="1"/>
    <brk id="638" max="14" man="1"/>
    <brk id="744" max="14" man="1"/>
    <brk id="850" max="14" man="1"/>
    <brk id="956" max="14" man="1"/>
    <brk id="1062" max="14" man="1"/>
    <brk id="1168" max="14" man="1"/>
    <brk id="1274" max="14" man="1"/>
    <brk id="1380" max="14" man="1"/>
    <brk id="1487" max="14" man="1"/>
    <brk id="1594" max="14" man="1"/>
    <brk id="1701" max="14" man="1"/>
    <brk id="1808" max="14" man="1"/>
    <brk id="1915" max="14" man="1"/>
    <brk id="2024" max="14" man="1"/>
    <brk id="2133" max="14" man="1"/>
    <brk id="2242" max="1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7:O2361"/>
  <sheetViews>
    <sheetView tabSelected="1" view="pageBreakPreview" topLeftCell="A2239" zoomScale="50" zoomScaleNormal="70" zoomScaleSheetLayoutView="50" workbookViewId="0">
      <selection activeCell="E1177" sqref="E1177"/>
    </sheetView>
  </sheetViews>
  <sheetFormatPr defaultColWidth="9.109375" defaultRowHeight="13.8" x14ac:dyDescent="0.3"/>
  <cols>
    <col min="1" max="1" width="10.109375" style="229" customWidth="1"/>
    <col min="2" max="2" width="26.44140625" style="269" bestFit="1" customWidth="1"/>
    <col min="3" max="3" width="83.44140625" style="269" customWidth="1"/>
    <col min="4" max="4" width="44.33203125" style="229" customWidth="1"/>
    <col min="5" max="5" width="14.6640625" style="379" customWidth="1"/>
    <col min="6" max="7" width="33.109375" style="380" customWidth="1"/>
    <col min="8" max="8" width="14.6640625" style="379" customWidth="1"/>
    <col min="9" max="10" width="33.109375" style="380" customWidth="1"/>
    <col min="11" max="11" width="9.109375" style="229"/>
    <col min="12" max="12" width="11.33203125" style="229" bestFit="1" customWidth="1"/>
    <col min="13" max="16384" width="9.109375" style="229"/>
  </cols>
  <sheetData>
    <row r="7" spans="1:10" ht="67.2" customHeight="1" x14ac:dyDescent="0.3">
      <c r="A7" s="220" t="s">
        <v>0</v>
      </c>
    </row>
    <row r="9" spans="1:10" ht="81" customHeight="1" x14ac:dyDescent="0.3">
      <c r="A9" s="1017" t="s">
        <v>412</v>
      </c>
      <c r="B9" s="1018"/>
      <c r="C9" s="1018"/>
      <c r="D9" s="1018"/>
      <c r="E9" s="1018"/>
      <c r="F9" s="1018"/>
      <c r="G9" s="1018"/>
      <c r="H9" s="1018"/>
      <c r="I9" s="1018"/>
      <c r="J9" s="1018"/>
    </row>
    <row r="10" spans="1:10" ht="24.6" customHeight="1" thickBot="1" x14ac:dyDescent="0.35">
      <c r="A10" s="230"/>
      <c r="B10" s="230"/>
      <c r="C10" s="230"/>
      <c r="D10" s="230"/>
      <c r="E10" s="381"/>
      <c r="F10" s="381"/>
      <c r="G10" s="381"/>
      <c r="H10" s="381"/>
      <c r="I10" s="381"/>
      <c r="J10" s="381"/>
    </row>
    <row r="11" spans="1:10" ht="23.4" x14ac:dyDescent="0.3">
      <c r="A11" s="991" t="s">
        <v>1</v>
      </c>
      <c r="B11" s="994" t="s">
        <v>2</v>
      </c>
      <c r="C11" s="997" t="s">
        <v>3</v>
      </c>
      <c r="D11" s="997" t="s">
        <v>93</v>
      </c>
      <c r="E11" s="1021" t="s">
        <v>175</v>
      </c>
      <c r="F11" s="1022"/>
      <c r="G11" s="1022"/>
      <c r="H11" s="445"/>
      <c r="I11" s="445"/>
      <c r="J11" s="446"/>
    </row>
    <row r="12" spans="1:10" ht="23.4" x14ac:dyDescent="0.3">
      <c r="A12" s="992"/>
      <c r="B12" s="995"/>
      <c r="C12" s="998"/>
      <c r="D12" s="998"/>
      <c r="E12" s="1023" t="s">
        <v>177</v>
      </c>
      <c r="F12" s="1024"/>
      <c r="G12" s="1025"/>
      <c r="H12" s="1023" t="s">
        <v>176</v>
      </c>
      <c r="I12" s="1024"/>
      <c r="J12" s="1025"/>
    </row>
    <row r="13" spans="1:10" ht="46.8" x14ac:dyDescent="0.3">
      <c r="A13" s="993"/>
      <c r="B13" s="1019"/>
      <c r="C13" s="1020"/>
      <c r="D13" s="1020"/>
      <c r="E13" s="382" t="s">
        <v>178</v>
      </c>
      <c r="F13" s="683" t="s">
        <v>11</v>
      </c>
      <c r="G13" s="684" t="s">
        <v>12</v>
      </c>
      <c r="H13" s="1026" t="s">
        <v>178</v>
      </c>
      <c r="I13" s="1028" t="s">
        <v>144</v>
      </c>
      <c r="J13" s="1030" t="s">
        <v>12</v>
      </c>
    </row>
    <row r="14" spans="1:10" ht="24" thickBot="1" x14ac:dyDescent="0.35">
      <c r="A14" s="993"/>
      <c r="B14" s="996"/>
      <c r="C14" s="999"/>
      <c r="D14" s="999"/>
      <c r="E14" s="1032">
        <v>44531</v>
      </c>
      <c r="F14" s="1033"/>
      <c r="G14" s="1034"/>
      <c r="H14" s="1027"/>
      <c r="I14" s="1029"/>
      <c r="J14" s="1031"/>
    </row>
    <row r="15" spans="1:10" ht="23.4" x14ac:dyDescent="0.3">
      <c r="A15" s="271" t="s">
        <v>110</v>
      </c>
      <c r="B15" s="956" t="s">
        <v>16</v>
      </c>
      <c r="C15" s="272" t="s">
        <v>185</v>
      </c>
      <c r="D15" s="272" t="s">
        <v>183</v>
      </c>
      <c r="E15" s="508">
        <v>81.360699999999994</v>
      </c>
      <c r="F15" s="405">
        <f>IFERROR(E15*'01 Prod Physique Boites'!H14,"-")</f>
        <v>0</v>
      </c>
      <c r="G15" s="405">
        <f>IFERROR(E15*'01 Prod Physique Boites'!L14,"-")</f>
        <v>0</v>
      </c>
      <c r="H15" s="384">
        <v>0</v>
      </c>
      <c r="I15" s="422">
        <f>IFERROR(H15*(F15/E15),"-")</f>
        <v>0</v>
      </c>
      <c r="J15" s="423">
        <f t="shared" ref="J15:J17" si="0">IFERROR(H15*(G15/E15),"-")</f>
        <v>0</v>
      </c>
    </row>
    <row r="16" spans="1:10" ht="23.4" x14ac:dyDescent="0.3">
      <c r="A16" s="277" t="s">
        <v>110</v>
      </c>
      <c r="B16" s="957"/>
      <c r="C16" s="278" t="s">
        <v>188</v>
      </c>
      <c r="D16" s="278" t="s">
        <v>101</v>
      </c>
      <c r="E16" s="509">
        <v>81.360699999999994</v>
      </c>
      <c r="F16" s="405">
        <f>IFERROR(E16*'01 Prod Physique Boites'!H15,"-")</f>
        <v>0</v>
      </c>
      <c r="G16" s="405">
        <f>IFERROR(E16*'01 Prod Physique Boites'!L15,"-")</f>
        <v>0</v>
      </c>
      <c r="H16" s="388">
        <v>0</v>
      </c>
      <c r="I16" s="422">
        <f>IFERROR(H16*(F16/E16),"-")</f>
        <v>0</v>
      </c>
      <c r="J16" s="423">
        <f t="shared" si="0"/>
        <v>0</v>
      </c>
    </row>
    <row r="17" spans="1:10" ht="23.4" x14ac:dyDescent="0.3">
      <c r="A17" s="277" t="s">
        <v>110</v>
      </c>
      <c r="B17" s="957"/>
      <c r="C17" s="278" t="s">
        <v>186</v>
      </c>
      <c r="D17" s="278" t="s">
        <v>184</v>
      </c>
      <c r="E17" s="509">
        <v>55.476900000000001</v>
      </c>
      <c r="F17" s="405">
        <f>IFERROR(E17*'01 Prod Physique Boites'!H16,"-")</f>
        <v>0</v>
      </c>
      <c r="G17" s="405">
        <f>IFERROR(E17*'01 Prod Physique Boites'!L16,"-")</f>
        <v>0</v>
      </c>
      <c r="H17" s="388">
        <v>0</v>
      </c>
      <c r="I17" s="422">
        <f>IFERROR(H17*(F17/E17),"-")</f>
        <v>0</v>
      </c>
      <c r="J17" s="423">
        <f t="shared" si="0"/>
        <v>0</v>
      </c>
    </row>
    <row r="18" spans="1:10" ht="24" thickBot="1" x14ac:dyDescent="0.35">
      <c r="A18" s="277" t="s">
        <v>110</v>
      </c>
      <c r="B18" s="958"/>
      <c r="C18" s="282" t="s">
        <v>282</v>
      </c>
      <c r="D18" s="282" t="s">
        <v>251</v>
      </c>
      <c r="E18" s="505">
        <v>60.703499999999998</v>
      </c>
      <c r="F18" s="405">
        <f>IFERROR(E18*'01 Prod Physique Boites'!H17,"-")</f>
        <v>0</v>
      </c>
      <c r="G18" s="405">
        <f>IFERROR(E18*'01 Prod Physique Boites'!L17,"-")</f>
        <v>0</v>
      </c>
      <c r="H18" s="390">
        <v>111.09</v>
      </c>
      <c r="I18" s="422">
        <f>IFERROR(H18*(F18/E18),"-")</f>
        <v>0</v>
      </c>
      <c r="J18" s="423">
        <f>IFERROR(H18*(G18/E18),"-")</f>
        <v>0</v>
      </c>
    </row>
    <row r="19" spans="1:10" ht="24" thickBot="1" x14ac:dyDescent="0.35">
      <c r="A19" s="277" t="s">
        <v>110</v>
      </c>
      <c r="B19" s="967" t="s">
        <v>47</v>
      </c>
      <c r="C19" s="968"/>
      <c r="D19" s="969"/>
      <c r="E19" s="393"/>
      <c r="F19" s="409">
        <f t="shared" ref="F19" si="1">SUM(F15:F18)</f>
        <v>0</v>
      </c>
      <c r="G19" s="410">
        <f>SUM(G15:G18)</f>
        <v>0</v>
      </c>
      <c r="H19" s="394"/>
      <c r="I19" s="409">
        <f t="shared" ref="I19:J19" si="2">SUM(I15:I18)</f>
        <v>0</v>
      </c>
      <c r="J19" s="428">
        <f t="shared" si="2"/>
        <v>0</v>
      </c>
    </row>
    <row r="20" spans="1:10" ht="23.4" x14ac:dyDescent="0.3">
      <c r="A20" s="277" t="s">
        <v>110</v>
      </c>
      <c r="B20" s="956" t="s">
        <v>17</v>
      </c>
      <c r="C20" s="272" t="s">
        <v>320</v>
      </c>
      <c r="D20" s="272"/>
      <c r="E20" s="508">
        <v>12.5275</v>
      </c>
      <c r="F20" s="405">
        <f>IFERROR(E20*'01 Prod Physique Boites'!H19,"-")</f>
        <v>0</v>
      </c>
      <c r="G20" s="405">
        <f>IFERROR(E20*'01 Prod Physique Boites'!L19,"-")</f>
        <v>0</v>
      </c>
      <c r="H20" s="384">
        <v>18.836400000000001</v>
      </c>
      <c r="I20" s="422">
        <f t="shared" ref="I20:I26" si="3">IFERROR(H20*(F20/E20),"-")</f>
        <v>0</v>
      </c>
      <c r="J20" s="423">
        <f t="shared" ref="J20:J25" si="4">IFERROR(H20*(G20/E20),"-")</f>
        <v>0</v>
      </c>
    </row>
    <row r="21" spans="1:10" ht="23.4" x14ac:dyDescent="0.3">
      <c r="A21" s="277" t="s">
        <v>110</v>
      </c>
      <c r="B21" s="957"/>
      <c r="C21" s="278" t="s">
        <v>382</v>
      </c>
      <c r="D21" s="278" t="s">
        <v>252</v>
      </c>
      <c r="E21" s="698">
        <v>13.002700000000001</v>
      </c>
      <c r="F21" s="405">
        <f>IFERROR(E21*'01 Prod Physique Boites'!H20,"-")</f>
        <v>79576.524000000005</v>
      </c>
      <c r="G21" s="405">
        <f>IFERROR(E21*'01 Prod Physique Boites'!L20,"-")</f>
        <v>79576.524000000005</v>
      </c>
      <c r="H21" s="388">
        <v>21.18</v>
      </c>
      <c r="I21" s="424">
        <f t="shared" si="3"/>
        <v>129621.59999999999</v>
      </c>
      <c r="J21" s="425">
        <f t="shared" si="4"/>
        <v>129621.59999999999</v>
      </c>
    </row>
    <row r="22" spans="1:10" ht="23.4" x14ac:dyDescent="0.3">
      <c r="A22" s="277" t="s">
        <v>110</v>
      </c>
      <c r="B22" s="957"/>
      <c r="C22" s="278" t="s">
        <v>391</v>
      </c>
      <c r="D22" s="278" t="s">
        <v>201</v>
      </c>
      <c r="E22" s="699">
        <v>12.9049</v>
      </c>
      <c r="F22" s="405">
        <f>IFERROR(E22*'01 Prod Physique Boites'!H21,"-")</f>
        <v>1737515.736</v>
      </c>
      <c r="G22" s="405">
        <f>IFERROR(E22*'01 Prod Physique Boites'!L21,"-")</f>
        <v>1737515.736</v>
      </c>
      <c r="H22" s="388">
        <v>20.5</v>
      </c>
      <c r="I22" s="424">
        <f t="shared" si="3"/>
        <v>2760120</v>
      </c>
      <c r="J22" s="425">
        <f t="shared" si="4"/>
        <v>2760120</v>
      </c>
    </row>
    <row r="23" spans="1:10" ht="23.4" x14ac:dyDescent="0.3">
      <c r="A23" s="277" t="s">
        <v>110</v>
      </c>
      <c r="B23" s="957"/>
      <c r="C23" s="278" t="s">
        <v>319</v>
      </c>
      <c r="D23" s="278" t="s">
        <v>202</v>
      </c>
      <c r="E23" s="509">
        <v>13.078200000000001</v>
      </c>
      <c r="F23" s="405">
        <f>IFERROR(E23*'01 Prod Physique Boites'!H22,"-")</f>
        <v>0</v>
      </c>
      <c r="G23" s="405">
        <f>IFERROR(E23*'01 Prod Physique Boites'!L22,"-")</f>
        <v>0</v>
      </c>
      <c r="H23" s="388">
        <v>20.6</v>
      </c>
      <c r="I23" s="424">
        <f t="shared" si="3"/>
        <v>0</v>
      </c>
      <c r="J23" s="425">
        <f t="shared" si="4"/>
        <v>0</v>
      </c>
    </row>
    <row r="24" spans="1:10" ht="23.4" x14ac:dyDescent="0.3">
      <c r="A24" s="277" t="s">
        <v>110</v>
      </c>
      <c r="B24" s="957"/>
      <c r="C24" s="278" t="s">
        <v>358</v>
      </c>
      <c r="D24" s="278" t="s">
        <v>352</v>
      </c>
      <c r="E24" s="509">
        <v>13.1958</v>
      </c>
      <c r="F24" s="405">
        <f>IFERROR(E24*'01 Prod Physique Boites'!H23,"-")</f>
        <v>0</v>
      </c>
      <c r="G24" s="405">
        <f>IFERROR(E24*'01 Prod Physique Boites'!L23,"-")</f>
        <v>0</v>
      </c>
      <c r="H24" s="388">
        <v>21.28</v>
      </c>
      <c r="I24" s="424">
        <f t="shared" si="3"/>
        <v>0</v>
      </c>
      <c r="J24" s="425">
        <f t="shared" si="4"/>
        <v>0</v>
      </c>
    </row>
    <row r="25" spans="1:10" ht="23.4" x14ac:dyDescent="0.3">
      <c r="A25" s="277">
        <v>1</v>
      </c>
      <c r="B25" s="957"/>
      <c r="C25" s="278" t="s">
        <v>392</v>
      </c>
      <c r="D25" s="278" t="s">
        <v>203</v>
      </c>
      <c r="E25" s="698">
        <v>12.9049</v>
      </c>
      <c r="F25" s="405">
        <f>IFERROR(E25*'01 Prod Physique Boites'!H24,"-")</f>
        <v>0</v>
      </c>
      <c r="G25" s="405">
        <f>IFERROR(E25*'01 Prod Physique Boites'!L24,"-")</f>
        <v>0</v>
      </c>
      <c r="H25" s="677">
        <v>20.5</v>
      </c>
      <c r="I25" s="424">
        <f t="shared" si="3"/>
        <v>0</v>
      </c>
      <c r="J25" s="425">
        <f t="shared" si="4"/>
        <v>0</v>
      </c>
    </row>
    <row r="26" spans="1:10" ht="24" thickBot="1" x14ac:dyDescent="0.35">
      <c r="A26" s="277" t="s">
        <v>110</v>
      </c>
      <c r="B26" s="958"/>
      <c r="C26" s="282" t="s">
        <v>379</v>
      </c>
      <c r="D26" s="282" t="s">
        <v>187</v>
      </c>
      <c r="E26" s="505">
        <v>13.6509</v>
      </c>
      <c r="F26" s="405">
        <f>IFERROR(E26*'01 Prod Physique Boites'!H25,"-")</f>
        <v>0</v>
      </c>
      <c r="G26" s="405">
        <f>IFERROR(E26*'01 Prod Physique Boites'!L25,"-")</f>
        <v>0</v>
      </c>
      <c r="H26" s="390">
        <v>21.18</v>
      </c>
      <c r="I26" s="426">
        <f t="shared" si="3"/>
        <v>0</v>
      </c>
      <c r="J26" s="427">
        <f>IFERROR(H26*(G26/E26),"-")</f>
        <v>0</v>
      </c>
    </row>
    <row r="27" spans="1:10" ht="24" thickBot="1" x14ac:dyDescent="0.35">
      <c r="A27" s="277" t="s">
        <v>110</v>
      </c>
      <c r="B27" s="967" t="s">
        <v>48</v>
      </c>
      <c r="C27" s="968"/>
      <c r="D27" s="969"/>
      <c r="E27" s="393"/>
      <c r="F27" s="409">
        <f t="shared" ref="F27" si="5">SUM(F20:F26)</f>
        <v>1817092.26</v>
      </c>
      <c r="G27" s="410">
        <f>SUM(G20:G26)</f>
        <v>1817092.26</v>
      </c>
      <c r="H27" s="394"/>
      <c r="I27" s="409">
        <f t="shared" ref="I27" si="6">SUM(I20:I26)</f>
        <v>2889741.6</v>
      </c>
      <c r="J27" s="428">
        <f>SUM(J20:J26)</f>
        <v>2889741.6</v>
      </c>
    </row>
    <row r="28" spans="1:10" ht="23.4" x14ac:dyDescent="0.3">
      <c r="A28" s="277" t="s">
        <v>110</v>
      </c>
      <c r="B28" s="956" t="s">
        <v>18</v>
      </c>
      <c r="C28" s="272" t="s">
        <v>344</v>
      </c>
      <c r="D28" s="272" t="s">
        <v>99</v>
      </c>
      <c r="E28" s="508">
        <v>17.8202</v>
      </c>
      <c r="F28" s="405">
        <f>IFERROR(E28*'01 Prod Physique Boites'!H27,"-")</f>
        <v>0</v>
      </c>
      <c r="G28" s="406">
        <f>IFERROR(E28*'01 Prod Physique Boites'!L27,"-")</f>
        <v>0</v>
      </c>
      <c r="H28" s="384">
        <v>24.93</v>
      </c>
      <c r="I28" s="422">
        <f t="shared" ref="I28:I34" si="7">IFERROR(H28*(F28/E28),"-")</f>
        <v>0</v>
      </c>
      <c r="J28" s="423">
        <f t="shared" ref="J28:J30" si="8">IFERROR(H28*(G28/E28),"-")</f>
        <v>0</v>
      </c>
    </row>
    <row r="29" spans="1:10" ht="23.4" x14ac:dyDescent="0.3">
      <c r="A29" s="277" t="s">
        <v>110</v>
      </c>
      <c r="B29" s="957"/>
      <c r="C29" s="278" t="s">
        <v>137</v>
      </c>
      <c r="D29" s="278"/>
      <c r="E29" s="509">
        <v>17.8202</v>
      </c>
      <c r="F29" s="405">
        <f>IFERROR(E29*'01 Prod Physique Boites'!H28,"-")</f>
        <v>0</v>
      </c>
      <c r="G29" s="406">
        <f>IFERROR(E29*'01 Prod Physique Boites'!L28,"-")</f>
        <v>0</v>
      </c>
      <c r="H29" s="388">
        <v>0</v>
      </c>
      <c r="I29" s="424">
        <f t="shared" si="7"/>
        <v>0</v>
      </c>
      <c r="J29" s="425">
        <f t="shared" si="8"/>
        <v>0</v>
      </c>
    </row>
    <row r="30" spans="1:10" ht="23.4" x14ac:dyDescent="0.3">
      <c r="A30" s="277" t="s">
        <v>110</v>
      </c>
      <c r="B30" s="957"/>
      <c r="C30" s="278" t="s">
        <v>122</v>
      </c>
      <c r="D30" s="278"/>
      <c r="E30" s="509">
        <v>16.4071</v>
      </c>
      <c r="F30" s="405">
        <f>IFERROR(E30*'01 Prod Physique Boites'!H29,"-")</f>
        <v>0</v>
      </c>
      <c r="G30" s="406">
        <f>IFERROR(E30*'01 Prod Physique Boites'!L29,"-")</f>
        <v>0</v>
      </c>
      <c r="H30" s="388">
        <v>0</v>
      </c>
      <c r="I30" s="424">
        <f t="shared" si="7"/>
        <v>0</v>
      </c>
      <c r="J30" s="425">
        <f t="shared" si="8"/>
        <v>0</v>
      </c>
    </row>
    <row r="31" spans="1:10" ht="23.4" x14ac:dyDescent="0.3">
      <c r="A31" s="277" t="s">
        <v>110</v>
      </c>
      <c r="B31" s="957"/>
      <c r="C31" s="278" t="s">
        <v>129</v>
      </c>
      <c r="D31" s="278"/>
      <c r="E31" s="509">
        <v>17.8202</v>
      </c>
      <c r="F31" s="405">
        <f>IFERROR(E31*'01 Prod Physique Boites'!H30,"-")</f>
        <v>0</v>
      </c>
      <c r="G31" s="406">
        <f>IFERROR(E31*'01 Prod Physique Boites'!L30,"-")</f>
        <v>0</v>
      </c>
      <c r="H31" s="388">
        <v>0</v>
      </c>
      <c r="I31" s="424">
        <f t="shared" si="7"/>
        <v>0</v>
      </c>
      <c r="J31" s="425">
        <f>IFERROR(H31*(G31/E31),"-")</f>
        <v>0</v>
      </c>
    </row>
    <row r="32" spans="1:10" ht="23.4" x14ac:dyDescent="0.3">
      <c r="A32" s="277" t="s">
        <v>110</v>
      </c>
      <c r="B32" s="957"/>
      <c r="C32" s="278" t="s">
        <v>189</v>
      </c>
      <c r="D32" s="278" t="s">
        <v>190</v>
      </c>
      <c r="E32" s="509">
        <v>17.8202</v>
      </c>
      <c r="F32" s="405">
        <f>IFERROR(E32*'01 Prod Physique Boites'!H31,"-")</f>
        <v>0</v>
      </c>
      <c r="G32" s="406">
        <f>IFERROR(E32*'01 Prod Physique Boites'!L31,"-")</f>
        <v>0</v>
      </c>
      <c r="H32" s="388">
        <v>0</v>
      </c>
      <c r="I32" s="424">
        <f t="shared" si="7"/>
        <v>0</v>
      </c>
      <c r="J32" s="425">
        <f t="shared" ref="J32:J34" si="9">IFERROR(H32*(G32/E32),"-")</f>
        <v>0</v>
      </c>
    </row>
    <row r="33" spans="1:10" ht="23.4" x14ac:dyDescent="0.3">
      <c r="A33" s="277" t="s">
        <v>110</v>
      </c>
      <c r="B33" s="957"/>
      <c r="C33" s="278" t="s">
        <v>192</v>
      </c>
      <c r="D33" s="278" t="s">
        <v>191</v>
      </c>
      <c r="E33" s="509">
        <v>16.7288</v>
      </c>
      <c r="F33" s="405">
        <f>IFERROR(E33*'01 Prod Physique Boites'!H32,"-")</f>
        <v>0</v>
      </c>
      <c r="G33" s="406">
        <f>IFERROR(E33*'01 Prod Physique Boites'!L32,"-")</f>
        <v>0</v>
      </c>
      <c r="H33" s="388">
        <v>0</v>
      </c>
      <c r="I33" s="424">
        <f t="shared" si="7"/>
        <v>0</v>
      </c>
      <c r="J33" s="425">
        <f t="shared" si="9"/>
        <v>0</v>
      </c>
    </row>
    <row r="34" spans="1:10" ht="24" thickBot="1" x14ac:dyDescent="0.35">
      <c r="A34" s="277" t="s">
        <v>110</v>
      </c>
      <c r="B34" s="958"/>
      <c r="C34" s="289" t="s">
        <v>193</v>
      </c>
      <c r="D34" s="289" t="s">
        <v>114</v>
      </c>
      <c r="E34" s="505">
        <v>17.8202</v>
      </c>
      <c r="F34" s="405">
        <f>IFERROR(E34*'01 Prod Physique Boites'!H33,"-")</f>
        <v>0</v>
      </c>
      <c r="G34" s="406">
        <f>IFERROR(E34*'01 Prod Physique Boites'!L33,"-")</f>
        <v>0</v>
      </c>
      <c r="H34" s="388">
        <v>0</v>
      </c>
      <c r="I34" s="426">
        <f t="shared" si="7"/>
        <v>0</v>
      </c>
      <c r="J34" s="427">
        <f t="shared" si="9"/>
        <v>0</v>
      </c>
    </row>
    <row r="35" spans="1:10" ht="24" thickBot="1" x14ac:dyDescent="0.35">
      <c r="A35" s="277" t="s">
        <v>110</v>
      </c>
      <c r="B35" s="967" t="s">
        <v>29</v>
      </c>
      <c r="C35" s="968"/>
      <c r="D35" s="969"/>
      <c r="E35" s="660"/>
      <c r="F35" s="661">
        <f t="shared" ref="F35:G35" si="10">SUM(F28:F34)</f>
        <v>0</v>
      </c>
      <c r="G35" s="410">
        <f t="shared" si="10"/>
        <v>0</v>
      </c>
      <c r="H35" s="394"/>
      <c r="I35" s="409">
        <f t="shared" ref="I35:J35" si="11">SUM(I28:I34)</f>
        <v>0</v>
      </c>
      <c r="J35" s="428">
        <f t="shared" si="11"/>
        <v>0</v>
      </c>
    </row>
    <row r="36" spans="1:10" ht="23.4" x14ac:dyDescent="0.3">
      <c r="A36" s="277"/>
      <c r="B36" s="985" t="s">
        <v>19</v>
      </c>
      <c r="C36" s="662" t="s">
        <v>255</v>
      </c>
      <c r="D36" s="668" t="s">
        <v>190</v>
      </c>
      <c r="E36" s="669">
        <v>12.2659</v>
      </c>
      <c r="F36" s="670">
        <f>IFERROR(E36*'01 Prod Physique Boites'!H35,"-")</f>
        <v>0</v>
      </c>
      <c r="G36" s="671">
        <f>IFERROR(E36*'01 Prod Physique Boites'!L35,"-")</f>
        <v>0</v>
      </c>
      <c r="H36" s="665">
        <v>14.79</v>
      </c>
      <c r="I36" s="650">
        <f t="shared" ref="I36:I38" si="12">IFERROR(H36*(F36/E36),"-")</f>
        <v>0</v>
      </c>
      <c r="J36" s="650">
        <f>IFERROR(H36*(G36/E36),"-")</f>
        <v>0</v>
      </c>
    </row>
    <row r="37" spans="1:10" ht="23.4" x14ac:dyDescent="0.3">
      <c r="A37" s="277"/>
      <c r="B37" s="986"/>
      <c r="C37" s="663" t="s">
        <v>399</v>
      </c>
      <c r="D37" s="672"/>
      <c r="E37" s="654">
        <v>12.2659</v>
      </c>
      <c r="F37" s="655">
        <f>IFERROR(E37*'01 Prod Physique Boites'!H36,"-")</f>
        <v>103622.3232</v>
      </c>
      <c r="G37" s="645">
        <f>IFERROR(E37*'01 Prod Physique Boites'!L36,"-")</f>
        <v>103622.3232</v>
      </c>
      <c r="H37" s="666">
        <v>14.55</v>
      </c>
      <c r="I37" s="655">
        <f t="shared" si="12"/>
        <v>122918.40000000001</v>
      </c>
      <c r="J37" s="655">
        <f>IFERROR(H37*(G37/E37),"-")</f>
        <v>122918.40000000001</v>
      </c>
    </row>
    <row r="38" spans="1:10" ht="24" thickBot="1" x14ac:dyDescent="0.35">
      <c r="A38" s="685" t="s">
        <v>110</v>
      </c>
      <c r="B38" s="987"/>
      <c r="C38" s="664" t="s">
        <v>380</v>
      </c>
      <c r="D38" s="673"/>
      <c r="E38" s="674">
        <v>0</v>
      </c>
      <c r="F38" s="675">
        <f>IFERROR(E38*'01 Prod Physique Boites'!H37,"-")</f>
        <v>0</v>
      </c>
      <c r="G38" s="676">
        <f>IFERROR(E38*'01 Prod Physique Boites'!L37,"-")</f>
        <v>0</v>
      </c>
      <c r="H38" s="667">
        <v>0</v>
      </c>
      <c r="I38" s="429" t="str">
        <f t="shared" si="12"/>
        <v>-</v>
      </c>
      <c r="J38" s="430" t="str">
        <f t="shared" ref="J38" si="13">IFERROR(I38*(G38/F38),"-")</f>
        <v>-</v>
      </c>
    </row>
    <row r="39" spans="1:10" ht="24" thickBot="1" x14ac:dyDescent="0.35">
      <c r="A39" s="277" t="s">
        <v>110</v>
      </c>
      <c r="B39" s="967" t="s">
        <v>49</v>
      </c>
      <c r="C39" s="968"/>
      <c r="D39" s="969"/>
      <c r="E39" s="393"/>
      <c r="F39" s="409">
        <f>SUM(F36:F38)</f>
        <v>103622.3232</v>
      </c>
      <c r="G39" s="409">
        <f>SUM(G36:G38)</f>
        <v>103622.3232</v>
      </c>
      <c r="H39" s="394"/>
      <c r="I39" s="409">
        <f t="shared" ref="I39" si="14">SUM(I38)</f>
        <v>0</v>
      </c>
      <c r="J39" s="428">
        <f>SUM(J36:J38)</f>
        <v>122918.40000000001</v>
      </c>
    </row>
    <row r="40" spans="1:10" ht="23.4" x14ac:dyDescent="0.3">
      <c r="A40" s="277" t="s">
        <v>110</v>
      </c>
      <c r="B40" s="956" t="s">
        <v>20</v>
      </c>
      <c r="C40" s="294" t="s">
        <v>351</v>
      </c>
      <c r="D40" s="294" t="s">
        <v>313</v>
      </c>
      <c r="E40" s="508">
        <v>26.032900000000001</v>
      </c>
      <c r="F40" s="405">
        <f>IFERROR(E40*'01 Prod Physique Boites'!H39,"-")</f>
        <v>0</v>
      </c>
      <c r="G40" s="406">
        <f>IFERROR(E40*'01 Prod Physique Boites'!L39,"-")</f>
        <v>0</v>
      </c>
      <c r="H40" s="384">
        <v>36.44</v>
      </c>
      <c r="I40" s="422">
        <f>IFERROR(H40*(F40/E40),"-")</f>
        <v>0</v>
      </c>
      <c r="J40" s="423">
        <f t="shared" ref="J40:J42" si="15">IFERROR(H40*(G40/E40),"-")</f>
        <v>0</v>
      </c>
    </row>
    <row r="41" spans="1:10" ht="23.4" x14ac:dyDescent="0.3">
      <c r="A41" s="277" t="s">
        <v>110</v>
      </c>
      <c r="B41" s="957"/>
      <c r="C41" s="295" t="s">
        <v>121</v>
      </c>
      <c r="D41" s="295"/>
      <c r="E41" s="387">
        <v>24.2607</v>
      </c>
      <c r="F41" s="405">
        <f>IFERROR(E41*'01 Prod Physique Boites'!H40,"-")</f>
        <v>0</v>
      </c>
      <c r="G41" s="406">
        <f>IFERROR(E41*'01 Prod Physique Boites'!L40,"-")</f>
        <v>0</v>
      </c>
      <c r="H41" s="388">
        <v>37.369999999999997</v>
      </c>
      <c r="I41" s="424">
        <f>IFERROR(H41*(F41/E41),"-")</f>
        <v>0</v>
      </c>
      <c r="J41" s="425">
        <f t="shared" si="15"/>
        <v>0</v>
      </c>
    </row>
    <row r="42" spans="1:10" ht="24" thickBot="1" x14ac:dyDescent="0.35">
      <c r="A42" s="277" t="s">
        <v>110</v>
      </c>
      <c r="B42" s="958"/>
      <c r="C42" s="296" t="s">
        <v>127</v>
      </c>
      <c r="D42" s="296"/>
      <c r="E42" s="389">
        <v>26.035799999999998</v>
      </c>
      <c r="F42" s="405">
        <f>IFERROR(E42*'01 Prod Physique Boites'!H41,"-")</f>
        <v>0</v>
      </c>
      <c r="G42" s="406">
        <f>IFERROR(E42*'01 Prod Physique Boites'!L41,"-")</f>
        <v>0</v>
      </c>
      <c r="H42" s="390">
        <v>37.11</v>
      </c>
      <c r="I42" s="426">
        <f>IFERROR(H42*(F42/E42),"-")</f>
        <v>0</v>
      </c>
      <c r="J42" s="427">
        <f t="shared" si="15"/>
        <v>0</v>
      </c>
    </row>
    <row r="43" spans="1:10" ht="24" thickBot="1" x14ac:dyDescent="0.35">
      <c r="A43" s="277" t="s">
        <v>110</v>
      </c>
      <c r="B43" s="968" t="s">
        <v>50</v>
      </c>
      <c r="C43" s="968"/>
      <c r="D43" s="989"/>
      <c r="E43" s="393"/>
      <c r="F43" s="409">
        <f t="shared" ref="F43:G43" si="16">SUM(F40:F42)</f>
        <v>0</v>
      </c>
      <c r="G43" s="410">
        <f t="shared" si="16"/>
        <v>0</v>
      </c>
      <c r="H43" s="394"/>
      <c r="I43" s="409">
        <f t="shared" ref="I43:J43" si="17">SUM(I40:I42)</f>
        <v>0</v>
      </c>
      <c r="J43" s="428">
        <f t="shared" si="17"/>
        <v>0</v>
      </c>
    </row>
    <row r="44" spans="1:10" ht="24" thickBot="1" x14ac:dyDescent="0.35">
      <c r="A44" s="277" t="s">
        <v>110</v>
      </c>
      <c r="B44" s="981" t="s">
        <v>21</v>
      </c>
      <c r="C44" s="982"/>
      <c r="D44" s="983"/>
      <c r="E44" s="396"/>
      <c r="F44" s="413">
        <f>+F19+F27+F35+F39+F43</f>
        <v>1920714.5832</v>
      </c>
      <c r="G44" s="414">
        <f>+G19+G27+G35+G39+G43</f>
        <v>1920714.5832</v>
      </c>
      <c r="H44" s="397"/>
      <c r="I44" s="413">
        <f>+I19+I27+I35+I39+I43</f>
        <v>2889741.6</v>
      </c>
      <c r="J44" s="431">
        <f>+J19+J27+J35+J39+J43</f>
        <v>3012660</v>
      </c>
    </row>
    <row r="45" spans="1:10" ht="23.4" x14ac:dyDescent="0.3">
      <c r="A45" s="277" t="s">
        <v>110</v>
      </c>
      <c r="B45" s="956" t="s">
        <v>22</v>
      </c>
      <c r="C45" s="272" t="s">
        <v>132</v>
      </c>
      <c r="D45" s="272"/>
      <c r="E45" s="383">
        <v>22.820599999999999</v>
      </c>
      <c r="F45" s="405">
        <f>IFERROR(E45*'01 Prod Physique Boites'!H44,"-")</f>
        <v>0</v>
      </c>
      <c r="G45" s="406">
        <f>IFERROR(E45*'01 Prod Physique Boites'!L44,"-")</f>
        <v>0</v>
      </c>
      <c r="H45" s="384">
        <v>27.5</v>
      </c>
      <c r="I45" s="422">
        <f>IFERROR(H45*(F45/E45),"-")</f>
        <v>0</v>
      </c>
      <c r="J45" s="423">
        <f t="shared" ref="J45:J48" si="18">IFERROR(H45*(G45/E45),"-")</f>
        <v>0</v>
      </c>
    </row>
    <row r="46" spans="1:10" ht="23.4" x14ac:dyDescent="0.3">
      <c r="A46" s="277" t="s">
        <v>110</v>
      </c>
      <c r="B46" s="957"/>
      <c r="C46" s="298" t="s">
        <v>283</v>
      </c>
      <c r="D46" s="298" t="s">
        <v>194</v>
      </c>
      <c r="E46" s="387">
        <v>23.570699999999999</v>
      </c>
      <c r="F46" s="405">
        <f>IFERROR(E46*'01 Prod Physique Boites'!H45,"-")</f>
        <v>0</v>
      </c>
      <c r="G46" s="406">
        <f>IFERROR(E46*'01 Prod Physique Boites'!L45,"-")</f>
        <v>0</v>
      </c>
      <c r="H46" s="388">
        <v>27.5</v>
      </c>
      <c r="I46" s="424">
        <f>IFERROR(H46*(F46/E46),"-")</f>
        <v>0</v>
      </c>
      <c r="J46" s="425">
        <f t="shared" si="18"/>
        <v>0</v>
      </c>
    </row>
    <row r="47" spans="1:10" ht="23.4" x14ac:dyDescent="0.3">
      <c r="A47" s="277" t="s">
        <v>110</v>
      </c>
      <c r="B47" s="957"/>
      <c r="C47" s="298" t="s">
        <v>405</v>
      </c>
      <c r="D47" s="298" t="s">
        <v>194</v>
      </c>
      <c r="E47" s="387">
        <v>22.820599999999999</v>
      </c>
      <c r="F47" s="405">
        <f>IFERROR(E47*'01 Prod Physique Boites'!H46,"-")</f>
        <v>1084434.912</v>
      </c>
      <c r="G47" s="406">
        <f>IFERROR(E47*'01 Prod Physique Boites'!L46,"-")</f>
        <v>1084434.912</v>
      </c>
      <c r="H47" s="388">
        <v>27.5</v>
      </c>
      <c r="I47" s="424">
        <f>IFERROR(H47*(F47/E47),"-")</f>
        <v>1306800</v>
      </c>
      <c r="J47" s="425">
        <f t="shared" si="18"/>
        <v>1306800</v>
      </c>
    </row>
    <row r="48" spans="1:10" ht="24" thickBot="1" x14ac:dyDescent="0.35">
      <c r="A48" s="277" t="s">
        <v>110</v>
      </c>
      <c r="B48" s="958"/>
      <c r="C48" s="282" t="s">
        <v>195</v>
      </c>
      <c r="D48" s="282" t="s">
        <v>100</v>
      </c>
      <c r="E48" s="389">
        <v>23.5685</v>
      </c>
      <c r="F48" s="405">
        <f>IFERROR(E48*'01 Prod Physique Boites'!H47,"-")</f>
        <v>0</v>
      </c>
      <c r="G48" s="406">
        <f>IFERROR(E48*'01 Prod Physique Boites'!L47,"-")</f>
        <v>0</v>
      </c>
      <c r="H48" s="390">
        <v>24</v>
      </c>
      <c r="I48" s="426">
        <f>IFERROR(H48*(F48/E48),"-")</f>
        <v>0</v>
      </c>
      <c r="J48" s="427">
        <f t="shared" si="18"/>
        <v>0</v>
      </c>
    </row>
    <row r="49" spans="1:10" ht="24" thickBot="1" x14ac:dyDescent="0.35">
      <c r="A49" s="277" t="s">
        <v>110</v>
      </c>
      <c r="B49" s="967" t="s">
        <v>51</v>
      </c>
      <c r="C49" s="968"/>
      <c r="D49" s="969"/>
      <c r="E49" s="393"/>
      <c r="F49" s="409">
        <f t="shared" ref="F49:G49" si="19">SUM(F45:F48)</f>
        <v>1084434.912</v>
      </c>
      <c r="G49" s="410">
        <f t="shared" si="19"/>
        <v>1084434.912</v>
      </c>
      <c r="H49" s="394"/>
      <c r="I49" s="409">
        <f t="shared" ref="I49:J49" si="20">SUM(I45:I48)</f>
        <v>1306800</v>
      </c>
      <c r="J49" s="428">
        <f t="shared" si="20"/>
        <v>1306800</v>
      </c>
    </row>
    <row r="50" spans="1:10" ht="23.4" x14ac:dyDescent="0.3">
      <c r="A50" s="277" t="s">
        <v>110</v>
      </c>
      <c r="B50" s="956" t="s">
        <v>23</v>
      </c>
      <c r="C50" s="299" t="s">
        <v>337</v>
      </c>
      <c r="D50" s="299" t="s">
        <v>258</v>
      </c>
      <c r="E50" s="383">
        <v>101.4935</v>
      </c>
      <c r="F50" s="405">
        <f>IFERROR(E50*'01 Prod Physique Boites'!H49,"-")</f>
        <v>0</v>
      </c>
      <c r="G50" s="406">
        <f>IFERROR(E50*'01 Prod Physique Boites'!L49,"-")</f>
        <v>0</v>
      </c>
      <c r="H50" s="388">
        <v>160.44999999999999</v>
      </c>
      <c r="I50" s="422">
        <f t="shared" ref="I50:I57" si="21">IFERROR(H50*(F50/E50),"-")</f>
        <v>0</v>
      </c>
      <c r="J50" s="423">
        <f t="shared" ref="J50:J57" si="22">IFERROR(H50*(G50/E50),"-")</f>
        <v>0</v>
      </c>
    </row>
    <row r="51" spans="1:10" ht="23.4" x14ac:dyDescent="0.3">
      <c r="A51" s="277" t="s">
        <v>110</v>
      </c>
      <c r="B51" s="957"/>
      <c r="C51" s="278" t="s">
        <v>24</v>
      </c>
      <c r="D51" s="278" t="s">
        <v>258</v>
      </c>
      <c r="E51" s="387">
        <v>101.4935</v>
      </c>
      <c r="F51" s="405">
        <f>IFERROR(E51*'01 Prod Physique Boites'!H50,"-")</f>
        <v>0</v>
      </c>
      <c r="G51" s="406">
        <f>IFERROR(E51*'01 Prod Physique Boites'!L50,"-")</f>
        <v>0</v>
      </c>
      <c r="H51" s="388">
        <v>160.44999999999999</v>
      </c>
      <c r="I51" s="424">
        <f t="shared" si="21"/>
        <v>0</v>
      </c>
      <c r="J51" s="425">
        <f t="shared" si="22"/>
        <v>0</v>
      </c>
    </row>
    <row r="52" spans="1:10" ht="23.4" x14ac:dyDescent="0.3">
      <c r="A52" s="277" t="s">
        <v>110</v>
      </c>
      <c r="B52" s="957"/>
      <c r="C52" s="278" t="s">
        <v>256</v>
      </c>
      <c r="D52" s="278" t="s">
        <v>258</v>
      </c>
      <c r="E52" s="387">
        <v>101.4935</v>
      </c>
      <c r="F52" s="405">
        <f>IFERROR(E52*'01 Prod Physique Boites'!H51,"-")</f>
        <v>0</v>
      </c>
      <c r="G52" s="406">
        <f>IFERROR(E52*'01 Prod Physique Boites'!L51,"-")</f>
        <v>0</v>
      </c>
      <c r="H52" s="388">
        <v>160.44999999999999</v>
      </c>
      <c r="I52" s="424">
        <f t="shared" si="21"/>
        <v>0</v>
      </c>
      <c r="J52" s="425">
        <f t="shared" si="22"/>
        <v>0</v>
      </c>
    </row>
    <row r="53" spans="1:10" ht="23.4" x14ac:dyDescent="0.3">
      <c r="A53" s="277" t="s">
        <v>110</v>
      </c>
      <c r="B53" s="957"/>
      <c r="C53" s="278" t="s">
        <v>257</v>
      </c>
      <c r="D53" s="278" t="s">
        <v>258</v>
      </c>
      <c r="E53" s="387">
        <v>101.4935</v>
      </c>
      <c r="F53" s="405">
        <f>IFERROR(E53*'01 Prod Physique Boites'!H52,"-")</f>
        <v>0</v>
      </c>
      <c r="G53" s="406">
        <f>IFERROR(E53*'01 Prod Physique Boites'!L52,"-")</f>
        <v>0</v>
      </c>
      <c r="H53" s="388">
        <v>160.44999999999999</v>
      </c>
      <c r="I53" s="424">
        <f t="shared" si="21"/>
        <v>0</v>
      </c>
      <c r="J53" s="425">
        <f t="shared" si="22"/>
        <v>0</v>
      </c>
    </row>
    <row r="54" spans="1:10" ht="23.4" x14ac:dyDescent="0.3">
      <c r="A54" s="277" t="s">
        <v>110</v>
      </c>
      <c r="B54" s="957"/>
      <c r="C54" s="298" t="s">
        <v>259</v>
      </c>
      <c r="D54" s="278" t="s">
        <v>258</v>
      </c>
      <c r="E54" s="387">
        <v>101.4935</v>
      </c>
      <c r="F54" s="405">
        <f>IFERROR(E54*'01 Prod Physique Boites'!H53,"-")</f>
        <v>0</v>
      </c>
      <c r="G54" s="406">
        <f>IFERROR(E54*'01 Prod Physique Boites'!L53,"-")</f>
        <v>0</v>
      </c>
      <c r="H54" s="388">
        <v>160.44999999999999</v>
      </c>
      <c r="I54" s="424">
        <f t="shared" si="21"/>
        <v>0</v>
      </c>
      <c r="J54" s="425">
        <f t="shared" si="22"/>
        <v>0</v>
      </c>
    </row>
    <row r="55" spans="1:10" ht="23.4" x14ac:dyDescent="0.3">
      <c r="A55" s="277" t="s">
        <v>110</v>
      </c>
      <c r="B55" s="957"/>
      <c r="C55" s="298" t="s">
        <v>260</v>
      </c>
      <c r="D55" s="278" t="s">
        <v>258</v>
      </c>
      <c r="E55" s="387">
        <v>101.4935</v>
      </c>
      <c r="F55" s="405">
        <f>IFERROR(E55*'01 Prod Physique Boites'!H54,"-")</f>
        <v>0</v>
      </c>
      <c r="G55" s="406">
        <f>IFERROR(E55*'01 Prod Physique Boites'!L54,"-")</f>
        <v>0</v>
      </c>
      <c r="H55" s="388">
        <v>160.44999999999999</v>
      </c>
      <c r="I55" s="424">
        <f t="shared" si="21"/>
        <v>0</v>
      </c>
      <c r="J55" s="425">
        <f t="shared" si="22"/>
        <v>0</v>
      </c>
    </row>
    <row r="56" spans="1:10" ht="23.4" x14ac:dyDescent="0.3">
      <c r="A56" s="277" t="s">
        <v>110</v>
      </c>
      <c r="B56" s="957"/>
      <c r="C56" s="298" t="s">
        <v>261</v>
      </c>
      <c r="D56" s="278" t="s">
        <v>263</v>
      </c>
      <c r="E56" s="387">
        <v>101.4935</v>
      </c>
      <c r="F56" s="405">
        <f>IFERROR(E56*'01 Prod Physique Boites'!H55,"-")</f>
        <v>0</v>
      </c>
      <c r="G56" s="406">
        <f>IFERROR(E56*'01 Prod Physique Boites'!L55,"-")</f>
        <v>0</v>
      </c>
      <c r="H56" s="388">
        <v>160.44999999999999</v>
      </c>
      <c r="I56" s="424">
        <f t="shared" si="21"/>
        <v>0</v>
      </c>
      <c r="J56" s="425">
        <f t="shared" si="22"/>
        <v>0</v>
      </c>
    </row>
    <row r="57" spans="1:10" ht="24" thickBot="1" x14ac:dyDescent="0.35">
      <c r="A57" s="277" t="s">
        <v>110</v>
      </c>
      <c r="B57" s="958"/>
      <c r="C57" s="298" t="s">
        <v>262</v>
      </c>
      <c r="D57" s="278" t="s">
        <v>258</v>
      </c>
      <c r="E57" s="389">
        <v>101.4935</v>
      </c>
      <c r="F57" s="405">
        <f>IFERROR(E57*'01 Prod Physique Boites'!H56,"-")</f>
        <v>0</v>
      </c>
      <c r="G57" s="406">
        <f>IFERROR(E57*'01 Prod Physique Boites'!L56,"-")</f>
        <v>0</v>
      </c>
      <c r="H57" s="388">
        <v>160.44999999999999</v>
      </c>
      <c r="I57" s="426">
        <f t="shared" si="21"/>
        <v>0</v>
      </c>
      <c r="J57" s="427">
        <f t="shared" si="22"/>
        <v>0</v>
      </c>
    </row>
    <row r="58" spans="1:10" ht="24" thickBot="1" x14ac:dyDescent="0.35">
      <c r="A58" s="277" t="s">
        <v>110</v>
      </c>
      <c r="B58" s="967" t="s">
        <v>52</v>
      </c>
      <c r="C58" s="968"/>
      <c r="D58" s="969"/>
      <c r="E58" s="393"/>
      <c r="F58" s="409">
        <f t="shared" ref="F58" si="23">SUM(F50:F57)</f>
        <v>0</v>
      </c>
      <c r="G58" s="410">
        <f>SUM(G50:G57)</f>
        <v>0</v>
      </c>
      <c r="H58" s="394"/>
      <c r="I58" s="409">
        <f t="shared" ref="I58" si="24">SUM(I50:I57)</f>
        <v>0</v>
      </c>
      <c r="J58" s="428">
        <f>SUM(J50:J57)</f>
        <v>0</v>
      </c>
    </row>
    <row r="59" spans="1:10" ht="24" thickBot="1" x14ac:dyDescent="0.35">
      <c r="A59" s="277" t="s">
        <v>110</v>
      </c>
      <c r="B59" s="981" t="s">
        <v>25</v>
      </c>
      <c r="C59" s="982"/>
      <c r="D59" s="983"/>
      <c r="E59" s="396"/>
      <c r="F59" s="413">
        <f t="shared" ref="F59" si="25">+F49+F58</f>
        <v>1084434.912</v>
      </c>
      <c r="G59" s="414">
        <f>+G49+G58</f>
        <v>1084434.912</v>
      </c>
      <c r="H59" s="397"/>
      <c r="I59" s="413">
        <f t="shared" ref="I59:J59" si="26">+I49+I58</f>
        <v>1306800</v>
      </c>
      <c r="J59" s="431">
        <f t="shared" si="26"/>
        <v>1306800</v>
      </c>
    </row>
    <row r="60" spans="1:10" ht="24" thickBot="1" x14ac:dyDescent="0.35">
      <c r="A60" s="277" t="s">
        <v>110</v>
      </c>
      <c r="B60" s="984" t="s">
        <v>180</v>
      </c>
      <c r="C60" s="962"/>
      <c r="D60" s="963"/>
      <c r="E60" s="398"/>
      <c r="F60" s="415">
        <f t="shared" ref="F60" si="27">+F44+F59</f>
        <v>3005149.4951999998</v>
      </c>
      <c r="G60" s="416">
        <f>+G44+G59</f>
        <v>3005149.4951999998</v>
      </c>
      <c r="H60" s="399"/>
      <c r="I60" s="415">
        <f t="shared" ref="I60:J60" si="28">+I44+I59</f>
        <v>4196541.5999999996</v>
      </c>
      <c r="J60" s="432">
        <f t="shared" si="28"/>
        <v>4319460</v>
      </c>
    </row>
    <row r="61" spans="1:10" ht="23.4" x14ac:dyDescent="0.3">
      <c r="A61" s="271" t="s">
        <v>108</v>
      </c>
      <c r="B61" s="977" t="s">
        <v>26</v>
      </c>
      <c r="C61" s="300" t="s">
        <v>323</v>
      </c>
      <c r="D61" s="302" t="s">
        <v>190</v>
      </c>
      <c r="E61" s="508">
        <v>13.1272</v>
      </c>
      <c r="F61" s="405">
        <f>IFERROR(E61*'01 Prod Physique Boites'!H60,"-")</f>
        <v>0</v>
      </c>
      <c r="G61" s="406">
        <f>IFERROR(E61*'01 Prod Physique Boites'!L60,"-")</f>
        <v>0</v>
      </c>
      <c r="H61" s="384">
        <v>20.76</v>
      </c>
      <c r="I61" s="422">
        <f t="shared" ref="I61:I69" si="29">IFERROR(H61*(F61/E61),"-")</f>
        <v>0</v>
      </c>
      <c r="J61" s="644">
        <f t="shared" ref="J61:J69" si="30">IFERROR(H61*(G61/E61),"-")</f>
        <v>0</v>
      </c>
    </row>
    <row r="62" spans="1:10" ht="23.4" x14ac:dyDescent="0.3">
      <c r="A62" s="277" t="s">
        <v>108</v>
      </c>
      <c r="B62" s="977"/>
      <c r="C62" s="301" t="s">
        <v>196</v>
      </c>
      <c r="D62" s="301" t="s">
        <v>114</v>
      </c>
      <c r="E62" s="509">
        <v>14.608000000000001</v>
      </c>
      <c r="F62" s="405">
        <f>IFERROR(E62*'01 Prod Physique Boites'!H61,"-")</f>
        <v>0</v>
      </c>
      <c r="G62" s="406">
        <f>IFERROR(E62*'01 Prod Physique Boites'!L61,"-")</f>
        <v>0</v>
      </c>
      <c r="H62" s="388">
        <v>24.93</v>
      </c>
      <c r="I62" s="424">
        <f t="shared" si="29"/>
        <v>0</v>
      </c>
      <c r="J62" s="645">
        <f t="shared" si="30"/>
        <v>0</v>
      </c>
    </row>
    <row r="63" spans="1:10" ht="23.4" x14ac:dyDescent="0.3">
      <c r="A63" s="277" t="s">
        <v>108</v>
      </c>
      <c r="B63" s="977"/>
      <c r="C63" s="302" t="s">
        <v>27</v>
      </c>
      <c r="D63" s="302" t="s">
        <v>370</v>
      </c>
      <c r="E63" s="505">
        <v>17.8202</v>
      </c>
      <c r="F63" s="405">
        <f>IFERROR(E63*'01 Prod Physique Boites'!H62,"-")</f>
        <v>0</v>
      </c>
      <c r="G63" s="406">
        <f>IFERROR(E63*'01 Prod Physique Boites'!L62,"-")</f>
        <v>0</v>
      </c>
      <c r="H63" s="388">
        <v>21.22</v>
      </c>
      <c r="I63" s="424">
        <f t="shared" si="29"/>
        <v>0</v>
      </c>
      <c r="J63" s="645">
        <f t="shared" si="30"/>
        <v>0</v>
      </c>
    </row>
    <row r="64" spans="1:10" ht="23.4" x14ac:dyDescent="0.3">
      <c r="A64" s="277" t="s">
        <v>108</v>
      </c>
      <c r="B64" s="977"/>
      <c r="C64" s="302" t="s">
        <v>27</v>
      </c>
      <c r="D64" s="302" t="s">
        <v>254</v>
      </c>
      <c r="E64" s="505">
        <v>17.8202</v>
      </c>
      <c r="F64" s="405">
        <f>IFERROR(E64*'01 Prod Physique Boites'!H63,"-")</f>
        <v>0</v>
      </c>
      <c r="G64" s="406">
        <f>IFERROR(E64*'01 Prod Physique Boites'!L63,"-")</f>
        <v>0</v>
      </c>
      <c r="H64" s="388">
        <v>24.93</v>
      </c>
      <c r="I64" s="424">
        <f t="shared" si="29"/>
        <v>0</v>
      </c>
      <c r="J64" s="645">
        <f t="shared" si="30"/>
        <v>0</v>
      </c>
    </row>
    <row r="65" spans="1:10" ht="23.4" x14ac:dyDescent="0.3">
      <c r="A65" s="277" t="s">
        <v>108</v>
      </c>
      <c r="B65" s="977"/>
      <c r="C65" s="302" t="s">
        <v>27</v>
      </c>
      <c r="D65" s="302" t="s">
        <v>302</v>
      </c>
      <c r="E65" s="505">
        <v>17.8202</v>
      </c>
      <c r="F65" s="405">
        <f>IFERROR(E65*'01 Prod Physique Boites'!H64,"-")</f>
        <v>0</v>
      </c>
      <c r="G65" s="406">
        <f>IFERROR(E65*'01 Prod Physique Boites'!L64,"-")</f>
        <v>0</v>
      </c>
      <c r="H65" s="388">
        <v>24.93</v>
      </c>
      <c r="I65" s="424">
        <f t="shared" si="29"/>
        <v>0</v>
      </c>
      <c r="J65" s="645">
        <f t="shared" si="30"/>
        <v>0</v>
      </c>
    </row>
    <row r="66" spans="1:10" ht="23.4" x14ac:dyDescent="0.3">
      <c r="A66" s="277"/>
      <c r="B66" s="977"/>
      <c r="C66" s="302" t="s">
        <v>369</v>
      </c>
      <c r="D66" s="302" t="s">
        <v>190</v>
      </c>
      <c r="E66" s="505">
        <v>17.8202</v>
      </c>
      <c r="F66" s="405">
        <f>IFERROR(E66*'01 Prod Physique Boites'!H65,"-")</f>
        <v>0</v>
      </c>
      <c r="G66" s="406">
        <f>IFERROR(E66*'01 Prod Physique Boites'!L65,"-")</f>
        <v>0</v>
      </c>
      <c r="H66" s="390">
        <v>21.22</v>
      </c>
      <c r="I66" s="424">
        <f t="shared" si="29"/>
        <v>0</v>
      </c>
      <c r="J66" s="646">
        <f t="shared" si="30"/>
        <v>0</v>
      </c>
    </row>
    <row r="67" spans="1:10" ht="23.4" x14ac:dyDescent="0.3">
      <c r="A67" s="277"/>
      <c r="B67" s="977"/>
      <c r="C67" s="302" t="s">
        <v>314</v>
      </c>
      <c r="D67" s="302" t="s">
        <v>101</v>
      </c>
      <c r="E67" s="505">
        <v>14.608000000000001</v>
      </c>
      <c r="F67" s="405">
        <f>IFERROR(E67*'01 Prod Physique Boites'!H66,"-")</f>
        <v>0</v>
      </c>
      <c r="G67" s="406">
        <f>IFERROR(E67*'01 Prod Physique Boites'!L66,"-")</f>
        <v>0</v>
      </c>
      <c r="H67" s="390">
        <v>24.93</v>
      </c>
      <c r="I67" s="426">
        <f t="shared" si="29"/>
        <v>0</v>
      </c>
      <c r="J67" s="646">
        <f t="shared" si="30"/>
        <v>0</v>
      </c>
    </row>
    <row r="68" spans="1:10" ht="23.4" x14ac:dyDescent="0.3">
      <c r="A68" s="277"/>
      <c r="B68" s="977"/>
      <c r="C68" s="302" t="s">
        <v>314</v>
      </c>
      <c r="D68" s="302" t="s">
        <v>370</v>
      </c>
      <c r="E68" s="505">
        <v>14.608000000000001</v>
      </c>
      <c r="F68" s="405">
        <f>IFERROR(E68*'01 Prod Physique Boites'!H67,"-")</f>
        <v>0</v>
      </c>
      <c r="G68" s="406">
        <f>IFERROR(E68*'01 Prod Physique Boites'!L67,"-")</f>
        <v>0</v>
      </c>
      <c r="H68" s="390">
        <v>21.22</v>
      </c>
      <c r="I68" s="426">
        <f t="shared" si="29"/>
        <v>0</v>
      </c>
      <c r="J68" s="646">
        <f t="shared" si="30"/>
        <v>0</v>
      </c>
    </row>
    <row r="69" spans="1:10" ht="24" thickBot="1" x14ac:dyDescent="0.35">
      <c r="A69" s="277" t="s">
        <v>108</v>
      </c>
      <c r="B69" s="977"/>
      <c r="C69" s="303" t="s">
        <v>315</v>
      </c>
      <c r="D69" s="302" t="s">
        <v>313</v>
      </c>
      <c r="E69" s="505">
        <v>12.6997</v>
      </c>
      <c r="F69" s="405">
        <f>IFERROR(E69*'01 Prod Physique Boites'!H68,"-")</f>
        <v>0</v>
      </c>
      <c r="G69" s="406">
        <f>IFERROR(E69*'01 Prod Physique Boites'!L68,"-")</f>
        <v>0</v>
      </c>
      <c r="H69" s="390">
        <v>13.25</v>
      </c>
      <c r="I69" s="426">
        <f t="shared" si="29"/>
        <v>0</v>
      </c>
      <c r="J69" s="646">
        <f t="shared" si="30"/>
        <v>0</v>
      </c>
    </row>
    <row r="70" spans="1:10" ht="24" thickBot="1" x14ac:dyDescent="0.35">
      <c r="A70" s="277" t="s">
        <v>108</v>
      </c>
      <c r="B70" s="990"/>
      <c r="C70" s="304"/>
      <c r="D70" s="305" t="s">
        <v>55</v>
      </c>
      <c r="E70" s="393"/>
      <c r="F70" s="409">
        <f>SUM(F61:F69)</f>
        <v>0</v>
      </c>
      <c r="G70" s="410">
        <f t="shared" ref="G70" si="31">SUM(G61:G69)</f>
        <v>0</v>
      </c>
      <c r="H70" s="394"/>
      <c r="I70" s="409">
        <f t="shared" ref="I70" si="32">SUM(I61:I69)</f>
        <v>0</v>
      </c>
      <c r="J70" s="428">
        <f>SUM(J61:J69)</f>
        <v>0</v>
      </c>
    </row>
    <row r="71" spans="1:10" ht="23.4" x14ac:dyDescent="0.3">
      <c r="A71" s="277" t="s">
        <v>108</v>
      </c>
      <c r="B71" s="976" t="s">
        <v>28</v>
      </c>
      <c r="C71" s="302" t="s">
        <v>27</v>
      </c>
      <c r="D71" s="300" t="s">
        <v>302</v>
      </c>
      <c r="E71" s="508">
        <v>17.8202</v>
      </c>
      <c r="F71" s="405">
        <f>IFERROR(E71*'01 Prod Physique Boites'!H70,"-")</f>
        <v>70888.755600000004</v>
      </c>
      <c r="G71" s="406">
        <f>IFERROR(E71*'01 Prod Physique Boites'!L70,"-")</f>
        <v>70888.755600000004</v>
      </c>
      <c r="H71" s="384">
        <v>24.93</v>
      </c>
      <c r="I71" s="422">
        <f>IFERROR(H71*(F71/E71),"-")</f>
        <v>99171.540000000008</v>
      </c>
      <c r="J71" s="644">
        <f t="shared" ref="J71:J73" si="33">IFERROR(H71*(G71/E71),"-")</f>
        <v>99171.540000000008</v>
      </c>
    </row>
    <row r="72" spans="1:10" ht="23.4" x14ac:dyDescent="0.3">
      <c r="A72" s="277" t="s">
        <v>108</v>
      </c>
      <c r="B72" s="977"/>
      <c r="C72" s="302" t="s">
        <v>27</v>
      </c>
      <c r="D72" s="302" t="s">
        <v>370</v>
      </c>
      <c r="E72" s="505">
        <v>17.8202</v>
      </c>
      <c r="F72" s="405">
        <f>IFERROR(E72*'01 Prod Physique Boites'!H71,"-")</f>
        <v>425332.53360000002</v>
      </c>
      <c r="G72" s="406">
        <f>IFERROR(E72*'01 Prod Physique Boites'!L71,"-")</f>
        <v>425332.53360000002</v>
      </c>
      <c r="H72" s="388">
        <v>21.22</v>
      </c>
      <c r="I72" s="424">
        <f>IFERROR(H72*(F72/E72),"-")</f>
        <v>506478.95999999996</v>
      </c>
      <c r="J72" s="645">
        <f t="shared" si="33"/>
        <v>506478.95999999996</v>
      </c>
    </row>
    <row r="73" spans="1:10" ht="24" thickBot="1" x14ac:dyDescent="0.35">
      <c r="A73" s="277" t="s">
        <v>108</v>
      </c>
      <c r="B73" s="977"/>
      <c r="C73" s="302" t="s">
        <v>27</v>
      </c>
      <c r="D73" s="303" t="s">
        <v>254</v>
      </c>
      <c r="E73" s="505">
        <v>17.8202</v>
      </c>
      <c r="F73" s="405">
        <f>IFERROR(E73*'01 Prod Physique Boites'!H72,"-")</f>
        <v>992442.5784</v>
      </c>
      <c r="G73" s="406">
        <f>IFERROR(E73*'01 Prod Physique Boites'!L72,"-")</f>
        <v>992442.5784</v>
      </c>
      <c r="H73" s="388">
        <v>24.93</v>
      </c>
      <c r="I73" s="426">
        <f>IFERROR(H73*(F73/E73),"-")</f>
        <v>1388401.56</v>
      </c>
      <c r="J73" s="646">
        <f t="shared" si="33"/>
        <v>1388401.56</v>
      </c>
    </row>
    <row r="74" spans="1:10" ht="24" thickBot="1" x14ac:dyDescent="0.35">
      <c r="A74" s="277" t="s">
        <v>108</v>
      </c>
      <c r="B74" s="977"/>
      <c r="C74" s="307"/>
      <c r="D74" s="308" t="s">
        <v>55</v>
      </c>
      <c r="E74" s="400"/>
      <c r="F74" s="417">
        <f t="shared" ref="F74:G74" si="34">SUM(F71:F73)</f>
        <v>1488663.8676</v>
      </c>
      <c r="G74" s="418">
        <f t="shared" si="34"/>
        <v>1488663.8676</v>
      </c>
      <c r="H74" s="401"/>
      <c r="I74" s="417">
        <f t="shared" ref="I74:J74" si="35">SUM(I71:I73)</f>
        <v>1994052.06</v>
      </c>
      <c r="J74" s="433">
        <f t="shared" si="35"/>
        <v>1994052.06</v>
      </c>
    </row>
    <row r="75" spans="1:10" ht="24" thickBot="1" x14ac:dyDescent="0.35">
      <c r="A75" s="685" t="s">
        <v>108</v>
      </c>
      <c r="B75" s="978" t="s">
        <v>170</v>
      </c>
      <c r="C75" s="979"/>
      <c r="D75" s="980"/>
      <c r="E75" s="402"/>
      <c r="F75" s="419">
        <f t="shared" ref="F75:G75" si="36">+F70+F74</f>
        <v>1488663.8676</v>
      </c>
      <c r="G75" s="420">
        <f t="shared" si="36"/>
        <v>1488663.8676</v>
      </c>
      <c r="H75" s="403"/>
      <c r="I75" s="419">
        <f t="shared" ref="I75:J75" si="37">+I70+I74</f>
        <v>1994052.06</v>
      </c>
      <c r="J75" s="434">
        <f t="shared" si="37"/>
        <v>1994052.06</v>
      </c>
    </row>
    <row r="76" spans="1:10" ht="23.4" x14ac:dyDescent="0.3">
      <c r="A76" s="277" t="s">
        <v>108</v>
      </c>
      <c r="B76" s="977" t="s">
        <v>30</v>
      </c>
      <c r="C76" s="306" t="s">
        <v>356</v>
      </c>
      <c r="D76" s="300" t="s">
        <v>191</v>
      </c>
      <c r="E76" s="508">
        <v>15.2788</v>
      </c>
      <c r="F76" s="405">
        <f>IFERROR(E76*'01 Prod Physique Boites'!H75,"-")</f>
        <v>0</v>
      </c>
      <c r="G76" s="406">
        <f>IFERROR(E76*'01 Prod Physique Boites'!L75,"-")</f>
        <v>0</v>
      </c>
      <c r="H76" s="384">
        <v>23.65</v>
      </c>
      <c r="I76" s="422">
        <f>IFERROR(H76*(F76/E76),"-")</f>
        <v>0</v>
      </c>
      <c r="J76" s="423">
        <f t="shared" ref="J76:J78" si="38">IFERROR(H76*(G76/E76),"-")</f>
        <v>0</v>
      </c>
    </row>
    <row r="77" spans="1:10" ht="23.4" x14ac:dyDescent="0.3">
      <c r="A77" s="277" t="s">
        <v>108</v>
      </c>
      <c r="B77" s="977"/>
      <c r="C77" s="306" t="s">
        <v>349</v>
      </c>
      <c r="D77" s="306" t="s">
        <v>313</v>
      </c>
      <c r="E77" s="509">
        <v>22.6356</v>
      </c>
      <c r="F77" s="405">
        <f>IFERROR(E77*'01 Prod Physique Boites'!H76,"-")</f>
        <v>0</v>
      </c>
      <c r="G77" s="406">
        <f>IFERROR(E77*'01 Prod Physique Boites'!L76,"-")</f>
        <v>0</v>
      </c>
      <c r="H77" s="388">
        <v>34.26</v>
      </c>
      <c r="I77" s="424">
        <f>IFERROR(H77*(F77/E77),"-")</f>
        <v>0</v>
      </c>
      <c r="J77" s="425">
        <f t="shared" si="38"/>
        <v>0</v>
      </c>
    </row>
    <row r="78" spans="1:10" ht="24" thickBot="1" x14ac:dyDescent="0.35">
      <c r="A78" s="277" t="s">
        <v>108</v>
      </c>
      <c r="B78" s="977"/>
      <c r="C78" s="303" t="s">
        <v>316</v>
      </c>
      <c r="D78" s="303"/>
      <c r="E78" s="505">
        <v>25.751300000000001</v>
      </c>
      <c r="F78" s="405">
        <f>IFERROR(E78*'01 Prod Physique Boites'!H77,"-")</f>
        <v>482064.33600000001</v>
      </c>
      <c r="G78" s="406">
        <f>IFERROR(E78*'01 Prod Physique Boites'!L77,"-")</f>
        <v>482064.33600000001</v>
      </c>
      <c r="H78" s="390">
        <v>37.89</v>
      </c>
      <c r="I78" s="426">
        <f>IFERROR(H78*(F78/E78),"-")</f>
        <v>709300.8</v>
      </c>
      <c r="J78" s="427">
        <f t="shared" si="38"/>
        <v>709300.8</v>
      </c>
    </row>
    <row r="79" spans="1:10" ht="24" thickBot="1" x14ac:dyDescent="0.35">
      <c r="A79" s="277" t="s">
        <v>108</v>
      </c>
      <c r="B79" s="977"/>
      <c r="C79" s="304"/>
      <c r="D79" s="305" t="s">
        <v>53</v>
      </c>
      <c r="E79" s="393"/>
      <c r="F79" s="409">
        <f t="shared" ref="F79:G79" si="39">SUM(F76:F78)</f>
        <v>482064.33600000001</v>
      </c>
      <c r="G79" s="410">
        <f t="shared" si="39"/>
        <v>482064.33600000001</v>
      </c>
      <c r="H79" s="394"/>
      <c r="I79" s="409">
        <f t="shared" ref="I79" si="40">SUM(I76:I78)</f>
        <v>709300.8</v>
      </c>
      <c r="J79" s="428">
        <f>SUM(J76:J78)</f>
        <v>709300.8</v>
      </c>
    </row>
    <row r="80" spans="1:10" ht="23.4" x14ac:dyDescent="0.3">
      <c r="A80" s="277" t="s">
        <v>108</v>
      </c>
      <c r="B80" s="977"/>
      <c r="C80" s="300" t="s">
        <v>339</v>
      </c>
      <c r="D80" s="300"/>
      <c r="E80" s="508">
        <v>22.094999999999999</v>
      </c>
      <c r="F80" s="405">
        <f>IFERROR(E80*'01 Prod Physique Boites'!H79,"-")</f>
        <v>0</v>
      </c>
      <c r="G80" s="406">
        <f>IFERROR(E80*'01 Prod Physique Boites'!L79,"-")</f>
        <v>0</v>
      </c>
      <c r="H80" s="384">
        <v>37.11</v>
      </c>
      <c r="I80" s="422">
        <f>IFERROR(H80*(F80/E80),"-")</f>
        <v>0</v>
      </c>
      <c r="J80" s="423">
        <f t="shared" ref="J80:J82" si="41">IFERROR(H80*(G80/E80),"-")</f>
        <v>0</v>
      </c>
    </row>
    <row r="81" spans="1:10" ht="23.4" x14ac:dyDescent="0.3">
      <c r="A81" s="277" t="s">
        <v>108</v>
      </c>
      <c r="B81" s="977"/>
      <c r="C81" s="306" t="s">
        <v>373</v>
      </c>
      <c r="D81" s="306" t="s">
        <v>254</v>
      </c>
      <c r="E81" s="509">
        <v>27.917000000000002</v>
      </c>
      <c r="F81" s="405">
        <f>IFERROR(E81*'01 Prod Physique Boites'!H80,"-")</f>
        <v>0</v>
      </c>
      <c r="G81" s="406">
        <f>IFERROR(E81*'01 Prod Physique Boites'!L80,"-")</f>
        <v>0</v>
      </c>
      <c r="H81" s="388">
        <v>39</v>
      </c>
      <c r="I81" s="424">
        <f>IFERROR(H81*(F81/E81),"-")</f>
        <v>0</v>
      </c>
      <c r="J81" s="425">
        <f t="shared" si="41"/>
        <v>0</v>
      </c>
    </row>
    <row r="82" spans="1:10" ht="24" thickBot="1" x14ac:dyDescent="0.35">
      <c r="A82" s="277" t="s">
        <v>108</v>
      </c>
      <c r="B82" s="977"/>
      <c r="C82" s="303" t="s">
        <v>145</v>
      </c>
      <c r="D82" s="303"/>
      <c r="E82" s="505">
        <v>25.4041</v>
      </c>
      <c r="F82" s="405">
        <f>IFERROR(E82*'01 Prod Physique Boites'!H81,"-")</f>
        <v>0</v>
      </c>
      <c r="G82" s="406">
        <f>IFERROR(E82*'01 Prod Physique Boites'!L81,"-")</f>
        <v>0</v>
      </c>
      <c r="H82" s="390">
        <v>28.21</v>
      </c>
      <c r="I82" s="426">
        <f>IFERROR(H82*(F82/E82),"-")</f>
        <v>0</v>
      </c>
      <c r="J82" s="427">
        <f t="shared" si="41"/>
        <v>0</v>
      </c>
    </row>
    <row r="83" spans="1:10" ht="24" thickBot="1" x14ac:dyDescent="0.35">
      <c r="A83" s="277" t="s">
        <v>108</v>
      </c>
      <c r="B83" s="977"/>
      <c r="C83" s="307"/>
      <c r="D83" s="308" t="s">
        <v>54</v>
      </c>
      <c r="E83" s="400"/>
      <c r="F83" s="417">
        <f t="shared" ref="F83:G83" si="42">SUM(F80:F82)</f>
        <v>0</v>
      </c>
      <c r="G83" s="418">
        <f t="shared" si="42"/>
        <v>0</v>
      </c>
      <c r="H83" s="401"/>
      <c r="I83" s="417">
        <f t="shared" ref="I83" si="43">SUM(I80:I82)</f>
        <v>0</v>
      </c>
      <c r="J83" s="433">
        <f>SUM(J80:J82)</f>
        <v>0</v>
      </c>
    </row>
    <row r="84" spans="1:10" ht="24" thickBot="1" x14ac:dyDescent="0.35">
      <c r="A84" s="277" t="s">
        <v>108</v>
      </c>
      <c r="B84" s="978" t="s">
        <v>171</v>
      </c>
      <c r="C84" s="979"/>
      <c r="D84" s="980"/>
      <c r="E84" s="402"/>
      <c r="F84" s="419">
        <f t="shared" ref="F84:G84" si="44">+F79+F83</f>
        <v>482064.33600000001</v>
      </c>
      <c r="G84" s="420">
        <f t="shared" si="44"/>
        <v>482064.33600000001</v>
      </c>
      <c r="H84" s="403"/>
      <c r="I84" s="419">
        <f t="shared" ref="I84:J84" si="45">+I79+I83</f>
        <v>709300.8</v>
      </c>
      <c r="J84" s="434">
        <f t="shared" si="45"/>
        <v>709300.8</v>
      </c>
    </row>
    <row r="85" spans="1:10" ht="24" thickBot="1" x14ac:dyDescent="0.35">
      <c r="A85" s="277" t="s">
        <v>108</v>
      </c>
      <c r="B85" s="609" t="s">
        <v>32</v>
      </c>
      <c r="C85" s="682"/>
      <c r="D85" s="313"/>
      <c r="E85" s="510">
        <v>12.2659</v>
      </c>
      <c r="F85" s="411">
        <f>IFERROR(E85*'01 Prod Physique Boites'!H84,"-")</f>
        <v>0</v>
      </c>
      <c r="G85" s="412">
        <f>IFERROR(E85*'01 Prod Physique Boites'!L84,"-")</f>
        <v>0</v>
      </c>
      <c r="H85" s="395"/>
      <c r="I85" s="429">
        <f>IFERROR(H85*(F85/E85),"-")</f>
        <v>0</v>
      </c>
      <c r="J85" s="430">
        <f>IFERROR(H85*(G85/E85),"-")</f>
        <v>0</v>
      </c>
    </row>
    <row r="86" spans="1:10" ht="24" thickBot="1" x14ac:dyDescent="0.35">
      <c r="A86" s="277" t="s">
        <v>108</v>
      </c>
      <c r="B86" s="981" t="s">
        <v>21</v>
      </c>
      <c r="C86" s="982"/>
      <c r="D86" s="983"/>
      <c r="E86" s="396"/>
      <c r="F86" s="413">
        <f t="shared" ref="F86" si="46">+F75+F84+F85</f>
        <v>1970728.2036000001</v>
      </c>
      <c r="G86" s="414">
        <f>+G75+G84+G85</f>
        <v>1970728.2036000001</v>
      </c>
      <c r="H86" s="397"/>
      <c r="I86" s="413">
        <f t="shared" ref="I86:J86" si="47">+I75+I84+I85</f>
        <v>2703352.8600000003</v>
      </c>
      <c r="J86" s="431">
        <f t="shared" si="47"/>
        <v>2703352.8600000003</v>
      </c>
    </row>
    <row r="87" spans="1:10" ht="24" thickBot="1" x14ac:dyDescent="0.35">
      <c r="A87" s="277" t="s">
        <v>108</v>
      </c>
      <c r="B87" s="984" t="s">
        <v>179</v>
      </c>
      <c r="C87" s="962"/>
      <c r="D87" s="963"/>
      <c r="E87" s="398"/>
      <c r="F87" s="415">
        <f t="shared" ref="F87:G87" si="48">+F86</f>
        <v>1970728.2036000001</v>
      </c>
      <c r="G87" s="416">
        <f t="shared" si="48"/>
        <v>1970728.2036000001</v>
      </c>
      <c r="H87" s="399"/>
      <c r="I87" s="415">
        <f t="shared" ref="I87:J87" si="49">+I86</f>
        <v>2703352.8600000003</v>
      </c>
      <c r="J87" s="432">
        <f t="shared" si="49"/>
        <v>2703352.8600000003</v>
      </c>
    </row>
    <row r="88" spans="1:10" ht="23.4" x14ac:dyDescent="0.3">
      <c r="A88" s="271" t="s">
        <v>109</v>
      </c>
      <c r="B88" s="970" t="s">
        <v>33</v>
      </c>
      <c r="C88" s="314" t="s">
        <v>120</v>
      </c>
      <c r="D88" s="314"/>
      <c r="E88" s="506">
        <v>254.89750000000001</v>
      </c>
      <c r="F88" s="405">
        <f>IFERROR(E88*'01 Prod Physique Boites'!H87,"-")</f>
        <v>0</v>
      </c>
      <c r="G88" s="406">
        <f>IFERROR(E88*'01 Prod Physique Boites'!L87,"-")</f>
        <v>0</v>
      </c>
      <c r="H88" s="384">
        <v>445.38</v>
      </c>
      <c r="I88" s="422">
        <f>IFERROR(H88*(F88/E88),"-")</f>
        <v>0</v>
      </c>
      <c r="J88" s="423">
        <f t="shared" ref="J88:J90" si="50">IFERROR(H88*(G88/E88),"-")</f>
        <v>0</v>
      </c>
    </row>
    <row r="89" spans="1:10" ht="23.4" x14ac:dyDescent="0.3">
      <c r="A89" s="277" t="s">
        <v>109</v>
      </c>
      <c r="B89" s="972"/>
      <c r="C89" s="315" t="s">
        <v>267</v>
      </c>
      <c r="D89" s="315"/>
      <c r="E89" s="507">
        <v>246.51390000000001</v>
      </c>
      <c r="F89" s="405">
        <f>IFERROR(E89*'01 Prod Physique Boites'!H88,"-")</f>
        <v>0</v>
      </c>
      <c r="G89" s="406">
        <f>IFERROR(E89*'01 Prod Physique Boites'!L88,"-")</f>
        <v>0</v>
      </c>
      <c r="H89" s="388">
        <v>430.02</v>
      </c>
      <c r="I89" s="424">
        <f>IFERROR(H89*(F89/E89),"-")</f>
        <v>0</v>
      </c>
      <c r="J89" s="425">
        <f t="shared" si="50"/>
        <v>0</v>
      </c>
    </row>
    <row r="90" spans="1:10" ht="24" thickBot="1" x14ac:dyDescent="0.35">
      <c r="A90" s="277" t="s">
        <v>109</v>
      </c>
      <c r="B90" s="971"/>
      <c r="C90" s="316" t="s">
        <v>34</v>
      </c>
      <c r="D90" s="316"/>
      <c r="E90" s="504">
        <v>225.7713</v>
      </c>
      <c r="F90" s="405">
        <f>IFERROR(E90*'01 Prod Physique Boites'!H89,"-")</f>
        <v>0</v>
      </c>
      <c r="G90" s="406">
        <f>IFERROR(E90*'01 Prod Physique Boites'!L89,"-")</f>
        <v>0</v>
      </c>
      <c r="H90" s="390"/>
      <c r="I90" s="426">
        <f>IFERROR(H90*(F90/E90),"-")</f>
        <v>0</v>
      </c>
      <c r="J90" s="427">
        <f t="shared" si="50"/>
        <v>0</v>
      </c>
    </row>
    <row r="91" spans="1:10" ht="24" thickBot="1" x14ac:dyDescent="0.35">
      <c r="A91" s="277" t="s">
        <v>109</v>
      </c>
      <c r="B91" s="967" t="s">
        <v>35</v>
      </c>
      <c r="C91" s="968"/>
      <c r="D91" s="969"/>
      <c r="E91" s="393"/>
      <c r="F91" s="409">
        <f t="shared" ref="F91:G91" si="51">SUM(F88:F90)</f>
        <v>0</v>
      </c>
      <c r="G91" s="410">
        <f t="shared" si="51"/>
        <v>0</v>
      </c>
      <c r="H91" s="394"/>
      <c r="I91" s="409">
        <f t="shared" ref="I91:J91" si="52">SUM(I88:I90)</f>
        <v>0</v>
      </c>
      <c r="J91" s="428">
        <f t="shared" si="52"/>
        <v>0</v>
      </c>
    </row>
    <row r="92" spans="1:10" ht="23.4" x14ac:dyDescent="0.3">
      <c r="A92" s="277" t="s">
        <v>109</v>
      </c>
      <c r="B92" s="970" t="s">
        <v>36</v>
      </c>
      <c r="C92" s="314" t="s">
        <v>120</v>
      </c>
      <c r="D92" s="314"/>
      <c r="E92" s="506">
        <v>254.89750000000001</v>
      </c>
      <c r="F92" s="405">
        <f>IFERROR(E92*'01 Prod Physique Boites'!H91,"-")</f>
        <v>0</v>
      </c>
      <c r="G92" s="406">
        <f>IFERROR(E92*'01 Prod Physique Boites'!L91,"-")</f>
        <v>0</v>
      </c>
      <c r="H92" s="384">
        <v>445.38</v>
      </c>
      <c r="I92" s="422">
        <f>IFERROR(H92*(F92/E92),"-")</f>
        <v>0</v>
      </c>
      <c r="J92" s="423">
        <f t="shared" ref="J92:J95" si="53">IFERROR(H92*(G92/E92),"-")</f>
        <v>0</v>
      </c>
    </row>
    <row r="93" spans="1:10" ht="23.4" x14ac:dyDescent="0.3">
      <c r="A93" s="277" t="s">
        <v>109</v>
      </c>
      <c r="B93" s="972"/>
      <c r="C93" s="315" t="s">
        <v>267</v>
      </c>
      <c r="D93" s="315"/>
      <c r="E93" s="507">
        <v>246.51390000000001</v>
      </c>
      <c r="F93" s="405">
        <f>IFERROR(E93*'01 Prod Physique Boites'!H92,"-")</f>
        <v>0</v>
      </c>
      <c r="G93" s="406">
        <f>IFERROR(E93*'01 Prod Physique Boites'!L92,"-")</f>
        <v>0</v>
      </c>
      <c r="H93" s="388">
        <v>430.02</v>
      </c>
      <c r="I93" s="424">
        <f>IFERROR(H93*(F93/E93),"-")</f>
        <v>0</v>
      </c>
      <c r="J93" s="425">
        <f t="shared" si="53"/>
        <v>0</v>
      </c>
    </row>
    <row r="94" spans="1:10" ht="23.4" x14ac:dyDescent="0.3">
      <c r="A94" s="277" t="s">
        <v>109</v>
      </c>
      <c r="B94" s="972"/>
      <c r="C94" s="315" t="s">
        <v>198</v>
      </c>
      <c r="D94" s="315" t="s">
        <v>197</v>
      </c>
      <c r="E94" s="507">
        <v>254.89750000000001</v>
      </c>
      <c r="F94" s="405">
        <f>IFERROR(E94*'01 Prod Physique Boites'!H93,"-")</f>
        <v>0</v>
      </c>
      <c r="G94" s="406">
        <f>IFERROR(E94*'01 Prod Physique Boites'!L93,"-")</f>
        <v>0</v>
      </c>
      <c r="H94" s="388"/>
      <c r="I94" s="424">
        <f>IFERROR(H94*(F94/E94),"-")</f>
        <v>0</v>
      </c>
      <c r="J94" s="425">
        <f t="shared" si="53"/>
        <v>0</v>
      </c>
    </row>
    <row r="95" spans="1:10" ht="24" thickBot="1" x14ac:dyDescent="0.35">
      <c r="A95" s="277" t="s">
        <v>109</v>
      </c>
      <c r="B95" s="971"/>
      <c r="C95" s="316" t="s">
        <v>37</v>
      </c>
      <c r="D95" s="316"/>
      <c r="E95" s="504">
        <v>229.99359999999999</v>
      </c>
      <c r="F95" s="405">
        <f>IFERROR(E95*'01 Prod Physique Boites'!H94,"-")</f>
        <v>0</v>
      </c>
      <c r="G95" s="406">
        <f>IFERROR(E95*'01 Prod Physique Boites'!L94,"-")</f>
        <v>0</v>
      </c>
      <c r="H95" s="390"/>
      <c r="I95" s="426">
        <f>IFERROR(H95*(F95/E95),"-")</f>
        <v>0</v>
      </c>
      <c r="J95" s="427">
        <f t="shared" si="53"/>
        <v>0</v>
      </c>
    </row>
    <row r="96" spans="1:10" ht="24" thickBot="1" x14ac:dyDescent="0.35">
      <c r="A96" s="277" t="s">
        <v>109</v>
      </c>
      <c r="B96" s="967" t="s">
        <v>38</v>
      </c>
      <c r="C96" s="968"/>
      <c r="D96" s="969"/>
      <c r="E96" s="393"/>
      <c r="F96" s="409">
        <f t="shared" ref="F96:G96" si="54">SUM(F92:F95)</f>
        <v>0</v>
      </c>
      <c r="G96" s="410">
        <f t="shared" si="54"/>
        <v>0</v>
      </c>
      <c r="H96" s="394"/>
      <c r="I96" s="409">
        <f>SUM(I92:I95)</f>
        <v>0</v>
      </c>
      <c r="J96" s="428">
        <f>SUM(J92:J95)</f>
        <v>0</v>
      </c>
    </row>
    <row r="97" spans="1:10" ht="23.4" x14ac:dyDescent="0.3">
      <c r="A97" s="277" t="s">
        <v>109</v>
      </c>
      <c r="B97" s="970" t="s">
        <v>39</v>
      </c>
      <c r="C97" s="317" t="s">
        <v>123</v>
      </c>
      <c r="D97" s="317"/>
      <c r="E97" s="506">
        <v>195.2808</v>
      </c>
      <c r="F97" s="405">
        <f>IFERROR(E97*'01 Prod Physique Boites'!H96,"-")</f>
        <v>0</v>
      </c>
      <c r="G97" s="406">
        <f>IFERROR(E97*'01 Prod Physique Boites'!L96,"-")</f>
        <v>0</v>
      </c>
      <c r="H97" s="384"/>
      <c r="I97" s="422">
        <f>IFERROR(H97*(F97/E97),"-")</f>
        <v>0</v>
      </c>
      <c r="J97" s="423">
        <f t="shared" ref="J97:J98" si="55">IFERROR(H97*(G97/E97),"-")</f>
        <v>0</v>
      </c>
    </row>
    <row r="98" spans="1:10" ht="24" thickBot="1" x14ac:dyDescent="0.35">
      <c r="A98" s="277" t="s">
        <v>109</v>
      </c>
      <c r="B98" s="971"/>
      <c r="C98" s="289" t="s">
        <v>139</v>
      </c>
      <c r="D98" s="289"/>
      <c r="E98" s="504">
        <v>189.91890000000001</v>
      </c>
      <c r="F98" s="405">
        <f>IFERROR(E98*'01 Prod Physique Boites'!H97,"-")</f>
        <v>45580.536</v>
      </c>
      <c r="G98" s="406">
        <f>IFERROR(E98*'01 Prod Physique Boites'!L97,"-")</f>
        <v>45580.536</v>
      </c>
      <c r="H98" s="390">
        <v>320.35000000000002</v>
      </c>
      <c r="I98" s="426">
        <f>IFERROR(H98*(F98/E98),"-")</f>
        <v>76884</v>
      </c>
      <c r="J98" s="427">
        <f t="shared" si="55"/>
        <v>76884</v>
      </c>
    </row>
    <row r="99" spans="1:10" ht="24" thickBot="1" x14ac:dyDescent="0.35">
      <c r="A99" s="685" t="s">
        <v>109</v>
      </c>
      <c r="B99" s="967" t="s">
        <v>40</v>
      </c>
      <c r="C99" s="968"/>
      <c r="D99" s="969"/>
      <c r="E99" s="393"/>
      <c r="F99" s="409">
        <f>SUM(F97:F98)</f>
        <v>45580.536</v>
      </c>
      <c r="G99" s="410">
        <f t="shared" ref="G99" si="56">SUM(G97:G98)</f>
        <v>45580.536</v>
      </c>
      <c r="H99" s="394"/>
      <c r="I99" s="409">
        <f t="shared" ref="I99:J99" si="57">SUM(I97:I98)</f>
        <v>76884</v>
      </c>
      <c r="J99" s="428">
        <f t="shared" si="57"/>
        <v>76884</v>
      </c>
    </row>
    <row r="100" spans="1:10" ht="23.4" x14ac:dyDescent="0.3">
      <c r="A100" s="277" t="s">
        <v>109</v>
      </c>
      <c r="B100" s="970" t="s">
        <v>41</v>
      </c>
      <c r="C100" s="272" t="s">
        <v>335</v>
      </c>
      <c r="D100" s="272" t="s">
        <v>258</v>
      </c>
      <c r="E100" s="508">
        <v>37.248699999999999</v>
      </c>
      <c r="F100" s="405">
        <f>IFERROR(E100*'01 Prod Physique Boites'!H99,"-")</f>
        <v>563200.34400000004</v>
      </c>
      <c r="G100" s="406">
        <f>IFERROR(E100*'01 Prod Physique Boites'!L99,"-")</f>
        <v>563200.34400000004</v>
      </c>
      <c r="H100" s="384">
        <v>71.44</v>
      </c>
      <c r="I100" s="422">
        <f>IFERROR(H100*(F100/E100),"-")</f>
        <v>1080172.8</v>
      </c>
      <c r="J100" s="423">
        <f>IFERROR(H100*(G100/E100),"-")</f>
        <v>1080172.8</v>
      </c>
    </row>
    <row r="101" spans="1:10" ht="23.4" x14ac:dyDescent="0.3">
      <c r="A101" s="277" t="s">
        <v>109</v>
      </c>
      <c r="B101" s="972"/>
      <c r="C101" s="272" t="s">
        <v>164</v>
      </c>
      <c r="D101" s="278"/>
      <c r="E101" s="508">
        <v>37.248699999999999</v>
      </c>
      <c r="F101" s="405">
        <f>IFERROR(E101*'01 Prod Physique Boites'!H100,"-")</f>
        <v>0</v>
      </c>
      <c r="G101" s="406">
        <f>IFERROR(E101*'01 Prod Physique Boites'!L100,"-")</f>
        <v>0</v>
      </c>
      <c r="H101" s="388"/>
      <c r="I101" s="424">
        <f>IFERROR(H101*(F101/E101),"-")</f>
        <v>0</v>
      </c>
      <c r="J101" s="425">
        <f t="shared" ref="J101:J104" si="58">IFERROR(H101*(G101/E101),"-")</f>
        <v>0</v>
      </c>
    </row>
    <row r="102" spans="1:10" ht="23.4" x14ac:dyDescent="0.3">
      <c r="A102" s="277" t="s">
        <v>109</v>
      </c>
      <c r="B102" s="972"/>
      <c r="C102" s="278" t="s">
        <v>383</v>
      </c>
      <c r="D102" s="272" t="s">
        <v>258</v>
      </c>
      <c r="E102" s="508">
        <v>37.248699999999999</v>
      </c>
      <c r="F102" s="405">
        <f>IFERROR(E102*'01 Prod Physique Boites'!H101,"-")</f>
        <v>0</v>
      </c>
      <c r="G102" s="406">
        <f>IFERROR(E102*'01 Prod Physique Boites'!L101,"-")</f>
        <v>0</v>
      </c>
      <c r="H102" s="388">
        <v>71.44</v>
      </c>
      <c r="I102" s="424">
        <f>IFERROR(H102*(F102/E102),"-")</f>
        <v>0</v>
      </c>
      <c r="J102" s="425">
        <f t="shared" si="58"/>
        <v>0</v>
      </c>
    </row>
    <row r="103" spans="1:10" ht="23.4" x14ac:dyDescent="0.3">
      <c r="A103" s="277" t="s">
        <v>109</v>
      </c>
      <c r="B103" s="972"/>
      <c r="C103" s="278" t="s">
        <v>165</v>
      </c>
      <c r="D103" s="278"/>
      <c r="E103" s="509">
        <v>38.466099999999997</v>
      </c>
      <c r="F103" s="405">
        <f>IFERROR(E103*'01 Prod Physique Boites'!H102,"-")</f>
        <v>0</v>
      </c>
      <c r="G103" s="406">
        <f>IFERROR(E103*'01 Prod Physique Boites'!L102,"-")</f>
        <v>0</v>
      </c>
      <c r="H103" s="388"/>
      <c r="I103" s="424">
        <f>IFERROR(H103*(F103/E103),"-")</f>
        <v>0</v>
      </c>
      <c r="J103" s="425">
        <f t="shared" si="58"/>
        <v>0</v>
      </c>
    </row>
    <row r="104" spans="1:10" ht="24" thickBot="1" x14ac:dyDescent="0.35">
      <c r="A104" s="277" t="s">
        <v>109</v>
      </c>
      <c r="B104" s="971"/>
      <c r="C104" s="282" t="s">
        <v>166</v>
      </c>
      <c r="D104" s="282"/>
      <c r="E104" s="505">
        <v>33.711399999999998</v>
      </c>
      <c r="F104" s="405">
        <f>IFERROR(E104*'01 Prod Physique Boites'!H103,"-")</f>
        <v>0</v>
      </c>
      <c r="G104" s="406">
        <f>IFERROR(E104*'01 Prod Physique Boites'!L103,"-")</f>
        <v>0</v>
      </c>
      <c r="H104" s="390"/>
      <c r="I104" s="426">
        <f>IFERROR(H104*(F104/E104),"-")</f>
        <v>0</v>
      </c>
      <c r="J104" s="427">
        <f t="shared" si="58"/>
        <v>0</v>
      </c>
    </row>
    <row r="105" spans="1:10" ht="24" thickBot="1" x14ac:dyDescent="0.35">
      <c r="A105" s="277" t="s">
        <v>109</v>
      </c>
      <c r="B105" s="967" t="s">
        <v>42</v>
      </c>
      <c r="C105" s="968"/>
      <c r="D105" s="969"/>
      <c r="E105" s="393"/>
      <c r="F105" s="409">
        <f>SUM(F100:F104)</f>
        <v>563200.34400000004</v>
      </c>
      <c r="G105" s="410">
        <f>SUM(G100:G104)</f>
        <v>563200.34400000004</v>
      </c>
      <c r="H105" s="394"/>
      <c r="I105" s="409">
        <f>SUM(I100:I104)</f>
        <v>1080172.8</v>
      </c>
      <c r="J105" s="409">
        <f>SUM(J100:J104)</f>
        <v>1080172.8</v>
      </c>
    </row>
    <row r="106" spans="1:10" ht="23.4" x14ac:dyDescent="0.3">
      <c r="A106" s="277" t="s">
        <v>109</v>
      </c>
      <c r="B106" s="970" t="s">
        <v>43</v>
      </c>
      <c r="C106" s="272" t="s">
        <v>200</v>
      </c>
      <c r="D106" s="272" t="s">
        <v>197</v>
      </c>
      <c r="E106" s="508">
        <v>30.7499</v>
      </c>
      <c r="F106" s="405">
        <f>IFERROR(E106*'01 Prod Physique Boites'!H105,"-")</f>
        <v>0</v>
      </c>
      <c r="G106" s="406">
        <f>IFERROR(E106*'01 Prod Physique Boites'!L105,"-")</f>
        <v>0</v>
      </c>
      <c r="H106" s="384"/>
      <c r="I106" s="422">
        <f>IFERROR(H106*(F106/E106),"-")</f>
        <v>0</v>
      </c>
      <c r="J106" s="423">
        <f>IFERROR(H106*(G106/E106),"-")</f>
        <v>0</v>
      </c>
    </row>
    <row r="107" spans="1:10" ht="23.4" x14ac:dyDescent="0.3">
      <c r="A107" s="277" t="s">
        <v>109</v>
      </c>
      <c r="B107" s="972"/>
      <c r="C107" s="278" t="s">
        <v>167</v>
      </c>
      <c r="D107" s="278"/>
      <c r="E107" s="509">
        <v>28.7</v>
      </c>
      <c r="F107" s="405">
        <f>IFERROR(E107*'01 Prod Physique Boites'!H106,"-")</f>
        <v>0</v>
      </c>
      <c r="G107" s="406">
        <f>IFERROR(E107*'01 Prod Physique Boites'!L106,"-")</f>
        <v>0</v>
      </c>
      <c r="H107" s="388"/>
      <c r="I107" s="424">
        <f>IFERROR(H107*(F107/E107),"-")</f>
        <v>0</v>
      </c>
      <c r="J107" s="425">
        <f t="shared" ref="J107:J108" si="59">IFERROR(H107*(G107/E107),"-")</f>
        <v>0</v>
      </c>
    </row>
    <row r="108" spans="1:10" ht="24" thickBot="1" x14ac:dyDescent="0.35">
      <c r="A108" s="277" t="s">
        <v>109</v>
      </c>
      <c r="B108" s="971"/>
      <c r="C108" s="282" t="s">
        <v>200</v>
      </c>
      <c r="D108" s="282" t="s">
        <v>199</v>
      </c>
      <c r="E108" s="505">
        <v>30.073599999999999</v>
      </c>
      <c r="F108" s="405">
        <f>IFERROR(E108*'01 Prod Physique Boites'!H107,"-")</f>
        <v>0</v>
      </c>
      <c r="G108" s="406">
        <f>IFERROR(E108*'01 Prod Physique Boites'!L107,"-")</f>
        <v>0</v>
      </c>
      <c r="H108" s="390"/>
      <c r="I108" s="426">
        <f>IFERROR(H108*(F108/E108),"-")</f>
        <v>0</v>
      </c>
      <c r="J108" s="427">
        <f t="shared" si="59"/>
        <v>0</v>
      </c>
    </row>
    <row r="109" spans="1:10" ht="24" thickBot="1" x14ac:dyDescent="0.35">
      <c r="A109" s="277" t="s">
        <v>109</v>
      </c>
      <c r="B109" s="973" t="s">
        <v>44</v>
      </c>
      <c r="C109" s="974"/>
      <c r="D109" s="975"/>
      <c r="E109" s="393"/>
      <c r="F109" s="409">
        <f t="shared" ref="F109:G109" si="60">SUM(F106:F108)</f>
        <v>0</v>
      </c>
      <c r="G109" s="410">
        <f t="shared" si="60"/>
        <v>0</v>
      </c>
      <c r="H109" s="394"/>
      <c r="I109" s="409">
        <f t="shared" ref="I109:J109" si="61">SUM(I106:I108)</f>
        <v>0</v>
      </c>
      <c r="J109" s="428">
        <f t="shared" si="61"/>
        <v>0</v>
      </c>
    </row>
    <row r="110" spans="1:10" ht="23.4" x14ac:dyDescent="0.3">
      <c r="A110" s="277" t="s">
        <v>109</v>
      </c>
      <c r="B110" s="970" t="s">
        <v>45</v>
      </c>
      <c r="C110" s="272" t="s">
        <v>168</v>
      </c>
      <c r="D110" s="272"/>
      <c r="E110" s="508">
        <v>36.684899999999999</v>
      </c>
      <c r="F110" s="405">
        <f>IFERROR(E110*'01 Prod Physique Boites'!H109,"-")</f>
        <v>0</v>
      </c>
      <c r="G110" s="406">
        <f>IFERROR(E110*'01 Prod Physique Boites'!L109,"-")</f>
        <v>0</v>
      </c>
      <c r="H110" s="384"/>
      <c r="I110" s="385" t="s">
        <v>204</v>
      </c>
      <c r="J110" s="386" t="s">
        <v>204</v>
      </c>
    </row>
    <row r="111" spans="1:10" ht="24" thickBot="1" x14ac:dyDescent="0.35">
      <c r="A111" s="277" t="s">
        <v>109</v>
      </c>
      <c r="B111" s="971"/>
      <c r="C111" s="282" t="s">
        <v>169</v>
      </c>
      <c r="D111" s="282"/>
      <c r="E111" s="505">
        <v>37.002800000000001</v>
      </c>
      <c r="F111" s="405">
        <f>IFERROR(E111*'01 Prod Physique Boites'!H110,"-")</f>
        <v>0</v>
      </c>
      <c r="G111" s="406">
        <f>IFERROR(E111*'01 Prod Physique Boites'!L110,"-")</f>
        <v>0</v>
      </c>
      <c r="H111" s="390"/>
      <c r="I111" s="391" t="s">
        <v>204</v>
      </c>
      <c r="J111" s="392" t="s">
        <v>204</v>
      </c>
    </row>
    <row r="112" spans="1:10" ht="24" thickBot="1" x14ac:dyDescent="0.35">
      <c r="A112" s="277" t="s">
        <v>109</v>
      </c>
      <c r="B112" s="973" t="s">
        <v>46</v>
      </c>
      <c r="C112" s="974"/>
      <c r="D112" s="975"/>
      <c r="E112" s="393"/>
      <c r="F112" s="409">
        <f t="shared" ref="F112:G112" si="62">SUM(F110:F111)</f>
        <v>0</v>
      </c>
      <c r="G112" s="410">
        <f t="shared" si="62"/>
        <v>0</v>
      </c>
      <c r="H112" s="394"/>
      <c r="I112" s="409">
        <f t="shared" ref="I112:J112" si="63">SUM(I110:I111)</f>
        <v>0</v>
      </c>
      <c r="J112" s="428">
        <f t="shared" si="63"/>
        <v>0</v>
      </c>
    </row>
    <row r="113" spans="1:10" ht="24" thickBot="1" x14ac:dyDescent="0.35">
      <c r="A113" s="277" t="s">
        <v>109</v>
      </c>
      <c r="B113" s="959" t="s">
        <v>25</v>
      </c>
      <c r="C113" s="960"/>
      <c r="D113" s="961"/>
      <c r="E113" s="396"/>
      <c r="F113" s="413">
        <f t="shared" ref="F113:G113" si="64">+F91+F96+F99+F105+F109+F112</f>
        <v>608780.88</v>
      </c>
      <c r="G113" s="414">
        <f t="shared" si="64"/>
        <v>608780.88</v>
      </c>
      <c r="H113" s="397"/>
      <c r="I113" s="413">
        <f>+I91+I96+I99+I105+I109+I112</f>
        <v>1157056.8</v>
      </c>
      <c r="J113" s="431">
        <f>+J91+J96+J99+J105+J109+J112</f>
        <v>1157056.8</v>
      </c>
    </row>
    <row r="114" spans="1:10" ht="24" thickBot="1" x14ac:dyDescent="0.35">
      <c r="A114" s="321" t="s">
        <v>109</v>
      </c>
      <c r="B114" s="962" t="s">
        <v>181</v>
      </c>
      <c r="C114" s="962"/>
      <c r="D114" s="963"/>
      <c r="E114" s="398"/>
      <c r="F114" s="415">
        <f t="shared" ref="F114:G114" si="65">+F113</f>
        <v>608780.88</v>
      </c>
      <c r="G114" s="416">
        <f t="shared" si="65"/>
        <v>608780.88</v>
      </c>
      <c r="H114" s="399"/>
      <c r="I114" s="415">
        <f t="shared" ref="I114" si="66">+I113</f>
        <v>1157056.8</v>
      </c>
      <c r="J114" s="432">
        <f>+J113</f>
        <v>1157056.8</v>
      </c>
    </row>
    <row r="115" spans="1:10" ht="24.6" thickBot="1" x14ac:dyDescent="0.35">
      <c r="A115" s="322"/>
      <c r="B115" s="964" t="s">
        <v>182</v>
      </c>
      <c r="C115" s="965"/>
      <c r="D115" s="966"/>
      <c r="E115" s="404"/>
      <c r="F115" s="421">
        <f t="shared" ref="F115:G115" si="67">+F60+F87+F114</f>
        <v>5584658.5787999993</v>
      </c>
      <c r="G115" s="421">
        <f t="shared" si="67"/>
        <v>5584658.5787999993</v>
      </c>
      <c r="H115" s="404"/>
      <c r="I115" s="421">
        <f t="shared" ref="I115:J115" si="68">+I60+I87+I114</f>
        <v>8056951.2599999998</v>
      </c>
      <c r="J115" s="435">
        <f t="shared" si="68"/>
        <v>8179869.6600000001</v>
      </c>
    </row>
    <row r="116" spans="1:10" ht="23.4" x14ac:dyDescent="0.3">
      <c r="A116" s="991" t="s">
        <v>1</v>
      </c>
      <c r="B116" s="994" t="s">
        <v>2</v>
      </c>
      <c r="C116" s="997" t="s">
        <v>3</v>
      </c>
      <c r="D116" s="997" t="s">
        <v>93</v>
      </c>
      <c r="E116" s="1021" t="s">
        <v>175</v>
      </c>
      <c r="F116" s="1022"/>
      <c r="G116" s="1022"/>
      <c r="H116" s="445"/>
      <c r="I116" s="445"/>
      <c r="J116" s="446"/>
    </row>
    <row r="117" spans="1:10" ht="23.4" x14ac:dyDescent="0.3">
      <c r="A117" s="992"/>
      <c r="B117" s="995"/>
      <c r="C117" s="998"/>
      <c r="D117" s="998"/>
      <c r="E117" s="1023" t="s">
        <v>177</v>
      </c>
      <c r="F117" s="1024"/>
      <c r="G117" s="1025"/>
      <c r="H117" s="1023" t="s">
        <v>176</v>
      </c>
      <c r="I117" s="1024"/>
      <c r="J117" s="1025"/>
    </row>
    <row r="118" spans="1:10" ht="46.8" x14ac:dyDescent="0.3">
      <c r="A118" s="993"/>
      <c r="B118" s="1019"/>
      <c r="C118" s="1020"/>
      <c r="D118" s="1020"/>
      <c r="E118" s="382" t="s">
        <v>178</v>
      </c>
      <c r="F118" s="707" t="s">
        <v>11</v>
      </c>
      <c r="G118" s="708" t="s">
        <v>12</v>
      </c>
      <c r="H118" s="1026" t="s">
        <v>178</v>
      </c>
      <c r="I118" s="1028" t="s">
        <v>144</v>
      </c>
      <c r="J118" s="1030" t="s">
        <v>12</v>
      </c>
    </row>
    <row r="119" spans="1:10" ht="24" thickBot="1" x14ac:dyDescent="0.35">
      <c r="A119" s="993"/>
      <c r="B119" s="996"/>
      <c r="C119" s="999"/>
      <c r="D119" s="999"/>
      <c r="E119" s="1032" t="s">
        <v>426</v>
      </c>
      <c r="F119" s="1033"/>
      <c r="G119" s="1034"/>
      <c r="H119" s="1027"/>
      <c r="I119" s="1029"/>
      <c r="J119" s="1031"/>
    </row>
    <row r="120" spans="1:10" ht="23.4" x14ac:dyDescent="0.3">
      <c r="A120" s="271" t="s">
        <v>110</v>
      </c>
      <c r="B120" s="956" t="s">
        <v>16</v>
      </c>
      <c r="C120" s="272" t="s">
        <v>424</v>
      </c>
      <c r="D120" s="272" t="s">
        <v>425</v>
      </c>
      <c r="E120" s="714">
        <v>81.360699999999994</v>
      </c>
      <c r="F120" s="405">
        <f>IFERROR(E120*'01 Prod Physique Boites'!H118,"-")</f>
        <v>286389.66399999999</v>
      </c>
      <c r="G120" s="405">
        <f>IFERROR(E120*'01 Prod Physique Boites'!L118,"-")</f>
        <v>286389.66399999999</v>
      </c>
      <c r="H120" s="715">
        <v>97.13</v>
      </c>
      <c r="I120" s="422">
        <f>IFERROR(H120*(F120/E120),"-")</f>
        <v>341897.6</v>
      </c>
      <c r="J120" s="423">
        <f t="shared" ref="J120:J122" si="69">IFERROR(H120*(G120/E120),"-")</f>
        <v>341897.6</v>
      </c>
    </row>
    <row r="121" spans="1:10" ht="23.4" x14ac:dyDescent="0.3">
      <c r="A121" s="277" t="s">
        <v>110</v>
      </c>
      <c r="B121" s="957"/>
      <c r="C121" s="278" t="s">
        <v>188</v>
      </c>
      <c r="D121" s="278" t="s">
        <v>101</v>
      </c>
      <c r="E121" s="509">
        <v>81.360699999999994</v>
      </c>
      <c r="F121" s="405">
        <f>IFERROR(E121*'01 Prod Physique Boites'!H119,"-")</f>
        <v>0</v>
      </c>
      <c r="G121" s="405">
        <f>IFERROR(E121*'01 Prod Physique Boites'!L119,"-")</f>
        <v>0</v>
      </c>
      <c r="H121" s="388">
        <v>0</v>
      </c>
      <c r="I121" s="422">
        <f>IFERROR(H121*(F121/E121),"-")</f>
        <v>0</v>
      </c>
      <c r="J121" s="423">
        <f t="shared" si="69"/>
        <v>0</v>
      </c>
    </row>
    <row r="122" spans="1:10" ht="23.4" x14ac:dyDescent="0.3">
      <c r="A122" s="277" t="s">
        <v>110</v>
      </c>
      <c r="B122" s="957"/>
      <c r="C122" s="278" t="s">
        <v>186</v>
      </c>
      <c r="D122" s="278" t="s">
        <v>184</v>
      </c>
      <c r="E122" s="509">
        <v>55.476900000000001</v>
      </c>
      <c r="F122" s="405">
        <f>IFERROR(E122*'01 Prod Physique Boites'!H120,"-")</f>
        <v>0</v>
      </c>
      <c r="G122" s="405">
        <f>IFERROR(E122*'01 Prod Physique Boites'!L120,"-")</f>
        <v>0</v>
      </c>
      <c r="H122" s="388">
        <v>0</v>
      </c>
      <c r="I122" s="422">
        <f>IFERROR(H122*(F122/E122),"-")</f>
        <v>0</v>
      </c>
      <c r="J122" s="423">
        <f t="shared" si="69"/>
        <v>0</v>
      </c>
    </row>
    <row r="123" spans="1:10" ht="24" thickBot="1" x14ac:dyDescent="0.35">
      <c r="A123" s="277" t="s">
        <v>110</v>
      </c>
      <c r="B123" s="958"/>
      <c r="C123" s="282" t="s">
        <v>282</v>
      </c>
      <c r="D123" s="282" t="s">
        <v>251</v>
      </c>
      <c r="E123" s="505">
        <v>60.703499999999998</v>
      </c>
      <c r="F123" s="405">
        <f>IFERROR(E123*'01 Prod Physique Boites'!H121,"-")</f>
        <v>0</v>
      </c>
      <c r="G123" s="405">
        <f>IFERROR(E123*'01 Prod Physique Boites'!L121,"-")</f>
        <v>0</v>
      </c>
      <c r="H123" s="390">
        <v>111.09</v>
      </c>
      <c r="I123" s="422">
        <f>IFERROR(H123*(F123/E123),"-")</f>
        <v>0</v>
      </c>
      <c r="J123" s="423">
        <f>IFERROR(H123*(G123/E123),"-")</f>
        <v>0</v>
      </c>
    </row>
    <row r="124" spans="1:10" ht="24" thickBot="1" x14ac:dyDescent="0.35">
      <c r="A124" s="277" t="s">
        <v>110</v>
      </c>
      <c r="B124" s="967" t="s">
        <v>47</v>
      </c>
      <c r="C124" s="968"/>
      <c r="D124" s="969"/>
      <c r="E124" s="393"/>
      <c r="F124" s="409">
        <f t="shared" ref="F124" si="70">SUM(F120:F123)</f>
        <v>286389.66399999999</v>
      </c>
      <c r="G124" s="410">
        <f>SUM(G120:G123)</f>
        <v>286389.66399999999</v>
      </c>
      <c r="H124" s="394"/>
      <c r="I124" s="409">
        <f t="shared" ref="I124:J124" si="71">SUM(I120:I123)</f>
        <v>341897.6</v>
      </c>
      <c r="J124" s="428">
        <f t="shared" si="71"/>
        <v>341897.6</v>
      </c>
    </row>
    <row r="125" spans="1:10" ht="23.4" x14ac:dyDescent="0.3">
      <c r="A125" s="277" t="s">
        <v>110</v>
      </c>
      <c r="B125" s="956" t="s">
        <v>17</v>
      </c>
      <c r="C125" s="272" t="s">
        <v>320</v>
      </c>
      <c r="D125" s="272"/>
      <c r="E125" s="508">
        <v>12.5275</v>
      </c>
      <c r="F125" s="405">
        <f>IFERROR(E125*'01 Prod Physique Boites'!H123,"-")</f>
        <v>0</v>
      </c>
      <c r="G125" s="405">
        <f>IFERROR(E125*'01 Prod Physique Boites'!L123,"-")</f>
        <v>0</v>
      </c>
      <c r="H125" s="384">
        <v>18.836400000000001</v>
      </c>
      <c r="I125" s="422">
        <f t="shared" ref="I125:I131" si="72">IFERROR(H125*(F125/E125),"-")</f>
        <v>0</v>
      </c>
      <c r="J125" s="423">
        <f t="shared" ref="J125:J130" si="73">IFERROR(H125*(G125/E125),"-")</f>
        <v>0</v>
      </c>
    </row>
    <row r="126" spans="1:10" ht="23.4" x14ac:dyDescent="0.3">
      <c r="A126" s="277" t="s">
        <v>110</v>
      </c>
      <c r="B126" s="957"/>
      <c r="C126" s="278" t="s">
        <v>382</v>
      </c>
      <c r="D126" s="278" t="s">
        <v>252</v>
      </c>
      <c r="E126" s="698">
        <v>13.002700000000001</v>
      </c>
      <c r="F126" s="405">
        <f>IFERROR(E126*'01 Prod Physique Boites'!H124,"-")</f>
        <v>0</v>
      </c>
      <c r="G126" s="405">
        <f>IFERROR(E126*'01 Prod Physique Boites'!L124,"-")</f>
        <v>79576.524000000005</v>
      </c>
      <c r="H126" s="388">
        <v>21.18</v>
      </c>
      <c r="I126" s="424">
        <f t="shared" si="72"/>
        <v>0</v>
      </c>
      <c r="J126" s="425">
        <f t="shared" si="73"/>
        <v>129621.59999999999</v>
      </c>
    </row>
    <row r="127" spans="1:10" ht="23.4" x14ac:dyDescent="0.3">
      <c r="A127" s="277" t="s">
        <v>110</v>
      </c>
      <c r="B127" s="957"/>
      <c r="C127" s="278" t="s">
        <v>391</v>
      </c>
      <c r="D127" s="278" t="s">
        <v>201</v>
      </c>
      <c r="E127" s="699">
        <v>12.9049</v>
      </c>
      <c r="F127" s="405">
        <f>IFERROR(E127*'01 Prod Physique Boites'!H125,"-")</f>
        <v>2053427.6879999998</v>
      </c>
      <c r="G127" s="405">
        <f>IFERROR(E127*'01 Prod Physique Boites'!L125,"-")</f>
        <v>3790943.4239999996</v>
      </c>
      <c r="H127" s="388">
        <v>20.5</v>
      </c>
      <c r="I127" s="424">
        <f t="shared" si="72"/>
        <v>3261960</v>
      </c>
      <c r="J127" s="425">
        <f t="shared" si="73"/>
        <v>6022080</v>
      </c>
    </row>
    <row r="128" spans="1:10" ht="23.4" x14ac:dyDescent="0.3">
      <c r="A128" s="277" t="s">
        <v>110</v>
      </c>
      <c r="B128" s="957"/>
      <c r="C128" s="278" t="s">
        <v>319</v>
      </c>
      <c r="D128" s="278" t="s">
        <v>202</v>
      </c>
      <c r="E128" s="509">
        <v>13.078200000000001</v>
      </c>
      <c r="F128" s="405">
        <f>IFERROR(E128*'01 Prod Physique Boites'!H126,"-")</f>
        <v>0</v>
      </c>
      <c r="G128" s="405">
        <f>IFERROR(E128*'01 Prod Physique Boites'!L126,"-")</f>
        <v>0</v>
      </c>
      <c r="H128" s="388">
        <v>20.6</v>
      </c>
      <c r="I128" s="424">
        <f t="shared" si="72"/>
        <v>0</v>
      </c>
      <c r="J128" s="425">
        <f t="shared" si="73"/>
        <v>0</v>
      </c>
    </row>
    <row r="129" spans="1:10" ht="23.4" x14ac:dyDescent="0.3">
      <c r="A129" s="277" t="s">
        <v>110</v>
      </c>
      <c r="B129" s="957"/>
      <c r="C129" s="278" t="s">
        <v>358</v>
      </c>
      <c r="D129" s="278" t="s">
        <v>352</v>
      </c>
      <c r="E129" s="509">
        <v>13.1958</v>
      </c>
      <c r="F129" s="405">
        <f>IFERROR(E129*'01 Prod Physique Boites'!H127,"-")</f>
        <v>0</v>
      </c>
      <c r="G129" s="405">
        <f>IFERROR(E129*'01 Prod Physique Boites'!L127,"-")</f>
        <v>0</v>
      </c>
      <c r="H129" s="388">
        <v>21.28</v>
      </c>
      <c r="I129" s="424">
        <f t="shared" si="72"/>
        <v>0</v>
      </c>
      <c r="J129" s="425">
        <f t="shared" si="73"/>
        <v>0</v>
      </c>
    </row>
    <row r="130" spans="1:10" ht="23.4" x14ac:dyDescent="0.3">
      <c r="A130" s="277">
        <v>1</v>
      </c>
      <c r="B130" s="957"/>
      <c r="C130" s="278" t="s">
        <v>392</v>
      </c>
      <c r="D130" s="278" t="s">
        <v>203</v>
      </c>
      <c r="E130" s="698">
        <v>12.9049</v>
      </c>
      <c r="F130" s="405">
        <f>IFERROR(E130*'01 Prod Physique Boites'!H128,"-")</f>
        <v>0</v>
      </c>
      <c r="G130" s="405">
        <f>IFERROR(E130*'01 Prod Physique Boites'!L128,"-")</f>
        <v>0</v>
      </c>
      <c r="H130" s="677">
        <v>20.5</v>
      </c>
      <c r="I130" s="424">
        <f t="shared" si="72"/>
        <v>0</v>
      </c>
      <c r="J130" s="425">
        <f t="shared" si="73"/>
        <v>0</v>
      </c>
    </row>
    <row r="131" spans="1:10" ht="24" thickBot="1" x14ac:dyDescent="0.35">
      <c r="A131" s="277" t="s">
        <v>110</v>
      </c>
      <c r="B131" s="958"/>
      <c r="C131" s="282" t="s">
        <v>379</v>
      </c>
      <c r="D131" s="282" t="s">
        <v>187</v>
      </c>
      <c r="E131" s="505">
        <v>13.6509</v>
      </c>
      <c r="F131" s="405">
        <f>IFERROR(E131*'01 Prod Physique Boites'!H129,"-")</f>
        <v>0</v>
      </c>
      <c r="G131" s="405">
        <f>IFERROR(E131*'01 Prod Physique Boites'!L129,"-")</f>
        <v>0</v>
      </c>
      <c r="H131" s="390">
        <v>21.18</v>
      </c>
      <c r="I131" s="426">
        <f t="shared" si="72"/>
        <v>0</v>
      </c>
      <c r="J131" s="427">
        <f>IFERROR(H131*(G131/E131),"-")</f>
        <v>0</v>
      </c>
    </row>
    <row r="132" spans="1:10" ht="24" thickBot="1" x14ac:dyDescent="0.35">
      <c r="A132" s="277" t="s">
        <v>110</v>
      </c>
      <c r="B132" s="967" t="s">
        <v>48</v>
      </c>
      <c r="C132" s="968"/>
      <c r="D132" s="969"/>
      <c r="E132" s="393"/>
      <c r="F132" s="409">
        <f t="shared" ref="F132" si="74">SUM(F125:F131)</f>
        <v>2053427.6879999998</v>
      </c>
      <c r="G132" s="410">
        <f>SUM(G125:G131)</f>
        <v>3870519.9479999999</v>
      </c>
      <c r="H132" s="394"/>
      <c r="I132" s="409">
        <f t="shared" ref="I132" si="75">SUM(I125:I131)</f>
        <v>3261960</v>
      </c>
      <c r="J132" s="428">
        <f>SUM(J125:J131)</f>
        <v>6151701.5999999996</v>
      </c>
    </row>
    <row r="133" spans="1:10" ht="23.4" x14ac:dyDescent="0.3">
      <c r="A133" s="277" t="s">
        <v>110</v>
      </c>
      <c r="B133" s="956" t="s">
        <v>18</v>
      </c>
      <c r="C133" s="272" t="s">
        <v>344</v>
      </c>
      <c r="D133" s="272" t="s">
        <v>99</v>
      </c>
      <c r="E133" s="508">
        <v>17.8202</v>
      </c>
      <c r="F133" s="405">
        <f>IFERROR(E133*'01 Prod Physique Boites'!H131,"-")</f>
        <v>0</v>
      </c>
      <c r="G133" s="406">
        <f>IFERROR(E133*'01 Prod Physique Boites'!L131,"-")</f>
        <v>0</v>
      </c>
      <c r="H133" s="384">
        <v>24.93</v>
      </c>
      <c r="I133" s="422">
        <f t="shared" ref="I133:I139" si="76">IFERROR(H133*(F133/E133),"-")</f>
        <v>0</v>
      </c>
      <c r="J133" s="423">
        <f t="shared" ref="J133:J135" si="77">IFERROR(H133*(G133/E133),"-")</f>
        <v>0</v>
      </c>
    </row>
    <row r="134" spans="1:10" ht="23.4" x14ac:dyDescent="0.3">
      <c r="A134" s="277" t="s">
        <v>110</v>
      </c>
      <c r="B134" s="957"/>
      <c r="C134" s="278" t="s">
        <v>137</v>
      </c>
      <c r="D134" s="278"/>
      <c r="E134" s="509">
        <v>17.8202</v>
      </c>
      <c r="F134" s="405">
        <f>IFERROR(E134*'01 Prod Physique Boites'!H132,"-")</f>
        <v>0</v>
      </c>
      <c r="G134" s="406">
        <f>IFERROR(E134*'01 Prod Physique Boites'!L132,"-")</f>
        <v>0</v>
      </c>
      <c r="H134" s="388">
        <v>0</v>
      </c>
      <c r="I134" s="424">
        <f t="shared" si="76"/>
        <v>0</v>
      </c>
      <c r="J134" s="425">
        <f t="shared" si="77"/>
        <v>0</v>
      </c>
    </row>
    <row r="135" spans="1:10" ht="23.4" x14ac:dyDescent="0.3">
      <c r="A135" s="277" t="s">
        <v>110</v>
      </c>
      <c r="B135" s="957"/>
      <c r="C135" s="278" t="s">
        <v>122</v>
      </c>
      <c r="D135" s="278"/>
      <c r="E135" s="509">
        <v>16.4071</v>
      </c>
      <c r="F135" s="405">
        <f>IFERROR(E135*'01 Prod Physique Boites'!H133,"-")</f>
        <v>0</v>
      </c>
      <c r="G135" s="406">
        <f>IFERROR(E135*'01 Prod Physique Boites'!L133,"-")</f>
        <v>0</v>
      </c>
      <c r="H135" s="388">
        <v>0</v>
      </c>
      <c r="I135" s="424">
        <f t="shared" si="76"/>
        <v>0</v>
      </c>
      <c r="J135" s="425">
        <f t="shared" si="77"/>
        <v>0</v>
      </c>
    </row>
    <row r="136" spans="1:10" ht="23.4" x14ac:dyDescent="0.3">
      <c r="A136" s="277" t="s">
        <v>110</v>
      </c>
      <c r="B136" s="957"/>
      <c r="C136" s="278" t="s">
        <v>129</v>
      </c>
      <c r="D136" s="278"/>
      <c r="E136" s="509">
        <v>17.8202</v>
      </c>
      <c r="F136" s="405">
        <f>IFERROR(E136*'01 Prod Physique Boites'!H134,"-")</f>
        <v>0</v>
      </c>
      <c r="G136" s="406">
        <f>IFERROR(E136*'01 Prod Physique Boites'!L134,"-")</f>
        <v>0</v>
      </c>
      <c r="H136" s="388">
        <v>0</v>
      </c>
      <c r="I136" s="424">
        <f t="shared" si="76"/>
        <v>0</v>
      </c>
      <c r="J136" s="425">
        <f>IFERROR(H136*(G136/E136),"-")</f>
        <v>0</v>
      </c>
    </row>
    <row r="137" spans="1:10" ht="23.4" x14ac:dyDescent="0.3">
      <c r="A137" s="277" t="s">
        <v>110</v>
      </c>
      <c r="B137" s="957"/>
      <c r="C137" s="278" t="s">
        <v>189</v>
      </c>
      <c r="D137" s="278" t="s">
        <v>190</v>
      </c>
      <c r="E137" s="509">
        <v>17.8202</v>
      </c>
      <c r="F137" s="405">
        <f>IFERROR(E137*'01 Prod Physique Boites'!H135,"-")</f>
        <v>0</v>
      </c>
      <c r="G137" s="406">
        <f>IFERROR(E137*'01 Prod Physique Boites'!L135,"-")</f>
        <v>0</v>
      </c>
      <c r="H137" s="388">
        <v>0</v>
      </c>
      <c r="I137" s="424">
        <f t="shared" si="76"/>
        <v>0</v>
      </c>
      <c r="J137" s="425">
        <f t="shared" ref="J137:J139" si="78">IFERROR(H137*(G137/E137),"-")</f>
        <v>0</v>
      </c>
    </row>
    <row r="138" spans="1:10" ht="23.4" x14ac:dyDescent="0.3">
      <c r="A138" s="277" t="s">
        <v>110</v>
      </c>
      <c r="B138" s="957"/>
      <c r="C138" s="278" t="s">
        <v>192</v>
      </c>
      <c r="D138" s="278" t="s">
        <v>191</v>
      </c>
      <c r="E138" s="509">
        <v>16.7288</v>
      </c>
      <c r="F138" s="405">
        <f>IFERROR(E138*'01 Prod Physique Boites'!H136,"-")</f>
        <v>0</v>
      </c>
      <c r="G138" s="406">
        <f>IFERROR(E138*'01 Prod Physique Boites'!L136,"-")</f>
        <v>0</v>
      </c>
      <c r="H138" s="388">
        <v>0</v>
      </c>
      <c r="I138" s="424">
        <f t="shared" si="76"/>
        <v>0</v>
      </c>
      <c r="J138" s="425">
        <f t="shared" si="78"/>
        <v>0</v>
      </c>
    </row>
    <row r="139" spans="1:10" ht="24" thickBot="1" x14ac:dyDescent="0.35">
      <c r="A139" s="277" t="s">
        <v>110</v>
      </c>
      <c r="B139" s="958"/>
      <c r="C139" s="289" t="s">
        <v>193</v>
      </c>
      <c r="D139" s="289" t="s">
        <v>114</v>
      </c>
      <c r="E139" s="505">
        <v>17.8202</v>
      </c>
      <c r="F139" s="405">
        <f>IFERROR(E139*'01 Prod Physique Boites'!H137,"-")</f>
        <v>0</v>
      </c>
      <c r="G139" s="406">
        <f>IFERROR(E139*'01 Prod Physique Boites'!L137,"-")</f>
        <v>0</v>
      </c>
      <c r="H139" s="388">
        <v>0</v>
      </c>
      <c r="I139" s="426">
        <f t="shared" si="76"/>
        <v>0</v>
      </c>
      <c r="J139" s="427">
        <f t="shared" si="78"/>
        <v>0</v>
      </c>
    </row>
    <row r="140" spans="1:10" ht="24" thickBot="1" x14ac:dyDescent="0.35">
      <c r="A140" s="277" t="s">
        <v>110</v>
      </c>
      <c r="B140" s="967" t="s">
        <v>29</v>
      </c>
      <c r="C140" s="968"/>
      <c r="D140" s="969"/>
      <c r="E140" s="660"/>
      <c r="F140" s="661">
        <f t="shared" ref="F140:G140" si="79">SUM(F133:F139)</f>
        <v>0</v>
      </c>
      <c r="G140" s="410">
        <f t="shared" si="79"/>
        <v>0</v>
      </c>
      <c r="H140" s="394"/>
      <c r="I140" s="409">
        <f t="shared" ref="I140:J140" si="80">SUM(I133:I139)</f>
        <v>0</v>
      </c>
      <c r="J140" s="428">
        <f t="shared" si="80"/>
        <v>0</v>
      </c>
    </row>
    <row r="141" spans="1:10" ht="23.4" x14ac:dyDescent="0.3">
      <c r="A141" s="277"/>
      <c r="B141" s="985" t="s">
        <v>19</v>
      </c>
      <c r="C141" s="662" t="s">
        <v>255</v>
      </c>
      <c r="D141" s="668" t="s">
        <v>190</v>
      </c>
      <c r="E141" s="669">
        <v>12.2659</v>
      </c>
      <c r="F141" s="670">
        <f>IFERROR(E141*'01 Prod Physique Boites'!H139,"-")</f>
        <v>0</v>
      </c>
      <c r="G141" s="671">
        <f>IFERROR(E141*'01 Prod Physique Boites'!L139,"-")</f>
        <v>0</v>
      </c>
      <c r="H141" s="665">
        <v>14.79</v>
      </c>
      <c r="I141" s="650">
        <f t="shared" ref="I141:I143" si="81">IFERROR(H141*(F141/E141),"-")</f>
        <v>0</v>
      </c>
      <c r="J141" s="650">
        <f>IFERROR(H141*(G141/E141),"-")</f>
        <v>0</v>
      </c>
    </row>
    <row r="142" spans="1:10" ht="23.4" x14ac:dyDescent="0.3">
      <c r="A142" s="277"/>
      <c r="B142" s="986"/>
      <c r="C142" s="663" t="s">
        <v>399</v>
      </c>
      <c r="D142" s="672"/>
      <c r="E142" s="654">
        <v>12.2659</v>
      </c>
      <c r="F142" s="655">
        <f>IFERROR(E142*'01 Prod Physique Boites'!H140,"-")</f>
        <v>0</v>
      </c>
      <c r="G142" s="645">
        <f>IFERROR(E142*'01 Prod Physique Boites'!L140,"-")</f>
        <v>103622.3232</v>
      </c>
      <c r="H142" s="666">
        <v>14.55</v>
      </c>
      <c r="I142" s="655">
        <f t="shared" si="81"/>
        <v>0</v>
      </c>
      <c r="J142" s="655">
        <f>IFERROR(H142*(G142/E142),"-")</f>
        <v>122918.40000000001</v>
      </c>
    </row>
    <row r="143" spans="1:10" ht="24" thickBot="1" x14ac:dyDescent="0.35">
      <c r="A143" s="709" t="s">
        <v>110</v>
      </c>
      <c r="B143" s="987"/>
      <c r="C143" s="664" t="s">
        <v>380</v>
      </c>
      <c r="D143" s="673"/>
      <c r="E143" s="674">
        <v>0</v>
      </c>
      <c r="F143" s="675">
        <f>IFERROR(E143*'01 Prod Physique Boites'!H141,"-")</f>
        <v>0</v>
      </c>
      <c r="G143" s="676">
        <f>IFERROR(E143*'01 Prod Physique Boites'!L141,"-")</f>
        <v>0</v>
      </c>
      <c r="H143" s="667">
        <v>0</v>
      </c>
      <c r="I143" s="429" t="str">
        <f t="shared" si="81"/>
        <v>-</v>
      </c>
      <c r="J143" s="430" t="str">
        <f t="shared" ref="J143" si="82">IFERROR(I143*(G143/F143),"-")</f>
        <v>-</v>
      </c>
    </row>
    <row r="144" spans="1:10" ht="24" thickBot="1" x14ac:dyDescent="0.35">
      <c r="A144" s="277" t="s">
        <v>110</v>
      </c>
      <c r="B144" s="967" t="s">
        <v>49</v>
      </c>
      <c r="C144" s="968"/>
      <c r="D144" s="969"/>
      <c r="E144" s="393"/>
      <c r="F144" s="409">
        <f>SUM(F141:F143)</f>
        <v>0</v>
      </c>
      <c r="G144" s="409">
        <f>SUM(G141:G143)</f>
        <v>103622.3232</v>
      </c>
      <c r="H144" s="394"/>
      <c r="I144" s="409">
        <f t="shared" ref="I144" si="83">SUM(I143)</f>
        <v>0</v>
      </c>
      <c r="J144" s="428">
        <f>SUM(J141:J143)</f>
        <v>122918.40000000001</v>
      </c>
    </row>
    <row r="145" spans="1:10" ht="23.4" x14ac:dyDescent="0.3">
      <c r="A145" s="277" t="s">
        <v>110</v>
      </c>
      <c r="B145" s="956" t="s">
        <v>20</v>
      </c>
      <c r="C145" s="294" t="s">
        <v>351</v>
      </c>
      <c r="D145" s="294" t="s">
        <v>313</v>
      </c>
      <c r="E145" s="508">
        <v>26.032900000000001</v>
      </c>
      <c r="F145" s="405">
        <f>IFERROR(E145*'01 Prod Physique Boites'!H143,"-")</f>
        <v>0</v>
      </c>
      <c r="G145" s="406">
        <f>IFERROR(E145*'01 Prod Physique Boites'!L143,"-")</f>
        <v>0</v>
      </c>
      <c r="H145" s="384">
        <v>36.44</v>
      </c>
      <c r="I145" s="422">
        <f>IFERROR(H145*(F145/E145),"-")</f>
        <v>0</v>
      </c>
      <c r="J145" s="423">
        <f t="shared" ref="J145:J147" si="84">IFERROR(H145*(G145/E145),"-")</f>
        <v>0</v>
      </c>
    </row>
    <row r="146" spans="1:10" ht="23.4" x14ac:dyDescent="0.3">
      <c r="A146" s="277" t="s">
        <v>110</v>
      </c>
      <c r="B146" s="957"/>
      <c r="C146" s="295" t="s">
        <v>121</v>
      </c>
      <c r="D146" s="295"/>
      <c r="E146" s="387">
        <v>24.2607</v>
      </c>
      <c r="F146" s="405">
        <f>IFERROR(E146*'01 Prod Physique Boites'!H144,"-")</f>
        <v>0</v>
      </c>
      <c r="G146" s="406">
        <f>IFERROR(E146*'01 Prod Physique Boites'!L144,"-")</f>
        <v>0</v>
      </c>
      <c r="H146" s="388">
        <v>37.369999999999997</v>
      </c>
      <c r="I146" s="424">
        <f>IFERROR(H146*(F146/E146),"-")</f>
        <v>0</v>
      </c>
      <c r="J146" s="425">
        <f t="shared" si="84"/>
        <v>0</v>
      </c>
    </row>
    <row r="147" spans="1:10" ht="24" thickBot="1" x14ac:dyDescent="0.35">
      <c r="A147" s="277" t="s">
        <v>110</v>
      </c>
      <c r="B147" s="958"/>
      <c r="C147" s="296" t="s">
        <v>127</v>
      </c>
      <c r="D147" s="296"/>
      <c r="E147" s="389">
        <v>26.035799999999998</v>
      </c>
      <c r="F147" s="405">
        <f>IFERROR(E147*'01 Prod Physique Boites'!H145,"-")</f>
        <v>0</v>
      </c>
      <c r="G147" s="406">
        <f>IFERROR(E147*'01 Prod Physique Boites'!L145,"-")</f>
        <v>0</v>
      </c>
      <c r="H147" s="390">
        <v>37.11</v>
      </c>
      <c r="I147" s="426">
        <f>IFERROR(H147*(F147/E147),"-")</f>
        <v>0</v>
      </c>
      <c r="J147" s="427">
        <f t="shared" si="84"/>
        <v>0</v>
      </c>
    </row>
    <row r="148" spans="1:10" ht="24" thickBot="1" x14ac:dyDescent="0.35">
      <c r="A148" s="277" t="s">
        <v>110</v>
      </c>
      <c r="B148" s="968" t="s">
        <v>50</v>
      </c>
      <c r="C148" s="968"/>
      <c r="D148" s="989"/>
      <c r="E148" s="393"/>
      <c r="F148" s="409">
        <f t="shared" ref="F148:G148" si="85">SUM(F145:F147)</f>
        <v>0</v>
      </c>
      <c r="G148" s="410">
        <f t="shared" si="85"/>
        <v>0</v>
      </c>
      <c r="H148" s="394"/>
      <c r="I148" s="409">
        <f t="shared" ref="I148:J148" si="86">SUM(I145:I147)</f>
        <v>0</v>
      </c>
      <c r="J148" s="428">
        <f t="shared" si="86"/>
        <v>0</v>
      </c>
    </row>
    <row r="149" spans="1:10" ht="24" thickBot="1" x14ac:dyDescent="0.35">
      <c r="A149" s="277" t="s">
        <v>110</v>
      </c>
      <c r="B149" s="981" t="s">
        <v>21</v>
      </c>
      <c r="C149" s="982"/>
      <c r="D149" s="983"/>
      <c r="E149" s="396"/>
      <c r="F149" s="413">
        <f>+F124+F132+F140+F144+F148</f>
        <v>2339817.352</v>
      </c>
      <c r="G149" s="414">
        <f>+G124+G132+G140+G144+G148</f>
        <v>4260531.9352000002</v>
      </c>
      <c r="H149" s="397"/>
      <c r="I149" s="413">
        <f>+I124+I132+I140+I144+I148</f>
        <v>3603857.6</v>
      </c>
      <c r="J149" s="431">
        <f>+J124+J132+J140+J144+J148</f>
        <v>6616517.5999999996</v>
      </c>
    </row>
    <row r="150" spans="1:10" ht="23.4" x14ac:dyDescent="0.3">
      <c r="A150" s="277" t="s">
        <v>110</v>
      </c>
      <c r="B150" s="956" t="s">
        <v>22</v>
      </c>
      <c r="C150" s="272" t="s">
        <v>132</v>
      </c>
      <c r="D150" s="272"/>
      <c r="E150" s="383">
        <v>22.820599999999999</v>
      </c>
      <c r="F150" s="405">
        <f>IFERROR(E150*'01 Prod Physique Boites'!H148,"-")</f>
        <v>0</v>
      </c>
      <c r="G150" s="406">
        <f>IFERROR(E150*'01 Prod Physique Boites'!L148,"-")</f>
        <v>0</v>
      </c>
      <c r="H150" s="384">
        <v>27.5</v>
      </c>
      <c r="I150" s="422">
        <f>IFERROR(H150*(F150/E150),"-")</f>
        <v>0</v>
      </c>
      <c r="J150" s="423">
        <f t="shared" ref="J150:J153" si="87">IFERROR(H150*(G150/E150),"-")</f>
        <v>0</v>
      </c>
    </row>
    <row r="151" spans="1:10" ht="23.4" x14ac:dyDescent="0.3">
      <c r="A151" s="277" t="s">
        <v>110</v>
      </c>
      <c r="B151" s="957"/>
      <c r="C151" s="298" t="s">
        <v>283</v>
      </c>
      <c r="D151" s="298" t="s">
        <v>194</v>
      </c>
      <c r="E151" s="387">
        <v>23.570699999999999</v>
      </c>
      <c r="F151" s="405">
        <f>IFERROR(E151*'01 Prod Physique Boites'!H149,"-")</f>
        <v>0</v>
      </c>
      <c r="G151" s="406">
        <f>IFERROR(E151*'01 Prod Physique Boites'!L149,"-")</f>
        <v>0</v>
      </c>
      <c r="H151" s="388">
        <v>27.5</v>
      </c>
      <c r="I151" s="424">
        <f>IFERROR(H151*(F151/E151),"-")</f>
        <v>0</v>
      </c>
      <c r="J151" s="425">
        <f t="shared" si="87"/>
        <v>0</v>
      </c>
    </row>
    <row r="152" spans="1:10" ht="23.4" x14ac:dyDescent="0.3">
      <c r="A152" s="277" t="s">
        <v>110</v>
      </c>
      <c r="B152" s="957"/>
      <c r="C152" s="298" t="s">
        <v>405</v>
      </c>
      <c r="D152" s="298" t="s">
        <v>194</v>
      </c>
      <c r="E152" s="387">
        <v>22.820599999999999</v>
      </c>
      <c r="F152" s="405">
        <f>IFERROR(E152*'01 Prod Physique Boites'!H150,"-")</f>
        <v>3479228.676</v>
      </c>
      <c r="G152" s="406">
        <f>IFERROR(E152*'01 Prod Physique Boites'!L150,"-")</f>
        <v>4563663.5879999995</v>
      </c>
      <c r="H152" s="388">
        <v>27.5</v>
      </c>
      <c r="I152" s="424">
        <f>IFERROR(H152*(F152/E152),"-")</f>
        <v>4192650</v>
      </c>
      <c r="J152" s="425">
        <f t="shared" si="87"/>
        <v>5499450</v>
      </c>
    </row>
    <row r="153" spans="1:10" ht="24" thickBot="1" x14ac:dyDescent="0.35">
      <c r="A153" s="277" t="s">
        <v>110</v>
      </c>
      <c r="B153" s="958"/>
      <c r="C153" s="282" t="s">
        <v>195</v>
      </c>
      <c r="D153" s="282" t="s">
        <v>100</v>
      </c>
      <c r="E153" s="389">
        <v>23.5685</v>
      </c>
      <c r="F153" s="405">
        <f>IFERROR(E153*'01 Prod Physique Boites'!H151,"-")</f>
        <v>0</v>
      </c>
      <c r="G153" s="406">
        <f>IFERROR(E153*'01 Prod Physique Boites'!L151,"-")</f>
        <v>0</v>
      </c>
      <c r="H153" s="390">
        <v>24</v>
      </c>
      <c r="I153" s="426">
        <f>IFERROR(H153*(F153/E153),"-")</f>
        <v>0</v>
      </c>
      <c r="J153" s="427">
        <f t="shared" si="87"/>
        <v>0</v>
      </c>
    </row>
    <row r="154" spans="1:10" ht="24" thickBot="1" x14ac:dyDescent="0.35">
      <c r="A154" s="277" t="s">
        <v>110</v>
      </c>
      <c r="B154" s="967" t="s">
        <v>51</v>
      </c>
      <c r="C154" s="968"/>
      <c r="D154" s="969"/>
      <c r="E154" s="393"/>
      <c r="F154" s="409">
        <f t="shared" ref="F154:G154" si="88">SUM(F150:F153)</f>
        <v>3479228.676</v>
      </c>
      <c r="G154" s="410">
        <f t="shared" si="88"/>
        <v>4563663.5879999995</v>
      </c>
      <c r="H154" s="394"/>
      <c r="I154" s="409">
        <f t="shared" ref="I154:J154" si="89">SUM(I150:I153)</f>
        <v>4192650</v>
      </c>
      <c r="J154" s="428">
        <f t="shared" si="89"/>
        <v>5499450</v>
      </c>
    </row>
    <row r="155" spans="1:10" ht="23.4" x14ac:dyDescent="0.3">
      <c r="A155" s="277" t="s">
        <v>110</v>
      </c>
      <c r="B155" s="956" t="s">
        <v>23</v>
      </c>
      <c r="C155" s="299" t="s">
        <v>337</v>
      </c>
      <c r="D155" s="299" t="s">
        <v>258</v>
      </c>
      <c r="E155" s="383">
        <v>101.4935</v>
      </c>
      <c r="F155" s="405">
        <f>IFERROR(E155*'01 Prod Physique Boites'!H153,"-")</f>
        <v>0</v>
      </c>
      <c r="G155" s="406">
        <f>IFERROR(E155*'01 Prod Physique Boites'!L153,"-")</f>
        <v>0</v>
      </c>
      <c r="H155" s="388">
        <v>160.44999999999999</v>
      </c>
      <c r="I155" s="422">
        <f t="shared" ref="I155:I162" si="90">IFERROR(H155*(F155/E155),"-")</f>
        <v>0</v>
      </c>
      <c r="J155" s="423">
        <f t="shared" ref="J155:J162" si="91">IFERROR(H155*(G155/E155),"-")</f>
        <v>0</v>
      </c>
    </row>
    <row r="156" spans="1:10" ht="23.4" x14ac:dyDescent="0.3">
      <c r="A156" s="277" t="s">
        <v>110</v>
      </c>
      <c r="B156" s="957"/>
      <c r="C156" s="278" t="s">
        <v>24</v>
      </c>
      <c r="D156" s="278" t="s">
        <v>258</v>
      </c>
      <c r="E156" s="387">
        <v>101.4935</v>
      </c>
      <c r="F156" s="405">
        <f>IFERROR(E156*'01 Prod Physique Boites'!H154,"-")</f>
        <v>0</v>
      </c>
      <c r="G156" s="406">
        <f>IFERROR(E156*'01 Prod Physique Boites'!L154,"-")</f>
        <v>0</v>
      </c>
      <c r="H156" s="388">
        <v>160.44999999999999</v>
      </c>
      <c r="I156" s="424">
        <f t="shared" si="90"/>
        <v>0</v>
      </c>
      <c r="J156" s="425">
        <f t="shared" si="91"/>
        <v>0</v>
      </c>
    </row>
    <row r="157" spans="1:10" ht="23.4" x14ac:dyDescent="0.3">
      <c r="A157" s="277" t="s">
        <v>110</v>
      </c>
      <c r="B157" s="957"/>
      <c r="C157" s="278" t="s">
        <v>256</v>
      </c>
      <c r="D157" s="278" t="s">
        <v>258</v>
      </c>
      <c r="E157" s="387">
        <v>101.4935</v>
      </c>
      <c r="F157" s="405">
        <f>IFERROR(E157*'01 Prod Physique Boites'!H155,"-")</f>
        <v>0</v>
      </c>
      <c r="G157" s="406">
        <f>IFERROR(E157*'01 Prod Physique Boites'!L155,"-")</f>
        <v>0</v>
      </c>
      <c r="H157" s="388">
        <v>160.44999999999999</v>
      </c>
      <c r="I157" s="424">
        <f t="shared" si="90"/>
        <v>0</v>
      </c>
      <c r="J157" s="425">
        <f t="shared" si="91"/>
        <v>0</v>
      </c>
    </row>
    <row r="158" spans="1:10" ht="23.4" x14ac:dyDescent="0.3">
      <c r="A158" s="277" t="s">
        <v>110</v>
      </c>
      <c r="B158" s="957"/>
      <c r="C158" s="278" t="s">
        <v>257</v>
      </c>
      <c r="D158" s="278" t="s">
        <v>258</v>
      </c>
      <c r="E158" s="387">
        <v>101.4935</v>
      </c>
      <c r="F158" s="405">
        <f>IFERROR(E158*'01 Prod Physique Boites'!H156,"-")</f>
        <v>0</v>
      </c>
      <c r="G158" s="406">
        <f>IFERROR(E158*'01 Prod Physique Boites'!L156,"-")</f>
        <v>0</v>
      </c>
      <c r="H158" s="388">
        <v>160.44999999999999</v>
      </c>
      <c r="I158" s="424">
        <f t="shared" si="90"/>
        <v>0</v>
      </c>
      <c r="J158" s="425">
        <f t="shared" si="91"/>
        <v>0</v>
      </c>
    </row>
    <row r="159" spans="1:10" ht="23.4" x14ac:dyDescent="0.3">
      <c r="A159" s="277" t="s">
        <v>110</v>
      </c>
      <c r="B159" s="957"/>
      <c r="C159" s="298" t="s">
        <v>259</v>
      </c>
      <c r="D159" s="278" t="s">
        <v>258</v>
      </c>
      <c r="E159" s="387">
        <v>101.4935</v>
      </c>
      <c r="F159" s="405">
        <f>IFERROR(E159*'01 Prod Physique Boites'!H157,"-")</f>
        <v>0</v>
      </c>
      <c r="G159" s="406">
        <f>IFERROR(E159*'01 Prod Physique Boites'!L157,"-")</f>
        <v>0</v>
      </c>
      <c r="H159" s="388">
        <v>160.44999999999999</v>
      </c>
      <c r="I159" s="424">
        <f t="shared" si="90"/>
        <v>0</v>
      </c>
      <c r="J159" s="425">
        <f t="shared" si="91"/>
        <v>0</v>
      </c>
    </row>
    <row r="160" spans="1:10" ht="23.4" x14ac:dyDescent="0.3">
      <c r="A160" s="277" t="s">
        <v>110</v>
      </c>
      <c r="B160" s="957"/>
      <c r="C160" s="298" t="s">
        <v>260</v>
      </c>
      <c r="D160" s="278" t="s">
        <v>258</v>
      </c>
      <c r="E160" s="387">
        <v>101.4935</v>
      </c>
      <c r="F160" s="405">
        <f>IFERROR(E160*'01 Prod Physique Boites'!H158,"-")</f>
        <v>0</v>
      </c>
      <c r="G160" s="406">
        <f>IFERROR(E160*'01 Prod Physique Boites'!L158,"-")</f>
        <v>0</v>
      </c>
      <c r="H160" s="388">
        <v>160.44999999999999</v>
      </c>
      <c r="I160" s="424">
        <f t="shared" si="90"/>
        <v>0</v>
      </c>
      <c r="J160" s="425">
        <f t="shared" si="91"/>
        <v>0</v>
      </c>
    </row>
    <row r="161" spans="1:10" ht="23.4" x14ac:dyDescent="0.3">
      <c r="A161" s="277" t="s">
        <v>110</v>
      </c>
      <c r="B161" s="957"/>
      <c r="C161" s="298" t="s">
        <v>261</v>
      </c>
      <c r="D161" s="278" t="s">
        <v>263</v>
      </c>
      <c r="E161" s="387">
        <v>101.4935</v>
      </c>
      <c r="F161" s="405">
        <f>IFERROR(E161*'01 Prod Physique Boites'!H159,"-")</f>
        <v>0</v>
      </c>
      <c r="G161" s="406">
        <f>IFERROR(E161*'01 Prod Physique Boites'!L159,"-")</f>
        <v>0</v>
      </c>
      <c r="H161" s="388">
        <v>160.44999999999999</v>
      </c>
      <c r="I161" s="424">
        <f t="shared" si="90"/>
        <v>0</v>
      </c>
      <c r="J161" s="425">
        <f t="shared" si="91"/>
        <v>0</v>
      </c>
    </row>
    <row r="162" spans="1:10" ht="24" thickBot="1" x14ac:dyDescent="0.35">
      <c r="A162" s="277" t="s">
        <v>110</v>
      </c>
      <c r="B162" s="958"/>
      <c r="C162" s="298" t="s">
        <v>262</v>
      </c>
      <c r="D162" s="278" t="s">
        <v>258</v>
      </c>
      <c r="E162" s="389">
        <v>101.4935</v>
      </c>
      <c r="F162" s="405">
        <f>IFERROR(E162*'01 Prod Physique Boites'!H160,"-")</f>
        <v>0</v>
      </c>
      <c r="G162" s="406">
        <f>IFERROR(E162*'01 Prod Physique Boites'!L160,"-")</f>
        <v>0</v>
      </c>
      <c r="H162" s="388">
        <v>160.44999999999999</v>
      </c>
      <c r="I162" s="426">
        <f t="shared" si="90"/>
        <v>0</v>
      </c>
      <c r="J162" s="427">
        <f t="shared" si="91"/>
        <v>0</v>
      </c>
    </row>
    <row r="163" spans="1:10" ht="24" thickBot="1" x14ac:dyDescent="0.35">
      <c r="A163" s="277" t="s">
        <v>110</v>
      </c>
      <c r="B163" s="967" t="s">
        <v>52</v>
      </c>
      <c r="C163" s="968"/>
      <c r="D163" s="969"/>
      <c r="E163" s="393"/>
      <c r="F163" s="409">
        <f t="shared" ref="F163" si="92">SUM(F155:F162)</f>
        <v>0</v>
      </c>
      <c r="G163" s="410">
        <f>SUM(G155:G162)</f>
        <v>0</v>
      </c>
      <c r="H163" s="394"/>
      <c r="I163" s="409">
        <f t="shared" ref="I163" si="93">SUM(I155:I162)</f>
        <v>0</v>
      </c>
      <c r="J163" s="428">
        <f>SUM(J155:J162)</f>
        <v>0</v>
      </c>
    </row>
    <row r="164" spans="1:10" ht="24" thickBot="1" x14ac:dyDescent="0.35">
      <c r="A164" s="277" t="s">
        <v>110</v>
      </c>
      <c r="B164" s="981" t="s">
        <v>25</v>
      </c>
      <c r="C164" s="982"/>
      <c r="D164" s="983"/>
      <c r="E164" s="396"/>
      <c r="F164" s="413">
        <f t="shared" ref="F164" si="94">+F154+F163</f>
        <v>3479228.676</v>
      </c>
      <c r="G164" s="414">
        <f>+G154+G163</f>
        <v>4563663.5879999995</v>
      </c>
      <c r="H164" s="397"/>
      <c r="I164" s="413">
        <f t="shared" ref="I164:J164" si="95">+I154+I163</f>
        <v>4192650</v>
      </c>
      <c r="J164" s="431">
        <f t="shared" si="95"/>
        <v>5499450</v>
      </c>
    </row>
    <row r="165" spans="1:10" ht="24" thickBot="1" x14ac:dyDescent="0.35">
      <c r="A165" s="277" t="s">
        <v>110</v>
      </c>
      <c r="B165" s="984" t="s">
        <v>180</v>
      </c>
      <c r="C165" s="962"/>
      <c r="D165" s="963"/>
      <c r="E165" s="398"/>
      <c r="F165" s="415">
        <f t="shared" ref="F165" si="96">+F149+F164</f>
        <v>5819046.0279999999</v>
      </c>
      <c r="G165" s="416">
        <f>+G149+G164</f>
        <v>8824195.5231999997</v>
      </c>
      <c r="H165" s="399"/>
      <c r="I165" s="415">
        <f t="shared" ref="I165:J165" si="97">+I149+I164</f>
        <v>7796507.5999999996</v>
      </c>
      <c r="J165" s="432">
        <f t="shared" si="97"/>
        <v>12115967.6</v>
      </c>
    </row>
    <row r="166" spans="1:10" ht="23.4" x14ac:dyDescent="0.3">
      <c r="A166" s="271" t="s">
        <v>108</v>
      </c>
      <c r="B166" s="977" t="s">
        <v>26</v>
      </c>
      <c r="C166" s="300" t="s">
        <v>323</v>
      </c>
      <c r="D166" s="302" t="s">
        <v>190</v>
      </c>
      <c r="E166" s="508">
        <v>13.1272</v>
      </c>
      <c r="F166" s="405">
        <f>IFERROR(E166*'01 Prod Physique Boites'!H164,"-")</f>
        <v>0</v>
      </c>
      <c r="G166" s="406">
        <f>IFERROR(E166*'01 Prod Physique Boites'!L164,"-")</f>
        <v>0</v>
      </c>
      <c r="H166" s="384">
        <v>20.76</v>
      </c>
      <c r="I166" s="422">
        <f t="shared" ref="I166:I174" si="98">IFERROR(H166*(F166/E166),"-")</f>
        <v>0</v>
      </c>
      <c r="J166" s="644">
        <f t="shared" ref="J166:J174" si="99">IFERROR(H166*(G166/E166),"-")</f>
        <v>0</v>
      </c>
    </row>
    <row r="167" spans="1:10" ht="23.4" x14ac:dyDescent="0.3">
      <c r="A167" s="277" t="s">
        <v>108</v>
      </c>
      <c r="B167" s="977"/>
      <c r="C167" s="301" t="s">
        <v>196</v>
      </c>
      <c r="D167" s="301" t="s">
        <v>114</v>
      </c>
      <c r="E167" s="509">
        <v>14.608000000000001</v>
      </c>
      <c r="F167" s="405">
        <f>IFERROR(E167*'01 Prod Physique Boites'!H165,"-")</f>
        <v>0</v>
      </c>
      <c r="G167" s="406">
        <f>IFERROR(E167*'01 Prod Physique Boites'!L165,"-")</f>
        <v>0</v>
      </c>
      <c r="H167" s="388">
        <v>24.93</v>
      </c>
      <c r="I167" s="424">
        <f t="shared" si="98"/>
        <v>0</v>
      </c>
      <c r="J167" s="645">
        <f t="shared" si="99"/>
        <v>0</v>
      </c>
    </row>
    <row r="168" spans="1:10" ht="23.4" x14ac:dyDescent="0.3">
      <c r="A168" s="277" t="s">
        <v>108</v>
      </c>
      <c r="B168" s="977"/>
      <c r="C168" s="302" t="s">
        <v>27</v>
      </c>
      <c r="D168" s="302" t="s">
        <v>370</v>
      </c>
      <c r="E168" s="505">
        <v>17.8202</v>
      </c>
      <c r="F168" s="405">
        <f>IFERROR(E168*'01 Prod Physique Boites'!H166,"-")</f>
        <v>0</v>
      </c>
      <c r="G168" s="406">
        <f>IFERROR(E168*'01 Prod Physique Boites'!L166,"-")</f>
        <v>0</v>
      </c>
      <c r="H168" s="388">
        <v>21.22</v>
      </c>
      <c r="I168" s="424">
        <f t="shared" si="98"/>
        <v>0</v>
      </c>
      <c r="J168" s="645">
        <f t="shared" si="99"/>
        <v>0</v>
      </c>
    </row>
    <row r="169" spans="1:10" ht="23.4" x14ac:dyDescent="0.3">
      <c r="A169" s="277" t="s">
        <v>108</v>
      </c>
      <c r="B169" s="977"/>
      <c r="C169" s="302" t="s">
        <v>27</v>
      </c>
      <c r="D169" s="302" t="s">
        <v>254</v>
      </c>
      <c r="E169" s="505">
        <v>17.8202</v>
      </c>
      <c r="F169" s="405">
        <f>IFERROR(E169*'01 Prod Physique Boites'!H167,"-")</f>
        <v>0</v>
      </c>
      <c r="G169" s="406">
        <f>IFERROR(E169*'01 Prod Physique Boites'!L167,"-")</f>
        <v>0</v>
      </c>
      <c r="H169" s="388">
        <v>24.93</v>
      </c>
      <c r="I169" s="424">
        <f t="shared" si="98"/>
        <v>0</v>
      </c>
      <c r="J169" s="645">
        <f t="shared" si="99"/>
        <v>0</v>
      </c>
    </row>
    <row r="170" spans="1:10" ht="23.4" x14ac:dyDescent="0.3">
      <c r="A170" s="277" t="s">
        <v>108</v>
      </c>
      <c r="B170" s="977"/>
      <c r="C170" s="302" t="s">
        <v>27</v>
      </c>
      <c r="D170" s="302" t="s">
        <v>302</v>
      </c>
      <c r="E170" s="505">
        <v>17.8202</v>
      </c>
      <c r="F170" s="405">
        <f>IFERROR(E170*'01 Prod Physique Boites'!H168,"-")</f>
        <v>0</v>
      </c>
      <c r="G170" s="406">
        <f>IFERROR(E170*'01 Prod Physique Boites'!L168,"-")</f>
        <v>0</v>
      </c>
      <c r="H170" s="388">
        <v>24.93</v>
      </c>
      <c r="I170" s="424">
        <f t="shared" si="98"/>
        <v>0</v>
      </c>
      <c r="J170" s="645">
        <f t="shared" si="99"/>
        <v>0</v>
      </c>
    </row>
    <row r="171" spans="1:10" ht="23.4" x14ac:dyDescent="0.3">
      <c r="A171" s="277"/>
      <c r="B171" s="977"/>
      <c r="C171" s="302" t="s">
        <v>369</v>
      </c>
      <c r="D171" s="302" t="s">
        <v>190</v>
      </c>
      <c r="E171" s="505">
        <v>17.8202</v>
      </c>
      <c r="F171" s="405">
        <f>IFERROR(E171*'01 Prod Physique Boites'!H169,"-")</f>
        <v>0</v>
      </c>
      <c r="G171" s="406">
        <f>IFERROR(E171*'01 Prod Physique Boites'!L169,"-")</f>
        <v>0</v>
      </c>
      <c r="H171" s="390">
        <v>21.22</v>
      </c>
      <c r="I171" s="424">
        <f t="shared" si="98"/>
        <v>0</v>
      </c>
      <c r="J171" s="646">
        <f t="shared" si="99"/>
        <v>0</v>
      </c>
    </row>
    <row r="172" spans="1:10" ht="23.4" x14ac:dyDescent="0.3">
      <c r="A172" s="277"/>
      <c r="B172" s="977"/>
      <c r="C172" s="302" t="s">
        <v>314</v>
      </c>
      <c r="D172" s="302" t="s">
        <v>101</v>
      </c>
      <c r="E172" s="505">
        <v>14.608000000000001</v>
      </c>
      <c r="F172" s="405">
        <f>IFERROR(E172*'01 Prod Physique Boites'!H170,"-")</f>
        <v>0</v>
      </c>
      <c r="G172" s="406">
        <f>IFERROR(E172*'01 Prod Physique Boites'!L170,"-")</f>
        <v>0</v>
      </c>
      <c r="H172" s="390">
        <v>24.93</v>
      </c>
      <c r="I172" s="426">
        <f t="shared" si="98"/>
        <v>0</v>
      </c>
      <c r="J172" s="646">
        <f t="shared" si="99"/>
        <v>0</v>
      </c>
    </row>
    <row r="173" spans="1:10" ht="23.4" x14ac:dyDescent="0.3">
      <c r="A173" s="277"/>
      <c r="B173" s="977"/>
      <c r="C173" s="302" t="s">
        <v>314</v>
      </c>
      <c r="D173" s="302" t="s">
        <v>370</v>
      </c>
      <c r="E173" s="505">
        <v>14.608000000000001</v>
      </c>
      <c r="F173" s="405">
        <f>IFERROR(E173*'01 Prod Physique Boites'!H171,"-")</f>
        <v>0</v>
      </c>
      <c r="G173" s="406">
        <f>IFERROR(E173*'01 Prod Physique Boites'!L171,"-")</f>
        <v>0</v>
      </c>
      <c r="H173" s="390">
        <v>21.22</v>
      </c>
      <c r="I173" s="426">
        <f t="shared" si="98"/>
        <v>0</v>
      </c>
      <c r="J173" s="646">
        <f t="shared" si="99"/>
        <v>0</v>
      </c>
    </row>
    <row r="174" spans="1:10" ht="24" thickBot="1" x14ac:dyDescent="0.35">
      <c r="A174" s="277" t="s">
        <v>108</v>
      </c>
      <c r="B174" s="977"/>
      <c r="C174" s="303" t="s">
        <v>315</v>
      </c>
      <c r="D174" s="302" t="s">
        <v>313</v>
      </c>
      <c r="E174" s="505">
        <v>12.6997</v>
      </c>
      <c r="F174" s="405">
        <f>IFERROR(E174*'01 Prod Physique Boites'!H172,"-")</f>
        <v>0</v>
      </c>
      <c r="G174" s="406">
        <f>IFERROR(E174*'01 Prod Physique Boites'!L172,"-")</f>
        <v>0</v>
      </c>
      <c r="H174" s="390">
        <v>13.25</v>
      </c>
      <c r="I174" s="426">
        <f t="shared" si="98"/>
        <v>0</v>
      </c>
      <c r="J174" s="646">
        <f t="shared" si="99"/>
        <v>0</v>
      </c>
    </row>
    <row r="175" spans="1:10" ht="24" thickBot="1" x14ac:dyDescent="0.35">
      <c r="A175" s="277" t="s">
        <v>108</v>
      </c>
      <c r="B175" s="990"/>
      <c r="C175" s="304"/>
      <c r="D175" s="305" t="s">
        <v>55</v>
      </c>
      <c r="E175" s="393"/>
      <c r="F175" s="409">
        <f>SUM(F166:F174)</f>
        <v>0</v>
      </c>
      <c r="G175" s="410">
        <f t="shared" ref="G175" si="100">SUM(G166:G174)</f>
        <v>0</v>
      </c>
      <c r="H175" s="394"/>
      <c r="I175" s="409">
        <f t="shared" ref="I175" si="101">SUM(I166:I174)</f>
        <v>0</v>
      </c>
      <c r="J175" s="428">
        <f>SUM(J166:J174)</f>
        <v>0</v>
      </c>
    </row>
    <row r="176" spans="1:10" ht="23.4" x14ac:dyDescent="0.3">
      <c r="A176" s="277" t="s">
        <v>108</v>
      </c>
      <c r="B176" s="976" t="s">
        <v>28</v>
      </c>
      <c r="C176" s="302" t="s">
        <v>27</v>
      </c>
      <c r="D176" s="300" t="s">
        <v>302</v>
      </c>
      <c r="E176" s="508">
        <v>17.8202</v>
      </c>
      <c r="F176" s="405">
        <f>IFERROR(E176*'01 Prod Physique Boites'!H174,"-")</f>
        <v>0</v>
      </c>
      <c r="G176" s="406">
        <f>IFERROR(E176*'01 Prod Physique Boites'!L174,"-")</f>
        <v>70888.755600000004</v>
      </c>
      <c r="H176" s="384">
        <v>24.93</v>
      </c>
      <c r="I176" s="422">
        <f>IFERROR(H176*(F176/E176),"-")</f>
        <v>0</v>
      </c>
      <c r="J176" s="644">
        <f t="shared" ref="J176:J178" si="102">IFERROR(H176*(G176/E176),"-")</f>
        <v>99171.540000000008</v>
      </c>
    </row>
    <row r="177" spans="1:10" ht="23.4" x14ac:dyDescent="0.3">
      <c r="A177" s="277" t="s">
        <v>108</v>
      </c>
      <c r="B177" s="977"/>
      <c r="C177" s="302" t="s">
        <v>27</v>
      </c>
      <c r="D177" s="302" t="s">
        <v>370</v>
      </c>
      <c r="E177" s="505">
        <v>17.8202</v>
      </c>
      <c r="F177" s="405">
        <f>IFERROR(E177*'01 Prod Physique Boites'!H175,"-")</f>
        <v>0</v>
      </c>
      <c r="G177" s="406">
        <f>IFERROR(E177*'01 Prod Physique Boites'!L175,"-")</f>
        <v>425332.53360000002</v>
      </c>
      <c r="H177" s="388">
        <v>21.22</v>
      </c>
      <c r="I177" s="424">
        <f>IFERROR(H177*(F177/E177),"-")</f>
        <v>0</v>
      </c>
      <c r="J177" s="645">
        <f t="shared" si="102"/>
        <v>506478.95999999996</v>
      </c>
    </row>
    <row r="178" spans="1:10" ht="24" thickBot="1" x14ac:dyDescent="0.35">
      <c r="A178" s="277" t="s">
        <v>108</v>
      </c>
      <c r="B178" s="977"/>
      <c r="C178" s="302" t="s">
        <v>27</v>
      </c>
      <c r="D178" s="303" t="s">
        <v>254</v>
      </c>
      <c r="E178" s="505">
        <v>17.8202</v>
      </c>
      <c r="F178" s="405">
        <f>IFERROR(E178*'01 Prod Physique Boites'!H176,"-")</f>
        <v>2481106.446</v>
      </c>
      <c r="G178" s="406">
        <f>IFERROR(E178*'01 Prod Physique Boites'!L176,"-")</f>
        <v>3473549.0244</v>
      </c>
      <c r="H178" s="388">
        <v>24.93</v>
      </c>
      <c r="I178" s="426">
        <f>IFERROR(H178*(F178/E178),"-")</f>
        <v>3471003.9</v>
      </c>
      <c r="J178" s="646">
        <f t="shared" si="102"/>
        <v>4859405.46</v>
      </c>
    </row>
    <row r="179" spans="1:10" ht="24" thickBot="1" x14ac:dyDescent="0.35">
      <c r="A179" s="277" t="s">
        <v>108</v>
      </c>
      <c r="B179" s="977"/>
      <c r="C179" s="307"/>
      <c r="D179" s="308" t="s">
        <v>55</v>
      </c>
      <c r="E179" s="400"/>
      <c r="F179" s="417">
        <f t="shared" ref="F179:G179" si="103">SUM(F176:F178)</f>
        <v>2481106.446</v>
      </c>
      <c r="G179" s="418">
        <f t="shared" si="103"/>
        <v>3969770.3136</v>
      </c>
      <c r="H179" s="401"/>
      <c r="I179" s="417">
        <f t="shared" ref="I179:J179" si="104">SUM(I176:I178)</f>
        <v>3471003.9</v>
      </c>
      <c r="J179" s="433">
        <f t="shared" si="104"/>
        <v>5465055.96</v>
      </c>
    </row>
    <row r="180" spans="1:10" ht="24" thickBot="1" x14ac:dyDescent="0.35">
      <c r="A180" s="709" t="s">
        <v>108</v>
      </c>
      <c r="B180" s="978" t="s">
        <v>170</v>
      </c>
      <c r="C180" s="979"/>
      <c r="D180" s="980"/>
      <c r="E180" s="402"/>
      <c r="F180" s="419">
        <f t="shared" ref="F180:G180" si="105">+F175+F179</f>
        <v>2481106.446</v>
      </c>
      <c r="G180" s="420">
        <f t="shared" si="105"/>
        <v>3969770.3136</v>
      </c>
      <c r="H180" s="403"/>
      <c r="I180" s="419">
        <f t="shared" ref="I180:J180" si="106">+I175+I179</f>
        <v>3471003.9</v>
      </c>
      <c r="J180" s="434">
        <f t="shared" si="106"/>
        <v>5465055.96</v>
      </c>
    </row>
    <row r="181" spans="1:10" ht="23.4" x14ac:dyDescent="0.3">
      <c r="A181" s="277" t="s">
        <v>108</v>
      </c>
      <c r="B181" s="977" t="s">
        <v>30</v>
      </c>
      <c r="C181" s="306" t="s">
        <v>356</v>
      </c>
      <c r="D181" s="300" t="s">
        <v>191</v>
      </c>
      <c r="E181" s="508">
        <v>15.2788</v>
      </c>
      <c r="F181" s="405">
        <f>IFERROR(E181*'01 Prod Physique Boites'!H179,"-")</f>
        <v>0</v>
      </c>
      <c r="G181" s="406">
        <f>IFERROR(E181*'01 Prod Physique Boites'!L179,"-")</f>
        <v>0</v>
      </c>
      <c r="H181" s="384">
        <v>23.65</v>
      </c>
      <c r="I181" s="422">
        <f>IFERROR(H181*(F181/E181),"-")</f>
        <v>0</v>
      </c>
      <c r="J181" s="423">
        <f t="shared" ref="J181:J183" si="107">IFERROR(H181*(G181/E181),"-")</f>
        <v>0</v>
      </c>
    </row>
    <row r="182" spans="1:10" ht="23.4" x14ac:dyDescent="0.3">
      <c r="A182" s="277" t="s">
        <v>108</v>
      </c>
      <c r="B182" s="977"/>
      <c r="C182" s="306" t="s">
        <v>349</v>
      </c>
      <c r="D182" s="306" t="s">
        <v>313</v>
      </c>
      <c r="E182" s="509">
        <v>22.6356</v>
      </c>
      <c r="F182" s="405">
        <f>IFERROR(E182*'01 Prod Physique Boites'!H180,"-")</f>
        <v>0</v>
      </c>
      <c r="G182" s="406">
        <f>IFERROR(E182*'01 Prod Physique Boites'!L180,"-")</f>
        <v>0</v>
      </c>
      <c r="H182" s="388">
        <v>34.26</v>
      </c>
      <c r="I182" s="424">
        <f>IFERROR(H182*(F182/E182),"-")</f>
        <v>0</v>
      </c>
      <c r="J182" s="425">
        <f t="shared" si="107"/>
        <v>0</v>
      </c>
    </row>
    <row r="183" spans="1:10" ht="24" thickBot="1" x14ac:dyDescent="0.35">
      <c r="A183" s="277" t="s">
        <v>108</v>
      </c>
      <c r="B183" s="977"/>
      <c r="C183" s="303" t="s">
        <v>316</v>
      </c>
      <c r="D183" s="303"/>
      <c r="E183" s="505">
        <v>25.751300000000001</v>
      </c>
      <c r="F183" s="405">
        <f>IFERROR(E183*'01 Prod Physique Boites'!H181,"-")</f>
        <v>144619.3008</v>
      </c>
      <c r="G183" s="406">
        <f>IFERROR(E183*'01 Prod Physique Boites'!L181,"-")</f>
        <v>626683.63679999998</v>
      </c>
      <c r="H183" s="390">
        <v>37.89</v>
      </c>
      <c r="I183" s="426">
        <f>IFERROR(H183*(F183/E183),"-")</f>
        <v>212790.24</v>
      </c>
      <c r="J183" s="427">
        <f t="shared" si="107"/>
        <v>922091.04</v>
      </c>
    </row>
    <row r="184" spans="1:10" ht="24" thickBot="1" x14ac:dyDescent="0.35">
      <c r="A184" s="277" t="s">
        <v>108</v>
      </c>
      <c r="B184" s="977"/>
      <c r="C184" s="304"/>
      <c r="D184" s="305" t="s">
        <v>53</v>
      </c>
      <c r="E184" s="393"/>
      <c r="F184" s="409">
        <f t="shared" ref="F184:G184" si="108">SUM(F181:F183)</f>
        <v>144619.3008</v>
      </c>
      <c r="G184" s="410">
        <f t="shared" si="108"/>
        <v>626683.63679999998</v>
      </c>
      <c r="H184" s="394"/>
      <c r="I184" s="409">
        <f t="shared" ref="I184" si="109">SUM(I181:I183)</f>
        <v>212790.24</v>
      </c>
      <c r="J184" s="428">
        <f>SUM(J181:J183)</f>
        <v>922091.04</v>
      </c>
    </row>
    <row r="185" spans="1:10" ht="23.4" x14ac:dyDescent="0.3">
      <c r="A185" s="277" t="s">
        <v>108</v>
      </c>
      <c r="B185" s="977"/>
      <c r="C185" s="300" t="s">
        <v>339</v>
      </c>
      <c r="D185" s="300"/>
      <c r="E185" s="508">
        <v>22.094999999999999</v>
      </c>
      <c r="F185" s="405">
        <f>IFERROR(E185*'01 Prod Physique Boites'!H183,"-")</f>
        <v>0</v>
      </c>
      <c r="G185" s="406">
        <f>IFERROR(E185*'01 Prod Physique Boites'!L183,"-")</f>
        <v>0</v>
      </c>
      <c r="H185" s="384">
        <v>37.11</v>
      </c>
      <c r="I185" s="422">
        <f>IFERROR(H185*(F185/E185),"-")</f>
        <v>0</v>
      </c>
      <c r="J185" s="423">
        <f t="shared" ref="J185:J187" si="110">IFERROR(H185*(G185/E185),"-")</f>
        <v>0</v>
      </c>
    </row>
    <row r="186" spans="1:10" ht="23.4" x14ac:dyDescent="0.3">
      <c r="A186" s="277" t="s">
        <v>108</v>
      </c>
      <c r="B186" s="977"/>
      <c r="C186" s="306" t="s">
        <v>373</v>
      </c>
      <c r="D186" s="306" t="s">
        <v>254</v>
      </c>
      <c r="E186" s="509">
        <v>27.917000000000002</v>
      </c>
      <c r="F186" s="405">
        <f>IFERROR(E186*'01 Prod Physique Boites'!H184,"-")</f>
        <v>52260.624000000003</v>
      </c>
      <c r="G186" s="406">
        <f>IFERROR(E186*'01 Prod Physique Boites'!L184,"-")</f>
        <v>52260.624000000003</v>
      </c>
      <c r="H186" s="388">
        <v>39</v>
      </c>
      <c r="I186" s="424">
        <f>IFERROR(H186*(F186/E186),"-")</f>
        <v>73008</v>
      </c>
      <c r="J186" s="425">
        <f t="shared" si="110"/>
        <v>73008</v>
      </c>
    </row>
    <row r="187" spans="1:10" ht="24" thickBot="1" x14ac:dyDescent="0.35">
      <c r="A187" s="277" t="s">
        <v>108</v>
      </c>
      <c r="B187" s="977"/>
      <c r="C187" s="303" t="s">
        <v>145</v>
      </c>
      <c r="D187" s="303"/>
      <c r="E187" s="505">
        <v>25.4041</v>
      </c>
      <c r="F187" s="405">
        <f>IFERROR(E187*'01 Prod Physique Boites'!H185,"-")</f>
        <v>0</v>
      </c>
      <c r="G187" s="406">
        <f>IFERROR(E187*'01 Prod Physique Boites'!L185,"-")</f>
        <v>0</v>
      </c>
      <c r="H187" s="390">
        <v>28.21</v>
      </c>
      <c r="I187" s="426">
        <f>IFERROR(H187*(F187/E187),"-")</f>
        <v>0</v>
      </c>
      <c r="J187" s="427">
        <f t="shared" si="110"/>
        <v>0</v>
      </c>
    </row>
    <row r="188" spans="1:10" ht="24" thickBot="1" x14ac:dyDescent="0.35">
      <c r="A188" s="277" t="s">
        <v>108</v>
      </c>
      <c r="B188" s="977"/>
      <c r="C188" s="307"/>
      <c r="D188" s="308" t="s">
        <v>54</v>
      </c>
      <c r="E188" s="400"/>
      <c r="F188" s="417">
        <f t="shared" ref="F188:G188" si="111">SUM(F185:F187)</f>
        <v>52260.624000000003</v>
      </c>
      <c r="G188" s="418">
        <f t="shared" si="111"/>
        <v>52260.624000000003</v>
      </c>
      <c r="H188" s="401"/>
      <c r="I188" s="417">
        <f t="shared" ref="I188" si="112">SUM(I185:I187)</f>
        <v>73008</v>
      </c>
      <c r="J188" s="433">
        <f>SUM(J185:J187)</f>
        <v>73008</v>
      </c>
    </row>
    <row r="189" spans="1:10" ht="24" thickBot="1" x14ac:dyDescent="0.35">
      <c r="A189" s="277" t="s">
        <v>108</v>
      </c>
      <c r="B189" s="978" t="s">
        <v>171</v>
      </c>
      <c r="C189" s="979"/>
      <c r="D189" s="980"/>
      <c r="E189" s="402"/>
      <c r="F189" s="419">
        <f t="shared" ref="F189:G189" si="113">+F184+F188</f>
        <v>196879.92480000001</v>
      </c>
      <c r="G189" s="420">
        <f t="shared" si="113"/>
        <v>678944.26079999993</v>
      </c>
      <c r="H189" s="403"/>
      <c r="I189" s="419">
        <f t="shared" ref="I189:J189" si="114">+I184+I188</f>
        <v>285798.24</v>
      </c>
      <c r="J189" s="434">
        <f t="shared" si="114"/>
        <v>995099.04</v>
      </c>
    </row>
    <row r="190" spans="1:10" ht="24" thickBot="1" x14ac:dyDescent="0.35">
      <c r="A190" s="277" t="s">
        <v>108</v>
      </c>
      <c r="B190" s="609" t="s">
        <v>32</v>
      </c>
      <c r="C190" s="706"/>
      <c r="D190" s="313"/>
      <c r="E190" s="510">
        <v>12.2659</v>
      </c>
      <c r="F190" s="411">
        <f>IFERROR(E190*'01 Prod Physique Boites'!H188,"-")</f>
        <v>0</v>
      </c>
      <c r="G190" s="412">
        <f>IFERROR(E190*'01 Prod Physique Boites'!L188,"-")</f>
        <v>0</v>
      </c>
      <c r="H190" s="395"/>
      <c r="I190" s="429">
        <f>IFERROR(H190*(F190/E190),"-")</f>
        <v>0</v>
      </c>
      <c r="J190" s="430">
        <f>IFERROR(H190*(G190/E190),"-")</f>
        <v>0</v>
      </c>
    </row>
    <row r="191" spans="1:10" ht="24" thickBot="1" x14ac:dyDescent="0.35">
      <c r="A191" s="277" t="s">
        <v>108</v>
      </c>
      <c r="B191" s="981" t="s">
        <v>21</v>
      </c>
      <c r="C191" s="982"/>
      <c r="D191" s="983"/>
      <c r="E191" s="396"/>
      <c r="F191" s="413">
        <f t="shared" ref="F191" si="115">+F180+F189+F190</f>
        <v>2677986.3708000001</v>
      </c>
      <c r="G191" s="414">
        <f>+G180+G189+G190</f>
        <v>4648714.5744000003</v>
      </c>
      <c r="H191" s="397"/>
      <c r="I191" s="413">
        <f t="shared" ref="I191:J191" si="116">+I180+I189+I190</f>
        <v>3756802.1399999997</v>
      </c>
      <c r="J191" s="431">
        <f t="shared" si="116"/>
        <v>6460155</v>
      </c>
    </row>
    <row r="192" spans="1:10" ht="24" thickBot="1" x14ac:dyDescent="0.35">
      <c r="A192" s="277" t="s">
        <v>108</v>
      </c>
      <c r="B192" s="984" t="s">
        <v>179</v>
      </c>
      <c r="C192" s="962"/>
      <c r="D192" s="963"/>
      <c r="E192" s="398"/>
      <c r="F192" s="415">
        <f t="shared" ref="F192:G192" si="117">+F191</f>
        <v>2677986.3708000001</v>
      </c>
      <c r="G192" s="416">
        <f t="shared" si="117"/>
        <v>4648714.5744000003</v>
      </c>
      <c r="H192" s="399"/>
      <c r="I192" s="415">
        <f t="shared" ref="I192:J192" si="118">+I191</f>
        <v>3756802.1399999997</v>
      </c>
      <c r="J192" s="432">
        <f t="shared" si="118"/>
        <v>6460155</v>
      </c>
    </row>
    <row r="193" spans="1:10" ht="23.4" x14ac:dyDescent="0.3">
      <c r="A193" s="271" t="s">
        <v>109</v>
      </c>
      <c r="B193" s="970" t="s">
        <v>33</v>
      </c>
      <c r="C193" s="314" t="s">
        <v>120</v>
      </c>
      <c r="D193" s="314"/>
      <c r="E193" s="506">
        <v>254.89750000000001</v>
      </c>
      <c r="F193" s="405">
        <f>IFERROR(E193*'01 Prod Physique Boites'!H191,"-")</f>
        <v>0</v>
      </c>
      <c r="G193" s="406">
        <f>IFERROR(E193*'01 Prod Physique Boites'!L191,"-")</f>
        <v>0</v>
      </c>
      <c r="H193" s="384">
        <v>445.38</v>
      </c>
      <c r="I193" s="422">
        <f>IFERROR(H193*(F193/E193),"-")</f>
        <v>0</v>
      </c>
      <c r="J193" s="423">
        <f t="shared" ref="J193:J195" si="119">IFERROR(H193*(G193/E193),"-")</f>
        <v>0</v>
      </c>
    </row>
    <row r="194" spans="1:10" ht="23.4" x14ac:dyDescent="0.3">
      <c r="A194" s="277" t="s">
        <v>109</v>
      </c>
      <c r="B194" s="972"/>
      <c r="C194" s="315" t="s">
        <v>267</v>
      </c>
      <c r="D194" s="315"/>
      <c r="E194" s="507">
        <v>246.51390000000001</v>
      </c>
      <c r="F194" s="405">
        <f>IFERROR(E194*'01 Prod Physique Boites'!H192,"-")</f>
        <v>0</v>
      </c>
      <c r="G194" s="406">
        <f>IFERROR(E194*'01 Prod Physique Boites'!L192,"-")</f>
        <v>0</v>
      </c>
      <c r="H194" s="388">
        <v>430.02</v>
      </c>
      <c r="I194" s="424">
        <f>IFERROR(H194*(F194/E194),"-")</f>
        <v>0</v>
      </c>
      <c r="J194" s="425">
        <f t="shared" si="119"/>
        <v>0</v>
      </c>
    </row>
    <row r="195" spans="1:10" ht="24" thickBot="1" x14ac:dyDescent="0.35">
      <c r="A195" s="277" t="s">
        <v>109</v>
      </c>
      <c r="B195" s="971"/>
      <c r="C195" s="316" t="s">
        <v>34</v>
      </c>
      <c r="D195" s="316"/>
      <c r="E195" s="504">
        <v>225.7713</v>
      </c>
      <c r="F195" s="405">
        <f>IFERROR(E195*'01 Prod Physique Boites'!H193,"-")</f>
        <v>0</v>
      </c>
      <c r="G195" s="406">
        <f>IFERROR(E195*'01 Prod Physique Boites'!L193,"-")</f>
        <v>0</v>
      </c>
      <c r="H195" s="390"/>
      <c r="I195" s="426">
        <f>IFERROR(H195*(F195/E195),"-")</f>
        <v>0</v>
      </c>
      <c r="J195" s="427">
        <f t="shared" si="119"/>
        <v>0</v>
      </c>
    </row>
    <row r="196" spans="1:10" ht="24" thickBot="1" x14ac:dyDescent="0.35">
      <c r="A196" s="277" t="s">
        <v>109</v>
      </c>
      <c r="B196" s="967" t="s">
        <v>35</v>
      </c>
      <c r="C196" s="968"/>
      <c r="D196" s="969"/>
      <c r="E196" s="393"/>
      <c r="F196" s="409">
        <f t="shared" ref="F196:G196" si="120">SUM(F193:F195)</f>
        <v>0</v>
      </c>
      <c r="G196" s="410">
        <f t="shared" si="120"/>
        <v>0</v>
      </c>
      <c r="H196" s="394"/>
      <c r="I196" s="409">
        <f t="shared" ref="I196:J196" si="121">SUM(I193:I195)</f>
        <v>0</v>
      </c>
      <c r="J196" s="428">
        <f t="shared" si="121"/>
        <v>0</v>
      </c>
    </row>
    <row r="197" spans="1:10" ht="23.4" x14ac:dyDescent="0.3">
      <c r="A197" s="277" t="s">
        <v>109</v>
      </c>
      <c r="B197" s="970" t="s">
        <v>36</v>
      </c>
      <c r="C197" s="314" t="s">
        <v>120</v>
      </c>
      <c r="D197" s="314"/>
      <c r="E197" s="506">
        <v>254.89750000000001</v>
      </c>
      <c r="F197" s="405">
        <f>IFERROR(E197*'01 Prod Physique Boites'!H195,"-")</f>
        <v>0</v>
      </c>
      <c r="G197" s="406">
        <f>IFERROR(E197*'01 Prod Physique Boites'!L195,"-")</f>
        <v>0</v>
      </c>
      <c r="H197" s="384">
        <v>445.38</v>
      </c>
      <c r="I197" s="422">
        <f>IFERROR(H197*(F197/E197),"-")</f>
        <v>0</v>
      </c>
      <c r="J197" s="423">
        <f t="shared" ref="J197:J200" si="122">IFERROR(H197*(G197/E197),"-")</f>
        <v>0</v>
      </c>
    </row>
    <row r="198" spans="1:10" ht="23.4" x14ac:dyDescent="0.3">
      <c r="A198" s="277" t="s">
        <v>109</v>
      </c>
      <c r="B198" s="972"/>
      <c r="C198" s="315" t="s">
        <v>267</v>
      </c>
      <c r="D198" s="315"/>
      <c r="E198" s="507">
        <v>246.51390000000001</v>
      </c>
      <c r="F198" s="405">
        <f>IFERROR(E198*'01 Prod Physique Boites'!H196,"-")</f>
        <v>0</v>
      </c>
      <c r="G198" s="406">
        <f>IFERROR(E198*'01 Prod Physique Boites'!L196,"-")</f>
        <v>0</v>
      </c>
      <c r="H198" s="388">
        <v>430.02</v>
      </c>
      <c r="I198" s="424">
        <f>IFERROR(H198*(F198/E198),"-")</f>
        <v>0</v>
      </c>
      <c r="J198" s="425">
        <f t="shared" si="122"/>
        <v>0</v>
      </c>
    </row>
    <row r="199" spans="1:10" ht="23.4" x14ac:dyDescent="0.3">
      <c r="A199" s="277" t="s">
        <v>109</v>
      </c>
      <c r="B199" s="972"/>
      <c r="C199" s="315" t="s">
        <v>198</v>
      </c>
      <c r="D199" s="315" t="s">
        <v>197</v>
      </c>
      <c r="E199" s="507">
        <v>254.89750000000001</v>
      </c>
      <c r="F199" s="405">
        <f>IFERROR(E199*'01 Prod Physique Boites'!H197,"-")</f>
        <v>0</v>
      </c>
      <c r="G199" s="406">
        <f>IFERROR(E199*'01 Prod Physique Boites'!L197,"-")</f>
        <v>0</v>
      </c>
      <c r="H199" s="388"/>
      <c r="I199" s="424">
        <f>IFERROR(H199*(F199/E199),"-")</f>
        <v>0</v>
      </c>
      <c r="J199" s="425">
        <f t="shared" si="122"/>
        <v>0</v>
      </c>
    </row>
    <row r="200" spans="1:10" ht="24" thickBot="1" x14ac:dyDescent="0.35">
      <c r="A200" s="277" t="s">
        <v>109</v>
      </c>
      <c r="B200" s="971"/>
      <c r="C200" s="316" t="s">
        <v>37</v>
      </c>
      <c r="D200" s="316"/>
      <c r="E200" s="504">
        <v>229.99359999999999</v>
      </c>
      <c r="F200" s="405">
        <f>IFERROR(E200*'01 Prod Physique Boites'!H198,"-")</f>
        <v>0</v>
      </c>
      <c r="G200" s="406">
        <f>IFERROR(E200*'01 Prod Physique Boites'!L198,"-")</f>
        <v>0</v>
      </c>
      <c r="H200" s="390"/>
      <c r="I200" s="426">
        <f>IFERROR(H200*(F200/E200),"-")</f>
        <v>0</v>
      </c>
      <c r="J200" s="427">
        <f t="shared" si="122"/>
        <v>0</v>
      </c>
    </row>
    <row r="201" spans="1:10" ht="24" thickBot="1" x14ac:dyDescent="0.35">
      <c r="A201" s="277" t="s">
        <v>109</v>
      </c>
      <c r="B201" s="967" t="s">
        <v>38</v>
      </c>
      <c r="C201" s="968"/>
      <c r="D201" s="969"/>
      <c r="E201" s="393"/>
      <c r="F201" s="409">
        <f t="shared" ref="F201:G201" si="123">SUM(F197:F200)</f>
        <v>0</v>
      </c>
      <c r="G201" s="410">
        <f t="shared" si="123"/>
        <v>0</v>
      </c>
      <c r="H201" s="394"/>
      <c r="I201" s="409">
        <f>SUM(I197:I200)</f>
        <v>0</v>
      </c>
      <c r="J201" s="428">
        <f>SUM(J197:J200)</f>
        <v>0</v>
      </c>
    </row>
    <row r="202" spans="1:10" ht="23.4" x14ac:dyDescent="0.3">
      <c r="A202" s="277" t="s">
        <v>109</v>
      </c>
      <c r="B202" s="970" t="s">
        <v>39</v>
      </c>
      <c r="C202" s="317" t="s">
        <v>123</v>
      </c>
      <c r="D202" s="317"/>
      <c r="E202" s="506">
        <v>195.2808</v>
      </c>
      <c r="F202" s="405">
        <f>IFERROR(E202*'01 Prod Physique Boites'!H200,"-")</f>
        <v>0</v>
      </c>
      <c r="G202" s="406">
        <f>IFERROR(E202*'01 Prod Physique Boites'!L200,"-")</f>
        <v>0</v>
      </c>
      <c r="H202" s="384"/>
      <c r="I202" s="422">
        <f>IFERROR(H202*(F202/E202),"-")</f>
        <v>0</v>
      </c>
      <c r="J202" s="423">
        <f t="shared" ref="J202:J203" si="124">IFERROR(H202*(G202/E202),"-")</f>
        <v>0</v>
      </c>
    </row>
    <row r="203" spans="1:10" ht="24" thickBot="1" x14ac:dyDescent="0.35">
      <c r="A203" s="277" t="s">
        <v>109</v>
      </c>
      <c r="B203" s="971"/>
      <c r="C203" s="289" t="s">
        <v>139</v>
      </c>
      <c r="D203" s="289"/>
      <c r="E203" s="504">
        <v>189.91890000000001</v>
      </c>
      <c r="F203" s="405">
        <f>IFERROR(E203*'01 Prod Physique Boites'!H201,"-")</f>
        <v>0</v>
      </c>
      <c r="G203" s="406">
        <f>IFERROR(E203*'01 Prod Physique Boites'!L201,"-")</f>
        <v>45580.536</v>
      </c>
      <c r="H203" s="390">
        <v>320.35000000000002</v>
      </c>
      <c r="I203" s="426">
        <f>IFERROR(H203*(F203/E203),"-")</f>
        <v>0</v>
      </c>
      <c r="J203" s="427">
        <f t="shared" si="124"/>
        <v>76884</v>
      </c>
    </row>
    <row r="204" spans="1:10" ht="24" thickBot="1" x14ac:dyDescent="0.35">
      <c r="A204" s="709" t="s">
        <v>109</v>
      </c>
      <c r="B204" s="967" t="s">
        <v>40</v>
      </c>
      <c r="C204" s="968"/>
      <c r="D204" s="969"/>
      <c r="E204" s="393"/>
      <c r="F204" s="409">
        <f>SUM(F202:F203)</f>
        <v>0</v>
      </c>
      <c r="G204" s="410">
        <f t="shared" ref="G204" si="125">SUM(G202:G203)</f>
        <v>45580.536</v>
      </c>
      <c r="H204" s="394"/>
      <c r="I204" s="409">
        <f t="shared" ref="I204:J204" si="126">SUM(I202:I203)</f>
        <v>0</v>
      </c>
      <c r="J204" s="428">
        <f t="shared" si="126"/>
        <v>76884</v>
      </c>
    </row>
    <row r="205" spans="1:10" ht="23.4" x14ac:dyDescent="0.3">
      <c r="A205" s="277" t="s">
        <v>109</v>
      </c>
      <c r="B205" s="970" t="s">
        <v>41</v>
      </c>
      <c r="C205" s="272" t="s">
        <v>335</v>
      </c>
      <c r="D205" s="272" t="s">
        <v>258</v>
      </c>
      <c r="E205" s="508">
        <v>37.248699999999999</v>
      </c>
      <c r="F205" s="405">
        <f>IFERROR(E205*'01 Prod Physique Boites'!H203,"-")</f>
        <v>537722.23320000002</v>
      </c>
      <c r="G205" s="406">
        <f>IFERROR(E205*'01 Prod Physique Boites'!L203,"-")</f>
        <v>1100922.5771999999</v>
      </c>
      <c r="H205" s="384">
        <v>71.44</v>
      </c>
      <c r="I205" s="422">
        <f>IFERROR(H205*(F205/E205),"-")</f>
        <v>1031307.84</v>
      </c>
      <c r="J205" s="423">
        <f>IFERROR(H205*(G205/E205),"-")</f>
        <v>2111480.64</v>
      </c>
    </row>
    <row r="206" spans="1:10" ht="23.4" x14ac:dyDescent="0.3">
      <c r="A206" s="277" t="s">
        <v>109</v>
      </c>
      <c r="B206" s="972"/>
      <c r="C206" s="272" t="s">
        <v>164</v>
      </c>
      <c r="D206" s="278"/>
      <c r="E206" s="508">
        <v>37.248699999999999</v>
      </c>
      <c r="F206" s="405">
        <f>IFERROR(E206*'01 Prod Physique Boites'!H204,"-")</f>
        <v>0</v>
      </c>
      <c r="G206" s="406">
        <f>IFERROR(E206*'01 Prod Physique Boites'!L204,"-")</f>
        <v>0</v>
      </c>
      <c r="H206" s="388"/>
      <c r="I206" s="424">
        <f>IFERROR(H206*(F206/E206),"-")</f>
        <v>0</v>
      </c>
      <c r="J206" s="425">
        <f t="shared" ref="J206:J209" si="127">IFERROR(H206*(G206/E206),"-")</f>
        <v>0</v>
      </c>
    </row>
    <row r="207" spans="1:10" ht="23.4" x14ac:dyDescent="0.3">
      <c r="A207" s="277" t="s">
        <v>109</v>
      </c>
      <c r="B207" s="972"/>
      <c r="C207" s="278" t="s">
        <v>383</v>
      </c>
      <c r="D207" s="272" t="s">
        <v>258</v>
      </c>
      <c r="E207" s="508">
        <v>37.248699999999999</v>
      </c>
      <c r="F207" s="405">
        <f>IFERROR(E207*'01 Prod Physique Boites'!H205,"-")</f>
        <v>0</v>
      </c>
      <c r="G207" s="406">
        <f>IFERROR(E207*'01 Prod Physique Boites'!L205,"-")</f>
        <v>0</v>
      </c>
      <c r="H207" s="388">
        <v>71.44</v>
      </c>
      <c r="I207" s="424">
        <f>IFERROR(H207*(F207/E207),"-")</f>
        <v>0</v>
      </c>
      <c r="J207" s="425">
        <f t="shared" si="127"/>
        <v>0</v>
      </c>
    </row>
    <row r="208" spans="1:10" ht="23.4" x14ac:dyDescent="0.3">
      <c r="A208" s="277" t="s">
        <v>109</v>
      </c>
      <c r="B208" s="972"/>
      <c r="C208" s="278" t="s">
        <v>165</v>
      </c>
      <c r="D208" s="278"/>
      <c r="E208" s="509">
        <v>38.466099999999997</v>
      </c>
      <c r="F208" s="405">
        <f>IFERROR(E208*'01 Prod Physique Boites'!H206,"-")</f>
        <v>0</v>
      </c>
      <c r="G208" s="406">
        <f>IFERROR(E208*'01 Prod Physique Boites'!L206,"-")</f>
        <v>0</v>
      </c>
      <c r="H208" s="388"/>
      <c r="I208" s="424">
        <f>IFERROR(H208*(F208/E208),"-")</f>
        <v>0</v>
      </c>
      <c r="J208" s="425">
        <f t="shared" si="127"/>
        <v>0</v>
      </c>
    </row>
    <row r="209" spans="1:10" ht="24" thickBot="1" x14ac:dyDescent="0.35">
      <c r="A209" s="277" t="s">
        <v>109</v>
      </c>
      <c r="B209" s="971"/>
      <c r="C209" s="282" t="s">
        <v>166</v>
      </c>
      <c r="D209" s="282"/>
      <c r="E209" s="505">
        <v>33.711399999999998</v>
      </c>
      <c r="F209" s="405">
        <f>IFERROR(E209*'01 Prod Physique Boites'!H207,"-")</f>
        <v>0</v>
      </c>
      <c r="G209" s="406">
        <f>IFERROR(E209*'01 Prod Physique Boites'!L207,"-")</f>
        <v>0</v>
      </c>
      <c r="H209" s="390"/>
      <c r="I209" s="426">
        <f>IFERROR(H209*(F209/E209),"-")</f>
        <v>0</v>
      </c>
      <c r="J209" s="427">
        <f t="shared" si="127"/>
        <v>0</v>
      </c>
    </row>
    <row r="210" spans="1:10" ht="24" thickBot="1" x14ac:dyDescent="0.35">
      <c r="A210" s="277" t="s">
        <v>109</v>
      </c>
      <c r="B210" s="967" t="s">
        <v>42</v>
      </c>
      <c r="C210" s="968"/>
      <c r="D210" s="969"/>
      <c r="E210" s="393"/>
      <c r="F210" s="409">
        <f>SUM(F205:F209)</f>
        <v>537722.23320000002</v>
      </c>
      <c r="G210" s="410">
        <f>SUM(G205:G209)</f>
        <v>1100922.5771999999</v>
      </c>
      <c r="H210" s="394"/>
      <c r="I210" s="409">
        <f>SUM(I205:I209)</f>
        <v>1031307.84</v>
      </c>
      <c r="J210" s="409">
        <f>SUM(J205:J209)</f>
        <v>2111480.64</v>
      </c>
    </row>
    <row r="211" spans="1:10" ht="23.4" x14ac:dyDescent="0.3">
      <c r="A211" s="277" t="s">
        <v>109</v>
      </c>
      <c r="B211" s="970" t="s">
        <v>43</v>
      </c>
      <c r="C211" s="272" t="s">
        <v>200</v>
      </c>
      <c r="D211" s="272" t="s">
        <v>197</v>
      </c>
      <c r="E211" s="508">
        <v>30.7499</v>
      </c>
      <c r="F211" s="405">
        <f>IFERROR(E211*'01 Prod Physique Boites'!H209,"-")</f>
        <v>0</v>
      </c>
      <c r="G211" s="406">
        <f>IFERROR(E211*'01 Prod Physique Boites'!L209,"-")</f>
        <v>0</v>
      </c>
      <c r="H211" s="384"/>
      <c r="I211" s="422">
        <f>IFERROR(H211*(F211/E211),"-")</f>
        <v>0</v>
      </c>
      <c r="J211" s="423">
        <f>IFERROR(H211*(G211/E211),"-")</f>
        <v>0</v>
      </c>
    </row>
    <row r="212" spans="1:10" ht="23.4" x14ac:dyDescent="0.3">
      <c r="A212" s="277" t="s">
        <v>109</v>
      </c>
      <c r="B212" s="972"/>
      <c r="C212" s="278" t="s">
        <v>167</v>
      </c>
      <c r="D212" s="278"/>
      <c r="E212" s="727">
        <v>25.139099999999999</v>
      </c>
      <c r="F212" s="728">
        <f>IFERROR(E212*'01 Prod Physique Boites'!H210,"-")</f>
        <v>144801.21599999999</v>
      </c>
      <c r="G212" s="406">
        <f>IFERROR(E212*'01 Prod Physique Boites'!L210,"-")</f>
        <v>144801.21599999999</v>
      </c>
      <c r="H212" s="388"/>
      <c r="I212" s="424">
        <f>IFERROR(H212*(F212/E212),"-")</f>
        <v>0</v>
      </c>
      <c r="J212" s="425">
        <f t="shared" ref="J212:J213" si="128">IFERROR(H212*(G212/E212),"-")</f>
        <v>0</v>
      </c>
    </row>
    <row r="213" spans="1:10" ht="24" thickBot="1" x14ac:dyDescent="0.35">
      <c r="A213" s="277" t="s">
        <v>109</v>
      </c>
      <c r="B213" s="971"/>
      <c r="C213" s="282" t="s">
        <v>200</v>
      </c>
      <c r="D213" s="282" t="s">
        <v>199</v>
      </c>
      <c r="E213" s="505">
        <v>30.073599999999999</v>
      </c>
      <c r="F213" s="405">
        <f>IFERROR(E213*'01 Prod Physique Boites'!H211,"-")</f>
        <v>0</v>
      </c>
      <c r="G213" s="406">
        <f>IFERROR(E213*'01 Prod Physique Boites'!L211,"-")</f>
        <v>0</v>
      </c>
      <c r="H213" s="390"/>
      <c r="I213" s="426">
        <f>IFERROR(H213*(F213/E213),"-")</f>
        <v>0</v>
      </c>
      <c r="J213" s="427">
        <f t="shared" si="128"/>
        <v>0</v>
      </c>
    </row>
    <row r="214" spans="1:10" ht="24" thickBot="1" x14ac:dyDescent="0.35">
      <c r="A214" s="277" t="s">
        <v>109</v>
      </c>
      <c r="B214" s="973" t="s">
        <v>44</v>
      </c>
      <c r="C214" s="974"/>
      <c r="D214" s="975"/>
      <c r="E214" s="393"/>
      <c r="F214" s="409">
        <f t="shared" ref="F214:G214" si="129">SUM(F211:F213)</f>
        <v>144801.21599999999</v>
      </c>
      <c r="G214" s="410">
        <f t="shared" si="129"/>
        <v>144801.21599999999</v>
      </c>
      <c r="H214" s="394"/>
      <c r="I214" s="409">
        <f t="shared" ref="I214:J214" si="130">SUM(I211:I213)</f>
        <v>0</v>
      </c>
      <c r="J214" s="428">
        <f t="shared" si="130"/>
        <v>0</v>
      </c>
    </row>
    <row r="215" spans="1:10" ht="23.4" x14ac:dyDescent="0.3">
      <c r="A215" s="277" t="s">
        <v>109</v>
      </c>
      <c r="B215" s="970" t="s">
        <v>45</v>
      </c>
      <c r="C215" s="272" t="s">
        <v>168</v>
      </c>
      <c r="D215" s="272"/>
      <c r="E215" s="508">
        <v>36.684899999999999</v>
      </c>
      <c r="F215" s="405">
        <f>IFERROR(E215*'01 Prod Physique Boites'!H213,"-")</f>
        <v>0</v>
      </c>
      <c r="G215" s="406">
        <f>IFERROR(E215*'01 Prod Physique Boites'!L213,"-")</f>
        <v>0</v>
      </c>
      <c r="H215" s="384"/>
      <c r="I215" s="385" t="s">
        <v>204</v>
      </c>
      <c r="J215" s="386" t="s">
        <v>204</v>
      </c>
    </row>
    <row r="216" spans="1:10" ht="24" thickBot="1" x14ac:dyDescent="0.35">
      <c r="A216" s="277" t="s">
        <v>109</v>
      </c>
      <c r="B216" s="971"/>
      <c r="C216" s="282" t="s">
        <v>169</v>
      </c>
      <c r="D216" s="282"/>
      <c r="E216" s="505">
        <v>37.002800000000001</v>
      </c>
      <c r="F216" s="405">
        <f>IFERROR(E216*'01 Prod Physique Boites'!H214,"-")</f>
        <v>0</v>
      </c>
      <c r="G216" s="406">
        <f>IFERROR(E216*'01 Prod Physique Boites'!L214,"-")</f>
        <v>0</v>
      </c>
      <c r="H216" s="390"/>
      <c r="I216" s="391" t="s">
        <v>204</v>
      </c>
      <c r="J216" s="392" t="s">
        <v>204</v>
      </c>
    </row>
    <row r="217" spans="1:10" ht="24" thickBot="1" x14ac:dyDescent="0.35">
      <c r="A217" s="277" t="s">
        <v>109</v>
      </c>
      <c r="B217" s="973" t="s">
        <v>46</v>
      </c>
      <c r="C217" s="974"/>
      <c r="D217" s="975"/>
      <c r="E217" s="393"/>
      <c r="F217" s="409">
        <f t="shared" ref="F217:G217" si="131">SUM(F215:F216)</f>
        <v>0</v>
      </c>
      <c r="G217" s="410">
        <f t="shared" si="131"/>
        <v>0</v>
      </c>
      <c r="H217" s="394"/>
      <c r="I217" s="409">
        <f t="shared" ref="I217:J217" si="132">SUM(I215:I216)</f>
        <v>0</v>
      </c>
      <c r="J217" s="428">
        <f t="shared" si="132"/>
        <v>0</v>
      </c>
    </row>
    <row r="218" spans="1:10" ht="24" thickBot="1" x14ac:dyDescent="0.35">
      <c r="A218" s="277" t="s">
        <v>109</v>
      </c>
      <c r="B218" s="959" t="s">
        <v>25</v>
      </c>
      <c r="C218" s="960"/>
      <c r="D218" s="961"/>
      <c r="E218" s="396"/>
      <c r="F218" s="413">
        <f t="shared" ref="F218:G218" si="133">+F196+F201+F204+F210+F214+F217</f>
        <v>682523.44920000003</v>
      </c>
      <c r="G218" s="414">
        <f t="shared" si="133"/>
        <v>1291304.3292</v>
      </c>
      <c r="H218" s="397"/>
      <c r="I218" s="413">
        <f>+I196+I201+I204+I210+I214+I217</f>
        <v>1031307.84</v>
      </c>
      <c r="J218" s="431">
        <f>+J196+J201+J204+J210+J214+J217</f>
        <v>2188364.64</v>
      </c>
    </row>
    <row r="219" spans="1:10" ht="24" thickBot="1" x14ac:dyDescent="0.35">
      <c r="A219" s="321" t="s">
        <v>109</v>
      </c>
      <c r="B219" s="962" t="s">
        <v>181</v>
      </c>
      <c r="C219" s="962"/>
      <c r="D219" s="963"/>
      <c r="E219" s="398"/>
      <c r="F219" s="415">
        <f t="shared" ref="F219:G219" si="134">+F218</f>
        <v>682523.44920000003</v>
      </c>
      <c r="G219" s="416">
        <f t="shared" si="134"/>
        <v>1291304.3292</v>
      </c>
      <c r="H219" s="399"/>
      <c r="I219" s="415">
        <f t="shared" ref="I219" si="135">+I218</f>
        <v>1031307.84</v>
      </c>
      <c r="J219" s="432">
        <f>+J218</f>
        <v>2188364.64</v>
      </c>
    </row>
    <row r="220" spans="1:10" ht="24.6" thickBot="1" x14ac:dyDescent="0.35">
      <c r="A220" s="322"/>
      <c r="B220" s="964" t="s">
        <v>182</v>
      </c>
      <c r="C220" s="965"/>
      <c r="D220" s="966"/>
      <c r="E220" s="404"/>
      <c r="F220" s="421">
        <f t="shared" ref="F220:G220" si="136">+F165+F192+F219</f>
        <v>9179555.8480000012</v>
      </c>
      <c r="G220" s="421">
        <f t="shared" si="136"/>
        <v>14764214.4268</v>
      </c>
      <c r="H220" s="404"/>
      <c r="I220" s="421">
        <f t="shared" ref="I220:J220" si="137">+I165+I192+I219</f>
        <v>12584617.579999998</v>
      </c>
      <c r="J220" s="435">
        <f t="shared" si="137"/>
        <v>20764487.240000002</v>
      </c>
    </row>
    <row r="221" spans="1:10" ht="23.4" x14ac:dyDescent="0.3">
      <c r="A221" s="991" t="s">
        <v>1</v>
      </c>
      <c r="B221" s="994" t="s">
        <v>2</v>
      </c>
      <c r="C221" s="997" t="s">
        <v>3</v>
      </c>
      <c r="D221" s="997" t="s">
        <v>93</v>
      </c>
      <c r="E221" s="1021" t="s">
        <v>175</v>
      </c>
      <c r="F221" s="1022"/>
      <c r="G221" s="1022"/>
      <c r="H221" s="445"/>
      <c r="I221" s="445"/>
      <c r="J221" s="446"/>
    </row>
    <row r="222" spans="1:10" ht="23.4" x14ac:dyDescent="0.3">
      <c r="A222" s="992"/>
      <c r="B222" s="995"/>
      <c r="C222" s="998"/>
      <c r="D222" s="998"/>
      <c r="E222" s="1023" t="s">
        <v>177</v>
      </c>
      <c r="F222" s="1024"/>
      <c r="G222" s="1025"/>
      <c r="H222" s="1023" t="s">
        <v>176</v>
      </c>
      <c r="I222" s="1024"/>
      <c r="J222" s="1025"/>
    </row>
    <row r="223" spans="1:10" ht="46.8" x14ac:dyDescent="0.3">
      <c r="A223" s="993"/>
      <c r="B223" s="1019"/>
      <c r="C223" s="1020"/>
      <c r="D223" s="1020"/>
      <c r="E223" s="382" t="s">
        <v>178</v>
      </c>
      <c r="F223" s="721" t="s">
        <v>11</v>
      </c>
      <c r="G223" s="722" t="s">
        <v>12</v>
      </c>
      <c r="H223" s="1026" t="s">
        <v>178</v>
      </c>
      <c r="I223" s="1028" t="s">
        <v>144</v>
      </c>
      <c r="J223" s="1030" t="s">
        <v>12</v>
      </c>
    </row>
    <row r="224" spans="1:10" ht="24" thickBot="1" x14ac:dyDescent="0.35">
      <c r="A224" s="993"/>
      <c r="B224" s="996"/>
      <c r="C224" s="999"/>
      <c r="D224" s="999"/>
      <c r="E224" s="1032">
        <v>44535</v>
      </c>
      <c r="F224" s="1033"/>
      <c r="G224" s="1034"/>
      <c r="H224" s="1027"/>
      <c r="I224" s="1029"/>
      <c r="J224" s="1031"/>
    </row>
    <row r="225" spans="1:10" ht="23.4" x14ac:dyDescent="0.3">
      <c r="A225" s="271" t="s">
        <v>110</v>
      </c>
      <c r="B225" s="956" t="s">
        <v>16</v>
      </c>
      <c r="C225" s="272" t="s">
        <v>424</v>
      </c>
      <c r="D225" s="272" t="s">
        <v>425</v>
      </c>
      <c r="E225" s="714">
        <v>81.360699999999994</v>
      </c>
      <c r="F225" s="405">
        <f>IFERROR(E225*'01 Prod Physique Boites'!H222,"-")</f>
        <v>1249700.352</v>
      </c>
      <c r="G225" s="405">
        <f>IFERROR(E225*'01 Prod Physique Boites'!L222,"-")</f>
        <v>1536090.0159999998</v>
      </c>
      <c r="H225" s="715">
        <v>97.13</v>
      </c>
      <c r="I225" s="422">
        <f>IFERROR(H225*(F225/E225),"-")</f>
        <v>1491916.7999999998</v>
      </c>
      <c r="J225" s="423">
        <f t="shared" ref="J225:J227" si="138">IFERROR(H225*(G225/E225),"-")</f>
        <v>1833814.4</v>
      </c>
    </row>
    <row r="226" spans="1:10" ht="23.4" x14ac:dyDescent="0.3">
      <c r="A226" s="277" t="s">
        <v>110</v>
      </c>
      <c r="B226" s="957"/>
      <c r="C226" s="278" t="s">
        <v>188</v>
      </c>
      <c r="D226" s="278" t="s">
        <v>101</v>
      </c>
      <c r="E226" s="509">
        <v>81.360699999999994</v>
      </c>
      <c r="F226" s="405">
        <f>IFERROR(E226*'01 Prod Physique Boites'!H223,"-")</f>
        <v>0</v>
      </c>
      <c r="G226" s="405">
        <f>IFERROR(E226*'01 Prod Physique Boites'!L223,"-")</f>
        <v>0</v>
      </c>
      <c r="H226" s="388">
        <v>0</v>
      </c>
      <c r="I226" s="422">
        <f>IFERROR(H226*(F226/E226),"-")</f>
        <v>0</v>
      </c>
      <c r="J226" s="423">
        <f t="shared" si="138"/>
        <v>0</v>
      </c>
    </row>
    <row r="227" spans="1:10" ht="23.4" x14ac:dyDescent="0.3">
      <c r="A227" s="277" t="s">
        <v>110</v>
      </c>
      <c r="B227" s="957"/>
      <c r="C227" s="278" t="s">
        <v>186</v>
      </c>
      <c r="D227" s="278" t="s">
        <v>184</v>
      </c>
      <c r="E227" s="509">
        <v>55.476900000000001</v>
      </c>
      <c r="F227" s="405">
        <f>IFERROR(E227*'01 Prod Physique Boites'!H224,"-")</f>
        <v>0</v>
      </c>
      <c r="G227" s="405">
        <f>IFERROR(E227*'01 Prod Physique Boites'!L224,"-")</f>
        <v>0</v>
      </c>
      <c r="H227" s="388">
        <v>0</v>
      </c>
      <c r="I227" s="422">
        <f>IFERROR(H227*(F227/E227),"-")</f>
        <v>0</v>
      </c>
      <c r="J227" s="423">
        <f t="shared" si="138"/>
        <v>0</v>
      </c>
    </row>
    <row r="228" spans="1:10" ht="24" thickBot="1" x14ac:dyDescent="0.35">
      <c r="A228" s="277" t="s">
        <v>110</v>
      </c>
      <c r="B228" s="958"/>
      <c r="C228" s="282" t="s">
        <v>282</v>
      </c>
      <c r="D228" s="282" t="s">
        <v>251</v>
      </c>
      <c r="E228" s="505">
        <v>60.703499999999998</v>
      </c>
      <c r="F228" s="405">
        <f>IFERROR(E228*'01 Prod Physique Boites'!H225,"-")</f>
        <v>0</v>
      </c>
      <c r="G228" s="405">
        <f>IFERROR(E228*'01 Prod Physique Boites'!L225,"-")</f>
        <v>0</v>
      </c>
      <c r="H228" s="390">
        <v>111.09</v>
      </c>
      <c r="I228" s="422">
        <f>IFERROR(H228*(F228/E228),"-")</f>
        <v>0</v>
      </c>
      <c r="J228" s="423">
        <f>IFERROR(H228*(G228/E228),"-")</f>
        <v>0</v>
      </c>
    </row>
    <row r="229" spans="1:10" ht="24" thickBot="1" x14ac:dyDescent="0.35">
      <c r="A229" s="277" t="s">
        <v>110</v>
      </c>
      <c r="B229" s="967" t="s">
        <v>47</v>
      </c>
      <c r="C229" s="968"/>
      <c r="D229" s="969"/>
      <c r="E229" s="393"/>
      <c r="F229" s="409">
        <f t="shared" ref="F229" si="139">SUM(F225:F228)</f>
        <v>1249700.352</v>
      </c>
      <c r="G229" s="410">
        <f>SUM(G225:G228)</f>
        <v>1536090.0159999998</v>
      </c>
      <c r="H229" s="394"/>
      <c r="I229" s="409">
        <f t="shared" ref="I229:J229" si="140">SUM(I225:I228)</f>
        <v>1491916.7999999998</v>
      </c>
      <c r="J229" s="428">
        <f t="shared" si="140"/>
        <v>1833814.4</v>
      </c>
    </row>
    <row r="230" spans="1:10" ht="23.4" x14ac:dyDescent="0.3">
      <c r="A230" s="277" t="s">
        <v>110</v>
      </c>
      <c r="B230" s="956" t="s">
        <v>17</v>
      </c>
      <c r="C230" s="272" t="s">
        <v>320</v>
      </c>
      <c r="D230" s="272"/>
      <c r="E230" s="508">
        <v>12.5275</v>
      </c>
      <c r="F230" s="405">
        <f>IFERROR(E230*'01 Prod Physique Boites'!H227,"-")</f>
        <v>0</v>
      </c>
      <c r="G230" s="405">
        <f>IFERROR(E230*'01 Prod Physique Boites'!L227,"-")</f>
        <v>0</v>
      </c>
      <c r="H230" s="384">
        <v>18.836400000000001</v>
      </c>
      <c r="I230" s="422">
        <f t="shared" ref="I230:I236" si="141">IFERROR(H230*(F230/E230),"-")</f>
        <v>0</v>
      </c>
      <c r="J230" s="423">
        <f t="shared" ref="J230:J235" si="142">IFERROR(H230*(G230/E230),"-")</f>
        <v>0</v>
      </c>
    </row>
    <row r="231" spans="1:10" ht="23.4" x14ac:dyDescent="0.3">
      <c r="A231" s="277" t="s">
        <v>110</v>
      </c>
      <c r="B231" s="957"/>
      <c r="C231" s="278" t="s">
        <v>382</v>
      </c>
      <c r="D231" s="278" t="s">
        <v>252</v>
      </c>
      <c r="E231" s="698">
        <v>13.002700000000001</v>
      </c>
      <c r="F231" s="405">
        <f>IFERROR(E231*'01 Prod Physique Boites'!H228,"-")</f>
        <v>0</v>
      </c>
      <c r="G231" s="405">
        <f>IFERROR(E231*'01 Prod Physique Boites'!L228,"-")</f>
        <v>79576.524000000005</v>
      </c>
      <c r="H231" s="388">
        <v>21.18</v>
      </c>
      <c r="I231" s="424">
        <f t="shared" si="141"/>
        <v>0</v>
      </c>
      <c r="J231" s="425">
        <f t="shared" si="142"/>
        <v>129621.59999999999</v>
      </c>
    </row>
    <row r="232" spans="1:10" ht="23.4" x14ac:dyDescent="0.3">
      <c r="A232" s="277" t="s">
        <v>110</v>
      </c>
      <c r="B232" s="957"/>
      <c r="C232" s="278" t="s">
        <v>391</v>
      </c>
      <c r="D232" s="278" t="s">
        <v>201</v>
      </c>
      <c r="E232" s="699">
        <v>12.9049</v>
      </c>
      <c r="F232" s="405">
        <f>IFERROR(E232*'01 Prod Physique Boites'!H229,"-")</f>
        <v>1263647.808</v>
      </c>
      <c r="G232" s="405">
        <f>IFERROR(E232*'01 Prod Physique Boites'!L229,"-")</f>
        <v>5054591.2319999998</v>
      </c>
      <c r="H232" s="388">
        <v>20.5</v>
      </c>
      <c r="I232" s="424">
        <f t="shared" si="141"/>
        <v>2007360</v>
      </c>
      <c r="J232" s="425">
        <f t="shared" si="142"/>
        <v>8029440</v>
      </c>
    </row>
    <row r="233" spans="1:10" ht="23.4" x14ac:dyDescent="0.3">
      <c r="A233" s="277" t="s">
        <v>110</v>
      </c>
      <c r="B233" s="957"/>
      <c r="C233" s="278" t="s">
        <v>319</v>
      </c>
      <c r="D233" s="278" t="s">
        <v>202</v>
      </c>
      <c r="E233" s="509">
        <v>13.078200000000001</v>
      </c>
      <c r="F233" s="405">
        <f>IFERROR(E233*'01 Prod Physique Boites'!H230,"-")</f>
        <v>0</v>
      </c>
      <c r="G233" s="405">
        <f>IFERROR(E233*'01 Prod Physique Boites'!L230,"-")</f>
        <v>0</v>
      </c>
      <c r="H233" s="388">
        <v>20.6</v>
      </c>
      <c r="I233" s="424">
        <f t="shared" si="141"/>
        <v>0</v>
      </c>
      <c r="J233" s="425">
        <f t="shared" si="142"/>
        <v>0</v>
      </c>
    </row>
    <row r="234" spans="1:10" ht="23.4" x14ac:dyDescent="0.3">
      <c r="A234" s="277" t="s">
        <v>110</v>
      </c>
      <c r="B234" s="957"/>
      <c r="C234" s="278" t="s">
        <v>358</v>
      </c>
      <c r="D234" s="278" t="s">
        <v>352</v>
      </c>
      <c r="E234" s="509">
        <v>13.1958</v>
      </c>
      <c r="F234" s="405">
        <f>IFERROR(E234*'01 Prod Physique Boites'!H231,"-")</f>
        <v>0</v>
      </c>
      <c r="G234" s="405">
        <f>IFERROR(E234*'01 Prod Physique Boites'!L231,"-")</f>
        <v>0</v>
      </c>
      <c r="H234" s="388">
        <v>21.28</v>
      </c>
      <c r="I234" s="424">
        <f t="shared" si="141"/>
        <v>0</v>
      </c>
      <c r="J234" s="425">
        <f t="shared" si="142"/>
        <v>0</v>
      </c>
    </row>
    <row r="235" spans="1:10" ht="23.4" x14ac:dyDescent="0.3">
      <c r="A235" s="277">
        <v>1</v>
      </c>
      <c r="B235" s="957"/>
      <c r="C235" s="278" t="s">
        <v>392</v>
      </c>
      <c r="D235" s="278" t="s">
        <v>203</v>
      </c>
      <c r="E235" s="698">
        <v>12.9049</v>
      </c>
      <c r="F235" s="405">
        <f>IFERROR(E235*'01 Prod Physique Boites'!H232,"-")</f>
        <v>0</v>
      </c>
      <c r="G235" s="405">
        <f>IFERROR(E235*'01 Prod Physique Boites'!L232,"-")</f>
        <v>0</v>
      </c>
      <c r="H235" s="677">
        <v>20.5</v>
      </c>
      <c r="I235" s="424">
        <f t="shared" si="141"/>
        <v>0</v>
      </c>
      <c r="J235" s="425">
        <f t="shared" si="142"/>
        <v>0</v>
      </c>
    </row>
    <row r="236" spans="1:10" ht="24" thickBot="1" x14ac:dyDescent="0.35">
      <c r="A236" s="277" t="s">
        <v>110</v>
      </c>
      <c r="B236" s="958"/>
      <c r="C236" s="282" t="s">
        <v>379</v>
      </c>
      <c r="D236" s="282" t="s">
        <v>187</v>
      </c>
      <c r="E236" s="505">
        <v>13.6509</v>
      </c>
      <c r="F236" s="405">
        <f>IFERROR(E236*'01 Prod Physique Boites'!H233,"-")</f>
        <v>0</v>
      </c>
      <c r="G236" s="405">
        <f>IFERROR(E236*'01 Prod Physique Boites'!L233,"-")</f>
        <v>0</v>
      </c>
      <c r="H236" s="390">
        <v>21.18</v>
      </c>
      <c r="I236" s="426">
        <f t="shared" si="141"/>
        <v>0</v>
      </c>
      <c r="J236" s="427">
        <f>IFERROR(H236*(G236/E236),"-")</f>
        <v>0</v>
      </c>
    </row>
    <row r="237" spans="1:10" ht="24" thickBot="1" x14ac:dyDescent="0.35">
      <c r="A237" s="277" t="s">
        <v>110</v>
      </c>
      <c r="B237" s="967" t="s">
        <v>48</v>
      </c>
      <c r="C237" s="968"/>
      <c r="D237" s="969"/>
      <c r="E237" s="393"/>
      <c r="F237" s="409">
        <f t="shared" ref="F237" si="143">SUM(F230:F236)</f>
        <v>1263647.808</v>
      </c>
      <c r="G237" s="410">
        <f>SUM(G230:G236)</f>
        <v>5134167.7560000001</v>
      </c>
      <c r="H237" s="394"/>
      <c r="I237" s="409">
        <f t="shared" ref="I237" si="144">SUM(I230:I236)</f>
        <v>2007360</v>
      </c>
      <c r="J237" s="428">
        <f>SUM(J230:J236)</f>
        <v>8159061.5999999996</v>
      </c>
    </row>
    <row r="238" spans="1:10" ht="23.4" x14ac:dyDescent="0.3">
      <c r="A238" s="277" t="s">
        <v>110</v>
      </c>
      <c r="B238" s="956" t="s">
        <v>18</v>
      </c>
      <c r="C238" s="272" t="s">
        <v>344</v>
      </c>
      <c r="D238" s="272" t="s">
        <v>99</v>
      </c>
      <c r="E238" s="508">
        <v>17.8202</v>
      </c>
      <c r="F238" s="405">
        <f>IFERROR(E238*'01 Prod Physique Boites'!H235,"-")</f>
        <v>0</v>
      </c>
      <c r="G238" s="406">
        <f>IFERROR(E238*'01 Prod Physique Boites'!L235,"-")</f>
        <v>0</v>
      </c>
      <c r="H238" s="384">
        <v>24.93</v>
      </c>
      <c r="I238" s="422">
        <f t="shared" ref="I238:I244" si="145">IFERROR(H238*(F238/E238),"-")</f>
        <v>0</v>
      </c>
      <c r="J238" s="423">
        <f t="shared" ref="J238:J240" si="146">IFERROR(H238*(G238/E238),"-")</f>
        <v>0</v>
      </c>
    </row>
    <row r="239" spans="1:10" ht="23.4" x14ac:dyDescent="0.3">
      <c r="A239" s="277" t="s">
        <v>110</v>
      </c>
      <c r="B239" s="957"/>
      <c r="C239" s="278" t="s">
        <v>137</v>
      </c>
      <c r="D239" s="278"/>
      <c r="E239" s="509">
        <v>17.8202</v>
      </c>
      <c r="F239" s="405">
        <f>IFERROR(E239*'01 Prod Physique Boites'!H236,"-")</f>
        <v>0</v>
      </c>
      <c r="G239" s="406">
        <f>IFERROR(E239*'01 Prod Physique Boites'!L236,"-")</f>
        <v>0</v>
      </c>
      <c r="H239" s="388">
        <v>0</v>
      </c>
      <c r="I239" s="424">
        <f t="shared" si="145"/>
        <v>0</v>
      </c>
      <c r="J239" s="425">
        <f t="shared" si="146"/>
        <v>0</v>
      </c>
    </row>
    <row r="240" spans="1:10" ht="23.4" x14ac:dyDescent="0.3">
      <c r="A240" s="277" t="s">
        <v>110</v>
      </c>
      <c r="B240" s="957"/>
      <c r="C240" s="278" t="s">
        <v>122</v>
      </c>
      <c r="D240" s="278"/>
      <c r="E240" s="509">
        <v>16.4071</v>
      </c>
      <c r="F240" s="405">
        <f>IFERROR(E240*'01 Prod Physique Boites'!H237,"-")</f>
        <v>0</v>
      </c>
      <c r="G240" s="406">
        <f>IFERROR(E240*'01 Prod Physique Boites'!L237,"-")</f>
        <v>0</v>
      </c>
      <c r="H240" s="388">
        <v>0</v>
      </c>
      <c r="I240" s="424">
        <f t="shared" si="145"/>
        <v>0</v>
      </c>
      <c r="J240" s="425">
        <f t="shared" si="146"/>
        <v>0</v>
      </c>
    </row>
    <row r="241" spans="1:10" ht="23.4" x14ac:dyDescent="0.3">
      <c r="A241" s="277" t="s">
        <v>110</v>
      </c>
      <c r="B241" s="957"/>
      <c r="C241" s="278" t="s">
        <v>129</v>
      </c>
      <c r="D241" s="278"/>
      <c r="E241" s="509">
        <v>17.8202</v>
      </c>
      <c r="F241" s="405">
        <f>IFERROR(E241*'01 Prod Physique Boites'!H238,"-")</f>
        <v>0</v>
      </c>
      <c r="G241" s="406">
        <f>IFERROR(E241*'01 Prod Physique Boites'!L238,"-")</f>
        <v>0</v>
      </c>
      <c r="H241" s="388">
        <v>0</v>
      </c>
      <c r="I241" s="424">
        <f t="shared" si="145"/>
        <v>0</v>
      </c>
      <c r="J241" s="425">
        <f>IFERROR(H241*(G241/E241),"-")</f>
        <v>0</v>
      </c>
    </row>
    <row r="242" spans="1:10" ht="23.4" x14ac:dyDescent="0.3">
      <c r="A242" s="277" t="s">
        <v>110</v>
      </c>
      <c r="B242" s="957"/>
      <c r="C242" s="278" t="s">
        <v>189</v>
      </c>
      <c r="D242" s="278" t="s">
        <v>190</v>
      </c>
      <c r="E242" s="509">
        <v>17.8202</v>
      </c>
      <c r="F242" s="405">
        <f>IFERROR(E242*'01 Prod Physique Boites'!H239,"-")</f>
        <v>0</v>
      </c>
      <c r="G242" s="406">
        <f>IFERROR(E242*'01 Prod Physique Boites'!L239,"-")</f>
        <v>0</v>
      </c>
      <c r="H242" s="388">
        <v>0</v>
      </c>
      <c r="I242" s="424">
        <f t="shared" si="145"/>
        <v>0</v>
      </c>
      <c r="J242" s="425">
        <f t="shared" ref="J242:J244" si="147">IFERROR(H242*(G242/E242),"-")</f>
        <v>0</v>
      </c>
    </row>
    <row r="243" spans="1:10" ht="23.4" x14ac:dyDescent="0.3">
      <c r="A243" s="277" t="s">
        <v>110</v>
      </c>
      <c r="B243" s="957"/>
      <c r="C243" s="278" t="s">
        <v>192</v>
      </c>
      <c r="D243" s="278" t="s">
        <v>191</v>
      </c>
      <c r="E243" s="509">
        <v>16.7288</v>
      </c>
      <c r="F243" s="405">
        <f>IFERROR(E243*'01 Prod Physique Boites'!H240,"-")</f>
        <v>0</v>
      </c>
      <c r="G243" s="406">
        <f>IFERROR(E243*'01 Prod Physique Boites'!L240,"-")</f>
        <v>0</v>
      </c>
      <c r="H243" s="388">
        <v>0</v>
      </c>
      <c r="I243" s="424">
        <f t="shared" si="145"/>
        <v>0</v>
      </c>
      <c r="J243" s="425">
        <f t="shared" si="147"/>
        <v>0</v>
      </c>
    </row>
    <row r="244" spans="1:10" ht="24" thickBot="1" x14ac:dyDescent="0.35">
      <c r="A244" s="277" t="s">
        <v>110</v>
      </c>
      <c r="B244" s="958"/>
      <c r="C244" s="289" t="s">
        <v>193</v>
      </c>
      <c r="D244" s="289" t="s">
        <v>114</v>
      </c>
      <c r="E244" s="505">
        <v>17.8202</v>
      </c>
      <c r="F244" s="405">
        <f>IFERROR(E244*'01 Prod Physique Boites'!H241,"-")</f>
        <v>0</v>
      </c>
      <c r="G244" s="406">
        <f>IFERROR(E244*'01 Prod Physique Boites'!L241,"-")</f>
        <v>0</v>
      </c>
      <c r="H244" s="388">
        <v>0</v>
      </c>
      <c r="I244" s="426">
        <f t="shared" si="145"/>
        <v>0</v>
      </c>
      <c r="J244" s="427">
        <f t="shared" si="147"/>
        <v>0</v>
      </c>
    </row>
    <row r="245" spans="1:10" ht="24" thickBot="1" x14ac:dyDescent="0.35">
      <c r="A245" s="277" t="s">
        <v>110</v>
      </c>
      <c r="B245" s="967" t="s">
        <v>29</v>
      </c>
      <c r="C245" s="968"/>
      <c r="D245" s="969"/>
      <c r="E245" s="660"/>
      <c r="F245" s="661">
        <f t="shared" ref="F245:G245" si="148">SUM(F238:F244)</f>
        <v>0</v>
      </c>
      <c r="G245" s="410">
        <f t="shared" si="148"/>
        <v>0</v>
      </c>
      <c r="H245" s="394"/>
      <c r="I245" s="409">
        <f t="shared" ref="I245:J245" si="149">SUM(I238:I244)</f>
        <v>0</v>
      </c>
      <c r="J245" s="428">
        <f t="shared" si="149"/>
        <v>0</v>
      </c>
    </row>
    <row r="246" spans="1:10" ht="24" thickBot="1" x14ac:dyDescent="0.35">
      <c r="A246" s="277"/>
      <c r="B246" s="985" t="s">
        <v>19</v>
      </c>
      <c r="C246" s="662" t="s">
        <v>255</v>
      </c>
      <c r="D246" s="668" t="s">
        <v>190</v>
      </c>
      <c r="E246" s="669">
        <v>12.2659</v>
      </c>
      <c r="F246" s="670">
        <f>IFERROR(E246*'01 Prod Physique Boites'!H243,"-")</f>
        <v>0</v>
      </c>
      <c r="G246" s="671">
        <f>IFERROR(E246*'01 Prod Physique Boites'!L243,"-")</f>
        <v>0</v>
      </c>
      <c r="H246" s="665">
        <v>14.79</v>
      </c>
      <c r="I246" s="650">
        <f t="shared" ref="I246:I248" si="150">IFERROR(H246*(F246/E246),"-")</f>
        <v>0</v>
      </c>
      <c r="J246" s="650">
        <f>IFERROR(H246*(G246/E246),"-")</f>
        <v>0</v>
      </c>
    </row>
    <row r="247" spans="1:10" ht="24" thickBot="1" x14ac:dyDescent="0.35">
      <c r="A247" s="277"/>
      <c r="B247" s="986"/>
      <c r="C247" s="663" t="s">
        <v>399</v>
      </c>
      <c r="D247" s="672"/>
      <c r="E247" s="654">
        <v>12.2659</v>
      </c>
      <c r="F247" s="670">
        <f>IFERROR(E247*'01 Prod Physique Boites'!H244,"-")</f>
        <v>0</v>
      </c>
      <c r="G247" s="645">
        <f>IFERROR(E247*'01 Prod Physique Boites'!L244,"-")</f>
        <v>103622.3232</v>
      </c>
      <c r="H247" s="666">
        <v>14.55</v>
      </c>
      <c r="I247" s="655">
        <f t="shared" si="150"/>
        <v>0</v>
      </c>
      <c r="J247" s="655">
        <f>IFERROR(H247*(G247/E247),"-")</f>
        <v>122918.40000000001</v>
      </c>
    </row>
    <row r="248" spans="1:10" ht="24" thickBot="1" x14ac:dyDescent="0.35">
      <c r="A248" s="723" t="s">
        <v>110</v>
      </c>
      <c r="B248" s="987"/>
      <c r="C248" s="664" t="s">
        <v>380</v>
      </c>
      <c r="D248" s="673"/>
      <c r="E248" s="674">
        <v>0</v>
      </c>
      <c r="F248" s="670">
        <f>IFERROR(E248*'01 Prod Physique Boites'!H245,"-")</f>
        <v>0</v>
      </c>
      <c r="G248" s="676">
        <f>IFERROR(E248*'01 Prod Physique Boites'!L245,"-")</f>
        <v>0</v>
      </c>
      <c r="H248" s="667">
        <v>0</v>
      </c>
      <c r="I248" s="429" t="str">
        <f t="shared" si="150"/>
        <v>-</v>
      </c>
      <c r="J248" s="430" t="str">
        <f t="shared" ref="J248" si="151">IFERROR(I248*(G248/F248),"-")</f>
        <v>-</v>
      </c>
    </row>
    <row r="249" spans="1:10" ht="24" thickBot="1" x14ac:dyDescent="0.35">
      <c r="A249" s="277" t="s">
        <v>110</v>
      </c>
      <c r="B249" s="967" t="s">
        <v>49</v>
      </c>
      <c r="C249" s="968"/>
      <c r="D249" s="969"/>
      <c r="E249" s="393"/>
      <c r="F249" s="409">
        <f>SUM(F246:F248)</f>
        <v>0</v>
      </c>
      <c r="G249" s="409">
        <f>SUM(G246:G248)</f>
        <v>103622.3232</v>
      </c>
      <c r="H249" s="394"/>
      <c r="I249" s="409">
        <f t="shared" ref="I249" si="152">SUM(I248)</f>
        <v>0</v>
      </c>
      <c r="J249" s="428">
        <f>SUM(J246:J248)</f>
        <v>122918.40000000001</v>
      </c>
    </row>
    <row r="250" spans="1:10" ht="23.4" x14ac:dyDescent="0.3">
      <c r="A250" s="277" t="s">
        <v>110</v>
      </c>
      <c r="B250" s="956" t="s">
        <v>20</v>
      </c>
      <c r="C250" s="294" t="s">
        <v>351</v>
      </c>
      <c r="D250" s="294" t="s">
        <v>313</v>
      </c>
      <c r="E250" s="508">
        <v>26.032900000000001</v>
      </c>
      <c r="F250" s="405">
        <f>IFERROR(E250*'01 Prod Physique Boites'!H247,"-")</f>
        <v>0</v>
      </c>
      <c r="G250" s="406">
        <f>IFERROR(E250*'01 Prod Physique Boites'!L247,"-")</f>
        <v>0</v>
      </c>
      <c r="H250" s="384">
        <v>36.44</v>
      </c>
      <c r="I250" s="422">
        <f>IFERROR(H250*(F250/E250),"-")</f>
        <v>0</v>
      </c>
      <c r="J250" s="423">
        <f t="shared" ref="J250:J252" si="153">IFERROR(H250*(G250/E250),"-")</f>
        <v>0</v>
      </c>
    </row>
    <row r="251" spans="1:10" ht="23.4" x14ac:dyDescent="0.3">
      <c r="A251" s="277" t="s">
        <v>110</v>
      </c>
      <c r="B251" s="957"/>
      <c r="C251" s="295" t="s">
        <v>121</v>
      </c>
      <c r="D251" s="295"/>
      <c r="E251" s="387">
        <v>24.2607</v>
      </c>
      <c r="F251" s="405">
        <f>IFERROR(E251*'01 Prod Physique Boites'!H248,"-")</f>
        <v>0</v>
      </c>
      <c r="G251" s="406">
        <f>IFERROR(E251*'01 Prod Physique Boites'!L248,"-")</f>
        <v>0</v>
      </c>
      <c r="H251" s="388">
        <v>37.369999999999997</v>
      </c>
      <c r="I251" s="424">
        <f>IFERROR(H251*(F251/E251),"-")</f>
        <v>0</v>
      </c>
      <c r="J251" s="425">
        <f t="shared" si="153"/>
        <v>0</v>
      </c>
    </row>
    <row r="252" spans="1:10" ht="24" thickBot="1" x14ac:dyDescent="0.35">
      <c r="A252" s="277" t="s">
        <v>110</v>
      </c>
      <c r="B252" s="958"/>
      <c r="C252" s="296" t="s">
        <v>127</v>
      </c>
      <c r="D252" s="296"/>
      <c r="E252" s="389">
        <v>26.035799999999998</v>
      </c>
      <c r="F252" s="405">
        <f>IFERROR(E252*'01 Prod Physique Boites'!H249,"-")</f>
        <v>0</v>
      </c>
      <c r="G252" s="406">
        <f>IFERROR(E252*'01 Prod Physique Boites'!L249,"-")</f>
        <v>0</v>
      </c>
      <c r="H252" s="390">
        <v>37.11</v>
      </c>
      <c r="I252" s="426">
        <f>IFERROR(H252*(F252/E252),"-")</f>
        <v>0</v>
      </c>
      <c r="J252" s="427">
        <f t="shared" si="153"/>
        <v>0</v>
      </c>
    </row>
    <row r="253" spans="1:10" ht="24" thickBot="1" x14ac:dyDescent="0.35">
      <c r="A253" s="277" t="s">
        <v>110</v>
      </c>
      <c r="B253" s="968" t="s">
        <v>50</v>
      </c>
      <c r="C253" s="968"/>
      <c r="D253" s="989"/>
      <c r="E253" s="393"/>
      <c r="F253" s="409">
        <f t="shared" ref="F253:G253" si="154">SUM(F250:F252)</f>
        <v>0</v>
      </c>
      <c r="G253" s="410">
        <f t="shared" si="154"/>
        <v>0</v>
      </c>
      <c r="H253" s="394"/>
      <c r="I253" s="409">
        <f t="shared" ref="I253:J253" si="155">SUM(I250:I252)</f>
        <v>0</v>
      </c>
      <c r="J253" s="428">
        <f t="shared" si="155"/>
        <v>0</v>
      </c>
    </row>
    <row r="254" spans="1:10" ht="24" thickBot="1" x14ac:dyDescent="0.35">
      <c r="A254" s="277" t="s">
        <v>110</v>
      </c>
      <c r="B254" s="981" t="s">
        <v>21</v>
      </c>
      <c r="C254" s="982"/>
      <c r="D254" s="983"/>
      <c r="E254" s="396"/>
      <c r="F254" s="413">
        <f>+F229+F237+F245+F249+F253</f>
        <v>2513348.16</v>
      </c>
      <c r="G254" s="414">
        <f>+G229+G237+G245+G249+G253</f>
        <v>6773880.0952000003</v>
      </c>
      <c r="H254" s="397"/>
      <c r="I254" s="413">
        <f>+I229+I237+I245+I249+I253</f>
        <v>3499276.8</v>
      </c>
      <c r="J254" s="431">
        <f>+J229+J237+J245+J249+J253</f>
        <v>10115794.4</v>
      </c>
    </row>
    <row r="255" spans="1:10" ht="23.4" x14ac:dyDescent="0.3">
      <c r="A255" s="277" t="s">
        <v>110</v>
      </c>
      <c r="B255" s="956" t="s">
        <v>22</v>
      </c>
      <c r="C255" s="272" t="s">
        <v>132</v>
      </c>
      <c r="D255" s="272"/>
      <c r="E255" s="383">
        <v>22.820599999999999</v>
      </c>
      <c r="F255" s="405">
        <f>IFERROR(E255*'01 Prod Physique Boites'!H252,"-")</f>
        <v>0</v>
      </c>
      <c r="G255" s="406">
        <f>IFERROR(E255*'01 Prod Physique Boites'!L252,"-")</f>
        <v>0</v>
      </c>
      <c r="H255" s="384">
        <v>27.5</v>
      </c>
      <c r="I255" s="422">
        <f>IFERROR(H255*(F255/E255),"-")</f>
        <v>0</v>
      </c>
      <c r="J255" s="423">
        <f t="shared" ref="J255:J258" si="156">IFERROR(H255*(G255/E255),"-")</f>
        <v>0</v>
      </c>
    </row>
    <row r="256" spans="1:10" ht="23.4" x14ac:dyDescent="0.3">
      <c r="A256" s="277" t="s">
        <v>110</v>
      </c>
      <c r="B256" s="957"/>
      <c r="C256" s="298" t="s">
        <v>283</v>
      </c>
      <c r="D256" s="298" t="s">
        <v>194</v>
      </c>
      <c r="E256" s="387">
        <v>23.570699999999999</v>
      </c>
      <c r="F256" s="405">
        <f>IFERROR(E256*'01 Prod Physique Boites'!H253,"-")</f>
        <v>0</v>
      </c>
      <c r="G256" s="406">
        <f>IFERROR(E256*'01 Prod Physique Boites'!L253,"-")</f>
        <v>0</v>
      </c>
      <c r="H256" s="388">
        <v>27.5</v>
      </c>
      <c r="I256" s="424">
        <f>IFERROR(H256*(F256/E256),"-")</f>
        <v>0</v>
      </c>
      <c r="J256" s="425">
        <f t="shared" si="156"/>
        <v>0</v>
      </c>
    </row>
    <row r="257" spans="1:10" ht="23.4" x14ac:dyDescent="0.3">
      <c r="A257" s="277" t="s">
        <v>110</v>
      </c>
      <c r="B257" s="957"/>
      <c r="C257" s="298" t="s">
        <v>405</v>
      </c>
      <c r="D257" s="298" t="s">
        <v>194</v>
      </c>
      <c r="E257" s="387">
        <v>22.820599999999999</v>
      </c>
      <c r="F257" s="405">
        <f>IFERROR(E257*'01 Prod Physique Boites'!H254,"-")</f>
        <v>1897761.0959999999</v>
      </c>
      <c r="G257" s="406">
        <f>IFERROR(E257*'01 Prod Physique Boites'!L254,"-")</f>
        <v>6461424.6839999994</v>
      </c>
      <c r="H257" s="388">
        <v>27.5</v>
      </c>
      <c r="I257" s="424">
        <f>IFERROR(H257*(F257/E257),"-")</f>
        <v>2286900</v>
      </c>
      <c r="J257" s="425">
        <f t="shared" si="156"/>
        <v>7786350</v>
      </c>
    </row>
    <row r="258" spans="1:10" ht="24" thickBot="1" x14ac:dyDescent="0.35">
      <c r="A258" s="277" t="s">
        <v>110</v>
      </c>
      <c r="B258" s="958"/>
      <c r="C258" s="282" t="s">
        <v>195</v>
      </c>
      <c r="D258" s="282" t="s">
        <v>100</v>
      </c>
      <c r="E258" s="389">
        <v>23.5685</v>
      </c>
      <c r="F258" s="405">
        <f>IFERROR(E258*'01 Prod Physique Boites'!H255,"-")</f>
        <v>0</v>
      </c>
      <c r="G258" s="406">
        <f>IFERROR(E258*'01 Prod Physique Boites'!L255,"-")</f>
        <v>0</v>
      </c>
      <c r="H258" s="390">
        <v>24</v>
      </c>
      <c r="I258" s="426">
        <f>IFERROR(H258*(F258/E258),"-")</f>
        <v>0</v>
      </c>
      <c r="J258" s="427">
        <f t="shared" si="156"/>
        <v>0</v>
      </c>
    </row>
    <row r="259" spans="1:10" ht="24" thickBot="1" x14ac:dyDescent="0.35">
      <c r="A259" s="277" t="s">
        <v>110</v>
      </c>
      <c r="B259" s="967" t="s">
        <v>51</v>
      </c>
      <c r="C259" s="968"/>
      <c r="D259" s="969"/>
      <c r="E259" s="393"/>
      <c r="F259" s="409">
        <f t="shared" ref="F259:G259" si="157">SUM(F255:F258)</f>
        <v>1897761.0959999999</v>
      </c>
      <c r="G259" s="410">
        <f t="shared" si="157"/>
        <v>6461424.6839999994</v>
      </c>
      <c r="H259" s="394"/>
      <c r="I259" s="409">
        <f t="shared" ref="I259:J259" si="158">SUM(I255:I258)</f>
        <v>2286900</v>
      </c>
      <c r="J259" s="428">
        <f t="shared" si="158"/>
        <v>7786350</v>
      </c>
    </row>
    <row r="260" spans="1:10" ht="23.4" x14ac:dyDescent="0.3">
      <c r="A260" s="277" t="s">
        <v>110</v>
      </c>
      <c r="B260" s="956" t="s">
        <v>23</v>
      </c>
      <c r="C260" s="299" t="s">
        <v>337</v>
      </c>
      <c r="D260" s="299" t="s">
        <v>258</v>
      </c>
      <c r="E260" s="383">
        <v>101.4935</v>
      </c>
      <c r="F260" s="405">
        <f>IFERROR(E260*'01 Prod Physique Boites'!H257,"-")</f>
        <v>0</v>
      </c>
      <c r="G260" s="406">
        <f>IFERROR(E260*'01 Prod Physique Boites'!L257,"-")</f>
        <v>0</v>
      </c>
      <c r="H260" s="388">
        <v>160.44999999999999</v>
      </c>
      <c r="I260" s="422">
        <f t="shared" ref="I260:I267" si="159">IFERROR(H260*(F260/E260),"-")</f>
        <v>0</v>
      </c>
      <c r="J260" s="423">
        <f t="shared" ref="J260:J267" si="160">IFERROR(H260*(G260/E260),"-")</f>
        <v>0</v>
      </c>
    </row>
    <row r="261" spans="1:10" ht="23.4" x14ac:dyDescent="0.3">
      <c r="A261" s="277" t="s">
        <v>110</v>
      </c>
      <c r="B261" s="957"/>
      <c r="C261" s="278" t="s">
        <v>24</v>
      </c>
      <c r="D261" s="278" t="s">
        <v>258</v>
      </c>
      <c r="E261" s="387">
        <v>101.4935</v>
      </c>
      <c r="F261" s="405">
        <f>IFERROR(E261*'01 Prod Physique Boites'!H258,"-")</f>
        <v>0</v>
      </c>
      <c r="G261" s="406">
        <f>IFERROR(E261*'01 Prod Physique Boites'!L258,"-")</f>
        <v>0</v>
      </c>
      <c r="H261" s="388">
        <v>160.44999999999999</v>
      </c>
      <c r="I261" s="424">
        <f t="shared" si="159"/>
        <v>0</v>
      </c>
      <c r="J261" s="425">
        <f t="shared" si="160"/>
        <v>0</v>
      </c>
    </row>
    <row r="262" spans="1:10" ht="23.4" x14ac:dyDescent="0.3">
      <c r="A262" s="277" t="s">
        <v>110</v>
      </c>
      <c r="B262" s="957"/>
      <c r="C262" s="278" t="s">
        <v>256</v>
      </c>
      <c r="D262" s="278" t="s">
        <v>258</v>
      </c>
      <c r="E262" s="387">
        <v>101.4935</v>
      </c>
      <c r="F262" s="405">
        <f>IFERROR(E262*'01 Prod Physique Boites'!H259,"-")</f>
        <v>0</v>
      </c>
      <c r="G262" s="406">
        <f>IFERROR(E262*'01 Prod Physique Boites'!L259,"-")</f>
        <v>0</v>
      </c>
      <c r="H262" s="388">
        <v>160.44999999999999</v>
      </c>
      <c r="I262" s="424">
        <f t="shared" si="159"/>
        <v>0</v>
      </c>
      <c r="J262" s="425">
        <f t="shared" si="160"/>
        <v>0</v>
      </c>
    </row>
    <row r="263" spans="1:10" ht="23.4" x14ac:dyDescent="0.3">
      <c r="A263" s="277" t="s">
        <v>110</v>
      </c>
      <c r="B263" s="957"/>
      <c r="C263" s="278" t="s">
        <v>257</v>
      </c>
      <c r="D263" s="278" t="s">
        <v>258</v>
      </c>
      <c r="E263" s="387">
        <v>101.4935</v>
      </c>
      <c r="F263" s="405">
        <f>IFERROR(E263*'01 Prod Physique Boites'!H260,"-")</f>
        <v>0</v>
      </c>
      <c r="G263" s="406">
        <f>IFERROR(E263*'01 Prod Physique Boites'!L260,"-")</f>
        <v>0</v>
      </c>
      <c r="H263" s="388">
        <v>160.44999999999999</v>
      </c>
      <c r="I263" s="424">
        <f t="shared" si="159"/>
        <v>0</v>
      </c>
      <c r="J263" s="425">
        <f t="shared" si="160"/>
        <v>0</v>
      </c>
    </row>
    <row r="264" spans="1:10" ht="23.4" x14ac:dyDescent="0.3">
      <c r="A264" s="277" t="s">
        <v>110</v>
      </c>
      <c r="B264" s="957"/>
      <c r="C264" s="298" t="s">
        <v>259</v>
      </c>
      <c r="D264" s="278" t="s">
        <v>258</v>
      </c>
      <c r="E264" s="387">
        <v>101.4935</v>
      </c>
      <c r="F264" s="405">
        <f>IFERROR(E264*'01 Prod Physique Boites'!H261,"-")</f>
        <v>0</v>
      </c>
      <c r="G264" s="406">
        <f>IFERROR(E264*'01 Prod Physique Boites'!L261,"-")</f>
        <v>0</v>
      </c>
      <c r="H264" s="388">
        <v>160.44999999999999</v>
      </c>
      <c r="I264" s="424">
        <f t="shared" si="159"/>
        <v>0</v>
      </c>
      <c r="J264" s="425">
        <f t="shared" si="160"/>
        <v>0</v>
      </c>
    </row>
    <row r="265" spans="1:10" ht="23.4" x14ac:dyDescent="0.3">
      <c r="A265" s="277" t="s">
        <v>110</v>
      </c>
      <c r="B265" s="957"/>
      <c r="C265" s="298" t="s">
        <v>260</v>
      </c>
      <c r="D265" s="278" t="s">
        <v>258</v>
      </c>
      <c r="E265" s="387">
        <v>101.4935</v>
      </c>
      <c r="F265" s="405">
        <f>IFERROR(E265*'01 Prod Physique Boites'!H262,"-")</f>
        <v>0</v>
      </c>
      <c r="G265" s="406">
        <f>IFERROR(E265*'01 Prod Physique Boites'!L262,"-")</f>
        <v>0</v>
      </c>
      <c r="H265" s="388">
        <v>160.44999999999999</v>
      </c>
      <c r="I265" s="424">
        <f t="shared" si="159"/>
        <v>0</v>
      </c>
      <c r="J265" s="425">
        <f t="shared" si="160"/>
        <v>0</v>
      </c>
    </row>
    <row r="266" spans="1:10" ht="23.4" x14ac:dyDescent="0.3">
      <c r="A266" s="277" t="s">
        <v>110</v>
      </c>
      <c r="B266" s="957"/>
      <c r="C266" s="298" t="s">
        <v>261</v>
      </c>
      <c r="D266" s="278" t="s">
        <v>263</v>
      </c>
      <c r="E266" s="387">
        <v>101.4935</v>
      </c>
      <c r="F266" s="405">
        <f>IFERROR(E266*'01 Prod Physique Boites'!H263,"-")</f>
        <v>0</v>
      </c>
      <c r="G266" s="406">
        <f>IFERROR(E266*'01 Prod Physique Boites'!L263,"-")</f>
        <v>0</v>
      </c>
      <c r="H266" s="388">
        <v>160.44999999999999</v>
      </c>
      <c r="I266" s="424">
        <f t="shared" si="159"/>
        <v>0</v>
      </c>
      <c r="J266" s="425">
        <f t="shared" si="160"/>
        <v>0</v>
      </c>
    </row>
    <row r="267" spans="1:10" ht="24" thickBot="1" x14ac:dyDescent="0.35">
      <c r="A267" s="277" t="s">
        <v>110</v>
      </c>
      <c r="B267" s="958"/>
      <c r="C267" s="298" t="s">
        <v>262</v>
      </c>
      <c r="D267" s="278" t="s">
        <v>258</v>
      </c>
      <c r="E267" s="389">
        <v>101.4935</v>
      </c>
      <c r="F267" s="405">
        <f>IFERROR(E267*'01 Prod Physique Boites'!H264,"-")</f>
        <v>0</v>
      </c>
      <c r="G267" s="406">
        <f>IFERROR(E267*'01 Prod Physique Boites'!L264,"-")</f>
        <v>0</v>
      </c>
      <c r="H267" s="388">
        <v>160.44999999999999</v>
      </c>
      <c r="I267" s="426">
        <f t="shared" si="159"/>
        <v>0</v>
      </c>
      <c r="J267" s="427">
        <f t="shared" si="160"/>
        <v>0</v>
      </c>
    </row>
    <row r="268" spans="1:10" ht="24" thickBot="1" x14ac:dyDescent="0.35">
      <c r="A268" s="277" t="s">
        <v>110</v>
      </c>
      <c r="B268" s="967" t="s">
        <v>52</v>
      </c>
      <c r="C268" s="968"/>
      <c r="D268" s="969"/>
      <c r="E268" s="393"/>
      <c r="F268" s="409">
        <f t="shared" ref="F268" si="161">SUM(F260:F267)</f>
        <v>0</v>
      </c>
      <c r="G268" s="410">
        <f>SUM(G260:G267)</f>
        <v>0</v>
      </c>
      <c r="H268" s="394"/>
      <c r="I268" s="409">
        <f t="shared" ref="I268" si="162">SUM(I260:I267)</f>
        <v>0</v>
      </c>
      <c r="J268" s="428">
        <f>SUM(J260:J267)</f>
        <v>0</v>
      </c>
    </row>
    <row r="269" spans="1:10" ht="24" thickBot="1" x14ac:dyDescent="0.35">
      <c r="A269" s="277" t="s">
        <v>110</v>
      </c>
      <c r="B269" s="981" t="s">
        <v>25</v>
      </c>
      <c r="C269" s="982"/>
      <c r="D269" s="983"/>
      <c r="E269" s="396"/>
      <c r="F269" s="413">
        <f t="shared" ref="F269" si="163">+F259+F268</f>
        <v>1897761.0959999999</v>
      </c>
      <c r="G269" s="414">
        <f>+G259+G268</f>
        <v>6461424.6839999994</v>
      </c>
      <c r="H269" s="397"/>
      <c r="I269" s="413">
        <f t="shared" ref="I269:J269" si="164">+I259+I268</f>
        <v>2286900</v>
      </c>
      <c r="J269" s="431">
        <f t="shared" si="164"/>
        <v>7786350</v>
      </c>
    </row>
    <row r="270" spans="1:10" ht="24" thickBot="1" x14ac:dyDescent="0.35">
      <c r="A270" s="277" t="s">
        <v>110</v>
      </c>
      <c r="B270" s="984" t="s">
        <v>180</v>
      </c>
      <c r="C270" s="962"/>
      <c r="D270" s="963"/>
      <c r="E270" s="398"/>
      <c r="F270" s="415">
        <f t="shared" ref="F270" si="165">+F254+F269</f>
        <v>4411109.2560000001</v>
      </c>
      <c r="G270" s="416">
        <f>+G254+G269</f>
        <v>13235304.779199999</v>
      </c>
      <c r="H270" s="399"/>
      <c r="I270" s="415">
        <f t="shared" ref="I270:J270" si="166">+I254+I269</f>
        <v>5786176.7999999998</v>
      </c>
      <c r="J270" s="432">
        <f t="shared" si="166"/>
        <v>17902144.399999999</v>
      </c>
    </row>
    <row r="271" spans="1:10" ht="23.4" x14ac:dyDescent="0.3">
      <c r="A271" s="271" t="s">
        <v>108</v>
      </c>
      <c r="B271" s="977" t="s">
        <v>26</v>
      </c>
      <c r="C271" s="300" t="s">
        <v>323</v>
      </c>
      <c r="D271" s="302" t="s">
        <v>190</v>
      </c>
      <c r="E271" s="508">
        <v>13.1272</v>
      </c>
      <c r="F271" s="405">
        <f>IFERROR(E271*'01 Prod Physique Boites'!H268,"-")</f>
        <v>0</v>
      </c>
      <c r="G271" s="406">
        <f>IFERROR(E271*'01 Prod Physique Boites'!L268,"-")</f>
        <v>0</v>
      </c>
      <c r="H271" s="384">
        <v>20.76</v>
      </c>
      <c r="I271" s="422">
        <f t="shared" ref="I271:I279" si="167">IFERROR(H271*(F271/E271),"-")</f>
        <v>0</v>
      </c>
      <c r="J271" s="644">
        <f t="shared" ref="J271:J279" si="168">IFERROR(H271*(G271/E271),"-")</f>
        <v>0</v>
      </c>
    </row>
    <row r="272" spans="1:10" ht="23.4" x14ac:dyDescent="0.3">
      <c r="A272" s="277" t="s">
        <v>108</v>
      </c>
      <c r="B272" s="977"/>
      <c r="C272" s="301" t="s">
        <v>196</v>
      </c>
      <c r="D272" s="301" t="s">
        <v>114</v>
      </c>
      <c r="E272" s="509">
        <v>14.608000000000001</v>
      </c>
      <c r="F272" s="405">
        <f>IFERROR(E272*'01 Prod Physique Boites'!H269,"-")</f>
        <v>0</v>
      </c>
      <c r="G272" s="406">
        <f>IFERROR(E272*'01 Prod Physique Boites'!L269,"-")</f>
        <v>0</v>
      </c>
      <c r="H272" s="388">
        <v>24.93</v>
      </c>
      <c r="I272" s="424">
        <f t="shared" si="167"/>
        <v>0</v>
      </c>
      <c r="J272" s="645">
        <f t="shared" si="168"/>
        <v>0</v>
      </c>
    </row>
    <row r="273" spans="1:10" ht="23.4" x14ac:dyDescent="0.3">
      <c r="A273" s="277" t="s">
        <v>108</v>
      </c>
      <c r="B273" s="977"/>
      <c r="C273" s="302" t="s">
        <v>27</v>
      </c>
      <c r="D273" s="302" t="s">
        <v>370</v>
      </c>
      <c r="E273" s="505">
        <v>17.8202</v>
      </c>
      <c r="F273" s="405">
        <f>IFERROR(E273*'01 Prod Physique Boites'!H270,"-")</f>
        <v>0</v>
      </c>
      <c r="G273" s="406">
        <f>IFERROR(E273*'01 Prod Physique Boites'!L270,"-")</f>
        <v>0</v>
      </c>
      <c r="H273" s="388">
        <v>21.22</v>
      </c>
      <c r="I273" s="424">
        <f t="shared" si="167"/>
        <v>0</v>
      </c>
      <c r="J273" s="645">
        <f t="shared" si="168"/>
        <v>0</v>
      </c>
    </row>
    <row r="274" spans="1:10" ht="23.4" x14ac:dyDescent="0.3">
      <c r="A274" s="277" t="s">
        <v>108</v>
      </c>
      <c r="B274" s="977"/>
      <c r="C274" s="302" t="s">
        <v>27</v>
      </c>
      <c r="D274" s="302" t="s">
        <v>254</v>
      </c>
      <c r="E274" s="505">
        <v>17.8202</v>
      </c>
      <c r="F274" s="405">
        <f>IFERROR(E274*'01 Prod Physique Boites'!H271,"-")</f>
        <v>0</v>
      </c>
      <c r="G274" s="406">
        <f>IFERROR(E274*'01 Prod Physique Boites'!L271,"-")</f>
        <v>0</v>
      </c>
      <c r="H274" s="388">
        <v>24.93</v>
      </c>
      <c r="I274" s="424">
        <f t="shared" si="167"/>
        <v>0</v>
      </c>
      <c r="J274" s="645">
        <f t="shared" si="168"/>
        <v>0</v>
      </c>
    </row>
    <row r="275" spans="1:10" ht="23.4" x14ac:dyDescent="0.3">
      <c r="A275" s="277" t="s">
        <v>108</v>
      </c>
      <c r="B275" s="977"/>
      <c r="C275" s="302" t="s">
        <v>27</v>
      </c>
      <c r="D275" s="302" t="s">
        <v>302</v>
      </c>
      <c r="E275" s="505">
        <v>17.8202</v>
      </c>
      <c r="F275" s="405">
        <f>IFERROR(E275*'01 Prod Physique Boites'!H272,"-")</f>
        <v>0</v>
      </c>
      <c r="G275" s="406">
        <f>IFERROR(E275*'01 Prod Physique Boites'!L272,"-")</f>
        <v>0</v>
      </c>
      <c r="H275" s="388">
        <v>24.93</v>
      </c>
      <c r="I275" s="424">
        <f t="shared" si="167"/>
        <v>0</v>
      </c>
      <c r="J275" s="645">
        <f t="shared" si="168"/>
        <v>0</v>
      </c>
    </row>
    <row r="276" spans="1:10" ht="23.4" x14ac:dyDescent="0.3">
      <c r="A276" s="277"/>
      <c r="B276" s="977"/>
      <c r="C276" s="302" t="s">
        <v>369</v>
      </c>
      <c r="D276" s="302" t="s">
        <v>190</v>
      </c>
      <c r="E276" s="505">
        <v>17.8202</v>
      </c>
      <c r="F276" s="405">
        <f>IFERROR(E276*'01 Prod Physique Boites'!H273,"-")</f>
        <v>0</v>
      </c>
      <c r="G276" s="406">
        <f>IFERROR(E276*'01 Prod Physique Boites'!L273,"-")</f>
        <v>0</v>
      </c>
      <c r="H276" s="390">
        <v>21.22</v>
      </c>
      <c r="I276" s="424">
        <f t="shared" si="167"/>
        <v>0</v>
      </c>
      <c r="J276" s="646">
        <f t="shared" si="168"/>
        <v>0</v>
      </c>
    </row>
    <row r="277" spans="1:10" ht="23.4" x14ac:dyDescent="0.3">
      <c r="A277" s="277"/>
      <c r="B277" s="977"/>
      <c r="C277" s="302" t="s">
        <v>314</v>
      </c>
      <c r="D277" s="302" t="s">
        <v>101</v>
      </c>
      <c r="E277" s="505">
        <v>14.608000000000001</v>
      </c>
      <c r="F277" s="405">
        <f>IFERROR(E277*'01 Prod Physique Boites'!H274,"-")</f>
        <v>0</v>
      </c>
      <c r="G277" s="406">
        <f>IFERROR(E277*'01 Prod Physique Boites'!L274,"-")</f>
        <v>0</v>
      </c>
      <c r="H277" s="390">
        <v>24.93</v>
      </c>
      <c r="I277" s="426">
        <f t="shared" si="167"/>
        <v>0</v>
      </c>
      <c r="J277" s="646">
        <f t="shared" si="168"/>
        <v>0</v>
      </c>
    </row>
    <row r="278" spans="1:10" ht="23.4" x14ac:dyDescent="0.3">
      <c r="A278" s="277"/>
      <c r="B278" s="977"/>
      <c r="C278" s="302" t="s">
        <v>314</v>
      </c>
      <c r="D278" s="302" t="s">
        <v>370</v>
      </c>
      <c r="E278" s="505">
        <v>14.608000000000001</v>
      </c>
      <c r="F278" s="405">
        <f>IFERROR(E278*'01 Prod Physique Boites'!H275,"-")</f>
        <v>0</v>
      </c>
      <c r="G278" s="406">
        <f>IFERROR(E278*'01 Prod Physique Boites'!L275,"-")</f>
        <v>0</v>
      </c>
      <c r="H278" s="390">
        <v>21.22</v>
      </c>
      <c r="I278" s="426">
        <f t="shared" si="167"/>
        <v>0</v>
      </c>
      <c r="J278" s="646">
        <f t="shared" si="168"/>
        <v>0</v>
      </c>
    </row>
    <row r="279" spans="1:10" ht="24" thickBot="1" x14ac:dyDescent="0.35">
      <c r="A279" s="277" t="s">
        <v>108</v>
      </c>
      <c r="B279" s="977"/>
      <c r="C279" s="303" t="s">
        <v>315</v>
      </c>
      <c r="D279" s="302" t="s">
        <v>313</v>
      </c>
      <c r="E279" s="505">
        <v>12.6997</v>
      </c>
      <c r="F279" s="405">
        <f>IFERROR(E279*'01 Prod Physique Boites'!H276,"-")</f>
        <v>0</v>
      </c>
      <c r="G279" s="406">
        <f>IFERROR(E279*'01 Prod Physique Boites'!L276,"-")</f>
        <v>0</v>
      </c>
      <c r="H279" s="390">
        <v>13.25</v>
      </c>
      <c r="I279" s="426">
        <f t="shared" si="167"/>
        <v>0</v>
      </c>
      <c r="J279" s="646">
        <f t="shared" si="168"/>
        <v>0</v>
      </c>
    </row>
    <row r="280" spans="1:10" ht="24" thickBot="1" x14ac:dyDescent="0.35">
      <c r="A280" s="277" t="s">
        <v>108</v>
      </c>
      <c r="B280" s="990"/>
      <c r="C280" s="304"/>
      <c r="D280" s="305" t="s">
        <v>55</v>
      </c>
      <c r="E280" s="393"/>
      <c r="F280" s="409">
        <f>SUM(F271:F279)</f>
        <v>0</v>
      </c>
      <c r="G280" s="410">
        <f t="shared" ref="G280" si="169">SUM(G271:G279)</f>
        <v>0</v>
      </c>
      <c r="H280" s="394"/>
      <c r="I280" s="409">
        <f t="shared" ref="I280" si="170">SUM(I271:I279)</f>
        <v>0</v>
      </c>
      <c r="J280" s="428">
        <f>SUM(J271:J279)</f>
        <v>0</v>
      </c>
    </row>
    <row r="281" spans="1:10" ht="23.4" x14ac:dyDescent="0.3">
      <c r="A281" s="277" t="s">
        <v>108</v>
      </c>
      <c r="B281" s="976" t="s">
        <v>28</v>
      </c>
      <c r="C281" s="302" t="s">
        <v>27</v>
      </c>
      <c r="D281" s="300" t="s">
        <v>302</v>
      </c>
      <c r="E281" s="508">
        <v>17.8202</v>
      </c>
      <c r="F281" s="405">
        <f>IFERROR(E281*'01 Prod Physique Boites'!H278,"-")</f>
        <v>0</v>
      </c>
      <c r="G281" s="406">
        <f>IFERROR(E281*'01 Prod Physique Boites'!L278,"-")</f>
        <v>70888.755600000004</v>
      </c>
      <c r="H281" s="384">
        <v>24.93</v>
      </c>
      <c r="I281" s="422">
        <f>IFERROR(H281*(F281/E281),"-")</f>
        <v>0</v>
      </c>
      <c r="J281" s="644">
        <f t="shared" ref="J281:J283" si="171">IFERROR(H281*(G281/E281),"-")</f>
        <v>99171.540000000008</v>
      </c>
    </row>
    <row r="282" spans="1:10" ht="23.4" x14ac:dyDescent="0.3">
      <c r="A282" s="277" t="s">
        <v>108</v>
      </c>
      <c r="B282" s="977"/>
      <c r="C282" s="302" t="s">
        <v>27</v>
      </c>
      <c r="D282" s="302" t="s">
        <v>370</v>
      </c>
      <c r="E282" s="505">
        <v>17.8202</v>
      </c>
      <c r="F282" s="405">
        <f>IFERROR(E282*'01 Prod Physique Boites'!H279,"-")</f>
        <v>0</v>
      </c>
      <c r="G282" s="406">
        <f>IFERROR(E282*'01 Prod Physique Boites'!L279,"-")</f>
        <v>425332.53360000002</v>
      </c>
      <c r="H282" s="388">
        <v>21.22</v>
      </c>
      <c r="I282" s="424">
        <f>IFERROR(H282*(F282/E282),"-")</f>
        <v>0</v>
      </c>
      <c r="J282" s="645">
        <f t="shared" si="171"/>
        <v>506478.95999999996</v>
      </c>
    </row>
    <row r="283" spans="1:10" ht="24" thickBot="1" x14ac:dyDescent="0.35">
      <c r="A283" s="277" t="s">
        <v>108</v>
      </c>
      <c r="B283" s="977"/>
      <c r="C283" s="302" t="s">
        <v>27</v>
      </c>
      <c r="D283" s="303" t="s">
        <v>254</v>
      </c>
      <c r="E283" s="505">
        <v>17.8202</v>
      </c>
      <c r="F283" s="405">
        <f>IFERROR(E283*'01 Prod Physique Boites'!H280,"-")</f>
        <v>2764661.4684000001</v>
      </c>
      <c r="G283" s="406">
        <f>IFERROR(E283*'01 Prod Physique Boites'!L280,"-")</f>
        <v>6238210.4928000001</v>
      </c>
      <c r="H283" s="388">
        <v>24.93</v>
      </c>
      <c r="I283" s="426">
        <f>IFERROR(H283*(F283/E283),"-")</f>
        <v>3867690.06</v>
      </c>
      <c r="J283" s="646">
        <f t="shared" si="171"/>
        <v>8727095.5199999996</v>
      </c>
    </row>
    <row r="284" spans="1:10" ht="24" thickBot="1" x14ac:dyDescent="0.35">
      <c r="A284" s="277" t="s">
        <v>108</v>
      </c>
      <c r="B284" s="977"/>
      <c r="C284" s="307"/>
      <c r="D284" s="308" t="s">
        <v>55</v>
      </c>
      <c r="E284" s="400"/>
      <c r="F284" s="417">
        <f t="shared" ref="F284:G284" si="172">SUM(F281:F283)</f>
        <v>2764661.4684000001</v>
      </c>
      <c r="G284" s="418">
        <f t="shared" si="172"/>
        <v>6734431.7819999997</v>
      </c>
      <c r="H284" s="401"/>
      <c r="I284" s="417">
        <f t="shared" ref="I284:J284" si="173">SUM(I281:I283)</f>
        <v>3867690.06</v>
      </c>
      <c r="J284" s="433">
        <f t="shared" si="173"/>
        <v>9332746.0199999996</v>
      </c>
    </row>
    <row r="285" spans="1:10" ht="24" thickBot="1" x14ac:dyDescent="0.35">
      <c r="A285" s="723" t="s">
        <v>108</v>
      </c>
      <c r="B285" s="978" t="s">
        <v>170</v>
      </c>
      <c r="C285" s="979"/>
      <c r="D285" s="980"/>
      <c r="E285" s="402"/>
      <c r="F285" s="419">
        <f t="shared" ref="F285:G285" si="174">+F280+F284</f>
        <v>2764661.4684000001</v>
      </c>
      <c r="G285" s="420">
        <f t="shared" si="174"/>
        <v>6734431.7819999997</v>
      </c>
      <c r="H285" s="403"/>
      <c r="I285" s="419">
        <f t="shared" ref="I285:J285" si="175">+I280+I284</f>
        <v>3867690.06</v>
      </c>
      <c r="J285" s="434">
        <f t="shared" si="175"/>
        <v>9332746.0199999996</v>
      </c>
    </row>
    <row r="286" spans="1:10" ht="23.4" x14ac:dyDescent="0.3">
      <c r="A286" s="277" t="s">
        <v>108</v>
      </c>
      <c r="B286" s="977" t="s">
        <v>30</v>
      </c>
      <c r="C286" s="306" t="s">
        <v>356</v>
      </c>
      <c r="D286" s="300" t="s">
        <v>191</v>
      </c>
      <c r="E286" s="508">
        <v>15.2788</v>
      </c>
      <c r="F286" s="405">
        <f>IFERROR(E286*'01 Prod Physique Boites'!H283,"-")</f>
        <v>0</v>
      </c>
      <c r="G286" s="406">
        <f>IFERROR(E286*'01 Prod Physique Boites'!L283,"-")</f>
        <v>0</v>
      </c>
      <c r="H286" s="384">
        <v>23.65</v>
      </c>
      <c r="I286" s="422">
        <f>IFERROR(H286*(F286/E286),"-")</f>
        <v>0</v>
      </c>
      <c r="J286" s="423">
        <f t="shared" ref="J286:J288" si="176">IFERROR(H286*(G286/E286),"-")</f>
        <v>0</v>
      </c>
    </row>
    <row r="287" spans="1:10" ht="23.4" x14ac:dyDescent="0.3">
      <c r="A287" s="277" t="s">
        <v>108</v>
      </c>
      <c r="B287" s="977"/>
      <c r="C287" s="306" t="s">
        <v>349</v>
      </c>
      <c r="D287" s="306" t="s">
        <v>313</v>
      </c>
      <c r="E287" s="509">
        <v>22.6356</v>
      </c>
      <c r="F287" s="405">
        <f>IFERROR(E287*'01 Prod Physique Boites'!H284,"-")</f>
        <v>0</v>
      </c>
      <c r="G287" s="406">
        <f>IFERROR(E287*'01 Prod Physique Boites'!L284,"-")</f>
        <v>0</v>
      </c>
      <c r="H287" s="388">
        <v>34.26</v>
      </c>
      <c r="I287" s="424">
        <f>IFERROR(H287*(F287/E287),"-")</f>
        <v>0</v>
      </c>
      <c r="J287" s="425">
        <f t="shared" si="176"/>
        <v>0</v>
      </c>
    </row>
    <row r="288" spans="1:10" ht="24" thickBot="1" x14ac:dyDescent="0.35">
      <c r="A288" s="277" t="s">
        <v>108</v>
      </c>
      <c r="B288" s="977"/>
      <c r="C288" s="303" t="s">
        <v>316</v>
      </c>
      <c r="D288" s="303"/>
      <c r="E288" s="505">
        <v>25.751300000000001</v>
      </c>
      <c r="F288" s="405">
        <f>IFERROR(E288*'01 Prod Physique Boites'!H285,"-")</f>
        <v>723096.50399999996</v>
      </c>
      <c r="G288" s="406">
        <f>IFERROR(E288*'01 Prod Physique Boites'!L285,"-")</f>
        <v>1349780.1407999999</v>
      </c>
      <c r="H288" s="390">
        <v>37.89</v>
      </c>
      <c r="I288" s="426">
        <f>IFERROR(H288*(F288/E288),"-")</f>
        <v>1063951.2</v>
      </c>
      <c r="J288" s="427">
        <f t="shared" si="176"/>
        <v>1986042.24</v>
      </c>
    </row>
    <row r="289" spans="1:10" ht="24" thickBot="1" x14ac:dyDescent="0.35">
      <c r="A289" s="277" t="s">
        <v>108</v>
      </c>
      <c r="B289" s="977"/>
      <c r="C289" s="304"/>
      <c r="D289" s="305" t="s">
        <v>53</v>
      </c>
      <c r="E289" s="393"/>
      <c r="F289" s="409">
        <f t="shared" ref="F289:G289" si="177">SUM(F286:F288)</f>
        <v>723096.50399999996</v>
      </c>
      <c r="G289" s="410">
        <f t="shared" si="177"/>
        <v>1349780.1407999999</v>
      </c>
      <c r="H289" s="394"/>
      <c r="I289" s="409">
        <f t="shared" ref="I289" si="178">SUM(I286:I288)</f>
        <v>1063951.2</v>
      </c>
      <c r="J289" s="428">
        <f>SUM(J286:J288)</f>
        <v>1986042.24</v>
      </c>
    </row>
    <row r="290" spans="1:10" ht="23.4" x14ac:dyDescent="0.3">
      <c r="A290" s="277" t="s">
        <v>108</v>
      </c>
      <c r="B290" s="977"/>
      <c r="C290" s="300" t="s">
        <v>339</v>
      </c>
      <c r="D290" s="300"/>
      <c r="E290" s="508">
        <v>22.094999999999999</v>
      </c>
      <c r="F290" s="405">
        <f>IFERROR(E290*'01 Prod Physique Boites'!H287,"-")</f>
        <v>0</v>
      </c>
      <c r="G290" s="406">
        <f>IFERROR(E290*'01 Prod Physique Boites'!L287,"-")</f>
        <v>0</v>
      </c>
      <c r="H290" s="384">
        <v>37.11</v>
      </c>
      <c r="I290" s="422">
        <f>IFERROR(H290*(F290/E290),"-")</f>
        <v>0</v>
      </c>
      <c r="J290" s="423">
        <f t="shared" ref="J290:J292" si="179">IFERROR(H290*(G290/E290),"-")</f>
        <v>0</v>
      </c>
    </row>
    <row r="291" spans="1:10" ht="23.4" x14ac:dyDescent="0.3">
      <c r="A291" s="277" t="s">
        <v>108</v>
      </c>
      <c r="B291" s="977"/>
      <c r="C291" s="306" t="s">
        <v>373</v>
      </c>
      <c r="D291" s="306" t="s">
        <v>254</v>
      </c>
      <c r="E291" s="509">
        <v>27.917000000000002</v>
      </c>
      <c r="F291" s="405">
        <f>IFERROR(E291*'01 Prod Physique Boites'!H288,"-")</f>
        <v>209042.49600000001</v>
      </c>
      <c r="G291" s="406">
        <f>IFERROR(E291*'01 Prod Physique Boites'!L288,"-")</f>
        <v>261303.12000000002</v>
      </c>
      <c r="H291" s="388">
        <v>39</v>
      </c>
      <c r="I291" s="424">
        <f>IFERROR(H291*(F291/E291),"-")</f>
        <v>292032</v>
      </c>
      <c r="J291" s="425">
        <f t="shared" si="179"/>
        <v>365040</v>
      </c>
    </row>
    <row r="292" spans="1:10" ht="24" thickBot="1" x14ac:dyDescent="0.35">
      <c r="A292" s="277" t="s">
        <v>108</v>
      </c>
      <c r="B292" s="977"/>
      <c r="C292" s="303" t="s">
        <v>145</v>
      </c>
      <c r="D292" s="303"/>
      <c r="E292" s="505">
        <v>25.4041</v>
      </c>
      <c r="F292" s="405">
        <f>IFERROR(E292*'01 Prod Physique Boites'!H289,"-")</f>
        <v>0</v>
      </c>
      <c r="G292" s="406">
        <f>IFERROR(E292*'01 Prod Physique Boites'!L289,"-")</f>
        <v>0</v>
      </c>
      <c r="H292" s="390">
        <v>28.21</v>
      </c>
      <c r="I292" s="426">
        <f>IFERROR(H292*(F292/E292),"-")</f>
        <v>0</v>
      </c>
      <c r="J292" s="427">
        <f t="shared" si="179"/>
        <v>0</v>
      </c>
    </row>
    <row r="293" spans="1:10" ht="24" thickBot="1" x14ac:dyDescent="0.35">
      <c r="A293" s="277" t="s">
        <v>108</v>
      </c>
      <c r="B293" s="977"/>
      <c r="C293" s="307"/>
      <c r="D293" s="308" t="s">
        <v>54</v>
      </c>
      <c r="E293" s="400"/>
      <c r="F293" s="417">
        <f t="shared" ref="F293:G293" si="180">SUM(F290:F292)</f>
        <v>209042.49600000001</v>
      </c>
      <c r="G293" s="418">
        <f t="shared" si="180"/>
        <v>261303.12000000002</v>
      </c>
      <c r="H293" s="401"/>
      <c r="I293" s="417">
        <f t="shared" ref="I293" si="181">SUM(I290:I292)</f>
        <v>292032</v>
      </c>
      <c r="J293" s="433">
        <f>SUM(J290:J292)</f>
        <v>365040</v>
      </c>
    </row>
    <row r="294" spans="1:10" ht="24" thickBot="1" x14ac:dyDescent="0.35">
      <c r="A294" s="277" t="s">
        <v>108</v>
      </c>
      <c r="B294" s="978" t="s">
        <v>171</v>
      </c>
      <c r="C294" s="979"/>
      <c r="D294" s="980"/>
      <c r="E294" s="402"/>
      <c r="F294" s="419">
        <f t="shared" ref="F294:G294" si="182">+F289+F293</f>
        <v>932139</v>
      </c>
      <c r="G294" s="420">
        <f t="shared" si="182"/>
        <v>1611083.2608</v>
      </c>
      <c r="H294" s="403"/>
      <c r="I294" s="419">
        <f t="shared" ref="I294:J294" si="183">+I289+I293</f>
        <v>1355983.2</v>
      </c>
      <c r="J294" s="434">
        <f t="shared" si="183"/>
        <v>2351082.2400000002</v>
      </c>
    </row>
    <row r="295" spans="1:10" ht="24" thickBot="1" x14ac:dyDescent="0.35">
      <c r="A295" s="277" t="s">
        <v>108</v>
      </c>
      <c r="B295" s="609" t="s">
        <v>32</v>
      </c>
      <c r="C295" s="719"/>
      <c r="D295" s="313"/>
      <c r="E295" s="510">
        <v>12.2659</v>
      </c>
      <c r="F295" s="411">
        <f>IFERROR(E295*'01 Prod Physique Boites'!H292,"-")</f>
        <v>0</v>
      </c>
      <c r="G295" s="412">
        <f>IFERROR(E295*'01 Prod Physique Boites'!L292,"-")</f>
        <v>0</v>
      </c>
      <c r="H295" s="395"/>
      <c r="I295" s="429">
        <f>IFERROR(H295*(F295/E295),"-")</f>
        <v>0</v>
      </c>
      <c r="J295" s="430">
        <f>IFERROR(H295*(G295/E295),"-")</f>
        <v>0</v>
      </c>
    </row>
    <row r="296" spans="1:10" ht="24" thickBot="1" x14ac:dyDescent="0.35">
      <c r="A296" s="277" t="s">
        <v>108</v>
      </c>
      <c r="B296" s="981" t="s">
        <v>21</v>
      </c>
      <c r="C296" s="982"/>
      <c r="D296" s="983"/>
      <c r="E296" s="396"/>
      <c r="F296" s="413">
        <f t="shared" ref="F296" si="184">+F285+F294+F295</f>
        <v>3696800.4684000001</v>
      </c>
      <c r="G296" s="414">
        <f>+G285+G294+G295</f>
        <v>8345515.0427999999</v>
      </c>
      <c r="H296" s="397"/>
      <c r="I296" s="413">
        <f t="shared" ref="I296:J296" si="185">+I285+I294+I295</f>
        <v>5223673.26</v>
      </c>
      <c r="J296" s="431">
        <f t="shared" si="185"/>
        <v>11683828.26</v>
      </c>
    </row>
    <row r="297" spans="1:10" ht="24" thickBot="1" x14ac:dyDescent="0.35">
      <c r="A297" s="277" t="s">
        <v>108</v>
      </c>
      <c r="B297" s="984" t="s">
        <v>179</v>
      </c>
      <c r="C297" s="962"/>
      <c r="D297" s="963"/>
      <c r="E297" s="398"/>
      <c r="F297" s="415">
        <f t="shared" ref="F297:G297" si="186">+F296</f>
        <v>3696800.4684000001</v>
      </c>
      <c r="G297" s="416">
        <f t="shared" si="186"/>
        <v>8345515.0427999999</v>
      </c>
      <c r="H297" s="399"/>
      <c r="I297" s="415">
        <f t="shared" ref="I297:J297" si="187">+I296</f>
        <v>5223673.26</v>
      </c>
      <c r="J297" s="432">
        <f t="shared" si="187"/>
        <v>11683828.26</v>
      </c>
    </row>
    <row r="298" spans="1:10" ht="23.4" x14ac:dyDescent="0.3">
      <c r="A298" s="271" t="s">
        <v>109</v>
      </c>
      <c r="B298" s="970" t="s">
        <v>33</v>
      </c>
      <c r="C298" s="314" t="s">
        <v>120</v>
      </c>
      <c r="D298" s="314"/>
      <c r="E298" s="506">
        <v>254.89750000000001</v>
      </c>
      <c r="F298" s="405">
        <f>IFERROR(E298*'01 Prod Physique Boites'!H295,"-")</f>
        <v>0</v>
      </c>
      <c r="G298" s="406">
        <f>IFERROR(E298*'01 Prod Physique Boites'!L295,"-")</f>
        <v>0</v>
      </c>
      <c r="H298" s="384">
        <v>445.38</v>
      </c>
      <c r="I298" s="422">
        <f>IFERROR(H298*(F298/E298),"-")</f>
        <v>0</v>
      </c>
      <c r="J298" s="423">
        <f t="shared" ref="J298:J300" si="188">IFERROR(H298*(G298/E298),"-")</f>
        <v>0</v>
      </c>
    </row>
    <row r="299" spans="1:10" ht="23.4" x14ac:dyDescent="0.3">
      <c r="A299" s="277" t="s">
        <v>109</v>
      </c>
      <c r="B299" s="972"/>
      <c r="C299" s="315" t="s">
        <v>267</v>
      </c>
      <c r="D299" s="315"/>
      <c r="E299" s="507">
        <v>246.51390000000001</v>
      </c>
      <c r="F299" s="405">
        <f>IFERROR(E299*'01 Prod Physique Boites'!H296,"-")</f>
        <v>0</v>
      </c>
      <c r="G299" s="406">
        <f>IFERROR(E299*'01 Prod Physique Boites'!L296,"-")</f>
        <v>0</v>
      </c>
      <c r="H299" s="388">
        <v>430.02</v>
      </c>
      <c r="I299" s="424">
        <f>IFERROR(H299*(F299/E299),"-")</f>
        <v>0</v>
      </c>
      <c r="J299" s="425">
        <f t="shared" si="188"/>
        <v>0</v>
      </c>
    </row>
    <row r="300" spans="1:10" ht="24" thickBot="1" x14ac:dyDescent="0.35">
      <c r="A300" s="277" t="s">
        <v>109</v>
      </c>
      <c r="B300" s="971"/>
      <c r="C300" s="316" t="s">
        <v>34</v>
      </c>
      <c r="D300" s="316"/>
      <c r="E300" s="504">
        <v>225.7713</v>
      </c>
      <c r="F300" s="405">
        <f>IFERROR(E300*'01 Prod Physique Boites'!H297,"-")</f>
        <v>0</v>
      </c>
      <c r="G300" s="406">
        <f>IFERROR(E300*'01 Prod Physique Boites'!L297,"-")</f>
        <v>0</v>
      </c>
      <c r="H300" s="390"/>
      <c r="I300" s="426">
        <f>IFERROR(H300*(F300/E300),"-")</f>
        <v>0</v>
      </c>
      <c r="J300" s="427">
        <f t="shared" si="188"/>
        <v>0</v>
      </c>
    </row>
    <row r="301" spans="1:10" ht="24" thickBot="1" x14ac:dyDescent="0.35">
      <c r="A301" s="277" t="s">
        <v>109</v>
      </c>
      <c r="B301" s="967" t="s">
        <v>35</v>
      </c>
      <c r="C301" s="968"/>
      <c r="D301" s="969"/>
      <c r="E301" s="393"/>
      <c r="F301" s="409">
        <f t="shared" ref="F301:G301" si="189">SUM(F298:F300)</f>
        <v>0</v>
      </c>
      <c r="G301" s="410">
        <f t="shared" si="189"/>
        <v>0</v>
      </c>
      <c r="H301" s="394"/>
      <c r="I301" s="409">
        <f t="shared" ref="I301:J301" si="190">SUM(I298:I300)</f>
        <v>0</v>
      </c>
      <c r="J301" s="428">
        <f t="shared" si="190"/>
        <v>0</v>
      </c>
    </row>
    <row r="302" spans="1:10" ht="23.4" x14ac:dyDescent="0.3">
      <c r="A302" s="277" t="s">
        <v>109</v>
      </c>
      <c r="B302" s="970" t="s">
        <v>36</v>
      </c>
      <c r="C302" s="314" t="s">
        <v>120</v>
      </c>
      <c r="D302" s="314"/>
      <c r="E302" s="506">
        <v>254.89750000000001</v>
      </c>
      <c r="F302" s="405">
        <f>IFERROR(E302*'01 Prod Physique Boites'!H299,"-")</f>
        <v>0</v>
      </c>
      <c r="G302" s="406">
        <f>IFERROR(E302*'01 Prod Physique Boites'!L299,"-")</f>
        <v>0</v>
      </c>
      <c r="H302" s="384">
        <v>445.38</v>
      </c>
      <c r="I302" s="422">
        <f>IFERROR(H302*(F302/E302),"-")</f>
        <v>0</v>
      </c>
      <c r="J302" s="423">
        <f t="shared" ref="J302:J305" si="191">IFERROR(H302*(G302/E302),"-")</f>
        <v>0</v>
      </c>
    </row>
    <row r="303" spans="1:10" ht="23.4" x14ac:dyDescent="0.3">
      <c r="A303" s="277" t="s">
        <v>109</v>
      </c>
      <c r="B303" s="972"/>
      <c r="C303" s="315" t="s">
        <v>267</v>
      </c>
      <c r="D303" s="315"/>
      <c r="E303" s="507">
        <v>246.51390000000001</v>
      </c>
      <c r="F303" s="405">
        <f>IFERROR(E303*'01 Prod Physique Boites'!H300,"-")</f>
        <v>0</v>
      </c>
      <c r="G303" s="406">
        <f>IFERROR(E303*'01 Prod Physique Boites'!L300,"-")</f>
        <v>0</v>
      </c>
      <c r="H303" s="388">
        <v>430.02</v>
      </c>
      <c r="I303" s="424">
        <f>IFERROR(H303*(F303/E303),"-")</f>
        <v>0</v>
      </c>
      <c r="J303" s="425">
        <f t="shared" si="191"/>
        <v>0</v>
      </c>
    </row>
    <row r="304" spans="1:10" ht="23.4" x14ac:dyDescent="0.3">
      <c r="A304" s="277" t="s">
        <v>109</v>
      </c>
      <c r="B304" s="972"/>
      <c r="C304" s="315" t="s">
        <v>198</v>
      </c>
      <c r="D304" s="315" t="s">
        <v>197</v>
      </c>
      <c r="E304" s="507">
        <v>254.89750000000001</v>
      </c>
      <c r="F304" s="405">
        <f>IFERROR(E304*'01 Prod Physique Boites'!H301,"-")</f>
        <v>0</v>
      </c>
      <c r="G304" s="406">
        <f>IFERROR(E304*'01 Prod Physique Boites'!L301,"-")</f>
        <v>0</v>
      </c>
      <c r="H304" s="388"/>
      <c r="I304" s="424">
        <f>IFERROR(H304*(F304/E304),"-")</f>
        <v>0</v>
      </c>
      <c r="J304" s="425">
        <f t="shared" si="191"/>
        <v>0</v>
      </c>
    </row>
    <row r="305" spans="1:10" ht="24" thickBot="1" x14ac:dyDescent="0.35">
      <c r="A305" s="277" t="s">
        <v>109</v>
      </c>
      <c r="B305" s="971"/>
      <c r="C305" s="316" t="s">
        <v>37</v>
      </c>
      <c r="D305" s="316"/>
      <c r="E305" s="504">
        <v>229.99359999999999</v>
      </c>
      <c r="F305" s="405">
        <f>IFERROR(E305*'01 Prod Physique Boites'!H302,"-")</f>
        <v>0</v>
      </c>
      <c r="G305" s="406">
        <f>IFERROR(E305*'01 Prod Physique Boites'!L302,"-")</f>
        <v>0</v>
      </c>
      <c r="H305" s="390"/>
      <c r="I305" s="426">
        <f>IFERROR(H305*(F305/E305),"-")</f>
        <v>0</v>
      </c>
      <c r="J305" s="427">
        <f t="shared" si="191"/>
        <v>0</v>
      </c>
    </row>
    <row r="306" spans="1:10" ht="24" thickBot="1" x14ac:dyDescent="0.35">
      <c r="A306" s="277" t="s">
        <v>109</v>
      </c>
      <c r="B306" s="967" t="s">
        <v>38</v>
      </c>
      <c r="C306" s="968"/>
      <c r="D306" s="969"/>
      <c r="E306" s="393"/>
      <c r="F306" s="409">
        <f t="shared" ref="F306:G306" si="192">SUM(F302:F305)</f>
        <v>0</v>
      </c>
      <c r="G306" s="410">
        <f t="shared" si="192"/>
        <v>0</v>
      </c>
      <c r="H306" s="394"/>
      <c r="I306" s="409">
        <f>SUM(I302:I305)</f>
        <v>0</v>
      </c>
      <c r="J306" s="428">
        <f>SUM(J302:J305)</f>
        <v>0</v>
      </c>
    </row>
    <row r="307" spans="1:10" ht="23.4" x14ac:dyDescent="0.3">
      <c r="A307" s="277" t="s">
        <v>109</v>
      </c>
      <c r="B307" s="970" t="s">
        <v>39</v>
      </c>
      <c r="C307" s="317" t="s">
        <v>123</v>
      </c>
      <c r="D307" s="317"/>
      <c r="E307" s="506">
        <v>195.2808</v>
      </c>
      <c r="F307" s="405">
        <f>IFERROR(E307*'01 Prod Physique Boites'!H304,"-")</f>
        <v>0</v>
      </c>
      <c r="G307" s="406">
        <f>IFERROR(E307*'01 Prod Physique Boites'!L304,"-")</f>
        <v>0</v>
      </c>
      <c r="H307" s="384"/>
      <c r="I307" s="422">
        <f>IFERROR(H307*(F307/E307),"-")</f>
        <v>0</v>
      </c>
      <c r="J307" s="423">
        <f t="shared" ref="J307:J308" si="193">IFERROR(H307*(G307/E307),"-")</f>
        <v>0</v>
      </c>
    </row>
    <row r="308" spans="1:10" ht="24" thickBot="1" x14ac:dyDescent="0.35">
      <c r="A308" s="277" t="s">
        <v>109</v>
      </c>
      <c r="B308" s="971"/>
      <c r="C308" s="289" t="s">
        <v>139</v>
      </c>
      <c r="D308" s="289"/>
      <c r="E308" s="504">
        <v>189.91890000000001</v>
      </c>
      <c r="F308" s="405">
        <f>IFERROR(E308*'01 Prod Physique Boites'!H305,"-")</f>
        <v>0</v>
      </c>
      <c r="G308" s="406">
        <f>IFERROR(E308*'01 Prod Physique Boites'!L305,"-")</f>
        <v>45580.536</v>
      </c>
      <c r="H308" s="390">
        <v>320.35000000000002</v>
      </c>
      <c r="I308" s="426">
        <f>IFERROR(H308*(F308/E308),"-")</f>
        <v>0</v>
      </c>
      <c r="J308" s="427">
        <f t="shared" si="193"/>
        <v>76884</v>
      </c>
    </row>
    <row r="309" spans="1:10" ht="24" thickBot="1" x14ac:dyDescent="0.35">
      <c r="A309" s="723" t="s">
        <v>109</v>
      </c>
      <c r="B309" s="967" t="s">
        <v>40</v>
      </c>
      <c r="C309" s="968"/>
      <c r="D309" s="969"/>
      <c r="E309" s="393"/>
      <c r="F309" s="409">
        <f>SUM(F307:F308)</f>
        <v>0</v>
      </c>
      <c r="G309" s="410">
        <f t="shared" ref="G309" si="194">SUM(G307:G308)</f>
        <v>45580.536</v>
      </c>
      <c r="H309" s="394"/>
      <c r="I309" s="409">
        <f t="shared" ref="I309:J309" si="195">SUM(I307:I308)</f>
        <v>0</v>
      </c>
      <c r="J309" s="428">
        <f t="shared" si="195"/>
        <v>76884</v>
      </c>
    </row>
    <row r="310" spans="1:10" ht="23.4" x14ac:dyDescent="0.3">
      <c r="A310" s="277" t="s">
        <v>109</v>
      </c>
      <c r="B310" s="970" t="s">
        <v>41</v>
      </c>
      <c r="C310" s="272" t="s">
        <v>335</v>
      </c>
      <c r="D310" s="272" t="s">
        <v>258</v>
      </c>
      <c r="E310" s="508">
        <v>37.248699999999999</v>
      </c>
      <c r="F310" s="405">
        <f>IFERROR(E310*'01 Prod Physique Boites'!H307,"-")</f>
        <v>1116120.0467999999</v>
      </c>
      <c r="G310" s="406">
        <f>IFERROR(E310*'01 Prod Physique Boites'!L307,"-")</f>
        <v>2217042.6239999998</v>
      </c>
      <c r="H310" s="384">
        <v>71.44</v>
      </c>
      <c r="I310" s="422">
        <f>IFERROR(H310*(F310/E310),"-")</f>
        <v>2140628.1599999997</v>
      </c>
      <c r="J310" s="423">
        <f>IFERROR(H310*(G310/E310),"-")</f>
        <v>4252108.7999999998</v>
      </c>
    </row>
    <row r="311" spans="1:10" ht="23.4" x14ac:dyDescent="0.3">
      <c r="A311" s="277" t="s">
        <v>109</v>
      </c>
      <c r="B311" s="972"/>
      <c r="C311" s="272" t="s">
        <v>164</v>
      </c>
      <c r="D311" s="278"/>
      <c r="E311" s="508">
        <v>37.248699999999999</v>
      </c>
      <c r="F311" s="405">
        <f>IFERROR(E311*'01 Prod Physique Boites'!H308,"-")</f>
        <v>0</v>
      </c>
      <c r="G311" s="406">
        <f>IFERROR(E311*'01 Prod Physique Boites'!L308,"-")</f>
        <v>0</v>
      </c>
      <c r="H311" s="388"/>
      <c r="I311" s="424">
        <f>IFERROR(H311*(F311/E311),"-")</f>
        <v>0</v>
      </c>
      <c r="J311" s="425">
        <f t="shared" ref="J311:J314" si="196">IFERROR(H311*(G311/E311),"-")</f>
        <v>0</v>
      </c>
    </row>
    <row r="312" spans="1:10" ht="23.4" x14ac:dyDescent="0.3">
      <c r="A312" s="277" t="s">
        <v>109</v>
      </c>
      <c r="B312" s="972"/>
      <c r="C312" s="278" t="s">
        <v>383</v>
      </c>
      <c r="D312" s="272" t="s">
        <v>258</v>
      </c>
      <c r="E312" s="508">
        <v>37.248699999999999</v>
      </c>
      <c r="F312" s="405">
        <f>IFERROR(E312*'01 Prod Physique Boites'!H309,"-")</f>
        <v>0</v>
      </c>
      <c r="G312" s="406">
        <f>IFERROR(E312*'01 Prod Physique Boites'!L309,"-")</f>
        <v>0</v>
      </c>
      <c r="H312" s="388">
        <v>71.44</v>
      </c>
      <c r="I312" s="424">
        <f>IFERROR(H312*(F312/E312),"-")</f>
        <v>0</v>
      </c>
      <c r="J312" s="425">
        <f t="shared" si="196"/>
        <v>0</v>
      </c>
    </row>
    <row r="313" spans="1:10" ht="23.4" x14ac:dyDescent="0.3">
      <c r="A313" s="277" t="s">
        <v>109</v>
      </c>
      <c r="B313" s="972"/>
      <c r="C313" s="278" t="s">
        <v>165</v>
      </c>
      <c r="D313" s="278"/>
      <c r="E313" s="509">
        <v>38.466099999999997</v>
      </c>
      <c r="F313" s="405">
        <f>IFERROR(E313*'01 Prod Physique Boites'!H310,"-")</f>
        <v>0</v>
      </c>
      <c r="G313" s="406">
        <f>IFERROR(E313*'01 Prod Physique Boites'!L310,"-")</f>
        <v>0</v>
      </c>
      <c r="H313" s="388"/>
      <c r="I313" s="424">
        <f>IFERROR(H313*(F313/E313),"-")</f>
        <v>0</v>
      </c>
      <c r="J313" s="425">
        <f t="shared" si="196"/>
        <v>0</v>
      </c>
    </row>
    <row r="314" spans="1:10" ht="24" thickBot="1" x14ac:dyDescent="0.35">
      <c r="A314" s="277" t="s">
        <v>109</v>
      </c>
      <c r="B314" s="971"/>
      <c r="C314" s="282" t="s">
        <v>166</v>
      </c>
      <c r="D314" s="282"/>
      <c r="E314" s="505">
        <v>33.711399999999998</v>
      </c>
      <c r="F314" s="405">
        <f>IFERROR(E314*'01 Prod Physique Boites'!H311,"-")</f>
        <v>0</v>
      </c>
      <c r="G314" s="406">
        <f>IFERROR(E314*'01 Prod Physique Boites'!L311,"-")</f>
        <v>0</v>
      </c>
      <c r="H314" s="390"/>
      <c r="I314" s="426">
        <f>IFERROR(H314*(F314/E314),"-")</f>
        <v>0</v>
      </c>
      <c r="J314" s="427">
        <f t="shared" si="196"/>
        <v>0</v>
      </c>
    </row>
    <row r="315" spans="1:10" ht="24" thickBot="1" x14ac:dyDescent="0.35">
      <c r="A315" s="277" t="s">
        <v>109</v>
      </c>
      <c r="B315" s="967" t="s">
        <v>42</v>
      </c>
      <c r="C315" s="968"/>
      <c r="D315" s="969"/>
      <c r="E315" s="393"/>
      <c r="F315" s="409">
        <f>SUM(F310:F314)</f>
        <v>1116120.0467999999</v>
      </c>
      <c r="G315" s="410">
        <f>SUM(G310:G314)</f>
        <v>2217042.6239999998</v>
      </c>
      <c r="H315" s="394"/>
      <c r="I315" s="409">
        <f>SUM(I310:I314)</f>
        <v>2140628.1599999997</v>
      </c>
      <c r="J315" s="409">
        <f>SUM(J310:J314)</f>
        <v>4252108.7999999998</v>
      </c>
    </row>
    <row r="316" spans="1:10" ht="23.4" x14ac:dyDescent="0.3">
      <c r="A316" s="277" t="s">
        <v>109</v>
      </c>
      <c r="B316" s="970" t="s">
        <v>43</v>
      </c>
      <c r="C316" s="272" t="s">
        <v>200</v>
      </c>
      <c r="D316" s="272" t="s">
        <v>197</v>
      </c>
      <c r="E316" s="508">
        <v>30.7499</v>
      </c>
      <c r="F316" s="405">
        <f>IFERROR(E316*'01 Prod Physique Boites'!H313,"-")</f>
        <v>0</v>
      </c>
      <c r="G316" s="406">
        <f>IFERROR(E316*'01 Prod Physique Boites'!L313,"-")</f>
        <v>0</v>
      </c>
      <c r="H316" s="384"/>
      <c r="I316" s="422">
        <f t="shared" ref="I316:I318" si="197">IFERROR(H316*(F316/E316),"-")</f>
        <v>0</v>
      </c>
      <c r="J316" s="423">
        <f>IFERROR(H316*(G316/E316),"-")</f>
        <v>0</v>
      </c>
    </row>
    <row r="317" spans="1:10" ht="23.4" x14ac:dyDescent="0.3">
      <c r="A317" s="277" t="s">
        <v>109</v>
      </c>
      <c r="B317" s="972"/>
      <c r="C317" s="278" t="s">
        <v>167</v>
      </c>
      <c r="D317" s="278"/>
      <c r="E317" s="727">
        <v>25.139099999999999</v>
      </c>
      <c r="F317" s="405">
        <f>IFERROR(E317*'01 Prod Physique Boites'!H314,"-")</f>
        <v>506804.25599999999</v>
      </c>
      <c r="G317" s="406">
        <f>IFERROR(E317*'01 Prod Physique Boites'!L314,"-")</f>
        <v>651605.47199999995</v>
      </c>
      <c r="H317" s="388">
        <v>59.96</v>
      </c>
      <c r="I317" s="424">
        <f t="shared" si="197"/>
        <v>1208793.6000000001</v>
      </c>
      <c r="J317" s="425">
        <f t="shared" ref="J317:J318" si="198">IFERROR(H317*(G317/E317),"-")</f>
        <v>1554163.2</v>
      </c>
    </row>
    <row r="318" spans="1:10" ht="24" thickBot="1" x14ac:dyDescent="0.35">
      <c r="A318" s="277" t="s">
        <v>109</v>
      </c>
      <c r="B318" s="971"/>
      <c r="C318" s="282" t="s">
        <v>200</v>
      </c>
      <c r="D318" s="282" t="s">
        <v>199</v>
      </c>
      <c r="E318" s="505">
        <v>30.073599999999999</v>
      </c>
      <c r="F318" s="405">
        <f>IFERROR(E318*'01 Prod Physique Boites'!H315,"-")</f>
        <v>0</v>
      </c>
      <c r="G318" s="406">
        <f>IFERROR(E318*'01 Prod Physique Boites'!L315,"-")</f>
        <v>0</v>
      </c>
      <c r="H318" s="390"/>
      <c r="I318" s="426">
        <f t="shared" si="197"/>
        <v>0</v>
      </c>
      <c r="J318" s="427">
        <f t="shared" si="198"/>
        <v>0</v>
      </c>
    </row>
    <row r="319" spans="1:10" ht="24" thickBot="1" x14ac:dyDescent="0.35">
      <c r="A319" s="277" t="s">
        <v>109</v>
      </c>
      <c r="B319" s="973" t="s">
        <v>44</v>
      </c>
      <c r="C319" s="974"/>
      <c r="D319" s="975"/>
      <c r="E319" s="393"/>
      <c r="F319" s="409">
        <f t="shared" ref="F319:G319" si="199">SUM(F316:F318)</f>
        <v>506804.25599999999</v>
      </c>
      <c r="G319" s="410">
        <f t="shared" si="199"/>
        <v>651605.47199999995</v>
      </c>
      <c r="H319" s="394"/>
      <c r="I319" s="409">
        <f t="shared" ref="I319:J319" si="200">SUM(I316:I318)</f>
        <v>1208793.6000000001</v>
      </c>
      <c r="J319" s="428">
        <f t="shared" si="200"/>
        <v>1554163.2</v>
      </c>
    </row>
    <row r="320" spans="1:10" ht="23.4" x14ac:dyDescent="0.3">
      <c r="A320" s="277" t="s">
        <v>109</v>
      </c>
      <c r="B320" s="970" t="s">
        <v>45</v>
      </c>
      <c r="C320" s="272" t="s">
        <v>168</v>
      </c>
      <c r="D320" s="272"/>
      <c r="E320" s="508">
        <v>36.684899999999999</v>
      </c>
      <c r="F320" s="405">
        <f>IFERROR(E320*'01 Prod Physique Boites'!H317,"-")</f>
        <v>0</v>
      </c>
      <c r="G320" s="406">
        <f>IFERROR(E320*'01 Prod Physique Boites'!L317,"-")</f>
        <v>0</v>
      </c>
      <c r="H320" s="384"/>
      <c r="I320" s="385" t="s">
        <v>204</v>
      </c>
      <c r="J320" s="386" t="s">
        <v>204</v>
      </c>
    </row>
    <row r="321" spans="1:10" ht="24" thickBot="1" x14ac:dyDescent="0.35">
      <c r="A321" s="277" t="s">
        <v>109</v>
      </c>
      <c r="B321" s="971"/>
      <c r="C321" s="282" t="s">
        <v>169</v>
      </c>
      <c r="D321" s="282"/>
      <c r="E321" s="505">
        <v>37.002800000000001</v>
      </c>
      <c r="F321" s="405">
        <f>IFERROR(E321*'01 Prod Physique Boites'!H318,"-")</f>
        <v>0</v>
      </c>
      <c r="G321" s="406">
        <f>IFERROR(E321*'01 Prod Physique Boites'!L318,"-")</f>
        <v>0</v>
      </c>
      <c r="H321" s="390"/>
      <c r="I321" s="391" t="s">
        <v>204</v>
      </c>
      <c r="J321" s="392" t="s">
        <v>204</v>
      </c>
    </row>
    <row r="322" spans="1:10" ht="24" thickBot="1" x14ac:dyDescent="0.35">
      <c r="A322" s="277" t="s">
        <v>109</v>
      </c>
      <c r="B322" s="973" t="s">
        <v>46</v>
      </c>
      <c r="C322" s="974"/>
      <c r="D322" s="975"/>
      <c r="E322" s="393"/>
      <c r="F322" s="405">
        <f>IFERROR(E322*'01 Prod Physique Boites'!H319,"-")</f>
        <v>0</v>
      </c>
      <c r="G322" s="410">
        <f>IFERROR(E322*'01 Prod Physique Boites'!L319,"-")</f>
        <v>0</v>
      </c>
      <c r="H322" s="394"/>
      <c r="I322" s="409">
        <f t="shared" ref="I322:J322" si="201">SUM(I320:I321)</f>
        <v>0</v>
      </c>
      <c r="J322" s="428">
        <f t="shared" si="201"/>
        <v>0</v>
      </c>
    </row>
    <row r="323" spans="1:10" ht="24" thickBot="1" x14ac:dyDescent="0.35">
      <c r="A323" s="277" t="s">
        <v>109</v>
      </c>
      <c r="B323" s="959" t="s">
        <v>25</v>
      </c>
      <c r="C323" s="960"/>
      <c r="D323" s="961"/>
      <c r="E323" s="396"/>
      <c r="F323" s="413">
        <f t="shared" ref="F323:G323" si="202">+F301+F306+F309+F315+F319+F322</f>
        <v>1622924.3027999999</v>
      </c>
      <c r="G323" s="414">
        <f t="shared" si="202"/>
        <v>2914228.6319999998</v>
      </c>
      <c r="H323" s="397"/>
      <c r="I323" s="413">
        <f>+I301+I306+I309+I315+I319+I322</f>
        <v>3349421.76</v>
      </c>
      <c r="J323" s="431">
        <f>+J301+J306+J309+J315+J319+J322</f>
        <v>5883156</v>
      </c>
    </row>
    <row r="324" spans="1:10" ht="24" thickBot="1" x14ac:dyDescent="0.35">
      <c r="A324" s="321" t="s">
        <v>109</v>
      </c>
      <c r="B324" s="962" t="s">
        <v>181</v>
      </c>
      <c r="C324" s="962"/>
      <c r="D324" s="963"/>
      <c r="E324" s="398"/>
      <c r="F324" s="415">
        <f t="shared" ref="F324:G324" si="203">+F323</f>
        <v>1622924.3027999999</v>
      </c>
      <c r="G324" s="416">
        <f t="shared" si="203"/>
        <v>2914228.6319999998</v>
      </c>
      <c r="H324" s="399"/>
      <c r="I324" s="415">
        <f t="shared" ref="I324" si="204">+I323</f>
        <v>3349421.76</v>
      </c>
      <c r="J324" s="432">
        <f>+J323</f>
        <v>5883156</v>
      </c>
    </row>
    <row r="325" spans="1:10" ht="24.6" thickBot="1" x14ac:dyDescent="0.35">
      <c r="A325" s="322"/>
      <c r="B325" s="964" t="s">
        <v>182</v>
      </c>
      <c r="C325" s="965"/>
      <c r="D325" s="966"/>
      <c r="E325" s="404"/>
      <c r="F325" s="421">
        <f t="shared" ref="F325:G325" si="205">+F270+F297+F324</f>
        <v>9730834.0272000004</v>
      </c>
      <c r="G325" s="421">
        <f t="shared" si="205"/>
        <v>24495048.453999996</v>
      </c>
      <c r="H325" s="404"/>
      <c r="I325" s="421">
        <f t="shared" ref="I325:J325" si="206">+I270+I297+I324</f>
        <v>14359271.819999998</v>
      </c>
      <c r="J325" s="435">
        <f t="shared" si="206"/>
        <v>35469128.659999996</v>
      </c>
    </row>
    <row r="326" spans="1:10" ht="23.4" x14ac:dyDescent="0.3">
      <c r="A326" s="991" t="s">
        <v>1</v>
      </c>
      <c r="B326" s="994" t="s">
        <v>2</v>
      </c>
      <c r="C326" s="997" t="s">
        <v>3</v>
      </c>
      <c r="D326" s="997" t="s">
        <v>93</v>
      </c>
      <c r="E326" s="1021" t="s">
        <v>175</v>
      </c>
      <c r="F326" s="1022"/>
      <c r="G326" s="1022"/>
      <c r="H326" s="445"/>
      <c r="I326" s="445"/>
      <c r="J326" s="446"/>
    </row>
    <row r="327" spans="1:10" ht="23.4" x14ac:dyDescent="0.3">
      <c r="A327" s="992"/>
      <c r="B327" s="995"/>
      <c r="C327" s="998"/>
      <c r="D327" s="998"/>
      <c r="E327" s="1023" t="s">
        <v>177</v>
      </c>
      <c r="F327" s="1024"/>
      <c r="G327" s="1025"/>
      <c r="H327" s="1023" t="s">
        <v>176</v>
      </c>
      <c r="I327" s="1024"/>
      <c r="J327" s="1025"/>
    </row>
    <row r="328" spans="1:10" ht="46.8" x14ac:dyDescent="0.3">
      <c r="A328" s="993"/>
      <c r="B328" s="1019"/>
      <c r="C328" s="1020"/>
      <c r="D328" s="1020"/>
      <c r="E328" s="382" t="s">
        <v>178</v>
      </c>
      <c r="F328" s="752" t="s">
        <v>11</v>
      </c>
      <c r="G328" s="753" t="s">
        <v>12</v>
      </c>
      <c r="H328" s="1026" t="s">
        <v>178</v>
      </c>
      <c r="I328" s="1028" t="s">
        <v>144</v>
      </c>
      <c r="J328" s="1030" t="s">
        <v>12</v>
      </c>
    </row>
    <row r="329" spans="1:10" ht="24" thickBot="1" x14ac:dyDescent="0.35">
      <c r="A329" s="993"/>
      <c r="B329" s="996"/>
      <c r="C329" s="999"/>
      <c r="D329" s="999"/>
      <c r="E329" s="1032">
        <v>44536</v>
      </c>
      <c r="F329" s="1033"/>
      <c r="G329" s="1034"/>
      <c r="H329" s="1027"/>
      <c r="I329" s="1029"/>
      <c r="J329" s="1031"/>
    </row>
    <row r="330" spans="1:10" ht="23.4" x14ac:dyDescent="0.3">
      <c r="A330" s="271" t="s">
        <v>110</v>
      </c>
      <c r="B330" s="956" t="s">
        <v>16</v>
      </c>
      <c r="C330" s="272" t="s">
        <v>424</v>
      </c>
      <c r="D330" s="272" t="s">
        <v>425</v>
      </c>
      <c r="E330" s="758">
        <v>81.360699999999994</v>
      </c>
      <c r="F330" s="405">
        <f>IFERROR(E330*'01 Prod Physique Boites'!H326,"-")</f>
        <v>55813.440199999997</v>
      </c>
      <c r="G330" s="405">
        <f>IFERROR(E330*'01 Prod Physique Boites'!L326,"-")</f>
        <v>1591903.4561999999</v>
      </c>
      <c r="H330" s="759">
        <v>143.28</v>
      </c>
      <c r="I330" s="422">
        <f>IFERROR(H330*(F330/E330),"-")</f>
        <v>98290.08</v>
      </c>
      <c r="J330" s="423">
        <f t="shared" ref="J330:J332" si="207">IFERROR(H330*(G330/E330),"-")</f>
        <v>2803416.48</v>
      </c>
    </row>
    <row r="331" spans="1:10" ht="23.4" x14ac:dyDescent="0.3">
      <c r="A331" s="277" t="s">
        <v>110</v>
      </c>
      <c r="B331" s="957"/>
      <c r="C331" s="278" t="s">
        <v>188</v>
      </c>
      <c r="D331" s="278" t="s">
        <v>101</v>
      </c>
      <c r="E331" s="509">
        <v>81.360699999999994</v>
      </c>
      <c r="F331" s="405">
        <f>IFERROR(E331*'01 Prod Physique Boites'!H327,"-")</f>
        <v>833133.56799999997</v>
      </c>
      <c r="G331" s="405">
        <f>IFERROR(E331*'01 Prod Physique Boites'!L327,"-")</f>
        <v>833133.56799999997</v>
      </c>
      <c r="H331" s="770">
        <v>0</v>
      </c>
      <c r="I331" s="422">
        <f>IFERROR(H331*(F331/E331),"-")</f>
        <v>0</v>
      </c>
      <c r="J331" s="423">
        <f t="shared" si="207"/>
        <v>0</v>
      </c>
    </row>
    <row r="332" spans="1:10" ht="23.4" x14ac:dyDescent="0.3">
      <c r="A332" s="277" t="s">
        <v>110</v>
      </c>
      <c r="B332" s="957"/>
      <c r="C332" s="278" t="s">
        <v>186</v>
      </c>
      <c r="D332" s="278" t="s">
        <v>184</v>
      </c>
      <c r="E332" s="509">
        <v>55.476900000000001</v>
      </c>
      <c r="F332" s="405">
        <f>IFERROR(E332*'01 Prod Physique Boites'!H328,"-")</f>
        <v>0</v>
      </c>
      <c r="G332" s="405">
        <f>IFERROR(E332*'01 Prod Physique Boites'!L328,"-")</f>
        <v>0</v>
      </c>
      <c r="H332" s="388">
        <v>0</v>
      </c>
      <c r="I332" s="422">
        <f>IFERROR(H332*(F332/E332),"-")</f>
        <v>0</v>
      </c>
      <c r="J332" s="423">
        <f t="shared" si="207"/>
        <v>0</v>
      </c>
    </row>
    <row r="333" spans="1:10" ht="24" thickBot="1" x14ac:dyDescent="0.35">
      <c r="A333" s="277" t="s">
        <v>110</v>
      </c>
      <c r="B333" s="958"/>
      <c r="C333" s="282" t="s">
        <v>282</v>
      </c>
      <c r="D333" s="282" t="s">
        <v>251</v>
      </c>
      <c r="E333" s="505">
        <v>60.703499999999998</v>
      </c>
      <c r="F333" s="405">
        <f>IFERROR(E333*'01 Prod Physique Boites'!H329,"-")</f>
        <v>0</v>
      </c>
      <c r="G333" s="405">
        <f>IFERROR(E333*'01 Prod Physique Boites'!L329,"-")</f>
        <v>0</v>
      </c>
      <c r="H333" s="390">
        <v>111.09</v>
      </c>
      <c r="I333" s="422">
        <f>IFERROR(H333*(F333/E333),"-")</f>
        <v>0</v>
      </c>
      <c r="J333" s="423">
        <f>IFERROR(H333*(G333/E333),"-")</f>
        <v>0</v>
      </c>
    </row>
    <row r="334" spans="1:10" ht="24" thickBot="1" x14ac:dyDescent="0.35">
      <c r="A334" s="277" t="s">
        <v>110</v>
      </c>
      <c r="B334" s="967" t="s">
        <v>47</v>
      </c>
      <c r="C334" s="968"/>
      <c r="D334" s="969"/>
      <c r="E334" s="393"/>
      <c r="F334" s="409">
        <f t="shared" ref="F334" si="208">SUM(F330:F333)</f>
        <v>888947.00819999992</v>
      </c>
      <c r="G334" s="410">
        <f>SUM(G330:G333)</f>
        <v>2425037.0241999999</v>
      </c>
      <c r="H334" s="394"/>
      <c r="I334" s="409">
        <f t="shared" ref="I334:J334" si="209">SUM(I330:I333)</f>
        <v>98290.08</v>
      </c>
      <c r="J334" s="428">
        <f t="shared" si="209"/>
        <v>2803416.48</v>
      </c>
    </row>
    <row r="335" spans="1:10" ht="23.4" x14ac:dyDescent="0.3">
      <c r="A335" s="277" t="s">
        <v>110</v>
      </c>
      <c r="B335" s="956" t="s">
        <v>17</v>
      </c>
      <c r="C335" s="272" t="s">
        <v>320</v>
      </c>
      <c r="D335" s="272"/>
      <c r="E335" s="508">
        <v>12.5275</v>
      </c>
      <c r="F335" s="405">
        <f>IFERROR(E335*'01 Prod Physique Boites'!H331,"-")</f>
        <v>0</v>
      </c>
      <c r="G335" s="405">
        <f>IFERROR(E335*'01 Prod Physique Boites'!L331,"-")</f>
        <v>0</v>
      </c>
      <c r="H335" s="384">
        <v>18.836400000000001</v>
      </c>
      <c r="I335" s="422">
        <f t="shared" ref="I335:I341" si="210">IFERROR(H335*(F335/E335),"-")</f>
        <v>0</v>
      </c>
      <c r="J335" s="423">
        <f t="shared" ref="J335:J340" si="211">IFERROR(H335*(G335/E335),"-")</f>
        <v>0</v>
      </c>
    </row>
    <row r="336" spans="1:10" ht="23.4" x14ac:dyDescent="0.3">
      <c r="A336" s="277" t="s">
        <v>110</v>
      </c>
      <c r="B336" s="957"/>
      <c r="C336" s="278" t="s">
        <v>382</v>
      </c>
      <c r="D336" s="278" t="s">
        <v>252</v>
      </c>
      <c r="E336" s="698">
        <v>13.002700000000001</v>
      </c>
      <c r="F336" s="405">
        <f>IFERROR(E336*'01 Prod Physique Boites'!H332,"-")</f>
        <v>1273224.3840000001</v>
      </c>
      <c r="G336" s="405">
        <f>IFERROR(E336*'01 Prod Physique Boites'!L332,"-")</f>
        <v>1352800.9080000001</v>
      </c>
      <c r="H336" s="388">
        <v>21.18</v>
      </c>
      <c r="I336" s="424">
        <f t="shared" si="210"/>
        <v>2073945.5999999999</v>
      </c>
      <c r="J336" s="425">
        <f t="shared" si="211"/>
        <v>2203567.2000000002</v>
      </c>
    </row>
    <row r="337" spans="1:10" ht="23.4" x14ac:dyDescent="0.3">
      <c r="A337" s="277" t="s">
        <v>110</v>
      </c>
      <c r="B337" s="957"/>
      <c r="C337" s="278" t="s">
        <v>391</v>
      </c>
      <c r="D337" s="278" t="s">
        <v>201</v>
      </c>
      <c r="E337" s="698">
        <v>12.9049</v>
      </c>
      <c r="F337" s="405">
        <f>IFERROR(E337*'01 Prod Physique Boites'!H333,"-")</f>
        <v>773984.28240000003</v>
      </c>
      <c r="G337" s="405">
        <f>IFERROR(E337*'01 Prod Physique Boites'!L333,"-")</f>
        <v>5828575.5143999998</v>
      </c>
      <c r="H337" s="388">
        <v>20.5</v>
      </c>
      <c r="I337" s="424">
        <f t="shared" si="210"/>
        <v>1229508.0000000002</v>
      </c>
      <c r="J337" s="425">
        <f t="shared" si="211"/>
        <v>9258948</v>
      </c>
    </row>
    <row r="338" spans="1:10" ht="23.4" x14ac:dyDescent="0.3">
      <c r="A338" s="277" t="s">
        <v>110</v>
      </c>
      <c r="B338" s="957"/>
      <c r="C338" s="278" t="s">
        <v>319</v>
      </c>
      <c r="D338" s="278" t="s">
        <v>202</v>
      </c>
      <c r="E338" s="509">
        <v>13.078200000000001</v>
      </c>
      <c r="F338" s="405">
        <f>IFERROR(E338*'01 Prod Physique Boites'!H334,"-")</f>
        <v>0</v>
      </c>
      <c r="G338" s="405">
        <f>IFERROR(E338*'01 Prod Physique Boites'!L334,"-")</f>
        <v>0</v>
      </c>
      <c r="H338" s="388">
        <v>20.6</v>
      </c>
      <c r="I338" s="424">
        <f t="shared" si="210"/>
        <v>0</v>
      </c>
      <c r="J338" s="425">
        <f t="shared" si="211"/>
        <v>0</v>
      </c>
    </row>
    <row r="339" spans="1:10" ht="23.4" x14ac:dyDescent="0.3">
      <c r="A339" s="277" t="s">
        <v>110</v>
      </c>
      <c r="B339" s="957"/>
      <c r="C339" s="278" t="s">
        <v>358</v>
      </c>
      <c r="D339" s="278" t="s">
        <v>352</v>
      </c>
      <c r="E339" s="509">
        <v>13.1958</v>
      </c>
      <c r="F339" s="405">
        <f>IFERROR(E339*'01 Prod Physique Boites'!H335,"-")</f>
        <v>0</v>
      </c>
      <c r="G339" s="405">
        <f>IFERROR(E339*'01 Prod Physique Boites'!L335,"-")</f>
        <v>0</v>
      </c>
      <c r="H339" s="388">
        <v>21.28</v>
      </c>
      <c r="I339" s="424">
        <f t="shared" si="210"/>
        <v>0</v>
      </c>
      <c r="J339" s="425">
        <f t="shared" si="211"/>
        <v>0</v>
      </c>
    </row>
    <row r="340" spans="1:10" ht="23.4" x14ac:dyDescent="0.3">
      <c r="A340" s="277">
        <v>1</v>
      </c>
      <c r="B340" s="957"/>
      <c r="C340" s="278" t="s">
        <v>392</v>
      </c>
      <c r="D340" s="278" t="s">
        <v>203</v>
      </c>
      <c r="E340" s="698">
        <v>12.9049</v>
      </c>
      <c r="F340" s="405">
        <f>IFERROR(E340*'01 Prod Physique Boites'!H336,"-")</f>
        <v>0</v>
      </c>
      <c r="G340" s="405">
        <f>IFERROR(E340*'01 Prod Physique Boites'!L336,"-")</f>
        <v>0</v>
      </c>
      <c r="H340" s="677">
        <v>20.5</v>
      </c>
      <c r="I340" s="424">
        <f t="shared" si="210"/>
        <v>0</v>
      </c>
      <c r="J340" s="425">
        <f t="shared" si="211"/>
        <v>0</v>
      </c>
    </row>
    <row r="341" spans="1:10" ht="24" thickBot="1" x14ac:dyDescent="0.35">
      <c r="A341" s="277" t="s">
        <v>110</v>
      </c>
      <c r="B341" s="958"/>
      <c r="C341" s="282" t="s">
        <v>379</v>
      </c>
      <c r="D341" s="282" t="s">
        <v>187</v>
      </c>
      <c r="E341" s="505">
        <v>13.6509</v>
      </c>
      <c r="F341" s="405">
        <f>IFERROR(E341*'01 Prod Physique Boites'!H337,"-")</f>
        <v>0</v>
      </c>
      <c r="G341" s="405">
        <f>IFERROR(E341*'01 Prod Physique Boites'!L337,"-")</f>
        <v>0</v>
      </c>
      <c r="H341" s="390">
        <v>21.18</v>
      </c>
      <c r="I341" s="426">
        <f t="shared" si="210"/>
        <v>0</v>
      </c>
      <c r="J341" s="427">
        <f>IFERROR(H341*(G341/E341),"-")</f>
        <v>0</v>
      </c>
    </row>
    <row r="342" spans="1:10" ht="24" thickBot="1" x14ac:dyDescent="0.35">
      <c r="A342" s="277" t="s">
        <v>110</v>
      </c>
      <c r="B342" s="967" t="s">
        <v>48</v>
      </c>
      <c r="C342" s="968"/>
      <c r="D342" s="969"/>
      <c r="E342" s="393"/>
      <c r="F342" s="409">
        <f t="shared" ref="F342" si="212">SUM(F335:F341)</f>
        <v>2047208.6664</v>
      </c>
      <c r="G342" s="410">
        <f>SUM(G335:G341)</f>
        <v>7181376.4223999996</v>
      </c>
      <c r="H342" s="394"/>
      <c r="I342" s="409">
        <f t="shared" ref="I342" si="213">SUM(I335:I341)</f>
        <v>3303453.6</v>
      </c>
      <c r="J342" s="428">
        <f>SUM(J335:J341)</f>
        <v>11462515.199999999</v>
      </c>
    </row>
    <row r="343" spans="1:10" ht="23.4" x14ac:dyDescent="0.3">
      <c r="A343" s="277" t="s">
        <v>110</v>
      </c>
      <c r="B343" s="956" t="s">
        <v>18</v>
      </c>
      <c r="C343" s="272" t="s">
        <v>344</v>
      </c>
      <c r="D343" s="272" t="s">
        <v>99</v>
      </c>
      <c r="E343" s="508">
        <v>17.8202</v>
      </c>
      <c r="F343" s="405">
        <f>IFERROR(E343*'01 Prod Physique Boites'!H339,"-")</f>
        <v>0</v>
      </c>
      <c r="G343" s="406">
        <f>IFERROR(E343*'01 Prod Physique Boites'!L339,"-")</f>
        <v>0</v>
      </c>
      <c r="H343" s="384">
        <v>24.93</v>
      </c>
      <c r="I343" s="422">
        <f t="shared" ref="I343:I349" si="214">IFERROR(H343*(F343/E343),"-")</f>
        <v>0</v>
      </c>
      <c r="J343" s="423">
        <f t="shared" ref="J343:J345" si="215">IFERROR(H343*(G343/E343),"-")</f>
        <v>0</v>
      </c>
    </row>
    <row r="344" spans="1:10" ht="23.4" x14ac:dyDescent="0.3">
      <c r="A344" s="277" t="s">
        <v>110</v>
      </c>
      <c r="B344" s="957"/>
      <c r="C344" s="278" t="s">
        <v>137</v>
      </c>
      <c r="D344" s="278"/>
      <c r="E344" s="509">
        <v>17.8202</v>
      </c>
      <c r="F344" s="405">
        <f>IFERROR(E344*'01 Prod Physique Boites'!H340,"-")</f>
        <v>0</v>
      </c>
      <c r="G344" s="406">
        <f>IFERROR(E344*'01 Prod Physique Boites'!L340,"-")</f>
        <v>0</v>
      </c>
      <c r="H344" s="388">
        <v>0</v>
      </c>
      <c r="I344" s="424">
        <f t="shared" si="214"/>
        <v>0</v>
      </c>
      <c r="J344" s="425">
        <f t="shared" si="215"/>
        <v>0</v>
      </c>
    </row>
    <row r="345" spans="1:10" ht="23.4" x14ac:dyDescent="0.3">
      <c r="A345" s="277" t="s">
        <v>110</v>
      </c>
      <c r="B345" s="957"/>
      <c r="C345" s="278" t="s">
        <v>122</v>
      </c>
      <c r="D345" s="278"/>
      <c r="E345" s="509">
        <v>16.4071</v>
      </c>
      <c r="F345" s="405">
        <f>IFERROR(E345*'01 Prod Physique Boites'!H341,"-")</f>
        <v>0</v>
      </c>
      <c r="G345" s="406">
        <f>IFERROR(E345*'01 Prod Physique Boites'!L341,"-")</f>
        <v>0</v>
      </c>
      <c r="H345" s="388">
        <v>0</v>
      </c>
      <c r="I345" s="424">
        <f t="shared" si="214"/>
        <v>0</v>
      </c>
      <c r="J345" s="425">
        <f t="shared" si="215"/>
        <v>0</v>
      </c>
    </row>
    <row r="346" spans="1:10" ht="23.4" x14ac:dyDescent="0.3">
      <c r="A346" s="277" t="s">
        <v>110</v>
      </c>
      <c r="B346" s="957"/>
      <c r="C346" s="278" t="s">
        <v>129</v>
      </c>
      <c r="D346" s="278"/>
      <c r="E346" s="509">
        <v>17.8202</v>
      </c>
      <c r="F346" s="405">
        <f>IFERROR(E346*'01 Prod Physique Boites'!H342,"-")</f>
        <v>0</v>
      </c>
      <c r="G346" s="406">
        <f>IFERROR(E346*'01 Prod Physique Boites'!L342,"-")</f>
        <v>0</v>
      </c>
      <c r="H346" s="388">
        <v>0</v>
      </c>
      <c r="I346" s="424">
        <f t="shared" si="214"/>
        <v>0</v>
      </c>
      <c r="J346" s="425">
        <f>IFERROR(H346*(G346/E346),"-")</f>
        <v>0</v>
      </c>
    </row>
    <row r="347" spans="1:10" ht="23.4" x14ac:dyDescent="0.3">
      <c r="A347" s="277" t="s">
        <v>110</v>
      </c>
      <c r="B347" s="957"/>
      <c r="C347" s="278" t="s">
        <v>189</v>
      </c>
      <c r="D347" s="278" t="s">
        <v>190</v>
      </c>
      <c r="E347" s="509">
        <v>17.8202</v>
      </c>
      <c r="F347" s="405">
        <f>IFERROR(E347*'01 Prod Physique Boites'!H343,"-")</f>
        <v>0</v>
      </c>
      <c r="G347" s="406">
        <f>IFERROR(E347*'01 Prod Physique Boites'!L343,"-")</f>
        <v>0</v>
      </c>
      <c r="H347" s="388">
        <v>0</v>
      </c>
      <c r="I347" s="424">
        <f t="shared" si="214"/>
        <v>0</v>
      </c>
      <c r="J347" s="425">
        <f t="shared" ref="J347:J349" si="216">IFERROR(H347*(G347/E347),"-")</f>
        <v>0</v>
      </c>
    </row>
    <row r="348" spans="1:10" ht="23.4" x14ac:dyDescent="0.3">
      <c r="A348" s="277" t="s">
        <v>110</v>
      </c>
      <c r="B348" s="957"/>
      <c r="C348" s="278" t="s">
        <v>192</v>
      </c>
      <c r="D348" s="278" t="s">
        <v>191</v>
      </c>
      <c r="E348" s="509">
        <v>16.7288</v>
      </c>
      <c r="F348" s="405">
        <f>IFERROR(E348*'01 Prod Physique Boites'!H344,"-")</f>
        <v>0</v>
      </c>
      <c r="G348" s="406">
        <f>IFERROR(E348*'01 Prod Physique Boites'!L344,"-")</f>
        <v>0</v>
      </c>
      <c r="H348" s="388">
        <v>0</v>
      </c>
      <c r="I348" s="424">
        <f t="shared" si="214"/>
        <v>0</v>
      </c>
      <c r="J348" s="425">
        <f t="shared" si="216"/>
        <v>0</v>
      </c>
    </row>
    <row r="349" spans="1:10" ht="24" thickBot="1" x14ac:dyDescent="0.35">
      <c r="A349" s="277" t="s">
        <v>110</v>
      </c>
      <c r="B349" s="958"/>
      <c r="C349" s="289" t="s">
        <v>193</v>
      </c>
      <c r="D349" s="289" t="s">
        <v>114</v>
      </c>
      <c r="E349" s="505">
        <v>17.8202</v>
      </c>
      <c r="F349" s="405">
        <f>IFERROR(E349*'01 Prod Physique Boites'!H345,"-")</f>
        <v>0</v>
      </c>
      <c r="G349" s="406">
        <f>IFERROR(E349*'01 Prod Physique Boites'!L345,"-")</f>
        <v>0</v>
      </c>
      <c r="H349" s="388">
        <v>0</v>
      </c>
      <c r="I349" s="426">
        <f t="shared" si="214"/>
        <v>0</v>
      </c>
      <c r="J349" s="427">
        <f t="shared" si="216"/>
        <v>0</v>
      </c>
    </row>
    <row r="350" spans="1:10" ht="24" thickBot="1" x14ac:dyDescent="0.35">
      <c r="A350" s="277" t="s">
        <v>110</v>
      </c>
      <c r="B350" s="967" t="s">
        <v>29</v>
      </c>
      <c r="C350" s="968"/>
      <c r="D350" s="969"/>
      <c r="E350" s="660"/>
      <c r="F350" s="661">
        <f t="shared" ref="F350:G350" si="217">SUM(F343:F349)</f>
        <v>0</v>
      </c>
      <c r="G350" s="410">
        <f t="shared" si="217"/>
        <v>0</v>
      </c>
      <c r="H350" s="394"/>
      <c r="I350" s="409">
        <f t="shared" ref="I350:J350" si="218">SUM(I343:I349)</f>
        <v>0</v>
      </c>
      <c r="J350" s="428">
        <f t="shared" si="218"/>
        <v>0</v>
      </c>
    </row>
    <row r="351" spans="1:10" ht="24" thickBot="1" x14ac:dyDescent="0.35">
      <c r="A351" s="277"/>
      <c r="B351" s="985" t="s">
        <v>19</v>
      </c>
      <c r="C351" s="662" t="s">
        <v>255</v>
      </c>
      <c r="D351" s="668" t="s">
        <v>190</v>
      </c>
      <c r="E351" s="669">
        <v>12.2659</v>
      </c>
      <c r="F351" s="670">
        <f>IFERROR(E351*'01 Prod Physique Boites'!H347,"-")</f>
        <v>0</v>
      </c>
      <c r="G351" s="671">
        <f>IFERROR(E351*'01 Prod Physique Boites'!L347,"-")</f>
        <v>0</v>
      </c>
      <c r="H351" s="665">
        <v>14.79</v>
      </c>
      <c r="I351" s="650">
        <f t="shared" ref="I351:I353" si="219">IFERROR(H351*(F351/E351),"-")</f>
        <v>0</v>
      </c>
      <c r="J351" s="650">
        <f>IFERROR(H351*(G351/E351),"-")</f>
        <v>0</v>
      </c>
    </row>
    <row r="352" spans="1:10" ht="24" thickBot="1" x14ac:dyDescent="0.35">
      <c r="A352" s="277"/>
      <c r="B352" s="986"/>
      <c r="C352" s="663" t="s">
        <v>399</v>
      </c>
      <c r="D352" s="672"/>
      <c r="E352" s="654">
        <v>12.2659</v>
      </c>
      <c r="F352" s="670">
        <f>IFERROR(E352*'01 Prod Physique Boites'!H348,"-")</f>
        <v>0</v>
      </c>
      <c r="G352" s="645">
        <f>IFERROR(E352*'01 Prod Physique Boites'!L348,"-")</f>
        <v>103622.3232</v>
      </c>
      <c r="H352" s="666">
        <v>14.55</v>
      </c>
      <c r="I352" s="655">
        <f t="shared" si="219"/>
        <v>0</v>
      </c>
      <c r="J352" s="655">
        <f>IFERROR(H352*(G352/E352),"-")</f>
        <v>122918.40000000001</v>
      </c>
    </row>
    <row r="353" spans="1:10" ht="24" thickBot="1" x14ac:dyDescent="0.35">
      <c r="A353" s="754" t="s">
        <v>110</v>
      </c>
      <c r="B353" s="987"/>
      <c r="C353" s="664" t="s">
        <v>380</v>
      </c>
      <c r="D353" s="673"/>
      <c r="E353" s="674">
        <v>0</v>
      </c>
      <c r="F353" s="670">
        <f>IFERROR(E353*'01 Prod Physique Boites'!H349,"-")</f>
        <v>0</v>
      </c>
      <c r="G353" s="676">
        <f>IFERROR(E353*'01 Prod Physique Boites'!L349,"-")</f>
        <v>0</v>
      </c>
      <c r="H353" s="667">
        <v>0</v>
      </c>
      <c r="I353" s="429" t="str">
        <f t="shared" si="219"/>
        <v>-</v>
      </c>
      <c r="J353" s="430" t="str">
        <f t="shared" ref="J353" si="220">IFERROR(I353*(G353/F353),"-")</f>
        <v>-</v>
      </c>
    </row>
    <row r="354" spans="1:10" ht="24" thickBot="1" x14ac:dyDescent="0.35">
      <c r="A354" s="277" t="s">
        <v>110</v>
      </c>
      <c r="B354" s="967" t="s">
        <v>49</v>
      </c>
      <c r="C354" s="968"/>
      <c r="D354" s="969"/>
      <c r="E354" s="393"/>
      <c r="F354" s="409">
        <f>SUM(F351:F353)</f>
        <v>0</v>
      </c>
      <c r="G354" s="409">
        <f>SUM(G351:G353)</f>
        <v>103622.3232</v>
      </c>
      <c r="H354" s="394"/>
      <c r="I354" s="409">
        <f t="shared" ref="I354" si="221">SUM(I353)</f>
        <v>0</v>
      </c>
      <c r="J354" s="428">
        <f>SUM(J351:J353)</f>
        <v>122918.40000000001</v>
      </c>
    </row>
    <row r="355" spans="1:10" ht="23.4" x14ac:dyDescent="0.3">
      <c r="A355" s="277" t="s">
        <v>110</v>
      </c>
      <c r="B355" s="956" t="s">
        <v>20</v>
      </c>
      <c r="C355" s="294" t="s">
        <v>351</v>
      </c>
      <c r="D355" s="294" t="s">
        <v>313</v>
      </c>
      <c r="E355" s="508">
        <v>26.032900000000001</v>
      </c>
      <c r="F355" s="405">
        <f>IFERROR(E355*'01 Prod Physique Boites'!H351,"-")</f>
        <v>0</v>
      </c>
      <c r="G355" s="406">
        <f>IFERROR(E355*'01 Prod Physique Boites'!L351,"-")</f>
        <v>0</v>
      </c>
      <c r="H355" s="384">
        <v>36.44</v>
      </c>
      <c r="I355" s="422">
        <f>IFERROR(H355*(F355/E355),"-")</f>
        <v>0</v>
      </c>
      <c r="J355" s="423">
        <f t="shared" ref="J355:J357" si="222">IFERROR(H355*(G355/E355),"-")</f>
        <v>0</v>
      </c>
    </row>
    <row r="356" spans="1:10" ht="23.4" x14ac:dyDescent="0.3">
      <c r="A356" s="277" t="s">
        <v>110</v>
      </c>
      <c r="B356" s="957"/>
      <c r="C356" s="295" t="s">
        <v>121</v>
      </c>
      <c r="D356" s="295"/>
      <c r="E356" s="387">
        <v>24.2607</v>
      </c>
      <c r="F356" s="405">
        <f>IFERROR(E356*'01 Prod Physique Boites'!H352,"-")</f>
        <v>0</v>
      </c>
      <c r="G356" s="406">
        <f>IFERROR(E356*'01 Prod Physique Boites'!L352,"-")</f>
        <v>0</v>
      </c>
      <c r="H356" s="388">
        <v>37.369999999999997</v>
      </c>
      <c r="I356" s="424">
        <f>IFERROR(H356*(F356/E356),"-")</f>
        <v>0</v>
      </c>
      <c r="J356" s="425">
        <f t="shared" si="222"/>
        <v>0</v>
      </c>
    </row>
    <row r="357" spans="1:10" ht="24" thickBot="1" x14ac:dyDescent="0.35">
      <c r="A357" s="277" t="s">
        <v>110</v>
      </c>
      <c r="B357" s="958"/>
      <c r="C357" s="296" t="s">
        <v>127</v>
      </c>
      <c r="D357" s="296"/>
      <c r="E357" s="389">
        <v>26.035799999999998</v>
      </c>
      <c r="F357" s="405">
        <f>IFERROR(E357*'01 Prod Physique Boites'!H353,"-")</f>
        <v>0</v>
      </c>
      <c r="G357" s="406">
        <f>IFERROR(E357*'01 Prod Physique Boites'!L353,"-")</f>
        <v>0</v>
      </c>
      <c r="H357" s="390">
        <v>37.11</v>
      </c>
      <c r="I357" s="426">
        <f>IFERROR(H357*(F357/E357),"-")</f>
        <v>0</v>
      </c>
      <c r="J357" s="427">
        <f t="shared" si="222"/>
        <v>0</v>
      </c>
    </row>
    <row r="358" spans="1:10" ht="24" thickBot="1" x14ac:dyDescent="0.35">
      <c r="A358" s="277" t="s">
        <v>110</v>
      </c>
      <c r="B358" s="968" t="s">
        <v>50</v>
      </c>
      <c r="C358" s="968"/>
      <c r="D358" s="989"/>
      <c r="E358" s="393"/>
      <c r="F358" s="409">
        <f t="shared" ref="F358:G358" si="223">SUM(F355:F357)</f>
        <v>0</v>
      </c>
      <c r="G358" s="410">
        <f t="shared" si="223"/>
        <v>0</v>
      </c>
      <c r="H358" s="394"/>
      <c r="I358" s="409">
        <f t="shared" ref="I358:J358" si="224">SUM(I355:I357)</f>
        <v>0</v>
      </c>
      <c r="J358" s="428">
        <f t="shared" si="224"/>
        <v>0</v>
      </c>
    </row>
    <row r="359" spans="1:10" ht="24" thickBot="1" x14ac:dyDescent="0.35">
      <c r="A359" s="277" t="s">
        <v>110</v>
      </c>
      <c r="B359" s="981" t="s">
        <v>21</v>
      </c>
      <c r="C359" s="982"/>
      <c r="D359" s="983"/>
      <c r="E359" s="396"/>
      <c r="F359" s="413">
        <f>+F334+F342+F350+F354+F358</f>
        <v>2936155.6746</v>
      </c>
      <c r="G359" s="414">
        <f>+G334+G342+G350+G354+G358</f>
        <v>9710035.7697999999</v>
      </c>
      <c r="H359" s="397"/>
      <c r="I359" s="413">
        <f>+I334+I342+I350+I354+I358</f>
        <v>3401743.68</v>
      </c>
      <c r="J359" s="431">
        <f>+J334+J342+J350+J354+J358</f>
        <v>14388850.08</v>
      </c>
    </row>
    <row r="360" spans="1:10" ht="23.4" x14ac:dyDescent="0.3">
      <c r="A360" s="277" t="s">
        <v>110</v>
      </c>
      <c r="B360" s="956" t="s">
        <v>22</v>
      </c>
      <c r="C360" s="272" t="s">
        <v>132</v>
      </c>
      <c r="D360" s="272"/>
      <c r="E360" s="383">
        <v>22.820599999999999</v>
      </c>
      <c r="F360" s="405">
        <f>IFERROR(E360*'01 Prod Physique Boites'!H356,"-")</f>
        <v>0</v>
      </c>
      <c r="G360" s="406">
        <f>IFERROR(E360*'01 Prod Physique Boites'!L356,"-")</f>
        <v>0</v>
      </c>
      <c r="H360" s="384">
        <v>27.5</v>
      </c>
      <c r="I360" s="422">
        <f>IFERROR(H360*(F360/E360),"-")</f>
        <v>0</v>
      </c>
      <c r="J360" s="423">
        <f t="shared" ref="J360:J363" si="225">IFERROR(H360*(G360/E360),"-")</f>
        <v>0</v>
      </c>
    </row>
    <row r="361" spans="1:10" ht="23.4" x14ac:dyDescent="0.3">
      <c r="A361" s="277" t="s">
        <v>110</v>
      </c>
      <c r="B361" s="957"/>
      <c r="C361" s="298" t="s">
        <v>283</v>
      </c>
      <c r="D361" s="298" t="s">
        <v>194</v>
      </c>
      <c r="E361" s="387">
        <v>23.570699999999999</v>
      </c>
      <c r="F361" s="405">
        <f>IFERROR(E361*'01 Prod Physique Boites'!H357,"-")</f>
        <v>0</v>
      </c>
      <c r="G361" s="406">
        <f>IFERROR(E361*'01 Prod Physique Boites'!L357,"-")</f>
        <v>0</v>
      </c>
      <c r="H361" s="388">
        <v>27.5</v>
      </c>
      <c r="I361" s="424">
        <f>IFERROR(H361*(F361/E361),"-")</f>
        <v>0</v>
      </c>
      <c r="J361" s="425">
        <f t="shared" si="225"/>
        <v>0</v>
      </c>
    </row>
    <row r="362" spans="1:10" ht="23.4" x14ac:dyDescent="0.3">
      <c r="A362" s="277" t="s">
        <v>110</v>
      </c>
      <c r="B362" s="957"/>
      <c r="C362" s="298" t="s">
        <v>405</v>
      </c>
      <c r="D362" s="298" t="s">
        <v>194</v>
      </c>
      <c r="E362" s="387">
        <v>22.820599999999999</v>
      </c>
      <c r="F362" s="405">
        <f>IFERROR(E362*'01 Prod Physique Boites'!H358,"-")</f>
        <v>677771.82</v>
      </c>
      <c r="G362" s="406">
        <f>IFERROR(E362*'01 Prod Physique Boites'!L358,"-")</f>
        <v>7139196.5039999997</v>
      </c>
      <c r="H362" s="388">
        <v>27.5</v>
      </c>
      <c r="I362" s="424">
        <f>IFERROR(H362*(F362/E362),"-")</f>
        <v>816750</v>
      </c>
      <c r="J362" s="425">
        <f t="shared" si="225"/>
        <v>8603100</v>
      </c>
    </row>
    <row r="363" spans="1:10" ht="24" thickBot="1" x14ac:dyDescent="0.35">
      <c r="A363" s="277" t="s">
        <v>110</v>
      </c>
      <c r="B363" s="958"/>
      <c r="C363" s="282" t="s">
        <v>195</v>
      </c>
      <c r="D363" s="282" t="s">
        <v>100</v>
      </c>
      <c r="E363" s="389">
        <v>23.5685</v>
      </c>
      <c r="F363" s="405">
        <f>IFERROR(E363*'01 Prod Physique Boites'!H359,"-")</f>
        <v>0</v>
      </c>
      <c r="G363" s="406">
        <f>IFERROR(E363*'01 Prod Physique Boites'!L359,"-")</f>
        <v>0</v>
      </c>
      <c r="H363" s="390">
        <v>24</v>
      </c>
      <c r="I363" s="426">
        <f>IFERROR(H363*(F363/E363),"-")</f>
        <v>0</v>
      </c>
      <c r="J363" s="427">
        <f t="shared" si="225"/>
        <v>0</v>
      </c>
    </row>
    <row r="364" spans="1:10" ht="24" thickBot="1" x14ac:dyDescent="0.35">
      <c r="A364" s="277" t="s">
        <v>110</v>
      </c>
      <c r="B364" s="967" t="s">
        <v>51</v>
      </c>
      <c r="C364" s="968"/>
      <c r="D364" s="969"/>
      <c r="E364" s="393"/>
      <c r="F364" s="409">
        <f t="shared" ref="F364:G364" si="226">SUM(F360:F363)</f>
        <v>677771.82</v>
      </c>
      <c r="G364" s="410">
        <f t="shared" si="226"/>
        <v>7139196.5039999997</v>
      </c>
      <c r="H364" s="394"/>
      <c r="I364" s="409">
        <f t="shared" ref="I364:J364" si="227">SUM(I360:I363)</f>
        <v>816750</v>
      </c>
      <c r="J364" s="428">
        <f t="shared" si="227"/>
        <v>8603100</v>
      </c>
    </row>
    <row r="365" spans="1:10" ht="23.4" x14ac:dyDescent="0.3">
      <c r="A365" s="277" t="s">
        <v>110</v>
      </c>
      <c r="B365" s="956" t="s">
        <v>23</v>
      </c>
      <c r="C365" s="299" t="s">
        <v>337</v>
      </c>
      <c r="D365" s="299" t="s">
        <v>258</v>
      </c>
      <c r="E365" s="383">
        <v>101.4935</v>
      </c>
      <c r="F365" s="405">
        <f>IFERROR(E365*'01 Prod Physique Boites'!H361,"-")</f>
        <v>0</v>
      </c>
      <c r="G365" s="406">
        <f>IFERROR(E365*'01 Prod Physique Boites'!L361,"-")</f>
        <v>0</v>
      </c>
      <c r="H365" s="388">
        <v>160.44999999999999</v>
      </c>
      <c r="I365" s="422">
        <f t="shared" ref="I365:I372" si="228">IFERROR(H365*(F365/E365),"-")</f>
        <v>0</v>
      </c>
      <c r="J365" s="423">
        <f t="shared" ref="J365:J372" si="229">IFERROR(H365*(G365/E365),"-")</f>
        <v>0</v>
      </c>
    </row>
    <row r="366" spans="1:10" ht="23.4" x14ac:dyDescent="0.3">
      <c r="A366" s="277" t="s">
        <v>110</v>
      </c>
      <c r="B366" s="957"/>
      <c r="C366" s="278" t="s">
        <v>24</v>
      </c>
      <c r="D366" s="278" t="s">
        <v>258</v>
      </c>
      <c r="E366" s="387">
        <v>101.4935</v>
      </c>
      <c r="F366" s="405">
        <f>IFERROR(E366*'01 Prod Physique Boites'!H362,"-")</f>
        <v>0</v>
      </c>
      <c r="G366" s="406">
        <f>IFERROR(E366*'01 Prod Physique Boites'!L362,"-")</f>
        <v>0</v>
      </c>
      <c r="H366" s="388">
        <v>160.44999999999999</v>
      </c>
      <c r="I366" s="424">
        <f t="shared" si="228"/>
        <v>0</v>
      </c>
      <c r="J366" s="425">
        <f t="shared" si="229"/>
        <v>0</v>
      </c>
    </row>
    <row r="367" spans="1:10" ht="23.4" x14ac:dyDescent="0.3">
      <c r="A367" s="277" t="s">
        <v>110</v>
      </c>
      <c r="B367" s="957"/>
      <c r="C367" s="278" t="s">
        <v>256</v>
      </c>
      <c r="D367" s="278" t="s">
        <v>258</v>
      </c>
      <c r="E367" s="387">
        <v>101.4935</v>
      </c>
      <c r="F367" s="405">
        <f>IFERROR(E367*'01 Prod Physique Boites'!H363,"-")</f>
        <v>0</v>
      </c>
      <c r="G367" s="406">
        <f>IFERROR(E367*'01 Prod Physique Boites'!L363,"-")</f>
        <v>0</v>
      </c>
      <c r="H367" s="388">
        <v>160.44999999999999</v>
      </c>
      <c r="I367" s="424">
        <f t="shared" si="228"/>
        <v>0</v>
      </c>
      <c r="J367" s="425">
        <f t="shared" si="229"/>
        <v>0</v>
      </c>
    </row>
    <row r="368" spans="1:10" ht="23.4" x14ac:dyDescent="0.3">
      <c r="A368" s="277" t="s">
        <v>110</v>
      </c>
      <c r="B368" s="957"/>
      <c r="C368" s="278" t="s">
        <v>257</v>
      </c>
      <c r="D368" s="278" t="s">
        <v>258</v>
      </c>
      <c r="E368" s="387">
        <v>101.4935</v>
      </c>
      <c r="F368" s="405">
        <f>IFERROR(E368*'01 Prod Physique Boites'!H364,"-")</f>
        <v>0</v>
      </c>
      <c r="G368" s="406">
        <f>IFERROR(E368*'01 Prod Physique Boites'!L364,"-")</f>
        <v>0</v>
      </c>
      <c r="H368" s="388">
        <v>160.44999999999999</v>
      </c>
      <c r="I368" s="424">
        <f t="shared" si="228"/>
        <v>0</v>
      </c>
      <c r="J368" s="425">
        <f t="shared" si="229"/>
        <v>0</v>
      </c>
    </row>
    <row r="369" spans="1:10" ht="23.4" x14ac:dyDescent="0.3">
      <c r="A369" s="277" t="s">
        <v>110</v>
      </c>
      <c r="B369" s="957"/>
      <c r="C369" s="298" t="s">
        <v>259</v>
      </c>
      <c r="D369" s="278" t="s">
        <v>258</v>
      </c>
      <c r="E369" s="387">
        <v>101.4935</v>
      </c>
      <c r="F369" s="405">
        <f>IFERROR(E369*'01 Prod Physique Boites'!H365,"-")</f>
        <v>0</v>
      </c>
      <c r="G369" s="406">
        <f>IFERROR(E369*'01 Prod Physique Boites'!L365,"-")</f>
        <v>0</v>
      </c>
      <c r="H369" s="388">
        <v>160.44999999999999</v>
      </c>
      <c r="I369" s="424">
        <f t="shared" si="228"/>
        <v>0</v>
      </c>
      <c r="J369" s="425">
        <f t="shared" si="229"/>
        <v>0</v>
      </c>
    </row>
    <row r="370" spans="1:10" ht="23.4" x14ac:dyDescent="0.3">
      <c r="A370" s="277" t="s">
        <v>110</v>
      </c>
      <c r="B370" s="957"/>
      <c r="C370" s="298" t="s">
        <v>260</v>
      </c>
      <c r="D370" s="278" t="s">
        <v>258</v>
      </c>
      <c r="E370" s="387">
        <v>101.4935</v>
      </c>
      <c r="F370" s="405">
        <f>IFERROR(E370*'01 Prod Physique Boites'!H366,"-")</f>
        <v>0</v>
      </c>
      <c r="G370" s="406">
        <f>IFERROR(E370*'01 Prod Physique Boites'!L366,"-")</f>
        <v>0</v>
      </c>
      <c r="H370" s="388">
        <v>160.44999999999999</v>
      </c>
      <c r="I370" s="424">
        <f t="shared" si="228"/>
        <v>0</v>
      </c>
      <c r="J370" s="425">
        <f t="shared" si="229"/>
        <v>0</v>
      </c>
    </row>
    <row r="371" spans="1:10" ht="23.4" x14ac:dyDescent="0.3">
      <c r="A371" s="277" t="s">
        <v>110</v>
      </c>
      <c r="B371" s="957"/>
      <c r="C371" s="298" t="s">
        <v>261</v>
      </c>
      <c r="D371" s="278" t="s">
        <v>263</v>
      </c>
      <c r="E371" s="387">
        <v>101.4935</v>
      </c>
      <c r="F371" s="405">
        <f>IFERROR(E371*'01 Prod Physique Boites'!H367,"-")</f>
        <v>532840.875</v>
      </c>
      <c r="G371" s="406">
        <f>IFERROR(E371*'01 Prod Physique Boites'!L367,"-")</f>
        <v>532840.875</v>
      </c>
      <c r="H371" s="388">
        <v>160.44999999999999</v>
      </c>
      <c r="I371" s="424">
        <f t="shared" si="228"/>
        <v>842362.49999999988</v>
      </c>
      <c r="J371" s="425">
        <f t="shared" si="229"/>
        <v>842362.49999999988</v>
      </c>
    </row>
    <row r="372" spans="1:10" ht="24" thickBot="1" x14ac:dyDescent="0.35">
      <c r="A372" s="277" t="s">
        <v>110</v>
      </c>
      <c r="B372" s="958"/>
      <c r="C372" s="298" t="s">
        <v>262</v>
      </c>
      <c r="D372" s="278" t="s">
        <v>258</v>
      </c>
      <c r="E372" s="389">
        <v>101.4935</v>
      </c>
      <c r="F372" s="405">
        <f>IFERROR(E372*'01 Prod Physique Boites'!H368,"-")</f>
        <v>0</v>
      </c>
      <c r="G372" s="406">
        <f>IFERROR(E372*'01 Prod Physique Boites'!L368,"-")</f>
        <v>0</v>
      </c>
      <c r="H372" s="388">
        <v>160.44999999999999</v>
      </c>
      <c r="I372" s="426">
        <f t="shared" si="228"/>
        <v>0</v>
      </c>
      <c r="J372" s="427">
        <f t="shared" si="229"/>
        <v>0</v>
      </c>
    </row>
    <row r="373" spans="1:10" ht="24" thickBot="1" x14ac:dyDescent="0.35">
      <c r="A373" s="277" t="s">
        <v>110</v>
      </c>
      <c r="B373" s="967" t="s">
        <v>52</v>
      </c>
      <c r="C373" s="968"/>
      <c r="D373" s="969"/>
      <c r="E373" s="393"/>
      <c r="F373" s="409">
        <f t="shared" ref="F373" si="230">SUM(F365:F372)</f>
        <v>532840.875</v>
      </c>
      <c r="G373" s="410">
        <f>SUM(G365:G372)</f>
        <v>532840.875</v>
      </c>
      <c r="H373" s="394"/>
      <c r="I373" s="409">
        <f t="shared" ref="I373" si="231">SUM(I365:I372)</f>
        <v>842362.49999999988</v>
      </c>
      <c r="J373" s="428">
        <f>SUM(J365:J372)</f>
        <v>842362.49999999988</v>
      </c>
    </row>
    <row r="374" spans="1:10" ht="24" thickBot="1" x14ac:dyDescent="0.35">
      <c r="A374" s="277" t="s">
        <v>110</v>
      </c>
      <c r="B374" s="981" t="s">
        <v>25</v>
      </c>
      <c r="C374" s="982"/>
      <c r="D374" s="983"/>
      <c r="E374" s="396"/>
      <c r="F374" s="413">
        <f t="shared" ref="F374" si="232">+F364+F373</f>
        <v>1210612.6949999998</v>
      </c>
      <c r="G374" s="414">
        <f>+G364+G373</f>
        <v>7672037.3789999997</v>
      </c>
      <c r="H374" s="397"/>
      <c r="I374" s="413">
        <f t="shared" ref="I374:J374" si="233">+I364+I373</f>
        <v>1659112.5</v>
      </c>
      <c r="J374" s="431">
        <f t="shared" si="233"/>
        <v>9445462.5</v>
      </c>
    </row>
    <row r="375" spans="1:10" ht="24" thickBot="1" x14ac:dyDescent="0.35">
      <c r="A375" s="277" t="s">
        <v>110</v>
      </c>
      <c r="B375" s="984" t="s">
        <v>180</v>
      </c>
      <c r="C375" s="962"/>
      <c r="D375" s="963"/>
      <c r="E375" s="398"/>
      <c r="F375" s="415">
        <f t="shared" ref="F375" si="234">+F359+F374</f>
        <v>4146768.3695999999</v>
      </c>
      <c r="G375" s="416">
        <f>+G359+G374</f>
        <v>17382073.148800001</v>
      </c>
      <c r="H375" s="399"/>
      <c r="I375" s="415">
        <f t="shared" ref="I375:J375" si="235">+I359+I374</f>
        <v>5060856.18</v>
      </c>
      <c r="J375" s="432">
        <f t="shared" si="235"/>
        <v>23834312.579999998</v>
      </c>
    </row>
    <row r="376" spans="1:10" ht="23.4" x14ac:dyDescent="0.3">
      <c r="A376" s="271" t="s">
        <v>108</v>
      </c>
      <c r="B376" s="977" t="s">
        <v>26</v>
      </c>
      <c r="C376" s="300" t="s">
        <v>323</v>
      </c>
      <c r="D376" s="302" t="s">
        <v>190</v>
      </c>
      <c r="E376" s="508">
        <v>13.1272</v>
      </c>
      <c r="F376" s="405">
        <f>IFERROR(E376*'01 Prod Physique Boites'!H372,"-")</f>
        <v>0</v>
      </c>
      <c r="G376" s="406">
        <f>IFERROR(E376*'01 Prod Physique Boites'!L372,"-")</f>
        <v>0</v>
      </c>
      <c r="H376" s="384">
        <v>20.76</v>
      </c>
      <c r="I376" s="422">
        <f t="shared" ref="I376:I384" si="236">IFERROR(H376*(F376/E376),"-")</f>
        <v>0</v>
      </c>
      <c r="J376" s="644">
        <f t="shared" ref="J376:J384" si="237">IFERROR(H376*(G376/E376),"-")</f>
        <v>0</v>
      </c>
    </row>
    <row r="377" spans="1:10" ht="23.4" x14ac:dyDescent="0.3">
      <c r="A377" s="277" t="s">
        <v>108</v>
      </c>
      <c r="B377" s="977"/>
      <c r="C377" s="301" t="s">
        <v>196</v>
      </c>
      <c r="D377" s="301" t="s">
        <v>114</v>
      </c>
      <c r="E377" s="509">
        <v>14.608000000000001</v>
      </c>
      <c r="F377" s="405">
        <f>IFERROR(E377*'01 Prod Physique Boites'!H373,"-")</f>
        <v>0</v>
      </c>
      <c r="G377" s="406">
        <f>IFERROR(E377*'01 Prod Physique Boites'!L373,"-")</f>
        <v>0</v>
      </c>
      <c r="H377" s="388">
        <v>24.93</v>
      </c>
      <c r="I377" s="424">
        <f t="shared" si="236"/>
        <v>0</v>
      </c>
      <c r="J377" s="645">
        <f t="shared" si="237"/>
        <v>0</v>
      </c>
    </row>
    <row r="378" spans="1:10" ht="23.4" x14ac:dyDescent="0.3">
      <c r="A378" s="277" t="s">
        <v>108</v>
      </c>
      <c r="B378" s="977"/>
      <c r="C378" s="302" t="s">
        <v>27</v>
      </c>
      <c r="D378" s="302" t="s">
        <v>370</v>
      </c>
      <c r="E378" s="505">
        <v>17.8202</v>
      </c>
      <c r="F378" s="405">
        <f>IFERROR(E378*'01 Prod Physique Boites'!H374,"-")</f>
        <v>0</v>
      </c>
      <c r="G378" s="406">
        <f>IFERROR(E378*'01 Prod Physique Boites'!L374,"-")</f>
        <v>0</v>
      </c>
      <c r="H378" s="388">
        <v>21.22</v>
      </c>
      <c r="I378" s="424">
        <f t="shared" si="236"/>
        <v>0</v>
      </c>
      <c r="J378" s="645">
        <f t="shared" si="237"/>
        <v>0</v>
      </c>
    </row>
    <row r="379" spans="1:10" ht="23.4" x14ac:dyDescent="0.3">
      <c r="A379" s="277" t="s">
        <v>108</v>
      </c>
      <c r="B379" s="977"/>
      <c r="C379" s="302" t="s">
        <v>27</v>
      </c>
      <c r="D379" s="302" t="s">
        <v>254</v>
      </c>
      <c r="E379" s="505">
        <v>17.8202</v>
      </c>
      <c r="F379" s="405">
        <f>IFERROR(E379*'01 Prod Physique Boites'!H375,"-")</f>
        <v>0</v>
      </c>
      <c r="G379" s="406">
        <f>IFERROR(E379*'01 Prod Physique Boites'!L375,"-")</f>
        <v>0</v>
      </c>
      <c r="H379" s="388">
        <v>24.93</v>
      </c>
      <c r="I379" s="424">
        <f t="shared" si="236"/>
        <v>0</v>
      </c>
      <c r="J379" s="645">
        <f t="shared" si="237"/>
        <v>0</v>
      </c>
    </row>
    <row r="380" spans="1:10" ht="23.4" x14ac:dyDescent="0.3">
      <c r="A380" s="277" t="s">
        <v>108</v>
      </c>
      <c r="B380" s="977"/>
      <c r="C380" s="302" t="s">
        <v>27</v>
      </c>
      <c r="D380" s="302" t="s">
        <v>302</v>
      </c>
      <c r="E380" s="505">
        <v>17.8202</v>
      </c>
      <c r="F380" s="405">
        <f>IFERROR(E380*'01 Prod Physique Boites'!H376,"-")</f>
        <v>0</v>
      </c>
      <c r="G380" s="406">
        <f>IFERROR(E380*'01 Prod Physique Boites'!L376,"-")</f>
        <v>0</v>
      </c>
      <c r="H380" s="388">
        <v>24.93</v>
      </c>
      <c r="I380" s="424">
        <f t="shared" si="236"/>
        <v>0</v>
      </c>
      <c r="J380" s="645">
        <f t="shared" si="237"/>
        <v>0</v>
      </c>
    </row>
    <row r="381" spans="1:10" ht="23.4" x14ac:dyDescent="0.3">
      <c r="A381" s="277"/>
      <c r="B381" s="977"/>
      <c r="C381" s="302" t="s">
        <v>369</v>
      </c>
      <c r="D381" s="302" t="s">
        <v>190</v>
      </c>
      <c r="E381" s="505">
        <v>17.8202</v>
      </c>
      <c r="F381" s="405">
        <f>IFERROR(E381*'01 Prod Physique Boites'!H377,"-")</f>
        <v>0</v>
      </c>
      <c r="G381" s="406">
        <f>IFERROR(E381*'01 Prod Physique Boites'!L377,"-")</f>
        <v>0</v>
      </c>
      <c r="H381" s="390">
        <v>21.22</v>
      </c>
      <c r="I381" s="424">
        <f t="shared" si="236"/>
        <v>0</v>
      </c>
      <c r="J381" s="646">
        <f t="shared" si="237"/>
        <v>0</v>
      </c>
    </row>
    <row r="382" spans="1:10" ht="23.4" x14ac:dyDescent="0.3">
      <c r="A382" s="277"/>
      <c r="B382" s="977"/>
      <c r="C382" s="302" t="s">
        <v>314</v>
      </c>
      <c r="D382" s="302" t="s">
        <v>101</v>
      </c>
      <c r="E382" s="505">
        <v>14.608000000000001</v>
      </c>
      <c r="F382" s="405">
        <f>IFERROR(E382*'01 Prod Physique Boites'!H378,"-")</f>
        <v>0</v>
      </c>
      <c r="G382" s="406">
        <f>IFERROR(E382*'01 Prod Physique Boites'!L378,"-")</f>
        <v>0</v>
      </c>
      <c r="H382" s="390">
        <v>24.93</v>
      </c>
      <c r="I382" s="426">
        <f t="shared" si="236"/>
        <v>0</v>
      </c>
      <c r="J382" s="646">
        <f t="shared" si="237"/>
        <v>0</v>
      </c>
    </row>
    <row r="383" spans="1:10" ht="23.4" x14ac:dyDescent="0.3">
      <c r="A383" s="277"/>
      <c r="B383" s="977"/>
      <c r="C383" s="302" t="s">
        <v>314</v>
      </c>
      <c r="D383" s="302" t="s">
        <v>370</v>
      </c>
      <c r="E383" s="505">
        <v>14.608000000000001</v>
      </c>
      <c r="F383" s="405">
        <f>IFERROR(E383*'01 Prod Physique Boites'!H379,"-")</f>
        <v>0</v>
      </c>
      <c r="G383" s="406">
        <f>IFERROR(E383*'01 Prod Physique Boites'!L379,"-")</f>
        <v>0</v>
      </c>
      <c r="H383" s="390">
        <v>21.22</v>
      </c>
      <c r="I383" s="426">
        <f t="shared" si="236"/>
        <v>0</v>
      </c>
      <c r="J383" s="646">
        <f t="shared" si="237"/>
        <v>0</v>
      </c>
    </row>
    <row r="384" spans="1:10" ht="24" thickBot="1" x14ac:dyDescent="0.35">
      <c r="A384" s="277" t="s">
        <v>108</v>
      </c>
      <c r="B384" s="977"/>
      <c r="C384" s="303" t="s">
        <v>315</v>
      </c>
      <c r="D384" s="302" t="s">
        <v>313</v>
      </c>
      <c r="E384" s="505">
        <v>12.6997</v>
      </c>
      <c r="F384" s="405">
        <f>IFERROR(E384*'01 Prod Physique Boites'!H380,"-")</f>
        <v>0</v>
      </c>
      <c r="G384" s="406">
        <f>IFERROR(E384*'01 Prod Physique Boites'!L380,"-")</f>
        <v>0</v>
      </c>
      <c r="H384" s="390">
        <v>13.25</v>
      </c>
      <c r="I384" s="426">
        <f t="shared" si="236"/>
        <v>0</v>
      </c>
      <c r="J384" s="646">
        <f t="shared" si="237"/>
        <v>0</v>
      </c>
    </row>
    <row r="385" spans="1:10" ht="24" thickBot="1" x14ac:dyDescent="0.35">
      <c r="A385" s="277" t="s">
        <v>108</v>
      </c>
      <c r="B385" s="990"/>
      <c r="C385" s="304"/>
      <c r="D385" s="305" t="s">
        <v>55</v>
      </c>
      <c r="E385" s="393"/>
      <c r="F385" s="409">
        <f>SUM(F376:F384)</f>
        <v>0</v>
      </c>
      <c r="G385" s="410">
        <f t="shared" ref="G385" si="238">SUM(G376:G384)</f>
        <v>0</v>
      </c>
      <c r="H385" s="394"/>
      <c r="I385" s="409">
        <f t="shared" ref="I385" si="239">SUM(I376:I384)</f>
        <v>0</v>
      </c>
      <c r="J385" s="428">
        <f>SUM(J376:J384)</f>
        <v>0</v>
      </c>
    </row>
    <row r="386" spans="1:10" ht="23.4" x14ac:dyDescent="0.3">
      <c r="A386" s="277" t="s">
        <v>108</v>
      </c>
      <c r="B386" s="976" t="s">
        <v>28</v>
      </c>
      <c r="C386" s="302" t="s">
        <v>27</v>
      </c>
      <c r="D386" s="300" t="s">
        <v>302</v>
      </c>
      <c r="E386" s="508">
        <v>17.8202</v>
      </c>
      <c r="F386" s="405">
        <f>IFERROR(E386*'01 Prod Physique Boites'!H382,"-")</f>
        <v>0</v>
      </c>
      <c r="G386" s="406">
        <f>IFERROR(E386*'01 Prod Physique Boites'!L382,"-")</f>
        <v>70888.755600000004</v>
      </c>
      <c r="H386" s="384">
        <v>24.93</v>
      </c>
      <c r="I386" s="422">
        <f>IFERROR(H386*(F386/E386),"-")</f>
        <v>0</v>
      </c>
      <c r="J386" s="644">
        <f t="shared" ref="J386:J388" si="240">IFERROR(H386*(G386/E386),"-")</f>
        <v>99171.540000000008</v>
      </c>
    </row>
    <row r="387" spans="1:10" ht="23.4" x14ac:dyDescent="0.3">
      <c r="A387" s="277" t="s">
        <v>108</v>
      </c>
      <c r="B387" s="977"/>
      <c r="C387" s="302" t="s">
        <v>27</v>
      </c>
      <c r="D387" s="302" t="s">
        <v>370</v>
      </c>
      <c r="E387" s="505">
        <v>17.8202</v>
      </c>
      <c r="F387" s="405">
        <f>IFERROR(E387*'01 Prod Physique Boites'!H383,"-")</f>
        <v>0</v>
      </c>
      <c r="G387" s="406">
        <f>IFERROR(E387*'01 Prod Physique Boites'!L383,"-")</f>
        <v>425332.53360000002</v>
      </c>
      <c r="H387" s="388">
        <v>21.22</v>
      </c>
      <c r="I387" s="424">
        <f>IFERROR(H387*(F387/E387),"-")</f>
        <v>0</v>
      </c>
      <c r="J387" s="645">
        <f t="shared" si="240"/>
        <v>506478.95999999996</v>
      </c>
    </row>
    <row r="388" spans="1:10" ht="24" thickBot="1" x14ac:dyDescent="0.35">
      <c r="A388" s="277" t="s">
        <v>108</v>
      </c>
      <c r="B388" s="977"/>
      <c r="C388" s="302" t="s">
        <v>27</v>
      </c>
      <c r="D388" s="303" t="s">
        <v>254</v>
      </c>
      <c r="E388" s="505">
        <v>17.8202</v>
      </c>
      <c r="F388" s="405">
        <f>IFERROR(E388*'01 Prod Physique Boites'!H384,"-")</f>
        <v>3544437.78</v>
      </c>
      <c r="G388" s="406">
        <f>IFERROR(E388*'01 Prod Physique Boites'!L384,"-")</f>
        <v>9782648.2728000004</v>
      </c>
      <c r="H388" s="388">
        <v>24.93</v>
      </c>
      <c r="I388" s="426">
        <f>IFERROR(H388*(F388/E388),"-")</f>
        <v>4958577</v>
      </c>
      <c r="J388" s="646">
        <f t="shared" si="240"/>
        <v>13685672.52</v>
      </c>
    </row>
    <row r="389" spans="1:10" ht="24" thickBot="1" x14ac:dyDescent="0.35">
      <c r="A389" s="277" t="s">
        <v>108</v>
      </c>
      <c r="B389" s="977"/>
      <c r="C389" s="307"/>
      <c r="D389" s="308" t="s">
        <v>55</v>
      </c>
      <c r="E389" s="400"/>
      <c r="F389" s="417">
        <f t="shared" ref="F389:G389" si="241">SUM(F386:F388)</f>
        <v>3544437.78</v>
      </c>
      <c r="G389" s="418">
        <f t="shared" si="241"/>
        <v>10278869.562000001</v>
      </c>
      <c r="H389" s="401"/>
      <c r="I389" s="417">
        <f t="shared" ref="I389:J389" si="242">SUM(I386:I388)</f>
        <v>4958577</v>
      </c>
      <c r="J389" s="433">
        <f t="shared" si="242"/>
        <v>14291323.02</v>
      </c>
    </row>
    <row r="390" spans="1:10" ht="24" thickBot="1" x14ac:dyDescent="0.35">
      <c r="A390" s="754" t="s">
        <v>108</v>
      </c>
      <c r="B390" s="978" t="s">
        <v>170</v>
      </c>
      <c r="C390" s="979"/>
      <c r="D390" s="980"/>
      <c r="E390" s="402"/>
      <c r="F390" s="419">
        <f t="shared" ref="F390:G390" si="243">+F385+F389</f>
        <v>3544437.78</v>
      </c>
      <c r="G390" s="420">
        <f t="shared" si="243"/>
        <v>10278869.562000001</v>
      </c>
      <c r="H390" s="403"/>
      <c r="I390" s="419">
        <f t="shared" ref="I390:J390" si="244">+I385+I389</f>
        <v>4958577</v>
      </c>
      <c r="J390" s="434">
        <f t="shared" si="244"/>
        <v>14291323.02</v>
      </c>
    </row>
    <row r="391" spans="1:10" ht="23.4" x14ac:dyDescent="0.3">
      <c r="A391" s="277" t="s">
        <v>108</v>
      </c>
      <c r="B391" s="977" t="s">
        <v>30</v>
      </c>
      <c r="C391" s="306" t="s">
        <v>356</v>
      </c>
      <c r="D391" s="300" t="s">
        <v>191</v>
      </c>
      <c r="E391" s="508">
        <v>15.2788</v>
      </c>
      <c r="F391" s="405">
        <f>IFERROR(E391*'01 Prod Physique Boites'!H387,"-")</f>
        <v>0</v>
      </c>
      <c r="G391" s="406">
        <f>IFERROR(E391*'01 Prod Physique Boites'!L387,"-")</f>
        <v>0</v>
      </c>
      <c r="H391" s="384">
        <v>23.65</v>
      </c>
      <c r="I391" s="422">
        <f>IFERROR(H391*(F391/E391),"-")</f>
        <v>0</v>
      </c>
      <c r="J391" s="423">
        <f t="shared" ref="J391:J393" si="245">IFERROR(H391*(G391/E391),"-")</f>
        <v>0</v>
      </c>
    </row>
    <row r="392" spans="1:10" ht="23.4" x14ac:dyDescent="0.3">
      <c r="A392" s="277" t="s">
        <v>108</v>
      </c>
      <c r="B392" s="977"/>
      <c r="C392" s="306" t="s">
        <v>349</v>
      </c>
      <c r="D392" s="306" t="s">
        <v>313</v>
      </c>
      <c r="E392" s="509">
        <v>22.6356</v>
      </c>
      <c r="F392" s="405">
        <f>IFERROR(E392*'01 Prod Physique Boites'!H388,"-")</f>
        <v>0</v>
      </c>
      <c r="G392" s="406">
        <f>IFERROR(E392*'01 Prod Physique Boites'!L388,"-")</f>
        <v>0</v>
      </c>
      <c r="H392" s="388">
        <v>34.26</v>
      </c>
      <c r="I392" s="424">
        <f>IFERROR(H392*(F392/E392),"-")</f>
        <v>0</v>
      </c>
      <c r="J392" s="425">
        <f t="shared" si="245"/>
        <v>0</v>
      </c>
    </row>
    <row r="393" spans="1:10" ht="24" thickBot="1" x14ac:dyDescent="0.35">
      <c r="A393" s="277" t="s">
        <v>108</v>
      </c>
      <c r="B393" s="977"/>
      <c r="C393" s="303" t="s">
        <v>316</v>
      </c>
      <c r="D393" s="303"/>
      <c r="E393" s="505">
        <v>25.751300000000001</v>
      </c>
      <c r="F393" s="405">
        <f>IFERROR(E393*'01 Prod Physique Boites'!H389,"-")</f>
        <v>241032.16800000001</v>
      </c>
      <c r="G393" s="406">
        <f>IFERROR(E393*'01 Prod Physique Boites'!L389,"-")</f>
        <v>1590812.3088</v>
      </c>
      <c r="H393" s="390">
        <v>37.89</v>
      </c>
      <c r="I393" s="426">
        <f>IFERROR(H393*(F393/E393),"-")</f>
        <v>354650.4</v>
      </c>
      <c r="J393" s="427">
        <f t="shared" si="245"/>
        <v>2340692.64</v>
      </c>
    </row>
    <row r="394" spans="1:10" ht="24" thickBot="1" x14ac:dyDescent="0.35">
      <c r="A394" s="277" t="s">
        <v>108</v>
      </c>
      <c r="B394" s="977"/>
      <c r="C394" s="304"/>
      <c r="D394" s="305" t="s">
        <v>53</v>
      </c>
      <c r="E394" s="393"/>
      <c r="F394" s="409">
        <f t="shared" ref="F394:G394" si="246">SUM(F391:F393)</f>
        <v>241032.16800000001</v>
      </c>
      <c r="G394" s="410">
        <f t="shared" si="246"/>
        <v>1590812.3088</v>
      </c>
      <c r="H394" s="394"/>
      <c r="I394" s="409">
        <f t="shared" ref="I394" si="247">SUM(I391:I393)</f>
        <v>354650.4</v>
      </c>
      <c r="J394" s="428">
        <f>SUM(J391:J393)</f>
        <v>2340692.64</v>
      </c>
    </row>
    <row r="395" spans="1:10" ht="23.4" x14ac:dyDescent="0.3">
      <c r="A395" s="277" t="s">
        <v>108</v>
      </c>
      <c r="B395" s="977"/>
      <c r="C395" s="300" t="s">
        <v>339</v>
      </c>
      <c r="D395" s="300"/>
      <c r="E395" s="508">
        <v>22.094999999999999</v>
      </c>
      <c r="F395" s="405">
        <f>IFERROR(E395*'01 Prod Physique Boites'!H391,"-")</f>
        <v>0</v>
      </c>
      <c r="G395" s="406">
        <f>IFERROR(E395*'01 Prod Physique Boites'!L391,"-")</f>
        <v>0</v>
      </c>
      <c r="H395" s="384">
        <v>37.11</v>
      </c>
      <c r="I395" s="422">
        <f>IFERROR(H395*(F395/E395),"-")</f>
        <v>0</v>
      </c>
      <c r="J395" s="423">
        <f t="shared" ref="J395:J397" si="248">IFERROR(H395*(G395/E395),"-")</f>
        <v>0</v>
      </c>
    </row>
    <row r="396" spans="1:10" ht="23.4" x14ac:dyDescent="0.3">
      <c r="A396" s="277" t="s">
        <v>108</v>
      </c>
      <c r="B396" s="977"/>
      <c r="C396" s="306" t="s">
        <v>373</v>
      </c>
      <c r="D396" s="306" t="s">
        <v>254</v>
      </c>
      <c r="E396" s="509">
        <v>27.917000000000002</v>
      </c>
      <c r="F396" s="405">
        <f>IFERROR(E396*'01 Prod Physique Boites'!H392,"-")</f>
        <v>0</v>
      </c>
      <c r="G396" s="406">
        <f>IFERROR(E396*'01 Prod Physique Boites'!L392,"-")</f>
        <v>261303.12000000002</v>
      </c>
      <c r="H396" s="388">
        <v>39</v>
      </c>
      <c r="I396" s="424">
        <f>IFERROR(H396*(F396/E396),"-")</f>
        <v>0</v>
      </c>
      <c r="J396" s="425">
        <f t="shared" si="248"/>
        <v>365040</v>
      </c>
    </row>
    <row r="397" spans="1:10" ht="24" thickBot="1" x14ac:dyDescent="0.35">
      <c r="A397" s="277" t="s">
        <v>108</v>
      </c>
      <c r="B397" s="977"/>
      <c r="C397" s="303" t="s">
        <v>145</v>
      </c>
      <c r="D397" s="303"/>
      <c r="E397" s="505">
        <v>25.4041</v>
      </c>
      <c r="F397" s="405">
        <f>IFERROR(E397*'01 Prod Physique Boites'!H393,"-")</f>
        <v>0</v>
      </c>
      <c r="G397" s="406">
        <f>IFERROR(E397*'01 Prod Physique Boites'!L393,"-")</f>
        <v>0</v>
      </c>
      <c r="H397" s="390">
        <v>28.21</v>
      </c>
      <c r="I397" s="426">
        <f>IFERROR(H397*(F397/E397),"-")</f>
        <v>0</v>
      </c>
      <c r="J397" s="427">
        <f t="shared" si="248"/>
        <v>0</v>
      </c>
    </row>
    <row r="398" spans="1:10" ht="24" thickBot="1" x14ac:dyDescent="0.35">
      <c r="A398" s="277" t="s">
        <v>108</v>
      </c>
      <c r="B398" s="977"/>
      <c r="C398" s="307"/>
      <c r="D398" s="308" t="s">
        <v>54</v>
      </c>
      <c r="E398" s="400"/>
      <c r="F398" s="417">
        <f t="shared" ref="F398:G398" si="249">SUM(F395:F397)</f>
        <v>0</v>
      </c>
      <c r="G398" s="418">
        <f t="shared" si="249"/>
        <v>261303.12000000002</v>
      </c>
      <c r="H398" s="401"/>
      <c r="I398" s="417">
        <f t="shared" ref="I398" si="250">SUM(I395:I397)</f>
        <v>0</v>
      </c>
      <c r="J398" s="433">
        <f>SUM(J395:J397)</f>
        <v>365040</v>
      </c>
    </row>
    <row r="399" spans="1:10" ht="24" thickBot="1" x14ac:dyDescent="0.35">
      <c r="A399" s="277" t="s">
        <v>108</v>
      </c>
      <c r="B399" s="978" t="s">
        <v>171</v>
      </c>
      <c r="C399" s="979"/>
      <c r="D399" s="980"/>
      <c r="E399" s="402"/>
      <c r="F399" s="419">
        <f t="shared" ref="F399:G399" si="251">+F394+F398</f>
        <v>241032.16800000001</v>
      </c>
      <c r="G399" s="420">
        <f t="shared" si="251"/>
        <v>1852115.4288000001</v>
      </c>
      <c r="H399" s="403"/>
      <c r="I399" s="419">
        <f t="shared" ref="I399:J399" si="252">+I394+I398</f>
        <v>354650.4</v>
      </c>
      <c r="J399" s="434">
        <f t="shared" si="252"/>
        <v>2705732.64</v>
      </c>
    </row>
    <row r="400" spans="1:10" ht="24" thickBot="1" x14ac:dyDescent="0.35">
      <c r="A400" s="277" t="s">
        <v>108</v>
      </c>
      <c r="B400" s="609" t="s">
        <v>32</v>
      </c>
      <c r="C400" s="750"/>
      <c r="D400" s="313"/>
      <c r="E400" s="510">
        <v>12.2659</v>
      </c>
      <c r="F400" s="411">
        <f>IFERROR(E400*'01 Prod Physique Boites'!H396,"-")</f>
        <v>0</v>
      </c>
      <c r="G400" s="412">
        <f>IFERROR(E400*'01 Prod Physique Boites'!L396,"-")</f>
        <v>0</v>
      </c>
      <c r="H400" s="395"/>
      <c r="I400" s="429">
        <f>IFERROR(H400*(F400/E400),"-")</f>
        <v>0</v>
      </c>
      <c r="J400" s="430">
        <f>IFERROR(H400*(G400/E400),"-")</f>
        <v>0</v>
      </c>
    </row>
    <row r="401" spans="1:10" ht="24" thickBot="1" x14ac:dyDescent="0.35">
      <c r="A401" s="277" t="s">
        <v>108</v>
      </c>
      <c r="B401" s="981" t="s">
        <v>21</v>
      </c>
      <c r="C401" s="982"/>
      <c r="D401" s="983"/>
      <c r="E401" s="396"/>
      <c r="F401" s="413">
        <f t="shared" ref="F401" si="253">+F390+F399+F400</f>
        <v>3785469.9479999999</v>
      </c>
      <c r="G401" s="414">
        <f>+G390+G399+G400</f>
        <v>12130984.990800001</v>
      </c>
      <c r="H401" s="397"/>
      <c r="I401" s="413">
        <f t="shared" ref="I401:J401" si="254">+I390+I399+I400</f>
        <v>5313227.4000000004</v>
      </c>
      <c r="J401" s="431">
        <f t="shared" si="254"/>
        <v>16997055.66</v>
      </c>
    </row>
    <row r="402" spans="1:10" ht="24" thickBot="1" x14ac:dyDescent="0.35">
      <c r="A402" s="277" t="s">
        <v>108</v>
      </c>
      <c r="B402" s="984" t="s">
        <v>179</v>
      </c>
      <c r="C402" s="962"/>
      <c r="D402" s="963"/>
      <c r="E402" s="398"/>
      <c r="F402" s="415">
        <f t="shared" ref="F402:G402" si="255">+F401</f>
        <v>3785469.9479999999</v>
      </c>
      <c r="G402" s="416">
        <f t="shared" si="255"/>
        <v>12130984.990800001</v>
      </c>
      <c r="H402" s="399"/>
      <c r="I402" s="415">
        <f t="shared" ref="I402:J402" si="256">+I401</f>
        <v>5313227.4000000004</v>
      </c>
      <c r="J402" s="432">
        <f t="shared" si="256"/>
        <v>16997055.66</v>
      </c>
    </row>
    <row r="403" spans="1:10" ht="23.4" x14ac:dyDescent="0.3">
      <c r="A403" s="271" t="s">
        <v>109</v>
      </c>
      <c r="B403" s="970" t="s">
        <v>33</v>
      </c>
      <c r="C403" s="314" t="s">
        <v>120</v>
      </c>
      <c r="D403" s="314"/>
      <c r="E403" s="506">
        <v>254.89750000000001</v>
      </c>
      <c r="F403" s="405">
        <f>IFERROR(E403*'01 Prod Physique Boites'!H399,"-")</f>
        <v>0</v>
      </c>
      <c r="G403" s="406">
        <f>IFERROR(E403*'01 Prod Physique Boites'!L399,"-")</f>
        <v>0</v>
      </c>
      <c r="H403" s="384">
        <v>445.38</v>
      </c>
      <c r="I403" s="422">
        <f>IFERROR(H403*(F403/E403),"-")</f>
        <v>0</v>
      </c>
      <c r="J403" s="423">
        <f t="shared" ref="J403:J405" si="257">IFERROR(H403*(G403/E403),"-")</f>
        <v>0</v>
      </c>
    </row>
    <row r="404" spans="1:10" ht="23.4" x14ac:dyDescent="0.3">
      <c r="A404" s="277" t="s">
        <v>109</v>
      </c>
      <c r="B404" s="972"/>
      <c r="C404" s="315" t="s">
        <v>267</v>
      </c>
      <c r="D404" s="315"/>
      <c r="E404" s="507">
        <v>246.51390000000001</v>
      </c>
      <c r="F404" s="405">
        <f>IFERROR(E404*'01 Prod Physique Boites'!H400,"-")</f>
        <v>473306.68800000002</v>
      </c>
      <c r="G404" s="406">
        <f>IFERROR(E404*'01 Prod Physique Boites'!L400,"-")</f>
        <v>473306.68800000002</v>
      </c>
      <c r="H404" s="388">
        <v>430.02</v>
      </c>
      <c r="I404" s="424">
        <f>IFERROR(H404*(F404/E404),"-")</f>
        <v>825638.39999999991</v>
      </c>
      <c r="J404" s="425">
        <f t="shared" si="257"/>
        <v>825638.39999999991</v>
      </c>
    </row>
    <row r="405" spans="1:10" ht="24" thickBot="1" x14ac:dyDescent="0.35">
      <c r="A405" s="277" t="s">
        <v>109</v>
      </c>
      <c r="B405" s="971"/>
      <c r="C405" s="316" t="s">
        <v>34</v>
      </c>
      <c r="D405" s="316"/>
      <c r="E405" s="504">
        <v>225.7713</v>
      </c>
      <c r="F405" s="405">
        <f>IFERROR(E405*'01 Prod Physique Boites'!H401,"-")</f>
        <v>0</v>
      </c>
      <c r="G405" s="406">
        <f>IFERROR(E405*'01 Prod Physique Boites'!L401,"-")</f>
        <v>0</v>
      </c>
      <c r="H405" s="390"/>
      <c r="I405" s="426">
        <f>IFERROR(H405*(F405/E405),"-")</f>
        <v>0</v>
      </c>
      <c r="J405" s="427">
        <f t="shared" si="257"/>
        <v>0</v>
      </c>
    </row>
    <row r="406" spans="1:10" ht="24" thickBot="1" x14ac:dyDescent="0.35">
      <c r="A406" s="277" t="s">
        <v>109</v>
      </c>
      <c r="B406" s="967" t="s">
        <v>35</v>
      </c>
      <c r="C406" s="968"/>
      <c r="D406" s="969"/>
      <c r="E406" s="393"/>
      <c r="F406" s="409">
        <f t="shared" ref="F406:G406" si="258">SUM(F403:F405)</f>
        <v>473306.68800000002</v>
      </c>
      <c r="G406" s="410">
        <f t="shared" si="258"/>
        <v>473306.68800000002</v>
      </c>
      <c r="H406" s="394"/>
      <c r="I406" s="409">
        <f t="shared" ref="I406:J406" si="259">SUM(I403:I405)</f>
        <v>825638.39999999991</v>
      </c>
      <c r="J406" s="428">
        <f t="shared" si="259"/>
        <v>825638.39999999991</v>
      </c>
    </row>
    <row r="407" spans="1:10" ht="23.4" x14ac:dyDescent="0.3">
      <c r="A407" s="277" t="s">
        <v>109</v>
      </c>
      <c r="B407" s="970" t="s">
        <v>36</v>
      </c>
      <c r="C407" s="314" t="s">
        <v>120</v>
      </c>
      <c r="D407" s="314"/>
      <c r="E407" s="506">
        <v>254.89750000000001</v>
      </c>
      <c r="F407" s="405">
        <f>IFERROR(E407*'01 Prod Physique Boites'!H403,"-")</f>
        <v>0</v>
      </c>
      <c r="G407" s="406">
        <f>IFERROR(E407*'01 Prod Physique Boites'!L403,"-")</f>
        <v>0</v>
      </c>
      <c r="H407" s="384">
        <v>445.38</v>
      </c>
      <c r="I407" s="422">
        <f>IFERROR(H407*(F407/E407),"-")</f>
        <v>0</v>
      </c>
      <c r="J407" s="423">
        <f t="shared" ref="J407:J410" si="260">IFERROR(H407*(G407/E407),"-")</f>
        <v>0</v>
      </c>
    </row>
    <row r="408" spans="1:10" ht="23.4" x14ac:dyDescent="0.3">
      <c r="A408" s="277" t="s">
        <v>109</v>
      </c>
      <c r="B408" s="972"/>
      <c r="C408" s="315" t="s">
        <v>267</v>
      </c>
      <c r="D408" s="315"/>
      <c r="E408" s="507">
        <v>246.51390000000001</v>
      </c>
      <c r="F408" s="405">
        <f>IFERROR(E408*'01 Prod Physique Boites'!H404,"-")</f>
        <v>0</v>
      </c>
      <c r="G408" s="406">
        <f>IFERROR(E408*'01 Prod Physique Boites'!L404,"-")</f>
        <v>0</v>
      </c>
      <c r="H408" s="388">
        <v>430.02</v>
      </c>
      <c r="I408" s="424">
        <f>IFERROR(H408*(F408/E408),"-")</f>
        <v>0</v>
      </c>
      <c r="J408" s="425">
        <f t="shared" si="260"/>
        <v>0</v>
      </c>
    </row>
    <row r="409" spans="1:10" ht="23.4" x14ac:dyDescent="0.3">
      <c r="A409" s="277" t="s">
        <v>109</v>
      </c>
      <c r="B409" s="972"/>
      <c r="C409" s="315" t="s">
        <v>198</v>
      </c>
      <c r="D409" s="315" t="s">
        <v>197</v>
      </c>
      <c r="E409" s="507">
        <v>254.89750000000001</v>
      </c>
      <c r="F409" s="405">
        <f>IFERROR(E409*'01 Prod Physique Boites'!H405,"-")</f>
        <v>0</v>
      </c>
      <c r="G409" s="406">
        <f>IFERROR(E409*'01 Prod Physique Boites'!L405,"-")</f>
        <v>0</v>
      </c>
      <c r="H409" s="388"/>
      <c r="I409" s="424">
        <f>IFERROR(H409*(F409/E409),"-")</f>
        <v>0</v>
      </c>
      <c r="J409" s="425">
        <f t="shared" si="260"/>
        <v>0</v>
      </c>
    </row>
    <row r="410" spans="1:10" ht="24" thickBot="1" x14ac:dyDescent="0.35">
      <c r="A410" s="277" t="s">
        <v>109</v>
      </c>
      <c r="B410" s="971"/>
      <c r="C410" s="316" t="s">
        <v>37</v>
      </c>
      <c r="D410" s="316"/>
      <c r="E410" s="504">
        <v>229.99359999999999</v>
      </c>
      <c r="F410" s="405">
        <f>IFERROR(E410*'01 Prod Physique Boites'!H406,"-")</f>
        <v>0</v>
      </c>
      <c r="G410" s="406">
        <f>IFERROR(E410*'01 Prod Physique Boites'!L406,"-")</f>
        <v>0</v>
      </c>
      <c r="H410" s="390"/>
      <c r="I410" s="426">
        <f>IFERROR(H410*(F410/E410),"-")</f>
        <v>0</v>
      </c>
      <c r="J410" s="427">
        <f t="shared" si="260"/>
        <v>0</v>
      </c>
    </row>
    <row r="411" spans="1:10" ht="24" thickBot="1" x14ac:dyDescent="0.35">
      <c r="A411" s="277" t="s">
        <v>109</v>
      </c>
      <c r="B411" s="967" t="s">
        <v>38</v>
      </c>
      <c r="C411" s="968"/>
      <c r="D411" s="969"/>
      <c r="E411" s="393"/>
      <c r="F411" s="409">
        <f t="shared" ref="F411:G411" si="261">SUM(F407:F410)</f>
        <v>0</v>
      </c>
      <c r="G411" s="410">
        <f t="shared" si="261"/>
        <v>0</v>
      </c>
      <c r="H411" s="394"/>
      <c r="I411" s="409">
        <f>SUM(I407:I410)</f>
        <v>0</v>
      </c>
      <c r="J411" s="428">
        <f>SUM(J407:J410)</f>
        <v>0</v>
      </c>
    </row>
    <row r="412" spans="1:10" ht="23.4" x14ac:dyDescent="0.3">
      <c r="A412" s="277" t="s">
        <v>109</v>
      </c>
      <c r="B412" s="970" t="s">
        <v>39</v>
      </c>
      <c r="C412" s="317" t="s">
        <v>123</v>
      </c>
      <c r="D412" s="317"/>
      <c r="E412" s="506">
        <v>195.2808</v>
      </c>
      <c r="F412" s="405">
        <f>IFERROR(E412*'01 Prod Physique Boites'!H408,"-")</f>
        <v>28120.4352</v>
      </c>
      <c r="G412" s="406">
        <f>IFERROR(E412*'01 Prod Physique Boites'!L408,"-")</f>
        <v>28120.4352</v>
      </c>
      <c r="H412" s="384"/>
      <c r="I412" s="422">
        <f>IFERROR(H412*(F412/E412),"-")</f>
        <v>0</v>
      </c>
      <c r="J412" s="423">
        <f t="shared" ref="J412:J413" si="262">IFERROR(H412*(G412/E412),"-")</f>
        <v>0</v>
      </c>
    </row>
    <row r="413" spans="1:10" ht="24" thickBot="1" x14ac:dyDescent="0.35">
      <c r="A413" s="277" t="s">
        <v>109</v>
      </c>
      <c r="B413" s="971"/>
      <c r="C413" s="289" t="s">
        <v>139</v>
      </c>
      <c r="D413" s="289"/>
      <c r="E413" s="504">
        <v>189.91890000000001</v>
      </c>
      <c r="F413" s="405">
        <f>IFERROR(E413*'01 Prod Physique Boites'!H409,"-")</f>
        <v>0</v>
      </c>
      <c r="G413" s="406">
        <f>IFERROR(E413*'01 Prod Physique Boites'!L409,"-")</f>
        <v>45580.536</v>
      </c>
      <c r="H413" s="390">
        <v>320.35000000000002</v>
      </c>
      <c r="I413" s="426">
        <f>IFERROR(H413*(F413/E413),"-")</f>
        <v>0</v>
      </c>
      <c r="J413" s="427">
        <f t="shared" si="262"/>
        <v>76884</v>
      </c>
    </row>
    <row r="414" spans="1:10" ht="24" thickBot="1" x14ac:dyDescent="0.35">
      <c r="A414" s="754" t="s">
        <v>109</v>
      </c>
      <c r="B414" s="967" t="s">
        <v>40</v>
      </c>
      <c r="C414" s="968"/>
      <c r="D414" s="969"/>
      <c r="E414" s="393"/>
      <c r="F414" s="409">
        <f>SUM(F412:F413)</f>
        <v>28120.4352</v>
      </c>
      <c r="G414" s="410">
        <f t="shared" ref="G414" si="263">SUM(G412:G413)</f>
        <v>73700.9712</v>
      </c>
      <c r="H414" s="394"/>
      <c r="I414" s="409">
        <f t="shared" ref="I414:J414" si="264">SUM(I412:I413)</f>
        <v>0</v>
      </c>
      <c r="J414" s="428">
        <f t="shared" si="264"/>
        <v>76884</v>
      </c>
    </row>
    <row r="415" spans="1:10" ht="23.4" x14ac:dyDescent="0.3">
      <c r="A415" s="277" t="s">
        <v>109</v>
      </c>
      <c r="B415" s="970" t="s">
        <v>41</v>
      </c>
      <c r="C415" s="272" t="s">
        <v>335</v>
      </c>
      <c r="D415" s="272" t="s">
        <v>258</v>
      </c>
      <c r="E415" s="508">
        <v>37.248699999999999</v>
      </c>
      <c r="F415" s="405">
        <f>IFERROR(E415*'01 Prod Physique Boites'!H411,"-")</f>
        <v>625778.16</v>
      </c>
      <c r="G415" s="406">
        <f>IFERROR(E415*'01 Prod Physique Boites'!L411,"-")</f>
        <v>2842820.784</v>
      </c>
      <c r="H415" s="384">
        <v>71.44</v>
      </c>
      <c r="I415" s="422">
        <f>IFERROR(H415*(F415/E415),"-")</f>
        <v>1200192</v>
      </c>
      <c r="J415" s="423">
        <f>IFERROR(H415*(G415/E415),"-")</f>
        <v>5452300.7999999998</v>
      </c>
    </row>
    <row r="416" spans="1:10" ht="23.4" x14ac:dyDescent="0.3">
      <c r="A416" s="277" t="s">
        <v>109</v>
      </c>
      <c r="B416" s="972"/>
      <c r="C416" s="272" t="s">
        <v>164</v>
      </c>
      <c r="D416" s="278"/>
      <c r="E416" s="508">
        <v>37.248699999999999</v>
      </c>
      <c r="F416" s="405">
        <f>IFERROR(E416*'01 Prod Physique Boites'!H412,"-")</f>
        <v>0</v>
      </c>
      <c r="G416" s="406">
        <f>IFERROR(E416*'01 Prod Physique Boites'!L412,"-")</f>
        <v>0</v>
      </c>
      <c r="H416" s="388"/>
      <c r="I416" s="424">
        <f>IFERROR(H416*(F416/E416),"-")</f>
        <v>0</v>
      </c>
      <c r="J416" s="425">
        <f t="shared" ref="J416:J419" si="265">IFERROR(H416*(G416/E416),"-")</f>
        <v>0</v>
      </c>
    </row>
    <row r="417" spans="1:10" ht="23.4" x14ac:dyDescent="0.3">
      <c r="A417" s="277" t="s">
        <v>109</v>
      </c>
      <c r="B417" s="972"/>
      <c r="C417" s="278" t="s">
        <v>383</v>
      </c>
      <c r="D417" s="272" t="s">
        <v>258</v>
      </c>
      <c r="E417" s="508">
        <v>37.248699999999999</v>
      </c>
      <c r="F417" s="405">
        <f>IFERROR(E417*'01 Prod Physique Boites'!H413,"-")</f>
        <v>0</v>
      </c>
      <c r="G417" s="406">
        <f>IFERROR(E417*'01 Prod Physique Boites'!L413,"-")</f>
        <v>0</v>
      </c>
      <c r="H417" s="388">
        <v>71.44</v>
      </c>
      <c r="I417" s="424">
        <f>IFERROR(H417*(F417/E417),"-")</f>
        <v>0</v>
      </c>
      <c r="J417" s="425">
        <f t="shared" si="265"/>
        <v>0</v>
      </c>
    </row>
    <row r="418" spans="1:10" ht="23.4" x14ac:dyDescent="0.3">
      <c r="A418" s="277" t="s">
        <v>109</v>
      </c>
      <c r="B418" s="972"/>
      <c r="C418" s="278" t="s">
        <v>165</v>
      </c>
      <c r="D418" s="278"/>
      <c r="E418" s="509">
        <v>38.466099999999997</v>
      </c>
      <c r="F418" s="405">
        <f>IFERROR(E418*'01 Prod Physique Boites'!H414,"-")</f>
        <v>0</v>
      </c>
      <c r="G418" s="406">
        <f>IFERROR(E418*'01 Prod Physique Boites'!L414,"-")</f>
        <v>0</v>
      </c>
      <c r="H418" s="388"/>
      <c r="I418" s="424">
        <f>IFERROR(H418*(F418/E418),"-")</f>
        <v>0</v>
      </c>
      <c r="J418" s="425">
        <f t="shared" si="265"/>
        <v>0</v>
      </c>
    </row>
    <row r="419" spans="1:10" ht="24" thickBot="1" x14ac:dyDescent="0.35">
      <c r="A419" s="277" t="s">
        <v>109</v>
      </c>
      <c r="B419" s="971"/>
      <c r="C419" s="282" t="s">
        <v>166</v>
      </c>
      <c r="D419" s="282"/>
      <c r="E419" s="505">
        <v>33.711399999999998</v>
      </c>
      <c r="F419" s="405">
        <f>IFERROR(E419*'01 Prod Physique Boites'!H415,"-")</f>
        <v>0</v>
      </c>
      <c r="G419" s="406">
        <f>IFERROR(E419*'01 Prod Physique Boites'!L415,"-")</f>
        <v>0</v>
      </c>
      <c r="H419" s="390"/>
      <c r="I419" s="426">
        <f>IFERROR(H419*(F419/E419),"-")</f>
        <v>0</v>
      </c>
      <c r="J419" s="427">
        <f t="shared" si="265"/>
        <v>0</v>
      </c>
    </row>
    <row r="420" spans="1:10" ht="24" thickBot="1" x14ac:dyDescent="0.35">
      <c r="A420" s="277" t="s">
        <v>109</v>
      </c>
      <c r="B420" s="967" t="s">
        <v>42</v>
      </c>
      <c r="C420" s="968"/>
      <c r="D420" s="969"/>
      <c r="E420" s="393"/>
      <c r="F420" s="409">
        <f>SUM(F415:F419)</f>
        <v>625778.16</v>
      </c>
      <c r="G420" s="410">
        <f>SUM(G415:G419)</f>
        <v>2842820.784</v>
      </c>
      <c r="H420" s="394"/>
      <c r="I420" s="409">
        <f>SUM(I415:I419)</f>
        <v>1200192</v>
      </c>
      <c r="J420" s="409">
        <f>SUM(J415:J419)</f>
        <v>5452300.7999999998</v>
      </c>
    </row>
    <row r="421" spans="1:10" ht="23.4" x14ac:dyDescent="0.3">
      <c r="A421" s="277" t="s">
        <v>109</v>
      </c>
      <c r="B421" s="970" t="s">
        <v>43</v>
      </c>
      <c r="C421" s="272" t="s">
        <v>200</v>
      </c>
      <c r="D421" s="272" t="s">
        <v>197</v>
      </c>
      <c r="E421" s="508">
        <v>30.7499</v>
      </c>
      <c r="F421" s="405">
        <f>IFERROR(E421*'01 Prod Physique Boites'!H417,"-")</f>
        <v>0</v>
      </c>
      <c r="G421" s="406">
        <f>IFERROR(E421*'01 Prod Physique Boites'!L417,"-")</f>
        <v>0</v>
      </c>
      <c r="H421" s="384"/>
      <c r="I421" s="422">
        <f>IFERROR(H421*(F421/E421),"-")</f>
        <v>0</v>
      </c>
      <c r="J421" s="423">
        <f>IFERROR(H421*(G421/E421),"-")</f>
        <v>0</v>
      </c>
    </row>
    <row r="422" spans="1:10" ht="23.4" x14ac:dyDescent="0.3">
      <c r="A422" s="277" t="s">
        <v>109</v>
      </c>
      <c r="B422" s="972"/>
      <c r="C422" s="278" t="s">
        <v>167</v>
      </c>
      <c r="D422" s="278"/>
      <c r="E422" s="727">
        <v>25.139099999999999</v>
      </c>
      <c r="F422" s="405">
        <f>IFERROR(E422*'01 Prod Physique Boites'!H418,"-")</f>
        <v>362003.04</v>
      </c>
      <c r="G422" s="406">
        <f>IFERROR(E422*'01 Prod Physique Boites'!L418,"-")</f>
        <v>1013608.512</v>
      </c>
      <c r="H422" s="388">
        <v>59.96</v>
      </c>
      <c r="I422" s="424">
        <f>IFERROR(H422*(F422/E422),"-")</f>
        <v>863424</v>
      </c>
      <c r="J422" s="425">
        <f t="shared" ref="J422:J423" si="266">IFERROR(H422*(G422/E422),"-")</f>
        <v>2417587.2000000002</v>
      </c>
    </row>
    <row r="423" spans="1:10" ht="24" thickBot="1" x14ac:dyDescent="0.35">
      <c r="A423" s="277" t="s">
        <v>109</v>
      </c>
      <c r="B423" s="971"/>
      <c r="C423" s="282" t="s">
        <v>200</v>
      </c>
      <c r="D423" s="282" t="s">
        <v>199</v>
      </c>
      <c r="E423" s="505">
        <v>30.073599999999999</v>
      </c>
      <c r="F423" s="405">
        <f>IFERROR(E423*'01 Prod Physique Boites'!H419,"-")</f>
        <v>0</v>
      </c>
      <c r="G423" s="406">
        <f>IFERROR(E423*'01 Prod Physique Boites'!L419,"-")</f>
        <v>0</v>
      </c>
      <c r="H423" s="390"/>
      <c r="I423" s="426">
        <f>IFERROR(H423*(F423/E423),"-")</f>
        <v>0</v>
      </c>
      <c r="J423" s="427">
        <f t="shared" si="266"/>
        <v>0</v>
      </c>
    </row>
    <row r="424" spans="1:10" ht="24" thickBot="1" x14ac:dyDescent="0.35">
      <c r="A424" s="277" t="s">
        <v>109</v>
      </c>
      <c r="B424" s="973" t="s">
        <v>44</v>
      </c>
      <c r="C424" s="974"/>
      <c r="D424" s="975"/>
      <c r="E424" s="393"/>
      <c r="F424" s="409">
        <f t="shared" ref="F424:G424" si="267">SUM(F421:F423)</f>
        <v>362003.04</v>
      </c>
      <c r="G424" s="410">
        <f t="shared" si="267"/>
        <v>1013608.512</v>
      </c>
      <c r="H424" s="394"/>
      <c r="I424" s="409">
        <f t="shared" ref="I424:J424" si="268">SUM(I421:I423)</f>
        <v>863424</v>
      </c>
      <c r="J424" s="428">
        <f t="shared" si="268"/>
        <v>2417587.2000000002</v>
      </c>
    </row>
    <row r="425" spans="1:10" ht="23.4" x14ac:dyDescent="0.3">
      <c r="A425" s="277" t="s">
        <v>109</v>
      </c>
      <c r="B425" s="970" t="s">
        <v>45</v>
      </c>
      <c r="C425" s="272" t="s">
        <v>168</v>
      </c>
      <c r="D425" s="272"/>
      <c r="E425" s="508">
        <v>36.684899999999999</v>
      </c>
      <c r="F425" s="405">
        <f>IFERROR(E425*'01 Prod Physique Boites'!H421,"-")</f>
        <v>0</v>
      </c>
      <c r="G425" s="406">
        <f>IFERROR(E425*'01 Prod Physique Boites'!L421,"-")</f>
        <v>0</v>
      </c>
      <c r="H425" s="384"/>
      <c r="I425" s="385" t="s">
        <v>204</v>
      </c>
      <c r="J425" s="386" t="s">
        <v>204</v>
      </c>
    </row>
    <row r="426" spans="1:10" ht="24" thickBot="1" x14ac:dyDescent="0.35">
      <c r="A426" s="277" t="s">
        <v>109</v>
      </c>
      <c r="B426" s="971"/>
      <c r="C426" s="282" t="s">
        <v>169</v>
      </c>
      <c r="D426" s="282"/>
      <c r="E426" s="505">
        <v>37.002800000000001</v>
      </c>
      <c r="F426" s="405">
        <f>IFERROR(E426*'01 Prod Physique Boites'!H422,"-")</f>
        <v>0</v>
      </c>
      <c r="G426" s="406">
        <f>IFERROR(E426*'01 Prod Physique Boites'!L422,"-")</f>
        <v>0</v>
      </c>
      <c r="H426" s="390"/>
      <c r="I426" s="391" t="s">
        <v>204</v>
      </c>
      <c r="J426" s="392" t="s">
        <v>204</v>
      </c>
    </row>
    <row r="427" spans="1:10" ht="24" thickBot="1" x14ac:dyDescent="0.35">
      <c r="A427" s="277" t="s">
        <v>109</v>
      </c>
      <c r="B427" s="973" t="s">
        <v>46</v>
      </c>
      <c r="C427" s="974"/>
      <c r="D427" s="975"/>
      <c r="E427" s="393"/>
      <c r="F427" s="405">
        <f>IFERROR(E427*'01 Prod Physique Boites'!H423,"-")</f>
        <v>0</v>
      </c>
      <c r="G427" s="410">
        <f>IFERROR(E427*'01 Prod Physique Boites'!L423,"-")</f>
        <v>0</v>
      </c>
      <c r="H427" s="394"/>
      <c r="I427" s="409">
        <f t="shared" ref="I427:J427" si="269">SUM(I425:I426)</f>
        <v>0</v>
      </c>
      <c r="J427" s="428">
        <f t="shared" si="269"/>
        <v>0</v>
      </c>
    </row>
    <row r="428" spans="1:10" ht="24" thickBot="1" x14ac:dyDescent="0.35">
      <c r="A428" s="277" t="s">
        <v>109</v>
      </c>
      <c r="B428" s="959" t="s">
        <v>25</v>
      </c>
      <c r="C428" s="960"/>
      <c r="D428" s="961"/>
      <c r="E428" s="396"/>
      <c r="F428" s="413">
        <f t="shared" ref="F428:G428" si="270">+F406+F411+F414+F420+F424+F427</f>
        <v>1489208.3232</v>
      </c>
      <c r="G428" s="414">
        <f t="shared" si="270"/>
        <v>4403436.9551999997</v>
      </c>
      <c r="H428" s="397"/>
      <c r="I428" s="413">
        <f>+I406+I411+I414+I420+I424+I427</f>
        <v>2889254.4</v>
      </c>
      <c r="J428" s="431">
        <f>+J406+J411+J414+J420+J424+J427</f>
        <v>8772410.3999999985</v>
      </c>
    </row>
    <row r="429" spans="1:10" ht="24" thickBot="1" x14ac:dyDescent="0.35">
      <c r="A429" s="321" t="s">
        <v>109</v>
      </c>
      <c r="B429" s="962" t="s">
        <v>181</v>
      </c>
      <c r="C429" s="962"/>
      <c r="D429" s="963"/>
      <c r="E429" s="398"/>
      <c r="F429" s="415">
        <f t="shared" ref="F429:G429" si="271">+F428</f>
        <v>1489208.3232</v>
      </c>
      <c r="G429" s="416">
        <f t="shared" si="271"/>
        <v>4403436.9551999997</v>
      </c>
      <c r="H429" s="399"/>
      <c r="I429" s="415">
        <f t="shared" ref="I429" si="272">+I428</f>
        <v>2889254.4</v>
      </c>
      <c r="J429" s="432">
        <f>+J428</f>
        <v>8772410.3999999985</v>
      </c>
    </row>
    <row r="430" spans="1:10" ht="24.6" thickBot="1" x14ac:dyDescent="0.35">
      <c r="A430" s="322"/>
      <c r="B430" s="964" t="s">
        <v>182</v>
      </c>
      <c r="C430" s="965"/>
      <c r="D430" s="966"/>
      <c r="E430" s="404"/>
      <c r="F430" s="421">
        <f t="shared" ref="F430:G430" si="273">+F375+F402+F429</f>
        <v>9421446.6407999992</v>
      </c>
      <c r="G430" s="421">
        <f t="shared" si="273"/>
        <v>33916495.094800003</v>
      </c>
      <c r="H430" s="404"/>
      <c r="I430" s="421">
        <f t="shared" ref="I430:J430" si="274">+I375+I402+I429</f>
        <v>13263337.98</v>
      </c>
      <c r="J430" s="435">
        <f t="shared" si="274"/>
        <v>49603778.639999993</v>
      </c>
    </row>
    <row r="431" spans="1:10" ht="23.4" x14ac:dyDescent="0.3">
      <c r="A431" s="991" t="s">
        <v>1</v>
      </c>
      <c r="B431" s="994" t="s">
        <v>2</v>
      </c>
      <c r="C431" s="997" t="s">
        <v>3</v>
      </c>
      <c r="D431" s="997" t="s">
        <v>93</v>
      </c>
      <c r="E431" s="1021" t="s">
        <v>175</v>
      </c>
      <c r="F431" s="1022"/>
      <c r="G431" s="1022"/>
      <c r="H431" s="445"/>
      <c r="I431" s="445"/>
      <c r="J431" s="446"/>
    </row>
    <row r="432" spans="1:10" ht="23.4" x14ac:dyDescent="0.3">
      <c r="A432" s="992"/>
      <c r="B432" s="995"/>
      <c r="C432" s="998"/>
      <c r="D432" s="998"/>
      <c r="E432" s="1023" t="s">
        <v>177</v>
      </c>
      <c r="F432" s="1024"/>
      <c r="G432" s="1025"/>
      <c r="H432" s="1023" t="s">
        <v>176</v>
      </c>
      <c r="I432" s="1024"/>
      <c r="J432" s="1025"/>
    </row>
    <row r="433" spans="1:15" ht="46.8" x14ac:dyDescent="0.3">
      <c r="A433" s="993"/>
      <c r="B433" s="1019"/>
      <c r="C433" s="1020"/>
      <c r="D433" s="1020"/>
      <c r="E433" s="382" t="s">
        <v>178</v>
      </c>
      <c r="F433" s="765" t="s">
        <v>11</v>
      </c>
      <c r="G433" s="766" t="s">
        <v>12</v>
      </c>
      <c r="H433" s="1026" t="s">
        <v>178</v>
      </c>
      <c r="I433" s="1028" t="s">
        <v>144</v>
      </c>
      <c r="J433" s="1030" t="s">
        <v>12</v>
      </c>
    </row>
    <row r="434" spans="1:15" ht="24" thickBot="1" x14ac:dyDescent="0.35">
      <c r="A434" s="993"/>
      <c r="B434" s="996"/>
      <c r="C434" s="999"/>
      <c r="D434" s="999"/>
      <c r="E434" s="1032">
        <v>44537</v>
      </c>
      <c r="F434" s="1033"/>
      <c r="G434" s="1034"/>
      <c r="H434" s="1027"/>
      <c r="I434" s="1029"/>
      <c r="J434" s="1031"/>
    </row>
    <row r="435" spans="1:15" ht="23.4" x14ac:dyDescent="0.3">
      <c r="A435" s="271" t="s">
        <v>110</v>
      </c>
      <c r="B435" s="956" t="s">
        <v>16</v>
      </c>
      <c r="C435" s="272" t="s">
        <v>424</v>
      </c>
      <c r="D435" s="272" t="s">
        <v>425</v>
      </c>
      <c r="E435" s="758">
        <v>81.360699999999994</v>
      </c>
      <c r="F435" s="405">
        <f>IFERROR(E435*'01 Prod Physique Boites'!H440,"-")</f>
        <v>0</v>
      </c>
      <c r="G435" s="405">
        <f>IFERROR(E435*'01 Prod Physique Boites'!L430,"-")</f>
        <v>1591903.4561999999</v>
      </c>
      <c r="H435" s="759">
        <v>143.28</v>
      </c>
      <c r="I435" s="422">
        <f>IFERROR(H435*(F435/E435),"-")</f>
        <v>0</v>
      </c>
      <c r="J435" s="423">
        <f t="shared" ref="J435:J437" si="275">IFERROR(H435*(G435/E435),"-")</f>
        <v>2803416.48</v>
      </c>
    </row>
    <row r="436" spans="1:15" ht="23.4" x14ac:dyDescent="0.3">
      <c r="A436" s="277" t="s">
        <v>110</v>
      </c>
      <c r="B436" s="957"/>
      <c r="C436" s="278" t="s">
        <v>188</v>
      </c>
      <c r="D436" s="278" t="s">
        <v>101</v>
      </c>
      <c r="E436" s="509">
        <v>81.360699999999994</v>
      </c>
      <c r="F436" s="405">
        <f>IFERROR(E436*'01 Prod Physique Boites'!H441,"-")</f>
        <v>0</v>
      </c>
      <c r="G436" s="405">
        <f>IFERROR(E436*'01 Prod Physique Boites'!L431,"-")</f>
        <v>1952656.7999999998</v>
      </c>
      <c r="H436" s="770">
        <v>0</v>
      </c>
      <c r="I436" s="422">
        <f>IFERROR(H436*(F436/E436),"-")</f>
        <v>0</v>
      </c>
      <c r="J436" s="423">
        <f t="shared" si="275"/>
        <v>0</v>
      </c>
    </row>
    <row r="437" spans="1:15" ht="23.4" x14ac:dyDescent="0.3">
      <c r="A437" s="277" t="s">
        <v>110</v>
      </c>
      <c r="B437" s="957"/>
      <c r="C437" s="278" t="s">
        <v>186</v>
      </c>
      <c r="D437" s="278" t="s">
        <v>184</v>
      </c>
      <c r="E437" s="509">
        <v>55.476900000000001</v>
      </c>
      <c r="F437" s="405">
        <f>IFERROR(E437*'01 Prod Physique Boites'!H442,"-")</f>
        <v>8148447.0719999997</v>
      </c>
      <c r="G437" s="405">
        <f>IFERROR(E437*'01 Prod Physique Boites'!L432,"-")</f>
        <v>0</v>
      </c>
      <c r="H437" s="388">
        <v>0</v>
      </c>
      <c r="I437" s="422">
        <f>IFERROR(H437*(F437/E437),"-")</f>
        <v>0</v>
      </c>
      <c r="J437" s="423">
        <f t="shared" si="275"/>
        <v>0</v>
      </c>
    </row>
    <row r="438" spans="1:15" ht="24" thickBot="1" x14ac:dyDescent="0.35">
      <c r="A438" s="277" t="s">
        <v>110</v>
      </c>
      <c r="B438" s="958"/>
      <c r="C438" s="282" t="s">
        <v>282</v>
      </c>
      <c r="D438" s="282" t="s">
        <v>251</v>
      </c>
      <c r="E438" s="505">
        <v>60.703499999999998</v>
      </c>
      <c r="F438" s="405">
        <f>IFERROR(E438*'01 Prod Physique Boites'!H443,"-")</f>
        <v>0</v>
      </c>
      <c r="G438" s="405">
        <f>IFERROR(E438*'01 Prod Physique Boites'!L433,"-")</f>
        <v>0</v>
      </c>
      <c r="H438" s="390">
        <v>111.09</v>
      </c>
      <c r="I438" s="422">
        <f>IFERROR(H438*(F438/E438),"-")</f>
        <v>0</v>
      </c>
      <c r="J438" s="423">
        <f>IFERROR(H438*(G438/E438),"-")</f>
        <v>0</v>
      </c>
    </row>
    <row r="439" spans="1:15" ht="24" thickBot="1" x14ac:dyDescent="0.35">
      <c r="A439" s="277" t="s">
        <v>110</v>
      </c>
      <c r="B439" s="967" t="s">
        <v>47</v>
      </c>
      <c r="C439" s="968"/>
      <c r="D439" s="969"/>
      <c r="E439" s="393"/>
      <c r="F439" s="409">
        <f t="shared" ref="F439" si="276">SUM(F435:F438)</f>
        <v>8148447.0719999997</v>
      </c>
      <c r="G439" s="410">
        <f>SUM(G435:G438)</f>
        <v>3544560.2561999997</v>
      </c>
      <c r="H439" s="394"/>
      <c r="I439" s="409">
        <f t="shared" ref="I439:J439" si="277">SUM(I435:I438)</f>
        <v>0</v>
      </c>
      <c r="J439" s="428">
        <f t="shared" si="277"/>
        <v>2803416.48</v>
      </c>
      <c r="K439" s="757"/>
      <c r="L439" s="757"/>
      <c r="M439" s="757"/>
      <c r="N439" s="757"/>
      <c r="O439" s="757"/>
    </row>
    <row r="440" spans="1:15" ht="23.4" x14ac:dyDescent="0.3">
      <c r="A440" s="277" t="s">
        <v>110</v>
      </c>
      <c r="B440" s="956" t="s">
        <v>17</v>
      </c>
      <c r="C440" s="272" t="s">
        <v>320</v>
      </c>
      <c r="D440" s="272"/>
      <c r="E440" s="508">
        <v>12.5275</v>
      </c>
      <c r="F440" s="405">
        <f>IFERROR(E440*'01 Prod Physique Boites'!H445,"-")</f>
        <v>0</v>
      </c>
      <c r="G440" s="405">
        <f>IFERROR(E440*'01 Prod Physique Boites'!L435,"-")</f>
        <v>0</v>
      </c>
      <c r="H440" s="384">
        <v>18.836400000000001</v>
      </c>
      <c r="I440" s="422">
        <f t="shared" ref="I440:I446" si="278">IFERROR(H440*(F440/E440),"-")</f>
        <v>0</v>
      </c>
      <c r="J440" s="423">
        <f t="shared" ref="J440:J445" si="279">IFERROR(H440*(G440/E440),"-")</f>
        <v>0</v>
      </c>
    </row>
    <row r="441" spans="1:15" ht="23.4" x14ac:dyDescent="0.3">
      <c r="A441" s="277" t="s">
        <v>110</v>
      </c>
      <c r="B441" s="957"/>
      <c r="C441" s="278" t="s">
        <v>382</v>
      </c>
      <c r="D441" s="278" t="s">
        <v>252</v>
      </c>
      <c r="E441" s="698">
        <v>13.002700000000001</v>
      </c>
      <c r="F441" s="405">
        <f>IFERROR(E441*'01 Prod Physique Boites'!H446,"-")</f>
        <v>0</v>
      </c>
      <c r="G441" s="405">
        <f>IFERROR(E441*'01 Prod Physique Boites'!L436,"-")</f>
        <v>3262637.4840000002</v>
      </c>
      <c r="H441" s="388">
        <v>21.18</v>
      </c>
      <c r="I441" s="424">
        <f t="shared" si="278"/>
        <v>0</v>
      </c>
      <c r="J441" s="425">
        <f t="shared" si="279"/>
        <v>5314485.5999999996</v>
      </c>
    </row>
    <row r="442" spans="1:15" ht="23.4" x14ac:dyDescent="0.3">
      <c r="A442" s="277" t="s">
        <v>110</v>
      </c>
      <c r="B442" s="957"/>
      <c r="C442" s="278" t="s">
        <v>391</v>
      </c>
      <c r="D442" s="278" t="s">
        <v>201</v>
      </c>
      <c r="E442" s="698">
        <v>12.9049</v>
      </c>
      <c r="F442" s="405">
        <f>IFERROR(E442*'01 Prod Physique Boites'!H447,"-")</f>
        <v>0</v>
      </c>
      <c r="G442" s="405">
        <f>IFERROR(E442*'01 Prod Physique Boites'!L437,"-")</f>
        <v>5828575.5143999998</v>
      </c>
      <c r="H442" s="388">
        <v>20.5</v>
      </c>
      <c r="I442" s="424">
        <f t="shared" si="278"/>
        <v>0</v>
      </c>
      <c r="J442" s="425">
        <f t="shared" si="279"/>
        <v>9258948</v>
      </c>
    </row>
    <row r="443" spans="1:15" ht="23.4" x14ac:dyDescent="0.3">
      <c r="A443" s="277" t="s">
        <v>110</v>
      </c>
      <c r="B443" s="957"/>
      <c r="C443" s="278" t="s">
        <v>319</v>
      </c>
      <c r="D443" s="278" t="s">
        <v>202</v>
      </c>
      <c r="E443" s="509">
        <v>13.078200000000001</v>
      </c>
      <c r="F443" s="405">
        <f>IFERROR(E443*'01 Prod Physique Boites'!H448,"-")</f>
        <v>0</v>
      </c>
      <c r="G443" s="405">
        <f>IFERROR(E443*'01 Prod Physique Boites'!L438,"-")</f>
        <v>0</v>
      </c>
      <c r="H443" s="388">
        <v>20.6</v>
      </c>
      <c r="I443" s="424">
        <f t="shared" si="278"/>
        <v>0</v>
      </c>
      <c r="J443" s="425">
        <f t="shared" si="279"/>
        <v>0</v>
      </c>
    </row>
    <row r="444" spans="1:15" ht="23.4" x14ac:dyDescent="0.3">
      <c r="A444" s="277" t="s">
        <v>110</v>
      </c>
      <c r="B444" s="957"/>
      <c r="C444" s="278" t="s">
        <v>358</v>
      </c>
      <c r="D444" s="278" t="s">
        <v>352</v>
      </c>
      <c r="E444" s="509">
        <v>13.1958</v>
      </c>
      <c r="F444" s="405">
        <f>IFERROR(E444*'01 Prod Physique Boites'!H449,"-")</f>
        <v>0</v>
      </c>
      <c r="G444" s="405">
        <f>IFERROR(E444*'01 Prod Physique Boites'!L439,"-")</f>
        <v>0</v>
      </c>
      <c r="H444" s="388">
        <v>21.28</v>
      </c>
      <c r="I444" s="424">
        <f t="shared" si="278"/>
        <v>0</v>
      </c>
      <c r="J444" s="425">
        <f t="shared" si="279"/>
        <v>0</v>
      </c>
    </row>
    <row r="445" spans="1:15" ht="23.4" x14ac:dyDescent="0.3">
      <c r="A445" s="277">
        <v>1</v>
      </c>
      <c r="B445" s="957"/>
      <c r="C445" s="278" t="s">
        <v>392</v>
      </c>
      <c r="D445" s="278" t="s">
        <v>203</v>
      </c>
      <c r="E445" s="698">
        <v>12.9049</v>
      </c>
      <c r="F445" s="405">
        <f>IFERROR(E445*'01 Prod Physique Boites'!H450,"-")</f>
        <v>0</v>
      </c>
      <c r="G445" s="405">
        <f>IFERROR(E445*'01 Prod Physique Boites'!L440,"-")</f>
        <v>0</v>
      </c>
      <c r="H445" s="677">
        <v>20.5</v>
      </c>
      <c r="I445" s="424">
        <f t="shared" si="278"/>
        <v>0</v>
      </c>
      <c r="J445" s="425">
        <f t="shared" si="279"/>
        <v>0</v>
      </c>
    </row>
    <row r="446" spans="1:15" ht="24" thickBot="1" x14ac:dyDescent="0.35">
      <c r="A446" s="277" t="s">
        <v>110</v>
      </c>
      <c r="B446" s="958"/>
      <c r="C446" s="282" t="s">
        <v>379</v>
      </c>
      <c r="D446" s="282" t="s">
        <v>187</v>
      </c>
      <c r="E446" s="505">
        <v>13.6509</v>
      </c>
      <c r="F446" s="405">
        <f>IFERROR(E446*'01 Prod Physique Boites'!H451,"-")</f>
        <v>0</v>
      </c>
      <c r="G446" s="405">
        <f>IFERROR(E446*'01 Prod Physique Boites'!L441,"-")</f>
        <v>0</v>
      </c>
      <c r="H446" s="390">
        <v>21.18</v>
      </c>
      <c r="I446" s="426">
        <f t="shared" si="278"/>
        <v>0</v>
      </c>
      <c r="J446" s="427">
        <f>IFERROR(H446*(G446/E446),"-")</f>
        <v>0</v>
      </c>
    </row>
    <row r="447" spans="1:15" ht="24" thickBot="1" x14ac:dyDescent="0.35">
      <c r="A447" s="277" t="s">
        <v>110</v>
      </c>
      <c r="B447" s="967" t="s">
        <v>48</v>
      </c>
      <c r="C447" s="968"/>
      <c r="D447" s="969"/>
      <c r="E447" s="393"/>
      <c r="F447" s="409">
        <f t="shared" ref="F447" si="280">SUM(F440:F446)</f>
        <v>0</v>
      </c>
      <c r="G447" s="410">
        <f>SUM(G440:G446)</f>
        <v>9091212.998399999</v>
      </c>
      <c r="H447" s="394"/>
      <c r="I447" s="409">
        <f t="shared" ref="I447" si="281">SUM(I440:I446)</f>
        <v>0</v>
      </c>
      <c r="J447" s="428">
        <f>SUM(J440:J446)</f>
        <v>14573433.6</v>
      </c>
      <c r="K447" s="757"/>
      <c r="L447" s="757"/>
      <c r="M447" s="757"/>
      <c r="N447" s="757"/>
      <c r="O447" s="757"/>
    </row>
    <row r="448" spans="1:15" ht="23.4" x14ac:dyDescent="0.3">
      <c r="A448" s="277" t="s">
        <v>110</v>
      </c>
      <c r="B448" s="956" t="s">
        <v>18</v>
      </c>
      <c r="C448" s="272" t="s">
        <v>344</v>
      </c>
      <c r="D448" s="272" t="s">
        <v>99</v>
      </c>
      <c r="E448" s="508">
        <v>17.8202</v>
      </c>
      <c r="F448" s="405">
        <f>IFERROR(E448*'01 Prod Physique Boites'!H453,"-")</f>
        <v>0</v>
      </c>
      <c r="G448" s="406">
        <f>IFERROR(E448*'01 Prod Physique Boites'!L443,"-")</f>
        <v>0</v>
      </c>
      <c r="H448" s="384">
        <v>24.93</v>
      </c>
      <c r="I448" s="422">
        <f t="shared" ref="I448:I454" si="282">IFERROR(H448*(F448/E448),"-")</f>
        <v>0</v>
      </c>
      <c r="J448" s="423">
        <f t="shared" ref="J448:J450" si="283">IFERROR(H448*(G448/E448),"-")</f>
        <v>0</v>
      </c>
    </row>
    <row r="449" spans="1:10" ht="23.4" x14ac:dyDescent="0.3">
      <c r="A449" s="277" t="s">
        <v>110</v>
      </c>
      <c r="B449" s="957"/>
      <c r="C449" s="278" t="s">
        <v>137</v>
      </c>
      <c r="D449" s="278"/>
      <c r="E449" s="509">
        <v>17.8202</v>
      </c>
      <c r="F449" s="405">
        <f>IFERROR(E449*'01 Prod Physique Boites'!H454,"-")</f>
        <v>0</v>
      </c>
      <c r="G449" s="406">
        <f>IFERROR(E449*'01 Prod Physique Boites'!L444,"-")</f>
        <v>0</v>
      </c>
      <c r="H449" s="388">
        <v>0</v>
      </c>
      <c r="I449" s="424">
        <f t="shared" si="282"/>
        <v>0</v>
      </c>
      <c r="J449" s="425">
        <f t="shared" si="283"/>
        <v>0</v>
      </c>
    </row>
    <row r="450" spans="1:10" ht="23.4" x14ac:dyDescent="0.3">
      <c r="A450" s="277" t="s">
        <v>110</v>
      </c>
      <c r="B450" s="957"/>
      <c r="C450" s="278" t="s">
        <v>122</v>
      </c>
      <c r="D450" s="278"/>
      <c r="E450" s="509">
        <v>16.4071</v>
      </c>
      <c r="F450" s="405">
        <f>IFERROR(E450*'01 Prod Physique Boites'!H455,"-")</f>
        <v>0</v>
      </c>
      <c r="G450" s="406">
        <f>IFERROR(E450*'01 Prod Physique Boites'!L445,"-")</f>
        <v>0</v>
      </c>
      <c r="H450" s="388">
        <v>0</v>
      </c>
      <c r="I450" s="424">
        <f t="shared" si="282"/>
        <v>0</v>
      </c>
      <c r="J450" s="425">
        <f t="shared" si="283"/>
        <v>0</v>
      </c>
    </row>
    <row r="451" spans="1:10" ht="23.4" x14ac:dyDescent="0.3">
      <c r="A451" s="277" t="s">
        <v>110</v>
      </c>
      <c r="B451" s="957"/>
      <c r="C451" s="278" t="s">
        <v>129</v>
      </c>
      <c r="D451" s="278"/>
      <c r="E451" s="509">
        <v>17.8202</v>
      </c>
      <c r="F451" s="405">
        <f>IFERROR(E451*'01 Prod Physique Boites'!H456,"-")</f>
        <v>0</v>
      </c>
      <c r="G451" s="406">
        <f>IFERROR(E451*'01 Prod Physique Boites'!L446,"-")</f>
        <v>0</v>
      </c>
      <c r="H451" s="388">
        <v>0</v>
      </c>
      <c r="I451" s="424">
        <f t="shared" si="282"/>
        <v>0</v>
      </c>
      <c r="J451" s="425">
        <f>IFERROR(H451*(G451/E451),"-")</f>
        <v>0</v>
      </c>
    </row>
    <row r="452" spans="1:10" ht="23.4" x14ac:dyDescent="0.3">
      <c r="A452" s="277" t="s">
        <v>110</v>
      </c>
      <c r="B452" s="957"/>
      <c r="C452" s="278" t="s">
        <v>189</v>
      </c>
      <c r="D452" s="278" t="s">
        <v>190</v>
      </c>
      <c r="E452" s="509">
        <v>17.8202</v>
      </c>
      <c r="F452" s="405">
        <f>IFERROR(E452*'01 Prod Physique Boites'!H457,"-")</f>
        <v>0</v>
      </c>
      <c r="G452" s="406">
        <f>IFERROR(E452*'01 Prod Physique Boites'!L447,"-")</f>
        <v>0</v>
      </c>
      <c r="H452" s="388">
        <v>0</v>
      </c>
      <c r="I452" s="424">
        <f t="shared" si="282"/>
        <v>0</v>
      </c>
      <c r="J452" s="425">
        <f t="shared" ref="J452:J454" si="284">IFERROR(H452*(G452/E452),"-")</f>
        <v>0</v>
      </c>
    </row>
    <row r="453" spans="1:10" ht="23.4" x14ac:dyDescent="0.3">
      <c r="A453" s="277" t="s">
        <v>110</v>
      </c>
      <c r="B453" s="957"/>
      <c r="C453" s="278" t="s">
        <v>192</v>
      </c>
      <c r="D453" s="278" t="s">
        <v>191</v>
      </c>
      <c r="E453" s="509">
        <v>16.7288</v>
      </c>
      <c r="F453" s="405">
        <f>IFERROR(E453*'01 Prod Physique Boites'!H458,"-")</f>
        <v>0</v>
      </c>
      <c r="G453" s="406">
        <f>IFERROR(E453*'01 Prod Physique Boites'!L448,"-")</f>
        <v>0</v>
      </c>
      <c r="H453" s="388">
        <v>0</v>
      </c>
      <c r="I453" s="424">
        <f t="shared" si="282"/>
        <v>0</v>
      </c>
      <c r="J453" s="425">
        <f t="shared" si="284"/>
        <v>0</v>
      </c>
    </row>
    <row r="454" spans="1:10" ht="24" thickBot="1" x14ac:dyDescent="0.35">
      <c r="A454" s="277" t="s">
        <v>110</v>
      </c>
      <c r="B454" s="958"/>
      <c r="C454" s="289" t="s">
        <v>193</v>
      </c>
      <c r="D454" s="289" t="s">
        <v>114</v>
      </c>
      <c r="E454" s="505">
        <v>17.8202</v>
      </c>
      <c r="F454" s="405">
        <f>IFERROR(E454*'01 Prod Physique Boites'!H459,"-")</f>
        <v>2862636.9279999998</v>
      </c>
      <c r="G454" s="406">
        <f>IFERROR(E454*'01 Prod Physique Boites'!L449,"-")</f>
        <v>0</v>
      </c>
      <c r="H454" s="388">
        <v>0</v>
      </c>
      <c r="I454" s="426">
        <f t="shared" si="282"/>
        <v>0</v>
      </c>
      <c r="J454" s="427">
        <f t="shared" si="284"/>
        <v>0</v>
      </c>
    </row>
    <row r="455" spans="1:10" ht="24" thickBot="1" x14ac:dyDescent="0.35">
      <c r="A455" s="277" t="s">
        <v>110</v>
      </c>
      <c r="B455" s="967" t="s">
        <v>29</v>
      </c>
      <c r="C455" s="968"/>
      <c r="D455" s="969"/>
      <c r="E455" s="660"/>
      <c r="F455" s="661">
        <f t="shared" ref="F455:G455" si="285">SUM(F448:F454)</f>
        <v>2862636.9279999998</v>
      </c>
      <c r="G455" s="410">
        <f t="shared" si="285"/>
        <v>0</v>
      </c>
      <c r="H455" s="394"/>
      <c r="I455" s="409">
        <f t="shared" ref="I455:J455" si="286">SUM(I448:I454)</f>
        <v>0</v>
      </c>
      <c r="J455" s="428">
        <f t="shared" si="286"/>
        <v>0</v>
      </c>
    </row>
    <row r="456" spans="1:10" ht="24" thickBot="1" x14ac:dyDescent="0.35">
      <c r="A456" s="277"/>
      <c r="B456" s="985" t="s">
        <v>19</v>
      </c>
      <c r="C456" s="662" t="s">
        <v>255</v>
      </c>
      <c r="D456" s="668" t="s">
        <v>190</v>
      </c>
      <c r="E456" s="669">
        <v>12.2659</v>
      </c>
      <c r="F456" s="670">
        <f>IFERROR(E456*'01 Prod Physique Boites'!H461,"-")</f>
        <v>0</v>
      </c>
      <c r="G456" s="671">
        <f>IFERROR(E456*'01 Prod Physique Boites'!L451,"-")</f>
        <v>0</v>
      </c>
      <c r="H456" s="665">
        <v>14.79</v>
      </c>
      <c r="I456" s="650">
        <f t="shared" ref="I456:I458" si="287">IFERROR(H456*(F456/E456),"-")</f>
        <v>0</v>
      </c>
      <c r="J456" s="650">
        <f>IFERROR(H456*(G456/E456),"-")</f>
        <v>0</v>
      </c>
    </row>
    <row r="457" spans="1:10" ht="24" thickBot="1" x14ac:dyDescent="0.35">
      <c r="A457" s="277"/>
      <c r="B457" s="986"/>
      <c r="C457" s="663" t="s">
        <v>399</v>
      </c>
      <c r="D457" s="672"/>
      <c r="E457" s="654">
        <v>12.2659</v>
      </c>
      <c r="F457" s="670">
        <f>IFERROR(E457*'01 Prod Physique Boites'!H462,"-")</f>
        <v>194291.856</v>
      </c>
      <c r="G457" s="645">
        <f>IFERROR(E457*'01 Prod Physique Boites'!L452,"-")</f>
        <v>103622.3232</v>
      </c>
      <c r="H457" s="666">
        <v>14.55</v>
      </c>
      <c r="I457" s="655">
        <f t="shared" si="287"/>
        <v>230472</v>
      </c>
      <c r="J457" s="655">
        <f>IFERROR(H457*(G457/E457),"-")</f>
        <v>122918.40000000001</v>
      </c>
    </row>
    <row r="458" spans="1:10" ht="24" thickBot="1" x14ac:dyDescent="0.35">
      <c r="A458" s="768" t="s">
        <v>110</v>
      </c>
      <c r="B458" s="987"/>
      <c r="C458" s="664" t="s">
        <v>380</v>
      </c>
      <c r="D458" s="673"/>
      <c r="E458" s="674">
        <v>0</v>
      </c>
      <c r="F458" s="670">
        <f>IFERROR(E458*'01 Prod Physique Boites'!H463,"-")</f>
        <v>0</v>
      </c>
      <c r="G458" s="676">
        <f>IFERROR(E458*'01 Prod Physique Boites'!L453,"-")</f>
        <v>0</v>
      </c>
      <c r="H458" s="667">
        <v>0</v>
      </c>
      <c r="I458" s="429" t="str">
        <f t="shared" si="287"/>
        <v>-</v>
      </c>
      <c r="J458" s="430" t="str">
        <f t="shared" ref="J458" si="288">IFERROR(I458*(G458/F458),"-")</f>
        <v>-</v>
      </c>
    </row>
    <row r="459" spans="1:10" ht="24" thickBot="1" x14ac:dyDescent="0.35">
      <c r="A459" s="277" t="s">
        <v>110</v>
      </c>
      <c r="B459" s="967" t="s">
        <v>49</v>
      </c>
      <c r="C459" s="968"/>
      <c r="D459" s="969"/>
      <c r="E459" s="393"/>
      <c r="F459" s="409">
        <f>SUM(F456:F458)</f>
        <v>194291.856</v>
      </c>
      <c r="G459" s="409">
        <f>SUM(G456:G458)</f>
        <v>103622.3232</v>
      </c>
      <c r="H459" s="394"/>
      <c r="I459" s="409">
        <f t="shared" ref="I459" si="289">SUM(I458)</f>
        <v>0</v>
      </c>
      <c r="J459" s="428">
        <f>SUM(J456:J458)</f>
        <v>122918.40000000001</v>
      </c>
    </row>
    <row r="460" spans="1:10" ht="23.4" x14ac:dyDescent="0.3">
      <c r="A460" s="277" t="s">
        <v>110</v>
      </c>
      <c r="B460" s="956" t="s">
        <v>20</v>
      </c>
      <c r="C460" s="294" t="s">
        <v>351</v>
      </c>
      <c r="D460" s="294" t="s">
        <v>313</v>
      </c>
      <c r="E460" s="508">
        <v>26.032900000000001</v>
      </c>
      <c r="F460" s="405">
        <f>IFERROR(E460*'01 Prod Physique Boites'!H465,"-")</f>
        <v>0</v>
      </c>
      <c r="G460" s="406">
        <f>IFERROR(E460*'01 Prod Physique Boites'!L455,"-")</f>
        <v>0</v>
      </c>
      <c r="H460" s="384">
        <v>36.44</v>
      </c>
      <c r="I460" s="422">
        <f>IFERROR(H460*(F460/E460),"-")</f>
        <v>0</v>
      </c>
      <c r="J460" s="423">
        <f t="shared" ref="J460:J462" si="290">IFERROR(H460*(G460/E460),"-")</f>
        <v>0</v>
      </c>
    </row>
    <row r="461" spans="1:10" ht="23.4" x14ac:dyDescent="0.3">
      <c r="A461" s="277" t="s">
        <v>110</v>
      </c>
      <c r="B461" s="957"/>
      <c r="C461" s="295" t="s">
        <v>121</v>
      </c>
      <c r="D461" s="295"/>
      <c r="E461" s="387">
        <v>24.2607</v>
      </c>
      <c r="F461" s="405">
        <f>IFERROR(E461*'01 Prod Physique Boites'!H466,"-")</f>
        <v>0</v>
      </c>
      <c r="G461" s="406">
        <f>IFERROR(E461*'01 Prod Physique Boites'!L456,"-")</f>
        <v>0</v>
      </c>
      <c r="H461" s="388">
        <v>37.369999999999997</v>
      </c>
      <c r="I461" s="424">
        <f>IFERROR(H461*(F461/E461),"-")</f>
        <v>0</v>
      </c>
      <c r="J461" s="425">
        <f t="shared" si="290"/>
        <v>0</v>
      </c>
    </row>
    <row r="462" spans="1:10" ht="24" thickBot="1" x14ac:dyDescent="0.35">
      <c r="A462" s="277" t="s">
        <v>110</v>
      </c>
      <c r="B462" s="958"/>
      <c r="C462" s="296" t="s">
        <v>127</v>
      </c>
      <c r="D462" s="296"/>
      <c r="E462" s="389">
        <v>26.035799999999998</v>
      </c>
      <c r="F462" s="405">
        <f>IFERROR(E462*'01 Prod Physique Boites'!H467,"-")</f>
        <v>0</v>
      </c>
      <c r="G462" s="406">
        <f>IFERROR(E462*'01 Prod Physique Boites'!L457,"-")</f>
        <v>0</v>
      </c>
      <c r="H462" s="390">
        <v>37.11</v>
      </c>
      <c r="I462" s="426">
        <f>IFERROR(H462*(F462/E462),"-")</f>
        <v>0</v>
      </c>
      <c r="J462" s="427">
        <f t="shared" si="290"/>
        <v>0</v>
      </c>
    </row>
    <row r="463" spans="1:10" ht="24" thickBot="1" x14ac:dyDescent="0.35">
      <c r="A463" s="277" t="s">
        <v>110</v>
      </c>
      <c r="B463" s="968" t="s">
        <v>50</v>
      </c>
      <c r="C463" s="968"/>
      <c r="D463" s="989"/>
      <c r="E463" s="393"/>
      <c r="F463" s="409">
        <f t="shared" ref="F463:G463" si="291">SUM(F460:F462)</f>
        <v>0</v>
      </c>
      <c r="G463" s="410">
        <f t="shared" si="291"/>
        <v>0</v>
      </c>
      <c r="H463" s="394"/>
      <c r="I463" s="409">
        <f t="shared" ref="I463:J463" si="292">SUM(I460:I462)</f>
        <v>0</v>
      </c>
      <c r="J463" s="428">
        <f t="shared" si="292"/>
        <v>0</v>
      </c>
    </row>
    <row r="464" spans="1:10" ht="24" thickBot="1" x14ac:dyDescent="0.35">
      <c r="A464" s="277" t="s">
        <v>110</v>
      </c>
      <c r="B464" s="981" t="s">
        <v>21</v>
      </c>
      <c r="C464" s="982"/>
      <c r="D464" s="983"/>
      <c r="E464" s="396"/>
      <c r="F464" s="413">
        <f>+F439+F447+F455+F459+F463</f>
        <v>11205375.856000001</v>
      </c>
      <c r="G464" s="414">
        <f>+G439+G447+G455+G459+G463</f>
        <v>12739395.5778</v>
      </c>
      <c r="H464" s="397"/>
      <c r="I464" s="413">
        <f>+I439+I447+I455+I459+I463</f>
        <v>0</v>
      </c>
      <c r="J464" s="431">
        <f>+J439+J447+J455+J459+J463</f>
        <v>17499768.479999997</v>
      </c>
    </row>
    <row r="465" spans="1:10" ht="23.4" x14ac:dyDescent="0.3">
      <c r="A465" s="277" t="s">
        <v>110</v>
      </c>
      <c r="B465" s="956" t="s">
        <v>22</v>
      </c>
      <c r="C465" s="272" t="s">
        <v>132</v>
      </c>
      <c r="D465" s="272"/>
      <c r="E465" s="383">
        <v>22.820599999999999</v>
      </c>
      <c r="F465" s="405">
        <f>IFERROR(E465*'01 Prod Physique Boites'!H470,"-")</f>
        <v>0</v>
      </c>
      <c r="G465" s="406">
        <f>IFERROR(E465*'01 Prod Physique Boites'!L460,"-")</f>
        <v>0</v>
      </c>
      <c r="H465" s="384">
        <v>27.5</v>
      </c>
      <c r="I465" s="422">
        <f>IFERROR(H465*(F465/E465),"-")</f>
        <v>0</v>
      </c>
      <c r="J465" s="423">
        <f t="shared" ref="J465:J468" si="293">IFERROR(H465*(G465/E465),"-")</f>
        <v>0</v>
      </c>
    </row>
    <row r="466" spans="1:10" ht="23.4" x14ac:dyDescent="0.3">
      <c r="A466" s="277" t="s">
        <v>110</v>
      </c>
      <c r="B466" s="957"/>
      <c r="C466" s="298" t="s">
        <v>283</v>
      </c>
      <c r="D466" s="298" t="s">
        <v>194</v>
      </c>
      <c r="E466" s="387">
        <v>23.570699999999999</v>
      </c>
      <c r="F466" s="405">
        <f>IFERROR(E466*'01 Prod Physique Boites'!H471,"-")</f>
        <v>329989.8</v>
      </c>
      <c r="G466" s="406">
        <f>IFERROR(E466*'01 Prod Physique Boites'!L461,"-")</f>
        <v>0</v>
      </c>
      <c r="H466" s="388">
        <v>27.5</v>
      </c>
      <c r="I466" s="424">
        <f>IFERROR(H466*(F466/E466),"-")</f>
        <v>385000</v>
      </c>
      <c r="J466" s="425">
        <f t="shared" si="293"/>
        <v>0</v>
      </c>
    </row>
    <row r="467" spans="1:10" ht="23.4" x14ac:dyDescent="0.3">
      <c r="A467" s="277" t="s">
        <v>110</v>
      </c>
      <c r="B467" s="957"/>
      <c r="C467" s="298" t="s">
        <v>405</v>
      </c>
      <c r="D467" s="298" t="s">
        <v>194</v>
      </c>
      <c r="E467" s="387">
        <v>22.820599999999999</v>
      </c>
      <c r="F467" s="405">
        <f>IFERROR(E467*'01 Prod Physique Boites'!H472,"-")</f>
        <v>0</v>
      </c>
      <c r="G467" s="406">
        <f>IFERROR(E467*'01 Prod Physique Boites'!L462,"-")</f>
        <v>7500674.8079999993</v>
      </c>
      <c r="H467" s="388">
        <v>27.5</v>
      </c>
      <c r="I467" s="424">
        <f>IFERROR(H467*(F467/E467),"-")</f>
        <v>0</v>
      </c>
      <c r="J467" s="425">
        <f t="shared" si="293"/>
        <v>9038700</v>
      </c>
    </row>
    <row r="468" spans="1:10" ht="24" thickBot="1" x14ac:dyDescent="0.35">
      <c r="A468" s="277" t="s">
        <v>110</v>
      </c>
      <c r="B468" s="958"/>
      <c r="C468" s="282" t="s">
        <v>195</v>
      </c>
      <c r="D468" s="282" t="s">
        <v>100</v>
      </c>
      <c r="E468" s="389">
        <v>23.5685</v>
      </c>
      <c r="F468" s="405">
        <f>IFERROR(E468*'01 Prod Physique Boites'!H473,"-")</f>
        <v>329959</v>
      </c>
      <c r="G468" s="406">
        <f>IFERROR(E468*'01 Prod Physique Boites'!L463,"-")</f>
        <v>0</v>
      </c>
      <c r="H468" s="390">
        <v>24</v>
      </c>
      <c r="I468" s="426">
        <f>IFERROR(H468*(F468/E468),"-")</f>
        <v>336000</v>
      </c>
      <c r="J468" s="427">
        <f t="shared" si="293"/>
        <v>0</v>
      </c>
    </row>
    <row r="469" spans="1:10" ht="24" thickBot="1" x14ac:dyDescent="0.35">
      <c r="A469" s="277" t="s">
        <v>110</v>
      </c>
      <c r="B469" s="967" t="s">
        <v>51</v>
      </c>
      <c r="C469" s="968"/>
      <c r="D469" s="969"/>
      <c r="E469" s="393"/>
      <c r="F469" s="409">
        <f t="shared" ref="F469:G469" si="294">SUM(F465:F468)</f>
        <v>659948.80000000005</v>
      </c>
      <c r="G469" s="410">
        <f t="shared" si="294"/>
        <v>7500674.8079999993</v>
      </c>
      <c r="H469" s="394"/>
      <c r="I469" s="409">
        <f t="shared" ref="I469:J469" si="295">SUM(I465:I468)</f>
        <v>721000</v>
      </c>
      <c r="J469" s="428">
        <f t="shared" si="295"/>
        <v>9038700</v>
      </c>
    </row>
    <row r="470" spans="1:10" ht="23.4" x14ac:dyDescent="0.3">
      <c r="A470" s="277" t="s">
        <v>110</v>
      </c>
      <c r="B470" s="956" t="s">
        <v>23</v>
      </c>
      <c r="C470" s="299" t="s">
        <v>337</v>
      </c>
      <c r="D470" s="299" t="s">
        <v>258</v>
      </c>
      <c r="E470" s="383">
        <v>101.4935</v>
      </c>
      <c r="F470" s="405">
        <f>IFERROR(E470*'01 Prod Physique Boites'!H475,"-")</f>
        <v>19332481.879999999</v>
      </c>
      <c r="G470" s="406">
        <f>IFERROR(E470*'01 Prod Physique Boites'!L465,"-")</f>
        <v>0</v>
      </c>
      <c r="H470" s="388">
        <v>160.44999999999999</v>
      </c>
      <c r="I470" s="422">
        <f t="shared" ref="I470:I477" si="296">IFERROR(H470*(F470/E470),"-")</f>
        <v>30562515.999999996</v>
      </c>
      <c r="J470" s="423">
        <f t="shared" ref="J470:J477" si="297">IFERROR(H470*(G470/E470),"-")</f>
        <v>0</v>
      </c>
    </row>
    <row r="471" spans="1:10" ht="23.4" x14ac:dyDescent="0.3">
      <c r="A471" s="277" t="s">
        <v>110</v>
      </c>
      <c r="B471" s="957"/>
      <c r="C471" s="278" t="s">
        <v>24</v>
      </c>
      <c r="D471" s="278" t="s">
        <v>258</v>
      </c>
      <c r="E471" s="387">
        <v>101.4935</v>
      </c>
      <c r="F471" s="405">
        <f>IFERROR(E471*'01 Prod Physique Boites'!H476,"-")</f>
        <v>0</v>
      </c>
      <c r="G471" s="406">
        <f>IFERROR(E471*'01 Prod Physique Boites'!L466,"-")</f>
        <v>0</v>
      </c>
      <c r="H471" s="388">
        <v>160.44999999999999</v>
      </c>
      <c r="I471" s="424">
        <f t="shared" si="296"/>
        <v>0</v>
      </c>
      <c r="J471" s="425">
        <f t="shared" si="297"/>
        <v>0</v>
      </c>
    </row>
    <row r="472" spans="1:10" ht="23.4" x14ac:dyDescent="0.3">
      <c r="A472" s="277" t="s">
        <v>110</v>
      </c>
      <c r="B472" s="957"/>
      <c r="C472" s="278" t="s">
        <v>256</v>
      </c>
      <c r="D472" s="278" t="s">
        <v>258</v>
      </c>
      <c r="E472" s="387">
        <v>101.4935</v>
      </c>
      <c r="F472" s="405">
        <f>IFERROR(E472*'01 Prod Physique Boites'!H477,"-")</f>
        <v>0</v>
      </c>
      <c r="G472" s="406">
        <f>IFERROR(E472*'01 Prod Physique Boites'!L467,"-")</f>
        <v>0</v>
      </c>
      <c r="H472" s="388">
        <v>160.44999999999999</v>
      </c>
      <c r="I472" s="424">
        <f t="shared" si="296"/>
        <v>0</v>
      </c>
      <c r="J472" s="425">
        <f t="shared" si="297"/>
        <v>0</v>
      </c>
    </row>
    <row r="473" spans="1:10" ht="23.4" x14ac:dyDescent="0.3">
      <c r="A473" s="277" t="s">
        <v>110</v>
      </c>
      <c r="B473" s="957"/>
      <c r="C473" s="278" t="s">
        <v>257</v>
      </c>
      <c r="D473" s="278" t="s">
        <v>258</v>
      </c>
      <c r="E473" s="387">
        <v>101.4935</v>
      </c>
      <c r="F473" s="405">
        <f>IFERROR(E473*'01 Prod Physique Boites'!H478,"-")</f>
        <v>807482.28599999996</v>
      </c>
      <c r="G473" s="406">
        <f>IFERROR(E473*'01 Prod Physique Boites'!L468,"-")</f>
        <v>0</v>
      </c>
      <c r="H473" s="388">
        <v>160.44999999999999</v>
      </c>
      <c r="I473" s="424">
        <f t="shared" si="296"/>
        <v>1276540.2</v>
      </c>
      <c r="J473" s="425">
        <f t="shared" si="297"/>
        <v>0</v>
      </c>
    </row>
    <row r="474" spans="1:10" ht="23.4" x14ac:dyDescent="0.3">
      <c r="A474" s="277" t="s">
        <v>110</v>
      </c>
      <c r="B474" s="957"/>
      <c r="C474" s="298" t="s">
        <v>259</v>
      </c>
      <c r="D474" s="278" t="s">
        <v>258</v>
      </c>
      <c r="E474" s="387">
        <v>101.4935</v>
      </c>
      <c r="F474" s="405">
        <f>IFERROR(E474*'01 Prod Physique Boites'!H479,"-")</f>
        <v>1614964.5719999999</v>
      </c>
      <c r="G474" s="406">
        <f>IFERROR(E474*'01 Prod Physique Boites'!L469,"-")</f>
        <v>0</v>
      </c>
      <c r="H474" s="388">
        <v>160.44999999999999</v>
      </c>
      <c r="I474" s="424">
        <f t="shared" si="296"/>
        <v>2553080.4</v>
      </c>
      <c r="J474" s="425">
        <f t="shared" si="297"/>
        <v>0</v>
      </c>
    </row>
    <row r="475" spans="1:10" ht="23.4" x14ac:dyDescent="0.3">
      <c r="A475" s="277" t="s">
        <v>110</v>
      </c>
      <c r="B475" s="957"/>
      <c r="C475" s="298" t="s">
        <v>260</v>
      </c>
      <c r="D475" s="278" t="s">
        <v>258</v>
      </c>
      <c r="E475" s="387">
        <v>101.4935</v>
      </c>
      <c r="F475" s="405">
        <f>IFERROR(E475*'01 Prod Physique Boites'!H480,"-")</f>
        <v>0</v>
      </c>
      <c r="G475" s="406">
        <f>IFERROR(E475*'01 Prod Physique Boites'!L470,"-")</f>
        <v>0</v>
      </c>
      <c r="H475" s="388">
        <v>160.44999999999999</v>
      </c>
      <c r="I475" s="424">
        <f t="shared" si="296"/>
        <v>0</v>
      </c>
      <c r="J475" s="425">
        <f t="shared" si="297"/>
        <v>0</v>
      </c>
    </row>
    <row r="476" spans="1:10" ht="23.4" x14ac:dyDescent="0.3">
      <c r="A476" s="277" t="s">
        <v>110</v>
      </c>
      <c r="B476" s="957"/>
      <c r="C476" s="298" t="s">
        <v>261</v>
      </c>
      <c r="D476" s="278" t="s">
        <v>263</v>
      </c>
      <c r="E476" s="387">
        <v>101.4935</v>
      </c>
      <c r="F476" s="405">
        <f>IFERROR(E476*'01 Prod Physique Boites'!H481,"-")</f>
        <v>0</v>
      </c>
      <c r="G476" s="406">
        <f>IFERROR(E476*'01 Prod Physique Boites'!L471,"-")</f>
        <v>1953749.875</v>
      </c>
      <c r="H476" s="388">
        <v>160.44999999999999</v>
      </c>
      <c r="I476" s="424">
        <f t="shared" si="296"/>
        <v>0</v>
      </c>
      <c r="J476" s="425">
        <f t="shared" si="297"/>
        <v>3088662.5</v>
      </c>
    </row>
    <row r="477" spans="1:10" ht="24" thickBot="1" x14ac:dyDescent="0.35">
      <c r="A477" s="277" t="s">
        <v>110</v>
      </c>
      <c r="B477" s="958"/>
      <c r="C477" s="298" t="s">
        <v>262</v>
      </c>
      <c r="D477" s="278" t="s">
        <v>258</v>
      </c>
      <c r="E477" s="389">
        <v>101.4935</v>
      </c>
      <c r="F477" s="405">
        <f>IFERROR(E477*'01 Prod Physique Boites'!H482,"-")</f>
        <v>0</v>
      </c>
      <c r="G477" s="406">
        <f>IFERROR(E477*'01 Prod Physique Boites'!L472,"-")</f>
        <v>0</v>
      </c>
      <c r="H477" s="388">
        <v>160.44999999999999</v>
      </c>
      <c r="I477" s="426">
        <f t="shared" si="296"/>
        <v>0</v>
      </c>
      <c r="J477" s="427">
        <f t="shared" si="297"/>
        <v>0</v>
      </c>
    </row>
    <row r="478" spans="1:10" ht="24" thickBot="1" x14ac:dyDescent="0.35">
      <c r="A478" s="277" t="s">
        <v>110</v>
      </c>
      <c r="B478" s="967" t="s">
        <v>52</v>
      </c>
      <c r="C478" s="968"/>
      <c r="D478" s="969"/>
      <c r="E478" s="393"/>
      <c r="F478" s="409">
        <f t="shared" ref="F478" si="298">SUM(F470:F477)</f>
        <v>21754928.737999998</v>
      </c>
      <c r="G478" s="410">
        <f>SUM(G470:G477)</f>
        <v>1953749.875</v>
      </c>
      <c r="H478" s="394"/>
      <c r="I478" s="409">
        <f t="shared" ref="I478" si="299">SUM(I470:I477)</f>
        <v>34392136.599999994</v>
      </c>
      <c r="J478" s="428">
        <f>SUM(J470:J477)</f>
        <v>3088662.5</v>
      </c>
    </row>
    <row r="479" spans="1:10" ht="24" thickBot="1" x14ac:dyDescent="0.35">
      <c r="A479" s="277" t="s">
        <v>110</v>
      </c>
      <c r="B479" s="981" t="s">
        <v>25</v>
      </c>
      <c r="C479" s="982"/>
      <c r="D479" s="983"/>
      <c r="E479" s="396"/>
      <c r="F479" s="413">
        <f t="shared" ref="F479" si="300">+F469+F478</f>
        <v>22414877.537999999</v>
      </c>
      <c r="G479" s="414">
        <f>+G469+G478</f>
        <v>9454424.6829999983</v>
      </c>
      <c r="H479" s="397"/>
      <c r="I479" s="413">
        <f t="shared" ref="I479:J479" si="301">+I469+I478</f>
        <v>35113136.599999994</v>
      </c>
      <c r="J479" s="431">
        <f t="shared" si="301"/>
        <v>12127362.5</v>
      </c>
    </row>
    <row r="480" spans="1:10" ht="24" thickBot="1" x14ac:dyDescent="0.35">
      <c r="A480" s="277" t="s">
        <v>110</v>
      </c>
      <c r="B480" s="984" t="s">
        <v>180</v>
      </c>
      <c r="C480" s="962"/>
      <c r="D480" s="963"/>
      <c r="E480" s="398"/>
      <c r="F480" s="415">
        <f t="shared" ref="F480" si="302">+F464+F479</f>
        <v>33620253.394000001</v>
      </c>
      <c r="G480" s="416">
        <f>+G464+G479</f>
        <v>22193820.260799997</v>
      </c>
      <c r="H480" s="399"/>
      <c r="I480" s="415">
        <f t="shared" ref="I480:J480" si="303">+I464+I479</f>
        <v>35113136.599999994</v>
      </c>
      <c r="J480" s="432">
        <f t="shared" si="303"/>
        <v>29627130.979999997</v>
      </c>
    </row>
    <row r="481" spans="1:10" ht="23.4" x14ac:dyDescent="0.3">
      <c r="A481" s="271" t="s">
        <v>108</v>
      </c>
      <c r="B481" s="977" t="s">
        <v>26</v>
      </c>
      <c r="C481" s="300" t="s">
        <v>323</v>
      </c>
      <c r="D481" s="302" t="s">
        <v>190</v>
      </c>
      <c r="E481" s="508">
        <v>13.1272</v>
      </c>
      <c r="F481" s="405">
        <f>IFERROR(E481*'01 Prod Physique Boites'!H476,"-")</f>
        <v>0</v>
      </c>
      <c r="G481" s="406">
        <f>IFERROR(E481*'01 Prod Physique Boites'!L476,"-")</f>
        <v>0</v>
      </c>
      <c r="H481" s="384">
        <v>20.76</v>
      </c>
      <c r="I481" s="422">
        <f t="shared" ref="I481:I489" si="304">IFERROR(H481*(F481/E481),"-")</f>
        <v>0</v>
      </c>
      <c r="J481" s="644">
        <f t="shared" ref="J481:J489" si="305">IFERROR(H481*(G481/E481),"-")</f>
        <v>0</v>
      </c>
    </row>
    <row r="482" spans="1:10" ht="23.4" x14ac:dyDescent="0.3">
      <c r="A482" s="277" t="s">
        <v>108</v>
      </c>
      <c r="B482" s="977"/>
      <c r="C482" s="301" t="s">
        <v>196</v>
      </c>
      <c r="D482" s="301" t="s">
        <v>114</v>
      </c>
      <c r="E482" s="509">
        <v>14.608000000000001</v>
      </c>
      <c r="F482" s="405">
        <f>IFERROR(E482*'01 Prod Physique Boites'!H477,"-")</f>
        <v>0</v>
      </c>
      <c r="G482" s="406">
        <f>IFERROR(E482*'01 Prod Physique Boites'!L477,"-")</f>
        <v>0</v>
      </c>
      <c r="H482" s="388">
        <v>24.93</v>
      </c>
      <c r="I482" s="424">
        <f t="shared" si="304"/>
        <v>0</v>
      </c>
      <c r="J482" s="645">
        <f t="shared" si="305"/>
        <v>0</v>
      </c>
    </row>
    <row r="483" spans="1:10" ht="23.4" x14ac:dyDescent="0.3">
      <c r="A483" s="277" t="s">
        <v>108</v>
      </c>
      <c r="B483" s="977"/>
      <c r="C483" s="302" t="s">
        <v>27</v>
      </c>
      <c r="D483" s="302" t="s">
        <v>370</v>
      </c>
      <c r="E483" s="505">
        <v>17.8202</v>
      </c>
      <c r="F483" s="405">
        <f>IFERROR(E483*'01 Prod Physique Boites'!H478,"-")</f>
        <v>141777.51120000001</v>
      </c>
      <c r="G483" s="406">
        <f>IFERROR(E483*'01 Prod Physique Boites'!L478,"-")</f>
        <v>141777.51120000001</v>
      </c>
      <c r="H483" s="388">
        <v>21.22</v>
      </c>
      <c r="I483" s="424">
        <f t="shared" si="304"/>
        <v>168826.32</v>
      </c>
      <c r="J483" s="645">
        <f t="shared" si="305"/>
        <v>168826.32</v>
      </c>
    </row>
    <row r="484" spans="1:10" ht="23.4" x14ac:dyDescent="0.3">
      <c r="A484" s="277" t="s">
        <v>108</v>
      </c>
      <c r="B484" s="977"/>
      <c r="C484" s="302" t="s">
        <v>27</v>
      </c>
      <c r="D484" s="302" t="s">
        <v>254</v>
      </c>
      <c r="E484" s="505">
        <v>17.8202</v>
      </c>
      <c r="F484" s="405">
        <f>IFERROR(E484*'01 Prod Physique Boites'!H479,"-")</f>
        <v>283555.02240000002</v>
      </c>
      <c r="G484" s="406">
        <f>IFERROR(E484*'01 Prod Physique Boites'!L479,"-")</f>
        <v>283555.02240000002</v>
      </c>
      <c r="H484" s="388">
        <v>24.93</v>
      </c>
      <c r="I484" s="424">
        <f t="shared" si="304"/>
        <v>396686.16000000003</v>
      </c>
      <c r="J484" s="645">
        <f t="shared" si="305"/>
        <v>396686.16000000003</v>
      </c>
    </row>
    <row r="485" spans="1:10" ht="23.4" x14ac:dyDescent="0.3">
      <c r="A485" s="277" t="s">
        <v>108</v>
      </c>
      <c r="B485" s="977"/>
      <c r="C485" s="302" t="s">
        <v>27</v>
      </c>
      <c r="D485" s="302" t="s">
        <v>302</v>
      </c>
      <c r="E485" s="505">
        <v>17.8202</v>
      </c>
      <c r="F485" s="405">
        <f>IFERROR(E485*'01 Prod Physique Boites'!H480,"-")</f>
        <v>0</v>
      </c>
      <c r="G485" s="406">
        <f>IFERROR(E485*'01 Prod Physique Boites'!L480,"-")</f>
        <v>0</v>
      </c>
      <c r="H485" s="388">
        <v>24.93</v>
      </c>
      <c r="I485" s="424">
        <f t="shared" si="304"/>
        <v>0</v>
      </c>
      <c r="J485" s="645">
        <f t="shared" si="305"/>
        <v>0</v>
      </c>
    </row>
    <row r="486" spans="1:10" ht="23.4" x14ac:dyDescent="0.3">
      <c r="A486" s="277"/>
      <c r="B486" s="977"/>
      <c r="C486" s="302" t="s">
        <v>369</v>
      </c>
      <c r="D486" s="302" t="s">
        <v>190</v>
      </c>
      <c r="E486" s="505">
        <v>17.8202</v>
      </c>
      <c r="F486" s="405">
        <f>IFERROR(E486*'01 Prod Physique Boites'!H481,"-")</f>
        <v>0</v>
      </c>
      <c r="G486" s="406">
        <f>IFERROR(E486*'01 Prod Physique Boites'!L481,"-")</f>
        <v>0</v>
      </c>
      <c r="H486" s="390">
        <v>21.22</v>
      </c>
      <c r="I486" s="424">
        <f t="shared" si="304"/>
        <v>0</v>
      </c>
      <c r="J486" s="646">
        <f t="shared" si="305"/>
        <v>0</v>
      </c>
    </row>
    <row r="487" spans="1:10" ht="23.4" x14ac:dyDescent="0.3">
      <c r="A487" s="277"/>
      <c r="B487" s="977"/>
      <c r="C487" s="302" t="s">
        <v>314</v>
      </c>
      <c r="D487" s="302" t="s">
        <v>101</v>
      </c>
      <c r="E487" s="505">
        <v>14.608000000000001</v>
      </c>
      <c r="F487" s="405">
        <f>IFERROR(E487*'01 Prod Physique Boites'!H482,"-")</f>
        <v>0</v>
      </c>
      <c r="G487" s="406">
        <f>IFERROR(E487*'01 Prod Physique Boites'!L482,"-")</f>
        <v>0</v>
      </c>
      <c r="H487" s="390">
        <v>24.93</v>
      </c>
      <c r="I487" s="426">
        <f t="shared" si="304"/>
        <v>0</v>
      </c>
      <c r="J487" s="646">
        <f t="shared" si="305"/>
        <v>0</v>
      </c>
    </row>
    <row r="488" spans="1:10" ht="23.4" x14ac:dyDescent="0.3">
      <c r="A488" s="277"/>
      <c r="B488" s="977"/>
      <c r="C488" s="302" t="s">
        <v>453</v>
      </c>
      <c r="D488" s="302" t="s">
        <v>454</v>
      </c>
      <c r="E488" s="773">
        <v>16.345199999999998</v>
      </c>
      <c r="F488" s="405">
        <f>IFERROR(E488*'01 Prod Physique Boites'!H483,"-")</f>
        <v>130042.41119999999</v>
      </c>
      <c r="G488" s="406">
        <f>IFERROR(E488*'01 Prod Physique Boites'!L483,"-")</f>
        <v>130042.41119999999</v>
      </c>
      <c r="H488" s="390">
        <v>23.78</v>
      </c>
      <c r="I488" s="426">
        <f t="shared" si="304"/>
        <v>189193.68000000002</v>
      </c>
      <c r="J488" s="646">
        <f t="shared" si="305"/>
        <v>189193.68000000002</v>
      </c>
    </row>
    <row r="489" spans="1:10" ht="24" thickBot="1" x14ac:dyDescent="0.35">
      <c r="A489" s="277" t="s">
        <v>108</v>
      </c>
      <c r="B489" s="977"/>
      <c r="C489" s="303" t="s">
        <v>315</v>
      </c>
      <c r="D489" s="302" t="s">
        <v>313</v>
      </c>
      <c r="E489" s="505">
        <v>12.6997</v>
      </c>
      <c r="F489" s="405">
        <f>IFERROR(E489*'01 Prod Physique Boites'!H484,"-")</f>
        <v>0</v>
      </c>
      <c r="G489" s="406">
        <f>IFERROR(E489*'01 Prod Physique Boites'!L484,"-")</f>
        <v>0</v>
      </c>
      <c r="H489" s="390">
        <v>13.25</v>
      </c>
      <c r="I489" s="426">
        <f t="shared" si="304"/>
        <v>0</v>
      </c>
      <c r="J489" s="646">
        <f t="shared" si="305"/>
        <v>0</v>
      </c>
    </row>
    <row r="490" spans="1:10" ht="24" thickBot="1" x14ac:dyDescent="0.35">
      <c r="A490" s="277" t="s">
        <v>108</v>
      </c>
      <c r="B490" s="990"/>
      <c r="C490" s="304"/>
      <c r="D490" s="305" t="s">
        <v>55</v>
      </c>
      <c r="E490" s="393"/>
      <c r="F490" s="409">
        <f>SUM(F481:F489)</f>
        <v>555374.94480000006</v>
      </c>
      <c r="G490" s="410">
        <f t="shared" ref="G490" si="306">SUM(G481:G489)</f>
        <v>555374.94480000006</v>
      </c>
      <c r="H490" s="394"/>
      <c r="I490" s="409">
        <f t="shared" ref="I490" si="307">SUM(I481:I489)</f>
        <v>754706.16</v>
      </c>
      <c r="J490" s="428">
        <f>SUM(J481:J489)</f>
        <v>754706.16</v>
      </c>
    </row>
    <row r="491" spans="1:10" ht="23.4" x14ac:dyDescent="0.3">
      <c r="A491" s="277" t="s">
        <v>108</v>
      </c>
      <c r="B491" s="976" t="s">
        <v>28</v>
      </c>
      <c r="C491" s="302" t="s">
        <v>27</v>
      </c>
      <c r="D491" s="300" t="s">
        <v>302</v>
      </c>
      <c r="E491" s="508">
        <v>17.8202</v>
      </c>
      <c r="F491" s="405">
        <f>IFERROR(E491*'01 Prod Physique Boites'!H486,"-")</f>
        <v>0</v>
      </c>
      <c r="G491" s="406">
        <f>IFERROR(E491*'01 Prod Physique Boites'!L486,"-")</f>
        <v>70888.755600000004</v>
      </c>
      <c r="H491" s="384">
        <v>24.93</v>
      </c>
      <c r="I491" s="422">
        <f>IFERROR(H491*(F491/E491),"-")</f>
        <v>0</v>
      </c>
      <c r="J491" s="644">
        <f t="shared" ref="J491:J495" si="308">IFERROR(H491*(G491/E491),"-")</f>
        <v>99171.540000000008</v>
      </c>
    </row>
    <row r="492" spans="1:10" ht="23.4" x14ac:dyDescent="0.3">
      <c r="A492" s="277" t="s">
        <v>108</v>
      </c>
      <c r="B492" s="977"/>
      <c r="C492" s="302" t="s">
        <v>456</v>
      </c>
      <c r="D492" s="302" t="s">
        <v>370</v>
      </c>
      <c r="E492" s="773">
        <v>16.7288</v>
      </c>
      <c r="F492" s="405">
        <f>IFERROR(E492*'01 Prod Physique Boites'!H487,"-")</f>
        <v>1464037.6608</v>
      </c>
      <c r="G492" s="406">
        <f>IFERROR(E492*'01 Prod Physique Boites'!L487,"-")</f>
        <v>1464037.6608</v>
      </c>
      <c r="H492" s="770">
        <v>20.76</v>
      </c>
      <c r="I492" s="424">
        <f>IFERROR(H492*(F492/E492),"-")</f>
        <v>1816832.1600000001</v>
      </c>
      <c r="J492" s="645">
        <f t="shared" si="308"/>
        <v>1816832.1600000001</v>
      </c>
    </row>
    <row r="493" spans="1:10" ht="23.4" x14ac:dyDescent="0.3">
      <c r="A493" s="277" t="s">
        <v>108</v>
      </c>
      <c r="B493" s="977"/>
      <c r="C493" s="302" t="s">
        <v>455</v>
      </c>
      <c r="D493" s="302" t="s">
        <v>370</v>
      </c>
      <c r="E493" s="505">
        <v>17.8202</v>
      </c>
      <c r="F493" s="405">
        <f>IFERROR(E493*'01 Prod Physique Boites'!H488,"-")</f>
        <v>0</v>
      </c>
      <c r="G493" s="406">
        <f>IFERROR(E493*'01 Prod Physique Boites'!L488,"-")</f>
        <v>425332.53360000002</v>
      </c>
      <c r="H493" s="388">
        <v>21.22</v>
      </c>
      <c r="I493" s="424">
        <f>IFERROR(H493*(F493/E493),"-")</f>
        <v>0</v>
      </c>
      <c r="J493" s="645">
        <f t="shared" ref="J493:J494" si="309">IFERROR(H493*(G493/E493),"-")</f>
        <v>506478.95999999996</v>
      </c>
    </row>
    <row r="494" spans="1:10" ht="23.4" x14ac:dyDescent="0.3">
      <c r="A494" s="277"/>
      <c r="B494" s="977"/>
      <c r="C494" s="302" t="s">
        <v>453</v>
      </c>
      <c r="D494" s="302" t="s">
        <v>454</v>
      </c>
      <c r="E494" s="773">
        <v>16.345199999999998</v>
      </c>
      <c r="F494" s="405">
        <f>IFERROR(E494*'01 Prod Physique Boites'!H489,"-")</f>
        <v>455148.43919999996</v>
      </c>
      <c r="G494" s="406">
        <f>IFERROR(E494*'01 Prod Physique Boites'!L489,"-")</f>
        <v>455148.43919999996</v>
      </c>
      <c r="H494" s="388">
        <v>23.78</v>
      </c>
      <c r="I494" s="426">
        <f>IFERROR(H494*(F494/E494),"-")</f>
        <v>662177.88</v>
      </c>
      <c r="J494" s="646">
        <f t="shared" si="309"/>
        <v>662177.88</v>
      </c>
    </row>
    <row r="495" spans="1:10" ht="24" thickBot="1" x14ac:dyDescent="0.35">
      <c r="A495" s="277" t="s">
        <v>108</v>
      </c>
      <c r="B495" s="977"/>
      <c r="C495" s="302" t="s">
        <v>27</v>
      </c>
      <c r="D495" s="303" t="s">
        <v>254</v>
      </c>
      <c r="E495" s="505">
        <v>17.8202</v>
      </c>
      <c r="F495" s="405">
        <f>IFERROR(E495*'01 Prod Physique Boites'!H490,"-")</f>
        <v>637998.80039999995</v>
      </c>
      <c r="G495" s="406">
        <f>IFERROR(E495*'01 Prod Physique Boites'!L490,"-")</f>
        <v>10420647.0732</v>
      </c>
      <c r="H495" s="388">
        <v>24.93</v>
      </c>
      <c r="I495" s="426">
        <f>IFERROR(H495*(F495/E495),"-")</f>
        <v>892543.86</v>
      </c>
      <c r="J495" s="646">
        <f t="shared" si="308"/>
        <v>14578216.379999999</v>
      </c>
    </row>
    <row r="496" spans="1:10" ht="24" thickBot="1" x14ac:dyDescent="0.35">
      <c r="A496" s="277" t="s">
        <v>108</v>
      </c>
      <c r="B496" s="977"/>
      <c r="C496" s="307"/>
      <c r="D496" s="308" t="s">
        <v>55</v>
      </c>
      <c r="E496" s="400"/>
      <c r="F496" s="417">
        <f t="shared" ref="F496:G496" si="310">SUM(F491:F495)</f>
        <v>2557184.9003999997</v>
      </c>
      <c r="G496" s="418">
        <f t="shared" si="310"/>
        <v>12836054.462400001</v>
      </c>
      <c r="H496" s="401"/>
      <c r="I496" s="417">
        <f t="shared" ref="I496:J496" si="311">SUM(I491:I495)</f>
        <v>3371553.9</v>
      </c>
      <c r="J496" s="433">
        <f t="shared" si="311"/>
        <v>17662876.919999998</v>
      </c>
    </row>
    <row r="497" spans="1:10" ht="24" thickBot="1" x14ac:dyDescent="0.35">
      <c r="A497" s="768" t="s">
        <v>108</v>
      </c>
      <c r="B497" s="978" t="s">
        <v>170</v>
      </c>
      <c r="C497" s="979"/>
      <c r="D497" s="980"/>
      <c r="E497" s="402"/>
      <c r="F497" s="419">
        <f t="shared" ref="F497:G497" si="312">+F490+F496</f>
        <v>3112559.8451999999</v>
      </c>
      <c r="G497" s="420">
        <f t="shared" si="312"/>
        <v>13391429.407200001</v>
      </c>
      <c r="H497" s="403"/>
      <c r="I497" s="419">
        <f t="shared" ref="I497:J497" si="313">+I490+I496</f>
        <v>4126260.06</v>
      </c>
      <c r="J497" s="434">
        <f t="shared" si="313"/>
        <v>18417583.079999998</v>
      </c>
    </row>
    <row r="498" spans="1:10" ht="23.4" x14ac:dyDescent="0.3">
      <c r="A498" s="277" t="s">
        <v>108</v>
      </c>
      <c r="B498" s="977" t="s">
        <v>30</v>
      </c>
      <c r="C498" s="306" t="s">
        <v>356</v>
      </c>
      <c r="D498" s="300" t="s">
        <v>191</v>
      </c>
      <c r="E498" s="508">
        <v>15.2788</v>
      </c>
      <c r="F498" s="405">
        <f>IFERROR(E498*'01 Prod Physique Boites'!H493,"-")</f>
        <v>0</v>
      </c>
      <c r="G498" s="406">
        <f>IFERROR(E498*'01 Prod Physique Boites'!L493,"-")</f>
        <v>0</v>
      </c>
      <c r="H498" s="384">
        <v>23.65</v>
      </c>
      <c r="I498" s="422">
        <f>IFERROR(H498*(F498/E498),"-")</f>
        <v>0</v>
      </c>
      <c r="J498" s="423">
        <f t="shared" ref="J498:J500" si="314">IFERROR(H498*(G498/E498),"-")</f>
        <v>0</v>
      </c>
    </row>
    <row r="499" spans="1:10" ht="23.4" x14ac:dyDescent="0.3">
      <c r="A499" s="277" t="s">
        <v>108</v>
      </c>
      <c r="B499" s="977"/>
      <c r="C499" s="306" t="s">
        <v>349</v>
      </c>
      <c r="D499" s="306" t="s">
        <v>313</v>
      </c>
      <c r="E499" s="509">
        <v>22.6356</v>
      </c>
      <c r="F499" s="405">
        <f>IFERROR(E499*'01 Prod Physique Boites'!H494,"-")</f>
        <v>0</v>
      </c>
      <c r="G499" s="406">
        <f>IFERROR(E499*'01 Prod Physique Boites'!L494,"-")</f>
        <v>0</v>
      </c>
      <c r="H499" s="388">
        <v>34.26</v>
      </c>
      <c r="I499" s="424">
        <f>IFERROR(H499*(F499/E499),"-")</f>
        <v>0</v>
      </c>
      <c r="J499" s="425">
        <f t="shared" si="314"/>
        <v>0</v>
      </c>
    </row>
    <row r="500" spans="1:10" ht="24" thickBot="1" x14ac:dyDescent="0.35">
      <c r="A500" s="277" t="s">
        <v>108</v>
      </c>
      <c r="B500" s="977"/>
      <c r="C500" s="303" t="s">
        <v>316</v>
      </c>
      <c r="D500" s="303"/>
      <c r="E500" s="505">
        <v>25.751300000000001</v>
      </c>
      <c r="F500" s="405">
        <f>IFERROR(E500*'01 Prod Physique Boites'!H495,"-")</f>
        <v>0</v>
      </c>
      <c r="G500" s="406">
        <f>IFERROR(E500*'01 Prod Physique Boites'!L495,"-")</f>
        <v>1590812.3088</v>
      </c>
      <c r="H500" s="390">
        <v>37.89</v>
      </c>
      <c r="I500" s="426">
        <f>IFERROR(H500*(F500/E500),"-")</f>
        <v>0</v>
      </c>
      <c r="J500" s="427">
        <f t="shared" si="314"/>
        <v>2340692.64</v>
      </c>
    </row>
    <row r="501" spans="1:10" ht="24" thickBot="1" x14ac:dyDescent="0.35">
      <c r="A501" s="277" t="s">
        <v>108</v>
      </c>
      <c r="B501" s="977"/>
      <c r="C501" s="304"/>
      <c r="D501" s="305" t="s">
        <v>53</v>
      </c>
      <c r="E501" s="393"/>
      <c r="F501" s="409">
        <f t="shared" ref="F501:G501" si="315">SUM(F498:F500)</f>
        <v>0</v>
      </c>
      <c r="G501" s="410">
        <f t="shared" si="315"/>
        <v>1590812.3088</v>
      </c>
      <c r="H501" s="394"/>
      <c r="I501" s="409">
        <f t="shared" ref="I501" si="316">SUM(I498:I500)</f>
        <v>0</v>
      </c>
      <c r="J501" s="428">
        <f>SUM(J498:J500)</f>
        <v>2340692.64</v>
      </c>
    </row>
    <row r="502" spans="1:10" ht="23.4" x14ac:dyDescent="0.3">
      <c r="A502" s="277" t="s">
        <v>108</v>
      </c>
      <c r="B502" s="977"/>
      <c r="C502" s="300" t="s">
        <v>339</v>
      </c>
      <c r="D502" s="300"/>
      <c r="E502" s="508">
        <v>22.094999999999999</v>
      </c>
      <c r="F502" s="405">
        <f>IFERROR(E502*'01 Prod Physique Boites'!H497,"-")</f>
        <v>0</v>
      </c>
      <c r="G502" s="406">
        <f>IFERROR(E502*'01 Prod Physique Boites'!L497,"-")</f>
        <v>0</v>
      </c>
      <c r="H502" s="384">
        <v>37.11</v>
      </c>
      <c r="I502" s="422">
        <f>IFERROR(H502*(F502/E502),"-")</f>
        <v>0</v>
      </c>
      <c r="J502" s="423">
        <f t="shared" ref="J502:J504" si="317">IFERROR(H502*(G502/E502),"-")</f>
        <v>0</v>
      </c>
    </row>
    <row r="503" spans="1:10" ht="23.4" x14ac:dyDescent="0.3">
      <c r="A503" s="277" t="s">
        <v>108</v>
      </c>
      <c r="B503" s="977"/>
      <c r="C503" s="306" t="s">
        <v>373</v>
      </c>
      <c r="D503" s="306" t="s">
        <v>254</v>
      </c>
      <c r="E503" s="509">
        <v>27.917000000000002</v>
      </c>
      <c r="F503" s="405">
        <f>IFERROR(E503*'01 Prod Physique Boites'!H498,"-")</f>
        <v>0</v>
      </c>
      <c r="G503" s="406">
        <f>IFERROR(E503*'01 Prod Physique Boites'!L498,"-")</f>
        <v>261303.12000000002</v>
      </c>
      <c r="H503" s="388">
        <v>39</v>
      </c>
      <c r="I503" s="424">
        <f>IFERROR(H503*(F503/E503),"-")</f>
        <v>0</v>
      </c>
      <c r="J503" s="425">
        <f t="shared" si="317"/>
        <v>365040</v>
      </c>
    </row>
    <row r="504" spans="1:10" ht="24" thickBot="1" x14ac:dyDescent="0.35">
      <c r="A504" s="277" t="s">
        <v>108</v>
      </c>
      <c r="B504" s="977"/>
      <c r="C504" s="303" t="s">
        <v>145</v>
      </c>
      <c r="D504" s="303"/>
      <c r="E504" s="505">
        <v>25.4041</v>
      </c>
      <c r="F504" s="405">
        <f>IFERROR(E504*'01 Prod Physique Boites'!H499,"-")</f>
        <v>0</v>
      </c>
      <c r="G504" s="406">
        <f>IFERROR(E504*'01 Prod Physique Boites'!L499,"-")</f>
        <v>0</v>
      </c>
      <c r="H504" s="390">
        <v>28.21</v>
      </c>
      <c r="I504" s="426">
        <f>IFERROR(H504*(F504/E504),"-")</f>
        <v>0</v>
      </c>
      <c r="J504" s="427">
        <f t="shared" si="317"/>
        <v>0</v>
      </c>
    </row>
    <row r="505" spans="1:10" ht="24" thickBot="1" x14ac:dyDescent="0.35">
      <c r="A505" s="277" t="s">
        <v>108</v>
      </c>
      <c r="B505" s="977"/>
      <c r="C505" s="307"/>
      <c r="D505" s="308" t="s">
        <v>54</v>
      </c>
      <c r="E505" s="400"/>
      <c r="F505" s="417">
        <f t="shared" ref="F505:G505" si="318">SUM(F502:F504)</f>
        <v>0</v>
      </c>
      <c r="G505" s="418">
        <f t="shared" si="318"/>
        <v>261303.12000000002</v>
      </c>
      <c r="H505" s="401"/>
      <c r="I505" s="417">
        <f t="shared" ref="I505" si="319">SUM(I502:I504)</f>
        <v>0</v>
      </c>
      <c r="J505" s="433">
        <f>SUM(J502:J504)</f>
        <v>365040</v>
      </c>
    </row>
    <row r="506" spans="1:10" ht="24" thickBot="1" x14ac:dyDescent="0.35">
      <c r="A506" s="277" t="s">
        <v>108</v>
      </c>
      <c r="B506" s="978" t="s">
        <v>171</v>
      </c>
      <c r="C506" s="979"/>
      <c r="D506" s="980"/>
      <c r="E506" s="402"/>
      <c r="F506" s="419">
        <f t="shared" ref="F506:G506" si="320">+F501+F505</f>
        <v>0</v>
      </c>
      <c r="G506" s="420">
        <f t="shared" si="320"/>
        <v>1852115.4288000001</v>
      </c>
      <c r="H506" s="403"/>
      <c r="I506" s="419">
        <f t="shared" ref="I506:J506" si="321">+I501+I505</f>
        <v>0</v>
      </c>
      <c r="J506" s="434">
        <f t="shared" si="321"/>
        <v>2705732.64</v>
      </c>
    </row>
    <row r="507" spans="1:10" ht="24" thickBot="1" x14ac:dyDescent="0.35">
      <c r="A507" s="277" t="s">
        <v>108</v>
      </c>
      <c r="B507" s="609" t="s">
        <v>32</v>
      </c>
      <c r="C507" s="763"/>
      <c r="D507" s="313"/>
      <c r="E507" s="510">
        <v>12.2659</v>
      </c>
      <c r="F507" s="411">
        <f>IFERROR(E507*'01 Prod Physique Boites'!H502,"-")</f>
        <v>0</v>
      </c>
      <c r="G507" s="412">
        <f>IFERROR(E507*'01 Prod Physique Boites'!L502,"-")</f>
        <v>0</v>
      </c>
      <c r="H507" s="395"/>
      <c r="I507" s="429">
        <f>IFERROR(H507*(F507/E507),"-")</f>
        <v>0</v>
      </c>
      <c r="J507" s="430">
        <f>IFERROR(H507*(G507/E507),"-")</f>
        <v>0</v>
      </c>
    </row>
    <row r="508" spans="1:10" ht="24" thickBot="1" x14ac:dyDescent="0.35">
      <c r="A508" s="277" t="s">
        <v>108</v>
      </c>
      <c r="B508" s="981" t="s">
        <v>21</v>
      </c>
      <c r="C508" s="982"/>
      <c r="D508" s="983"/>
      <c r="E508" s="396"/>
      <c r="F508" s="413">
        <f t="shared" ref="F508" si="322">+F497+F506+F507</f>
        <v>3112559.8451999999</v>
      </c>
      <c r="G508" s="414">
        <f>+G497+G506+G507</f>
        <v>15243544.836000001</v>
      </c>
      <c r="H508" s="397"/>
      <c r="I508" s="413">
        <f t="shared" ref="I508:J508" si="323">+I497+I506+I507</f>
        <v>4126260.06</v>
      </c>
      <c r="J508" s="431">
        <f t="shared" si="323"/>
        <v>21123315.719999999</v>
      </c>
    </row>
    <row r="509" spans="1:10" ht="24" thickBot="1" x14ac:dyDescent="0.35">
      <c r="A509" s="277" t="s">
        <v>108</v>
      </c>
      <c r="B509" s="984" t="s">
        <v>179</v>
      </c>
      <c r="C509" s="962"/>
      <c r="D509" s="963"/>
      <c r="E509" s="398"/>
      <c r="F509" s="415">
        <f t="shared" ref="F509:G509" si="324">+F508</f>
        <v>3112559.8451999999</v>
      </c>
      <c r="G509" s="416">
        <f t="shared" si="324"/>
        <v>15243544.836000001</v>
      </c>
      <c r="H509" s="399"/>
      <c r="I509" s="415">
        <f t="shared" ref="I509:J509" si="325">+I508</f>
        <v>4126260.06</v>
      </c>
      <c r="J509" s="432">
        <f t="shared" si="325"/>
        <v>21123315.719999999</v>
      </c>
    </row>
    <row r="510" spans="1:10" ht="23.4" x14ac:dyDescent="0.3">
      <c r="A510" s="271" t="s">
        <v>109</v>
      </c>
      <c r="B510" s="970" t="s">
        <v>33</v>
      </c>
      <c r="C510" s="314" t="s">
        <v>120</v>
      </c>
      <c r="D510" s="314"/>
      <c r="E510" s="771">
        <v>254.89750000000001</v>
      </c>
      <c r="F510" s="405">
        <f>IFERROR(E510*'01 Prod Physique Boites'!H505,"-")</f>
        <v>0</v>
      </c>
      <c r="G510" s="406">
        <f>IFERROR(E510*'01 Prod Physique Boites'!L505,"-")</f>
        <v>0</v>
      </c>
      <c r="H510" s="384">
        <v>445.38</v>
      </c>
      <c r="I510" s="422">
        <f>IFERROR(H510*(F510/E510),"-")</f>
        <v>0</v>
      </c>
      <c r="J510" s="423">
        <f t="shared" ref="J510:J512" si="326">IFERROR(H510*(G510/E510),"-")</f>
        <v>0</v>
      </c>
    </row>
    <row r="511" spans="1:10" ht="23.4" x14ac:dyDescent="0.3">
      <c r="A511" s="277" t="s">
        <v>109</v>
      </c>
      <c r="B511" s="972"/>
      <c r="C511" s="315" t="s">
        <v>267</v>
      </c>
      <c r="D511" s="315"/>
      <c r="E511" s="507">
        <v>246.51390000000001</v>
      </c>
      <c r="F511" s="405">
        <f>IFERROR(E511*'01 Prod Physique Boites'!H506,"-")</f>
        <v>1262151.1680000001</v>
      </c>
      <c r="G511" s="406">
        <f>IFERROR(E511*'01 Prod Physique Boites'!L506,"-")</f>
        <v>1735457.8560000001</v>
      </c>
      <c r="H511" s="388">
        <v>430.02</v>
      </c>
      <c r="I511" s="424">
        <f>IFERROR(H511*(F511/E511),"-")</f>
        <v>2201702.3999999999</v>
      </c>
      <c r="J511" s="425">
        <f t="shared" si="326"/>
        <v>3027340.8</v>
      </c>
    </row>
    <row r="512" spans="1:10" ht="24" thickBot="1" x14ac:dyDescent="0.35">
      <c r="A512" s="277" t="s">
        <v>109</v>
      </c>
      <c r="B512" s="971"/>
      <c r="C512" s="316" t="s">
        <v>34</v>
      </c>
      <c r="D512" s="316"/>
      <c r="E512" s="504">
        <v>225.7713</v>
      </c>
      <c r="F512" s="405">
        <f>IFERROR(E512*'01 Prod Physique Boites'!H507,"-")</f>
        <v>0</v>
      </c>
      <c r="G512" s="406">
        <f>IFERROR(E512*'01 Prod Physique Boites'!L507,"-")</f>
        <v>0</v>
      </c>
      <c r="H512" s="390"/>
      <c r="I512" s="426">
        <f>IFERROR(H512*(F512/E512),"-")</f>
        <v>0</v>
      </c>
      <c r="J512" s="427">
        <f t="shared" si="326"/>
        <v>0</v>
      </c>
    </row>
    <row r="513" spans="1:10" ht="24" thickBot="1" x14ac:dyDescent="0.35">
      <c r="A513" s="277" t="s">
        <v>109</v>
      </c>
      <c r="B513" s="967" t="s">
        <v>35</v>
      </c>
      <c r="C513" s="968"/>
      <c r="D513" s="969"/>
      <c r="E513" s="393"/>
      <c r="F513" s="409">
        <f t="shared" ref="F513:G513" si="327">SUM(F510:F512)</f>
        <v>1262151.1680000001</v>
      </c>
      <c r="G513" s="410">
        <f t="shared" si="327"/>
        <v>1735457.8560000001</v>
      </c>
      <c r="H513" s="394"/>
      <c r="I513" s="409">
        <f t="shared" ref="I513:J513" si="328">SUM(I510:I512)</f>
        <v>2201702.3999999999</v>
      </c>
      <c r="J513" s="428">
        <f t="shared" si="328"/>
        <v>3027340.8</v>
      </c>
    </row>
    <row r="514" spans="1:10" ht="23.4" x14ac:dyDescent="0.3">
      <c r="A514" s="277" t="s">
        <v>109</v>
      </c>
      <c r="B514" s="970" t="s">
        <v>36</v>
      </c>
      <c r="C514" s="314" t="s">
        <v>120</v>
      </c>
      <c r="D514" s="314"/>
      <c r="E514" s="506">
        <v>254.89750000000001</v>
      </c>
      <c r="F514" s="405">
        <f>IFERROR(E514*'01 Prod Physique Boites'!H509,"-")</f>
        <v>0</v>
      </c>
      <c r="G514" s="406">
        <f>IFERROR(E514*'01 Prod Physique Boites'!L509,"-")</f>
        <v>0</v>
      </c>
      <c r="H514" s="384">
        <v>445.38</v>
      </c>
      <c r="I514" s="422">
        <f>IFERROR(H514*(F514/E514),"-")</f>
        <v>0</v>
      </c>
      <c r="J514" s="423">
        <f t="shared" ref="J514:J517" si="329">IFERROR(H514*(G514/E514),"-")</f>
        <v>0</v>
      </c>
    </row>
    <row r="515" spans="1:10" ht="23.4" x14ac:dyDescent="0.3">
      <c r="A515" s="277" t="s">
        <v>109</v>
      </c>
      <c r="B515" s="972"/>
      <c r="C515" s="315" t="s">
        <v>267</v>
      </c>
      <c r="D515" s="315"/>
      <c r="E515" s="507">
        <v>246.51390000000001</v>
      </c>
      <c r="F515" s="405">
        <f>IFERROR(E515*'01 Prod Physique Boites'!H510,"-")</f>
        <v>0</v>
      </c>
      <c r="G515" s="406">
        <f>IFERROR(E515*'01 Prod Physique Boites'!L510,"-")</f>
        <v>0</v>
      </c>
      <c r="H515" s="388">
        <v>430.02</v>
      </c>
      <c r="I515" s="424">
        <f>IFERROR(H515*(F515/E515),"-")</f>
        <v>0</v>
      </c>
      <c r="J515" s="425">
        <f t="shared" si="329"/>
        <v>0</v>
      </c>
    </row>
    <row r="516" spans="1:10" ht="23.4" x14ac:dyDescent="0.3">
      <c r="A516" s="277" t="s">
        <v>109</v>
      </c>
      <c r="B516" s="972"/>
      <c r="C516" s="315" t="s">
        <v>198</v>
      </c>
      <c r="D516" s="315" t="s">
        <v>197</v>
      </c>
      <c r="E516" s="507">
        <v>254.89750000000001</v>
      </c>
      <c r="F516" s="405">
        <f>IFERROR(E516*'01 Prod Physique Boites'!H511,"-")</f>
        <v>0</v>
      </c>
      <c r="G516" s="406">
        <f>IFERROR(E516*'01 Prod Physique Boites'!L511,"-")</f>
        <v>0</v>
      </c>
      <c r="H516" s="388"/>
      <c r="I516" s="424">
        <f>IFERROR(H516*(F516/E516),"-")</f>
        <v>0</v>
      </c>
      <c r="J516" s="425">
        <f t="shared" si="329"/>
        <v>0</v>
      </c>
    </row>
    <row r="517" spans="1:10" ht="24" thickBot="1" x14ac:dyDescent="0.35">
      <c r="A517" s="277" t="s">
        <v>109</v>
      </c>
      <c r="B517" s="971"/>
      <c r="C517" s="316" t="s">
        <v>37</v>
      </c>
      <c r="D517" s="316"/>
      <c r="E517" s="504">
        <v>229.99359999999999</v>
      </c>
      <c r="F517" s="405">
        <f>IFERROR(E517*'01 Prod Physique Boites'!H512,"-")</f>
        <v>0</v>
      </c>
      <c r="G517" s="406">
        <f>IFERROR(E517*'01 Prod Physique Boites'!L512,"-")</f>
        <v>0</v>
      </c>
      <c r="H517" s="390"/>
      <c r="I517" s="426">
        <f>IFERROR(H517*(F517/E517),"-")</f>
        <v>0</v>
      </c>
      <c r="J517" s="427">
        <f t="shared" si="329"/>
        <v>0</v>
      </c>
    </row>
    <row r="518" spans="1:10" ht="24" thickBot="1" x14ac:dyDescent="0.35">
      <c r="A518" s="277" t="s">
        <v>109</v>
      </c>
      <c r="B518" s="967" t="s">
        <v>38</v>
      </c>
      <c r="C518" s="968"/>
      <c r="D518" s="969"/>
      <c r="E518" s="393"/>
      <c r="F518" s="409">
        <f t="shared" ref="F518:G518" si="330">SUM(F514:F517)</f>
        <v>0</v>
      </c>
      <c r="G518" s="410">
        <f t="shared" si="330"/>
        <v>0</v>
      </c>
      <c r="H518" s="394"/>
      <c r="I518" s="409">
        <f>SUM(I514:I517)</f>
        <v>0</v>
      </c>
      <c r="J518" s="428">
        <f>SUM(J514:J517)</f>
        <v>0</v>
      </c>
    </row>
    <row r="519" spans="1:10" ht="23.4" x14ac:dyDescent="0.3">
      <c r="A519" s="277" t="s">
        <v>109</v>
      </c>
      <c r="B519" s="970" t="s">
        <v>39</v>
      </c>
      <c r="C519" s="317" t="s">
        <v>123</v>
      </c>
      <c r="D519" s="317"/>
      <c r="E519" s="506">
        <v>195.2808</v>
      </c>
      <c r="F519" s="405">
        <f>IFERROR(E519*'01 Prod Physique Boites'!H514,"-")</f>
        <v>0</v>
      </c>
      <c r="G519" s="406">
        <f>IFERROR(E519*'01 Prod Physique Boites'!L514,"-")</f>
        <v>28120.4352</v>
      </c>
      <c r="H519" s="715">
        <v>256.7</v>
      </c>
      <c r="I519" s="422">
        <f>IFERROR(H519*(F519/E519),"-")</f>
        <v>0</v>
      </c>
      <c r="J519" s="423">
        <f t="shared" ref="J519:J520" si="331">IFERROR(H519*(G519/E519),"-")</f>
        <v>36964.799999999996</v>
      </c>
    </row>
    <row r="520" spans="1:10" ht="24" thickBot="1" x14ac:dyDescent="0.35">
      <c r="A520" s="277" t="s">
        <v>109</v>
      </c>
      <c r="B520" s="971"/>
      <c r="C520" s="289" t="s">
        <v>139</v>
      </c>
      <c r="D520" s="289"/>
      <c r="E520" s="504">
        <v>189.91890000000001</v>
      </c>
      <c r="F520" s="405">
        <f>IFERROR(E520*'01 Prod Physique Boites'!H516,"-")</f>
        <v>0</v>
      </c>
      <c r="G520" s="406">
        <f>IFERROR(E520*'01 Prod Physique Boites'!L515,"-")</f>
        <v>45580.536</v>
      </c>
      <c r="H520" s="390">
        <v>320.35000000000002</v>
      </c>
      <c r="I520" s="426">
        <f>IFERROR(H520*(F520/E520),"-")</f>
        <v>0</v>
      </c>
      <c r="J520" s="427">
        <f t="shared" si="331"/>
        <v>76884</v>
      </c>
    </row>
    <row r="521" spans="1:10" ht="24" thickBot="1" x14ac:dyDescent="0.35">
      <c r="A521" s="768" t="s">
        <v>109</v>
      </c>
      <c r="B521" s="967" t="s">
        <v>40</v>
      </c>
      <c r="C521" s="968"/>
      <c r="D521" s="969"/>
      <c r="E521" s="393"/>
      <c r="F521" s="409">
        <f>SUM(F519:F520)</f>
        <v>0</v>
      </c>
      <c r="G521" s="410">
        <f t="shared" ref="G521" si="332">SUM(G519:G520)</f>
        <v>73700.9712</v>
      </c>
      <c r="H521" s="394"/>
      <c r="I521" s="409">
        <f t="shared" ref="I521:J521" si="333">SUM(I519:I520)</f>
        <v>0</v>
      </c>
      <c r="J521" s="428">
        <f t="shared" si="333"/>
        <v>113848.79999999999</v>
      </c>
    </row>
    <row r="522" spans="1:10" ht="23.4" x14ac:dyDescent="0.3">
      <c r="A522" s="277" t="s">
        <v>109</v>
      </c>
      <c r="B522" s="970" t="s">
        <v>41</v>
      </c>
      <c r="C522" s="272" t="s">
        <v>335</v>
      </c>
      <c r="D522" s="272" t="s">
        <v>258</v>
      </c>
      <c r="E522" s="508">
        <v>37.248699999999999</v>
      </c>
      <c r="F522" s="405">
        <f>IFERROR(E522*'01 Prod Physique Boites'!H517,"-")</f>
        <v>625778.16</v>
      </c>
      <c r="G522" s="406">
        <f>IFERROR(E522*'01 Prod Physique Boites'!L517,"-")</f>
        <v>3468598.9440000001</v>
      </c>
      <c r="H522" s="384">
        <v>71.44</v>
      </c>
      <c r="I522" s="422">
        <f>IFERROR(H522*(F522/E522),"-")</f>
        <v>1200192</v>
      </c>
      <c r="J522" s="423">
        <f>IFERROR(H522*(G522/E522),"-")</f>
        <v>6652492.7999999998</v>
      </c>
    </row>
    <row r="523" spans="1:10" ht="23.4" x14ac:dyDescent="0.3">
      <c r="A523" s="277" t="s">
        <v>109</v>
      </c>
      <c r="B523" s="972"/>
      <c r="C523" s="272" t="s">
        <v>164</v>
      </c>
      <c r="D523" s="278"/>
      <c r="E523" s="508">
        <v>37.248699999999999</v>
      </c>
      <c r="F523" s="405">
        <f>IFERROR(E523*'01 Prod Physique Boites'!H519,"-")</f>
        <v>0</v>
      </c>
      <c r="G523" s="406">
        <f>IFERROR(E523*'01 Prod Physique Boites'!L518,"-")</f>
        <v>0</v>
      </c>
      <c r="H523" s="388"/>
      <c r="I523" s="424">
        <f>IFERROR(H523*(F523/E523),"-")</f>
        <v>0</v>
      </c>
      <c r="J523" s="425">
        <f t="shared" ref="J523:J525" si="334">IFERROR(H523*(G523/E523),"-")</f>
        <v>0</v>
      </c>
    </row>
    <row r="524" spans="1:10" ht="23.4" x14ac:dyDescent="0.3">
      <c r="A524" s="277" t="s">
        <v>109</v>
      </c>
      <c r="B524" s="972"/>
      <c r="C524" s="278" t="s">
        <v>383</v>
      </c>
      <c r="D524" s="272" t="s">
        <v>258</v>
      </c>
      <c r="E524" s="508">
        <v>37.248699999999999</v>
      </c>
      <c r="F524" s="405">
        <f>IFERROR(E524*'01 Prod Physique Boites'!H520,"-")</f>
        <v>0</v>
      </c>
      <c r="G524" s="406">
        <f>IFERROR(E524*'01 Prod Physique Boites'!L519,"-")</f>
        <v>0</v>
      </c>
      <c r="H524" s="388">
        <v>71.44</v>
      </c>
      <c r="I524" s="424">
        <f>IFERROR(H524*(F524/E524),"-")</f>
        <v>0</v>
      </c>
      <c r="J524" s="425">
        <f t="shared" si="334"/>
        <v>0</v>
      </c>
    </row>
    <row r="525" spans="1:10" ht="24" thickBot="1" x14ac:dyDescent="0.35">
      <c r="A525" s="277" t="s">
        <v>109</v>
      </c>
      <c r="B525" s="972"/>
      <c r="C525" s="278" t="s">
        <v>165</v>
      </c>
      <c r="D525" s="278"/>
      <c r="E525" s="509">
        <v>38.466099999999997</v>
      </c>
      <c r="F525" s="405">
        <f>IFERROR(E525*'01 Prod Physique Boites'!H521,"-")</f>
        <v>0</v>
      </c>
      <c r="G525" s="406">
        <f>IFERROR(E525*'01 Prod Physique Boites'!L520,"-")</f>
        <v>0</v>
      </c>
      <c r="H525" s="388"/>
      <c r="I525" s="424">
        <f>IFERROR(H525*(F525/E525),"-")</f>
        <v>0</v>
      </c>
      <c r="J525" s="425">
        <f t="shared" si="334"/>
        <v>0</v>
      </c>
    </row>
    <row r="526" spans="1:10" ht="24" thickBot="1" x14ac:dyDescent="0.35">
      <c r="A526" s="277" t="s">
        <v>109</v>
      </c>
      <c r="B526" s="967" t="s">
        <v>42</v>
      </c>
      <c r="C526" s="968"/>
      <c r="D526" s="969"/>
      <c r="E526" s="393"/>
      <c r="F526" s="409">
        <f>SUM(F522:F525)</f>
        <v>625778.16</v>
      </c>
      <c r="G526" s="410">
        <f>SUM(G522:G525)</f>
        <v>3468598.9440000001</v>
      </c>
      <c r="H526" s="394"/>
      <c r="I526" s="409">
        <f>SUM(I522:I525)</f>
        <v>1200192</v>
      </c>
      <c r="J526" s="409">
        <f>SUM(J522:J525)</f>
        <v>6652492.7999999998</v>
      </c>
    </row>
    <row r="527" spans="1:10" ht="23.4" x14ac:dyDescent="0.3">
      <c r="A527" s="277" t="s">
        <v>109</v>
      </c>
      <c r="B527" s="970" t="s">
        <v>43</v>
      </c>
      <c r="C527" s="272" t="s">
        <v>200</v>
      </c>
      <c r="D527" s="272" t="s">
        <v>197</v>
      </c>
      <c r="E527" s="508">
        <v>30.7499</v>
      </c>
      <c r="F527" s="405">
        <f>IFERROR(E527*'01 Prod Physique Boites'!H523,"-")</f>
        <v>0</v>
      </c>
      <c r="G527" s="406">
        <f>IFERROR(E527*'01 Prod Physique Boites'!L523,"-")</f>
        <v>0</v>
      </c>
      <c r="H527" s="384"/>
      <c r="I527" s="422">
        <f>IFERROR(H527*(F527/E527),"-")</f>
        <v>0</v>
      </c>
      <c r="J527" s="423">
        <f>IFERROR(H527*(G527/E527),"-")</f>
        <v>0</v>
      </c>
    </row>
    <row r="528" spans="1:10" ht="23.4" x14ac:dyDescent="0.3">
      <c r="A528" s="277" t="s">
        <v>109</v>
      </c>
      <c r="B528" s="972"/>
      <c r="C528" s="278" t="s">
        <v>167</v>
      </c>
      <c r="D528" s="278"/>
      <c r="E528" s="727">
        <v>25.139099999999999</v>
      </c>
      <c r="F528" s="405">
        <f>IFERROR(E528*'01 Prod Physique Boites'!H524,"-")</f>
        <v>72400.607999999993</v>
      </c>
      <c r="G528" s="406">
        <f>IFERROR(E528*'01 Prod Physique Boites'!L524,"-")</f>
        <v>1086009.1199999999</v>
      </c>
      <c r="H528" s="388">
        <v>59.96</v>
      </c>
      <c r="I528" s="424">
        <f>IFERROR(H528*(F528/E528),"-")</f>
        <v>172684.79999999999</v>
      </c>
      <c r="J528" s="425">
        <f t="shared" ref="J528:J529" si="335">IFERROR(H528*(G528/E528),"-")</f>
        <v>2590272</v>
      </c>
    </row>
    <row r="529" spans="1:10" ht="24" thickBot="1" x14ac:dyDescent="0.35">
      <c r="A529" s="277" t="s">
        <v>109</v>
      </c>
      <c r="B529" s="971"/>
      <c r="C529" s="282" t="s">
        <v>200</v>
      </c>
      <c r="D529" s="282" t="s">
        <v>199</v>
      </c>
      <c r="E529" s="505">
        <v>30.073599999999999</v>
      </c>
      <c r="F529" s="405">
        <f>IFERROR(E529*'01 Prod Physique Boites'!H525,"-")</f>
        <v>0</v>
      </c>
      <c r="G529" s="406">
        <f>IFERROR(E529*'01 Prod Physique Boites'!L525,"-")</f>
        <v>0</v>
      </c>
      <c r="H529" s="390"/>
      <c r="I529" s="426">
        <f>IFERROR(H529*(F529/E529),"-")</f>
        <v>0</v>
      </c>
      <c r="J529" s="427">
        <f t="shared" si="335"/>
        <v>0</v>
      </c>
    </row>
    <row r="530" spans="1:10" ht="24" thickBot="1" x14ac:dyDescent="0.35">
      <c r="A530" s="277" t="s">
        <v>109</v>
      </c>
      <c r="B530" s="973" t="s">
        <v>44</v>
      </c>
      <c r="C530" s="974"/>
      <c r="D530" s="975"/>
      <c r="E530" s="393"/>
      <c r="F530" s="409">
        <f t="shared" ref="F530:G530" si="336">SUM(F527:F529)</f>
        <v>72400.607999999993</v>
      </c>
      <c r="G530" s="410">
        <f t="shared" si="336"/>
        <v>1086009.1199999999</v>
      </c>
      <c r="H530" s="394"/>
      <c r="I530" s="409">
        <f t="shared" ref="I530:J530" si="337">SUM(I527:I529)</f>
        <v>172684.79999999999</v>
      </c>
      <c r="J530" s="428">
        <f t="shared" si="337"/>
        <v>2590272</v>
      </c>
    </row>
    <row r="531" spans="1:10" ht="23.4" x14ac:dyDescent="0.3">
      <c r="A531" s="277" t="s">
        <v>109</v>
      </c>
      <c r="B531" s="970" t="s">
        <v>45</v>
      </c>
      <c r="C531" s="272" t="s">
        <v>168</v>
      </c>
      <c r="D531" s="272"/>
      <c r="E531" s="508">
        <v>36.684899999999999</v>
      </c>
      <c r="F531" s="405">
        <f>IFERROR(E531*'01 Prod Physique Boites'!H527,"-")</f>
        <v>0</v>
      </c>
      <c r="G531" s="406">
        <f>IFERROR(E531*'01 Prod Physique Boites'!L527,"-")</f>
        <v>0</v>
      </c>
      <c r="H531" s="384"/>
      <c r="I531" s="385" t="s">
        <v>204</v>
      </c>
      <c r="J531" s="386" t="s">
        <v>204</v>
      </c>
    </row>
    <row r="532" spans="1:10" ht="24" thickBot="1" x14ac:dyDescent="0.35">
      <c r="A532" s="277" t="s">
        <v>109</v>
      </c>
      <c r="B532" s="971"/>
      <c r="C532" s="282" t="s">
        <v>169</v>
      </c>
      <c r="D532" s="282"/>
      <c r="E532" s="505">
        <v>37.002800000000001</v>
      </c>
      <c r="F532" s="405">
        <f>IFERROR(E532*'01 Prod Physique Boites'!H528,"-")</f>
        <v>0</v>
      </c>
      <c r="G532" s="406">
        <f>IFERROR(E532*'01 Prod Physique Boites'!L528,"-")</f>
        <v>0</v>
      </c>
      <c r="H532" s="390"/>
      <c r="I532" s="391" t="s">
        <v>204</v>
      </c>
      <c r="J532" s="392" t="s">
        <v>204</v>
      </c>
    </row>
    <row r="533" spans="1:10" ht="24" thickBot="1" x14ac:dyDescent="0.35">
      <c r="A533" s="277" t="s">
        <v>109</v>
      </c>
      <c r="B533" s="973" t="s">
        <v>46</v>
      </c>
      <c r="C533" s="974"/>
      <c r="D533" s="975"/>
      <c r="E533" s="393"/>
      <c r="F533" s="405">
        <f>IFERROR(E533*'01 Prod Physique Boites'!H529,"-")</f>
        <v>0</v>
      </c>
      <c r="G533" s="410">
        <f>IFERROR(E533*'01 Prod Physique Boites'!L529,"-")</f>
        <v>0</v>
      </c>
      <c r="H533" s="394"/>
      <c r="I533" s="409">
        <f t="shared" ref="I533:J533" si="338">SUM(I531:I532)</f>
        <v>0</v>
      </c>
      <c r="J533" s="428">
        <f t="shared" si="338"/>
        <v>0</v>
      </c>
    </row>
    <row r="534" spans="1:10" ht="24" thickBot="1" x14ac:dyDescent="0.35">
      <c r="A534" s="277" t="s">
        <v>109</v>
      </c>
      <c r="B534" s="959" t="s">
        <v>25</v>
      </c>
      <c r="C534" s="960"/>
      <c r="D534" s="961"/>
      <c r="E534" s="396"/>
      <c r="F534" s="413">
        <f>+F513+F518+F521+F526+F530+F533</f>
        <v>1960329.9360000002</v>
      </c>
      <c r="G534" s="414">
        <f>+G513+G518+G521+G526+G530+G533</f>
        <v>6363766.8912000004</v>
      </c>
      <c r="H534" s="397"/>
      <c r="I534" s="413">
        <f>+I513+I518+I521+I526+I530+I533</f>
        <v>3574579.1999999997</v>
      </c>
      <c r="J534" s="431">
        <f>+J513+J518+J521+J526+J530+J533</f>
        <v>12383954.399999999</v>
      </c>
    </row>
    <row r="535" spans="1:10" ht="24" thickBot="1" x14ac:dyDescent="0.35">
      <c r="A535" s="321" t="s">
        <v>109</v>
      </c>
      <c r="B535" s="962" t="s">
        <v>181</v>
      </c>
      <c r="C535" s="962"/>
      <c r="D535" s="963"/>
      <c r="E535" s="398"/>
      <c r="F535" s="415">
        <f t="shared" ref="F535:G535" si="339">+F534</f>
        <v>1960329.9360000002</v>
      </c>
      <c r="G535" s="416">
        <f t="shared" si="339"/>
        <v>6363766.8912000004</v>
      </c>
      <c r="H535" s="399"/>
      <c r="I535" s="415">
        <f t="shared" ref="I535" si="340">+I534</f>
        <v>3574579.1999999997</v>
      </c>
      <c r="J535" s="432">
        <f>+J534</f>
        <v>12383954.399999999</v>
      </c>
    </row>
    <row r="536" spans="1:10" ht="24.6" thickBot="1" x14ac:dyDescent="0.35">
      <c r="A536" s="322"/>
      <c r="B536" s="964" t="s">
        <v>182</v>
      </c>
      <c r="C536" s="965"/>
      <c r="D536" s="966"/>
      <c r="E536" s="404"/>
      <c r="F536" s="421">
        <f>+F480+F509+F535</f>
        <v>38693143.1752</v>
      </c>
      <c r="G536" s="421">
        <f>+G480+G509+G535</f>
        <v>43801131.987999998</v>
      </c>
      <c r="H536" s="404"/>
      <c r="I536" s="421">
        <f>+I480+I509+I535</f>
        <v>42813975.859999999</v>
      </c>
      <c r="J536" s="435">
        <f>+J480+J509+J535</f>
        <v>63134401.099999994</v>
      </c>
    </row>
    <row r="537" spans="1:10" ht="23.4" x14ac:dyDescent="0.3">
      <c r="A537" s="991" t="s">
        <v>1</v>
      </c>
      <c r="B537" s="994" t="s">
        <v>2</v>
      </c>
      <c r="C537" s="997" t="s">
        <v>3</v>
      </c>
      <c r="D537" s="997" t="s">
        <v>93</v>
      </c>
      <c r="E537" s="1021" t="s">
        <v>175</v>
      </c>
      <c r="F537" s="1022"/>
      <c r="G537" s="1022"/>
      <c r="H537" s="445"/>
      <c r="I537" s="445"/>
      <c r="J537" s="446"/>
    </row>
    <row r="538" spans="1:10" ht="23.4" x14ac:dyDescent="0.3">
      <c r="A538" s="992"/>
      <c r="B538" s="995"/>
      <c r="C538" s="998"/>
      <c r="D538" s="998"/>
      <c r="E538" s="1023" t="s">
        <v>177</v>
      </c>
      <c r="F538" s="1024"/>
      <c r="G538" s="1025"/>
      <c r="H538" s="1023" t="s">
        <v>176</v>
      </c>
      <c r="I538" s="1024"/>
      <c r="J538" s="1025"/>
    </row>
    <row r="539" spans="1:10" ht="46.8" x14ac:dyDescent="0.3">
      <c r="A539" s="993"/>
      <c r="B539" s="1019"/>
      <c r="C539" s="1020"/>
      <c r="D539" s="1020"/>
      <c r="E539" s="382" t="s">
        <v>178</v>
      </c>
      <c r="F539" s="780" t="s">
        <v>11</v>
      </c>
      <c r="G539" s="781" t="s">
        <v>12</v>
      </c>
      <c r="H539" s="1026" t="s">
        <v>178</v>
      </c>
      <c r="I539" s="1028" t="s">
        <v>144</v>
      </c>
      <c r="J539" s="1030" t="s">
        <v>12</v>
      </c>
    </row>
    <row r="540" spans="1:10" ht="24" thickBot="1" x14ac:dyDescent="0.35">
      <c r="A540" s="993"/>
      <c r="B540" s="996"/>
      <c r="C540" s="999"/>
      <c r="D540" s="999"/>
      <c r="E540" s="1032">
        <v>44538</v>
      </c>
      <c r="F540" s="1033"/>
      <c r="G540" s="1034"/>
      <c r="H540" s="1027"/>
      <c r="I540" s="1029"/>
      <c r="J540" s="1031"/>
    </row>
    <row r="541" spans="1:10" ht="23.4" x14ac:dyDescent="0.3">
      <c r="A541" s="271" t="s">
        <v>110</v>
      </c>
      <c r="B541" s="956" t="s">
        <v>16</v>
      </c>
      <c r="C541" s="272" t="s">
        <v>424</v>
      </c>
      <c r="D541" s="272" t="s">
        <v>425</v>
      </c>
      <c r="E541" s="758">
        <v>81.360699999999994</v>
      </c>
      <c r="F541" s="405">
        <f>IFERROR(E541*'01 Prod Physique Boites'!H536,"-")</f>
        <v>22292.8318</v>
      </c>
      <c r="G541" s="405">
        <f>IFERROR(E541*'01 Prod Physique Boites'!L536,"-")</f>
        <v>1614196.2879999999</v>
      </c>
      <c r="H541" s="759">
        <v>143.28</v>
      </c>
      <c r="I541" s="422">
        <f>IFERROR(H541*(F541/E541),"-")</f>
        <v>39258.720000000001</v>
      </c>
      <c r="J541" s="423">
        <f t="shared" ref="J541:J543" si="341">IFERROR(H541*(G541/E541),"-")</f>
        <v>2842675.2000000002</v>
      </c>
    </row>
    <row r="542" spans="1:10" ht="23.4" x14ac:dyDescent="0.3">
      <c r="A542" s="784"/>
      <c r="B542" s="957"/>
      <c r="C542" s="278" t="s">
        <v>188</v>
      </c>
      <c r="D542" s="278" t="s">
        <v>101</v>
      </c>
      <c r="E542" s="509">
        <v>81.360699999999994</v>
      </c>
      <c r="F542" s="405">
        <f>IFERROR(E542*'01 Prod Physique Boites'!H537,"-")</f>
        <v>1249700.352</v>
      </c>
      <c r="G542" s="405">
        <f>IFERROR(E542*'01 Prod Physique Boites'!L537,"-")</f>
        <v>3202357.1519999998</v>
      </c>
      <c r="H542" s="770">
        <v>0</v>
      </c>
      <c r="I542" s="422">
        <f>IFERROR(H542*(F542/E542),"-")</f>
        <v>0</v>
      </c>
      <c r="J542" s="423">
        <f t="shared" si="341"/>
        <v>0</v>
      </c>
    </row>
    <row r="543" spans="1:10" ht="23.4" x14ac:dyDescent="0.3">
      <c r="A543" s="277" t="s">
        <v>110</v>
      </c>
      <c r="B543" s="957"/>
      <c r="C543" s="278" t="s">
        <v>186</v>
      </c>
      <c r="D543" s="278" t="s">
        <v>184</v>
      </c>
      <c r="E543" s="509">
        <v>55.476900000000001</v>
      </c>
      <c r="F543" s="405">
        <f>IFERROR(E543*'01 Prod Physique Boites'!H538,"-")</f>
        <v>0</v>
      </c>
      <c r="G543" s="405">
        <f>IFERROR(E543*'01 Prod Physique Boites'!L538,"-")</f>
        <v>0</v>
      </c>
      <c r="H543" s="388">
        <v>0</v>
      </c>
      <c r="I543" s="422">
        <f>IFERROR(H543*(F543/E543),"-")</f>
        <v>0</v>
      </c>
      <c r="J543" s="423">
        <f t="shared" si="341"/>
        <v>0</v>
      </c>
    </row>
    <row r="544" spans="1:10" ht="24" thickBot="1" x14ac:dyDescent="0.35">
      <c r="A544" s="277" t="s">
        <v>110</v>
      </c>
      <c r="B544" s="958"/>
      <c r="C544" s="282" t="s">
        <v>282</v>
      </c>
      <c r="D544" s="282" t="s">
        <v>251</v>
      </c>
      <c r="E544" s="505">
        <v>60.703499999999998</v>
      </c>
      <c r="F544" s="405">
        <f>IFERROR(E544*'01 Prod Physique Boites'!H539,"-")</f>
        <v>0</v>
      </c>
      <c r="G544" s="405">
        <f>IFERROR(E544*'01 Prod Physique Boites'!L539,"-")</f>
        <v>0</v>
      </c>
      <c r="H544" s="390">
        <v>111.09</v>
      </c>
      <c r="I544" s="422">
        <f>IFERROR(H544*(F544/E544),"-")</f>
        <v>0</v>
      </c>
      <c r="J544" s="423">
        <f>IFERROR(H544*(G544/E544),"-")</f>
        <v>0</v>
      </c>
    </row>
    <row r="545" spans="1:15" ht="24" thickBot="1" x14ac:dyDescent="0.35">
      <c r="A545" s="277" t="s">
        <v>110</v>
      </c>
      <c r="B545" s="967" t="s">
        <v>47</v>
      </c>
      <c r="C545" s="968"/>
      <c r="D545" s="969"/>
      <c r="E545" s="393"/>
      <c r="F545" s="409">
        <f t="shared" ref="F545" si="342">SUM(F541:F544)</f>
        <v>1271993.1838</v>
      </c>
      <c r="G545" s="410">
        <f>SUM(G541:G544)</f>
        <v>4816553.4399999995</v>
      </c>
      <c r="H545" s="394"/>
      <c r="I545" s="409">
        <f t="shared" ref="I545:J545" si="343">SUM(I541:I544)</f>
        <v>39258.720000000001</v>
      </c>
      <c r="J545" s="428">
        <f t="shared" si="343"/>
        <v>2842675.2000000002</v>
      </c>
      <c r="K545" s="757"/>
      <c r="L545" s="757"/>
      <c r="M545" s="757"/>
      <c r="N545" s="757"/>
      <c r="O545" s="757"/>
    </row>
    <row r="546" spans="1:15" ht="23.4" x14ac:dyDescent="0.3">
      <c r="A546" s="277" t="s">
        <v>110</v>
      </c>
      <c r="B546" s="956" t="s">
        <v>17</v>
      </c>
      <c r="C546" s="272" t="s">
        <v>320</v>
      </c>
      <c r="D546" s="272"/>
      <c r="E546" s="508">
        <v>12.5275</v>
      </c>
      <c r="F546" s="405">
        <f>IFERROR(E546*'01 Prod Physique Boites'!H541,"-")</f>
        <v>0</v>
      </c>
      <c r="G546" s="405">
        <f>IFERROR(E546*'01 Prod Physique Boites'!L541,"-")</f>
        <v>0</v>
      </c>
      <c r="H546" s="384">
        <v>18.836400000000001</v>
      </c>
      <c r="I546" s="422">
        <f t="shared" ref="I546:I552" si="344">IFERROR(H546*(F546/E546),"-")</f>
        <v>0</v>
      </c>
      <c r="J546" s="423">
        <f t="shared" ref="J546:J551" si="345">IFERROR(H546*(G546/E546),"-")</f>
        <v>0</v>
      </c>
    </row>
    <row r="547" spans="1:15" ht="23.4" x14ac:dyDescent="0.3">
      <c r="A547" s="277" t="s">
        <v>110</v>
      </c>
      <c r="B547" s="957"/>
      <c r="C547" s="278" t="s">
        <v>382</v>
      </c>
      <c r="D547" s="278" t="s">
        <v>252</v>
      </c>
      <c r="E547" s="698">
        <v>13.002700000000001</v>
      </c>
      <c r="F547" s="405">
        <f>IFERROR(E547*'01 Prod Physique Boites'!H542,"-")</f>
        <v>1193647.8600000001</v>
      </c>
      <c r="G547" s="405">
        <f>IFERROR(E547*'01 Prod Physique Boites'!L542,"-")</f>
        <v>4456285.3440000005</v>
      </c>
      <c r="H547" s="388">
        <v>21.18</v>
      </c>
      <c r="I547" s="424">
        <f t="shared" si="344"/>
        <v>1944324</v>
      </c>
      <c r="J547" s="425">
        <f t="shared" si="345"/>
        <v>7258809.5999999996</v>
      </c>
    </row>
    <row r="548" spans="1:15" ht="23.4" x14ac:dyDescent="0.3">
      <c r="A548" s="277" t="s">
        <v>110</v>
      </c>
      <c r="B548" s="957"/>
      <c r="C548" s="278" t="s">
        <v>391</v>
      </c>
      <c r="D548" s="278" t="s">
        <v>201</v>
      </c>
      <c r="E548" s="698">
        <v>12.9049</v>
      </c>
      <c r="F548" s="405">
        <f>IFERROR(E548*'01 Prod Physique Boites'!H543,"-")</f>
        <v>0</v>
      </c>
      <c r="G548" s="405">
        <f>IFERROR(E548*'01 Prod Physique Boites'!L543,"-")</f>
        <v>5828575.5143999998</v>
      </c>
      <c r="H548" s="388">
        <v>20.5</v>
      </c>
      <c r="I548" s="424">
        <f t="shared" si="344"/>
        <v>0</v>
      </c>
      <c r="J548" s="425">
        <f t="shared" si="345"/>
        <v>9258948</v>
      </c>
    </row>
    <row r="549" spans="1:15" ht="23.4" x14ac:dyDescent="0.3">
      <c r="A549" s="277" t="s">
        <v>110</v>
      </c>
      <c r="B549" s="957"/>
      <c r="C549" s="278" t="s">
        <v>319</v>
      </c>
      <c r="D549" s="278" t="s">
        <v>202</v>
      </c>
      <c r="E549" s="509">
        <v>13.078200000000001</v>
      </c>
      <c r="F549" s="405">
        <f>IFERROR(E549*'01 Prod Physique Boites'!H544,"-")</f>
        <v>0</v>
      </c>
      <c r="G549" s="405">
        <f>IFERROR(E549*'01 Prod Physique Boites'!L544,"-")</f>
        <v>0</v>
      </c>
      <c r="H549" s="388">
        <v>20.6</v>
      </c>
      <c r="I549" s="424">
        <f t="shared" si="344"/>
        <v>0</v>
      </c>
      <c r="J549" s="425">
        <f t="shared" si="345"/>
        <v>0</v>
      </c>
    </row>
    <row r="550" spans="1:15" ht="23.4" x14ac:dyDescent="0.3">
      <c r="A550" s="277" t="s">
        <v>110</v>
      </c>
      <c r="B550" s="957"/>
      <c r="C550" s="278" t="s">
        <v>358</v>
      </c>
      <c r="D550" s="278" t="s">
        <v>352</v>
      </c>
      <c r="E550" s="509">
        <v>13.1958</v>
      </c>
      <c r="F550" s="405">
        <f>IFERROR(E550*'01 Prod Physique Boites'!H545,"-")</f>
        <v>0</v>
      </c>
      <c r="G550" s="405">
        <f>IFERROR(E550*'01 Prod Physique Boites'!L545,"-")</f>
        <v>0</v>
      </c>
      <c r="H550" s="388">
        <v>21.28</v>
      </c>
      <c r="I550" s="424">
        <f t="shared" si="344"/>
        <v>0</v>
      </c>
      <c r="J550" s="425">
        <f t="shared" si="345"/>
        <v>0</v>
      </c>
    </row>
    <row r="551" spans="1:15" ht="23.4" x14ac:dyDescent="0.3">
      <c r="A551" s="277">
        <v>1</v>
      </c>
      <c r="B551" s="957"/>
      <c r="C551" s="278" t="s">
        <v>392</v>
      </c>
      <c r="D551" s="278" t="s">
        <v>203</v>
      </c>
      <c r="E551" s="698">
        <v>12.9049</v>
      </c>
      <c r="F551" s="405">
        <f>IFERROR(E551*'01 Prod Physique Boites'!H546,"-")</f>
        <v>0</v>
      </c>
      <c r="G551" s="405">
        <f>IFERROR(E551*'01 Prod Physique Boites'!L546,"-")</f>
        <v>0</v>
      </c>
      <c r="H551" s="677">
        <v>20.5</v>
      </c>
      <c r="I551" s="424">
        <f t="shared" si="344"/>
        <v>0</v>
      </c>
      <c r="J551" s="425">
        <f t="shared" si="345"/>
        <v>0</v>
      </c>
    </row>
    <row r="552" spans="1:15" ht="24" thickBot="1" x14ac:dyDescent="0.35">
      <c r="A552" s="277" t="s">
        <v>110</v>
      </c>
      <c r="B552" s="958"/>
      <c r="C552" s="282" t="s">
        <v>379</v>
      </c>
      <c r="D552" s="282" t="s">
        <v>187</v>
      </c>
      <c r="E552" s="505">
        <v>13.6509</v>
      </c>
      <c r="F552" s="405">
        <f>IFERROR(E552*'01 Prod Physique Boites'!H547,"-")</f>
        <v>0</v>
      </c>
      <c r="G552" s="405">
        <f>IFERROR(E552*'01 Prod Physique Boites'!L547,"-")</f>
        <v>0</v>
      </c>
      <c r="H552" s="390">
        <v>21.18</v>
      </c>
      <c r="I552" s="426">
        <f t="shared" si="344"/>
        <v>0</v>
      </c>
      <c r="J552" s="427">
        <f>IFERROR(H552*(G552/E552),"-")</f>
        <v>0</v>
      </c>
    </row>
    <row r="553" spans="1:15" ht="24" thickBot="1" x14ac:dyDescent="0.35">
      <c r="A553" s="277" t="s">
        <v>110</v>
      </c>
      <c r="B553" s="967" t="s">
        <v>48</v>
      </c>
      <c r="C553" s="968"/>
      <c r="D553" s="969"/>
      <c r="E553" s="393"/>
      <c r="F553" s="409">
        <f t="shared" ref="F553" si="346">SUM(F546:F552)</f>
        <v>1193647.8600000001</v>
      </c>
      <c r="G553" s="410">
        <f>SUM(G546:G552)</f>
        <v>10284860.8584</v>
      </c>
      <c r="H553" s="394"/>
      <c r="I553" s="409">
        <f t="shared" ref="I553" si="347">SUM(I546:I552)</f>
        <v>1944324</v>
      </c>
      <c r="J553" s="428">
        <f>SUM(J546:J552)</f>
        <v>16517757.6</v>
      </c>
      <c r="K553" s="757"/>
      <c r="L553" s="757"/>
      <c r="M553" s="757"/>
      <c r="N553" s="757"/>
      <c r="O553" s="757"/>
    </row>
    <row r="554" spans="1:15" ht="23.4" x14ac:dyDescent="0.3">
      <c r="A554" s="277" t="s">
        <v>110</v>
      </c>
      <c r="B554" s="956" t="s">
        <v>18</v>
      </c>
      <c r="C554" s="272" t="s">
        <v>344</v>
      </c>
      <c r="D554" s="272" t="s">
        <v>99</v>
      </c>
      <c r="E554" s="508">
        <v>17.8202</v>
      </c>
      <c r="F554" s="405">
        <f>IFERROR(E554*'01 Prod Physique Boites'!H549,"-")</f>
        <v>0</v>
      </c>
      <c r="G554" s="406">
        <f>IFERROR(E554*'01 Prod Physique Boites'!L549,"-")</f>
        <v>0</v>
      </c>
      <c r="H554" s="384">
        <v>24.93</v>
      </c>
      <c r="I554" s="422">
        <f t="shared" ref="I554:I560" si="348">IFERROR(H554*(F554/E554),"-")</f>
        <v>0</v>
      </c>
      <c r="J554" s="423">
        <f t="shared" ref="J554:J556" si="349">IFERROR(H554*(G554/E554),"-")</f>
        <v>0</v>
      </c>
    </row>
    <row r="555" spans="1:15" ht="23.4" x14ac:dyDescent="0.3">
      <c r="A555" s="277" t="s">
        <v>110</v>
      </c>
      <c r="B555" s="957"/>
      <c r="C555" s="278" t="s">
        <v>137</v>
      </c>
      <c r="D555" s="278"/>
      <c r="E555" s="509">
        <v>17.8202</v>
      </c>
      <c r="F555" s="405">
        <f>IFERROR(E555*'01 Prod Physique Boites'!H550,"-")</f>
        <v>0</v>
      </c>
      <c r="G555" s="406">
        <f>IFERROR(E555*'01 Prod Physique Boites'!L550,"-")</f>
        <v>0</v>
      </c>
      <c r="H555" s="388">
        <v>0</v>
      </c>
      <c r="I555" s="424">
        <f t="shared" si="348"/>
        <v>0</v>
      </c>
      <c r="J555" s="425">
        <f t="shared" si="349"/>
        <v>0</v>
      </c>
    </row>
    <row r="556" spans="1:15" ht="23.4" x14ac:dyDescent="0.3">
      <c r="A556" s="277" t="s">
        <v>110</v>
      </c>
      <c r="B556" s="957"/>
      <c r="C556" s="278" t="s">
        <v>122</v>
      </c>
      <c r="D556" s="278"/>
      <c r="E556" s="509">
        <v>16.4071</v>
      </c>
      <c r="F556" s="405">
        <f>IFERROR(E556*'01 Prod Physique Boites'!H551,"-")</f>
        <v>0</v>
      </c>
      <c r="G556" s="406">
        <f>IFERROR(E556*'01 Prod Physique Boites'!L551,"-")</f>
        <v>0</v>
      </c>
      <c r="H556" s="388">
        <v>0</v>
      </c>
      <c r="I556" s="424">
        <f t="shared" si="348"/>
        <v>0</v>
      </c>
      <c r="J556" s="425">
        <f t="shared" si="349"/>
        <v>0</v>
      </c>
    </row>
    <row r="557" spans="1:15" ht="23.4" x14ac:dyDescent="0.3">
      <c r="A557" s="277" t="s">
        <v>110</v>
      </c>
      <c r="B557" s="957"/>
      <c r="C557" s="278" t="s">
        <v>129</v>
      </c>
      <c r="D557" s="278"/>
      <c r="E557" s="509">
        <v>17.8202</v>
      </c>
      <c r="F557" s="405">
        <f>IFERROR(E557*'01 Prod Physique Boites'!H552,"-")</f>
        <v>0</v>
      </c>
      <c r="G557" s="406">
        <f>IFERROR(E557*'01 Prod Physique Boites'!L552,"-")</f>
        <v>0</v>
      </c>
      <c r="H557" s="388">
        <v>0</v>
      </c>
      <c r="I557" s="424">
        <f t="shared" si="348"/>
        <v>0</v>
      </c>
      <c r="J557" s="425">
        <f>IFERROR(H557*(G557/E557),"-")</f>
        <v>0</v>
      </c>
    </row>
    <row r="558" spans="1:15" ht="23.4" x14ac:dyDescent="0.3">
      <c r="A558" s="277" t="s">
        <v>110</v>
      </c>
      <c r="B558" s="957"/>
      <c r="C558" s="278" t="s">
        <v>189</v>
      </c>
      <c r="D558" s="278" t="s">
        <v>190</v>
      </c>
      <c r="E558" s="509">
        <v>17.8202</v>
      </c>
      <c r="F558" s="405">
        <f>IFERROR(E558*'01 Prod Physique Boites'!H553,"-")</f>
        <v>0</v>
      </c>
      <c r="G558" s="406">
        <f>IFERROR(E558*'01 Prod Physique Boites'!L553,"-")</f>
        <v>0</v>
      </c>
      <c r="H558" s="388">
        <v>0</v>
      </c>
      <c r="I558" s="424">
        <f t="shared" si="348"/>
        <v>0</v>
      </c>
      <c r="J558" s="425">
        <f t="shared" ref="J558:J560" si="350">IFERROR(H558*(G558/E558),"-")</f>
        <v>0</v>
      </c>
    </row>
    <row r="559" spans="1:15" ht="23.4" x14ac:dyDescent="0.3">
      <c r="A559" s="277" t="s">
        <v>110</v>
      </c>
      <c r="B559" s="957"/>
      <c r="C559" s="278" t="s">
        <v>192</v>
      </c>
      <c r="D559" s="278" t="s">
        <v>191</v>
      </c>
      <c r="E559" s="509">
        <v>16.7288</v>
      </c>
      <c r="F559" s="405">
        <f>IFERROR(E559*'01 Prod Physique Boites'!H554,"-")</f>
        <v>0</v>
      </c>
      <c r="G559" s="406">
        <f>IFERROR(E559*'01 Prod Physique Boites'!L554,"-")</f>
        <v>0</v>
      </c>
      <c r="H559" s="388">
        <v>0</v>
      </c>
      <c r="I559" s="424">
        <f t="shared" si="348"/>
        <v>0</v>
      </c>
      <c r="J559" s="425">
        <f t="shared" si="350"/>
        <v>0</v>
      </c>
    </row>
    <row r="560" spans="1:15" ht="24" thickBot="1" x14ac:dyDescent="0.35">
      <c r="A560" s="277" t="s">
        <v>110</v>
      </c>
      <c r="B560" s="958"/>
      <c r="C560" s="289" t="s">
        <v>193</v>
      </c>
      <c r="D560" s="289" t="s">
        <v>114</v>
      </c>
      <c r="E560" s="505">
        <v>17.8202</v>
      </c>
      <c r="F560" s="405">
        <f>IFERROR(E560*'01 Prod Physique Boites'!H555,"-")</f>
        <v>0</v>
      </c>
      <c r="G560" s="406">
        <f>IFERROR(E560*'01 Prod Physique Boites'!L555,"-")</f>
        <v>0</v>
      </c>
      <c r="H560" s="388">
        <v>0</v>
      </c>
      <c r="I560" s="426">
        <f t="shared" si="348"/>
        <v>0</v>
      </c>
      <c r="J560" s="427">
        <f t="shared" si="350"/>
        <v>0</v>
      </c>
    </row>
    <row r="561" spans="1:10" ht="24" thickBot="1" x14ac:dyDescent="0.35">
      <c r="A561" s="277" t="s">
        <v>110</v>
      </c>
      <c r="B561" s="967" t="s">
        <v>29</v>
      </c>
      <c r="C561" s="968"/>
      <c r="D561" s="969"/>
      <c r="E561" s="660"/>
      <c r="F561" s="661">
        <f t="shared" ref="F561:G561" si="351">SUM(F554:F560)</f>
        <v>0</v>
      </c>
      <c r="G561" s="410">
        <f t="shared" si="351"/>
        <v>0</v>
      </c>
      <c r="H561" s="394"/>
      <c r="I561" s="409">
        <f t="shared" ref="I561:J561" si="352">SUM(I554:I560)</f>
        <v>0</v>
      </c>
      <c r="J561" s="428">
        <f t="shared" si="352"/>
        <v>0</v>
      </c>
    </row>
    <row r="562" spans="1:10" ht="24" thickBot="1" x14ac:dyDescent="0.35">
      <c r="A562" s="277"/>
      <c r="B562" s="985" t="s">
        <v>19</v>
      </c>
      <c r="C562" s="662" t="s">
        <v>255</v>
      </c>
      <c r="D562" s="668" t="s">
        <v>190</v>
      </c>
      <c r="E562" s="669">
        <v>12.2659</v>
      </c>
      <c r="F562" s="670">
        <f>IFERROR(E562*'01 Prod Physique Boites'!H557,"-")</f>
        <v>0</v>
      </c>
      <c r="G562" s="671">
        <f>IFERROR(E562*'01 Prod Physique Boites'!L557,"-")</f>
        <v>0</v>
      </c>
      <c r="H562" s="665">
        <v>14.79</v>
      </c>
      <c r="I562" s="650">
        <f t="shared" ref="I562:I564" si="353">IFERROR(H562*(F562/E562),"-")</f>
        <v>0</v>
      </c>
      <c r="J562" s="650">
        <f>IFERROR(H562*(G562/E562),"-")</f>
        <v>0</v>
      </c>
    </row>
    <row r="563" spans="1:10" ht="24" thickBot="1" x14ac:dyDescent="0.35">
      <c r="A563" s="277"/>
      <c r="B563" s="986"/>
      <c r="C563" s="663" t="s">
        <v>399</v>
      </c>
      <c r="D563" s="672"/>
      <c r="E563" s="654">
        <v>12.2659</v>
      </c>
      <c r="F563" s="670">
        <f>IFERROR(E563*'01 Prod Physique Boites'!H558,"-")</f>
        <v>0</v>
      </c>
      <c r="G563" s="645">
        <f>IFERROR(E563*'01 Prod Physique Boites'!L558,"-")</f>
        <v>103622.3232</v>
      </c>
      <c r="H563" s="666">
        <v>14.55</v>
      </c>
      <c r="I563" s="655">
        <f t="shared" si="353"/>
        <v>0</v>
      </c>
      <c r="J563" s="655">
        <f>IFERROR(H563*(G563/E563),"-")</f>
        <v>122918.40000000001</v>
      </c>
    </row>
    <row r="564" spans="1:10" ht="24" thickBot="1" x14ac:dyDescent="0.35">
      <c r="A564" s="783" t="s">
        <v>110</v>
      </c>
      <c r="B564" s="987"/>
      <c r="C564" s="664" t="s">
        <v>380</v>
      </c>
      <c r="D564" s="673"/>
      <c r="E564" s="674">
        <v>0</v>
      </c>
      <c r="F564" s="670">
        <f>IFERROR(E564*'01 Prod Physique Boites'!H559,"-")</f>
        <v>0</v>
      </c>
      <c r="G564" s="676">
        <f>IFERROR(E564*'01 Prod Physique Boites'!L559,"-")</f>
        <v>0</v>
      </c>
      <c r="H564" s="667">
        <v>0</v>
      </c>
      <c r="I564" s="429" t="str">
        <f t="shared" si="353"/>
        <v>-</v>
      </c>
      <c r="J564" s="430" t="str">
        <f t="shared" ref="J564" si="354">IFERROR(I564*(G564/F564),"-")</f>
        <v>-</v>
      </c>
    </row>
    <row r="565" spans="1:10" ht="24" thickBot="1" x14ac:dyDescent="0.35">
      <c r="A565" s="277" t="s">
        <v>110</v>
      </c>
      <c r="B565" s="967" t="s">
        <v>49</v>
      </c>
      <c r="C565" s="968"/>
      <c r="D565" s="969"/>
      <c r="E565" s="393"/>
      <c r="F565" s="409">
        <f>SUM(F562:F564)</f>
        <v>0</v>
      </c>
      <c r="G565" s="409">
        <f>SUM(G562:G564)</f>
        <v>103622.3232</v>
      </c>
      <c r="H565" s="394"/>
      <c r="I565" s="409">
        <f t="shared" ref="I565" si="355">SUM(I564)</f>
        <v>0</v>
      </c>
      <c r="J565" s="428">
        <f>SUM(J562:J564)</f>
        <v>122918.40000000001</v>
      </c>
    </row>
    <row r="566" spans="1:10" ht="23.4" x14ac:dyDescent="0.3">
      <c r="A566" s="277" t="s">
        <v>110</v>
      </c>
      <c r="B566" s="956" t="s">
        <v>20</v>
      </c>
      <c r="C566" s="294" t="s">
        <v>351</v>
      </c>
      <c r="D566" s="294" t="s">
        <v>313</v>
      </c>
      <c r="E566" s="508">
        <v>26.032900000000001</v>
      </c>
      <c r="F566" s="405">
        <f>IFERROR(E566*'01 Prod Physique Boites'!H561,"-")</f>
        <v>0</v>
      </c>
      <c r="G566" s="406">
        <f>IFERROR(E566*'01 Prod Physique Boites'!L561,"-")</f>
        <v>0</v>
      </c>
      <c r="H566" s="384">
        <v>36.44</v>
      </c>
      <c r="I566" s="422">
        <f>IFERROR(H566*(F566/E566),"-")</f>
        <v>0</v>
      </c>
      <c r="J566" s="423">
        <f t="shared" ref="J566:J568" si="356">IFERROR(H566*(G566/E566),"-")</f>
        <v>0</v>
      </c>
    </row>
    <row r="567" spans="1:10" ht="23.4" x14ac:dyDescent="0.3">
      <c r="A567" s="277" t="s">
        <v>110</v>
      </c>
      <c r="B567" s="957"/>
      <c r="C567" s="295" t="s">
        <v>121</v>
      </c>
      <c r="D567" s="295"/>
      <c r="E567" s="387">
        <v>24.2607</v>
      </c>
      <c r="F567" s="405">
        <f>IFERROR(E567*'01 Prod Physique Boites'!H562,"-")</f>
        <v>0</v>
      </c>
      <c r="G567" s="406">
        <f>IFERROR(E567*'01 Prod Physique Boites'!L562,"-")</f>
        <v>0</v>
      </c>
      <c r="H567" s="388">
        <v>37.369999999999997</v>
      </c>
      <c r="I567" s="424">
        <f>IFERROR(H567*(F567/E567),"-")</f>
        <v>0</v>
      </c>
      <c r="J567" s="425">
        <f t="shared" si="356"/>
        <v>0</v>
      </c>
    </row>
    <row r="568" spans="1:10" ht="24" thickBot="1" x14ac:dyDescent="0.35">
      <c r="A568" s="277" t="s">
        <v>110</v>
      </c>
      <c r="B568" s="958"/>
      <c r="C568" s="296" t="s">
        <v>127</v>
      </c>
      <c r="D568" s="296"/>
      <c r="E568" s="389">
        <v>26.035799999999998</v>
      </c>
      <c r="F568" s="405">
        <f>IFERROR(E568*'01 Prod Physique Boites'!H563,"-")</f>
        <v>0</v>
      </c>
      <c r="G568" s="406">
        <f>IFERROR(E568*'01 Prod Physique Boites'!L563,"-")</f>
        <v>0</v>
      </c>
      <c r="H568" s="390">
        <v>37.11</v>
      </c>
      <c r="I568" s="426">
        <f>IFERROR(H568*(F568/E568),"-")</f>
        <v>0</v>
      </c>
      <c r="J568" s="427">
        <f t="shared" si="356"/>
        <v>0</v>
      </c>
    </row>
    <row r="569" spans="1:10" ht="24" thickBot="1" x14ac:dyDescent="0.35">
      <c r="A569" s="277" t="s">
        <v>110</v>
      </c>
      <c r="B569" s="968" t="s">
        <v>50</v>
      </c>
      <c r="C569" s="968"/>
      <c r="D569" s="989"/>
      <c r="E569" s="393"/>
      <c r="F569" s="409">
        <f t="shared" ref="F569:G569" si="357">SUM(F566:F568)</f>
        <v>0</v>
      </c>
      <c r="G569" s="410">
        <f t="shared" si="357"/>
        <v>0</v>
      </c>
      <c r="H569" s="394"/>
      <c r="I569" s="409">
        <f t="shared" ref="I569:J569" si="358">SUM(I566:I568)</f>
        <v>0</v>
      </c>
      <c r="J569" s="428">
        <f t="shared" si="358"/>
        <v>0</v>
      </c>
    </row>
    <row r="570" spans="1:10" ht="24" thickBot="1" x14ac:dyDescent="0.35">
      <c r="A570" s="277" t="s">
        <v>110</v>
      </c>
      <c r="B570" s="981" t="s">
        <v>21</v>
      </c>
      <c r="C570" s="982"/>
      <c r="D570" s="983"/>
      <c r="E570" s="396"/>
      <c r="F570" s="413">
        <f>+F545+F553+F561+F565+F569</f>
        <v>2465641.0438000001</v>
      </c>
      <c r="G570" s="414">
        <f>+G545+G553+G561+G565+G569</f>
        <v>15205036.6216</v>
      </c>
      <c r="H570" s="397"/>
      <c r="I570" s="413">
        <f>+I545+I553+I561+I565+I569</f>
        <v>1983582.72</v>
      </c>
      <c r="J570" s="431">
        <f>+J545+J553+J561+J565+J569</f>
        <v>19483351.199999999</v>
      </c>
    </row>
    <row r="571" spans="1:10" ht="23.4" x14ac:dyDescent="0.3">
      <c r="A571" s="277" t="s">
        <v>110</v>
      </c>
      <c r="B571" s="956" t="s">
        <v>22</v>
      </c>
      <c r="C571" s="272" t="s">
        <v>132</v>
      </c>
      <c r="D571" s="272"/>
      <c r="E571" s="383">
        <v>22.820599999999999</v>
      </c>
      <c r="F571" s="405">
        <f>IFERROR(E571*'01 Prod Physique Boites'!H566,"-")</f>
        <v>0</v>
      </c>
      <c r="G571" s="406">
        <f>IFERROR(E571*'01 Prod Physique Boites'!L566,"-")</f>
        <v>0</v>
      </c>
      <c r="H571" s="384">
        <v>27.5</v>
      </c>
      <c r="I571" s="422">
        <f>IFERROR(H571*(F571/E571),"-")</f>
        <v>0</v>
      </c>
      <c r="J571" s="423">
        <f t="shared" ref="J571:J574" si="359">IFERROR(H571*(G571/E571),"-")</f>
        <v>0</v>
      </c>
    </row>
    <row r="572" spans="1:10" ht="23.4" x14ac:dyDescent="0.3">
      <c r="A572" s="277" t="s">
        <v>110</v>
      </c>
      <c r="B572" s="957"/>
      <c r="C572" s="298" t="s">
        <v>283</v>
      </c>
      <c r="D572" s="298" t="s">
        <v>194</v>
      </c>
      <c r="E572" s="387">
        <v>23.570699999999999</v>
      </c>
      <c r="F572" s="405">
        <f>IFERROR(E572*'01 Prod Physique Boites'!H567,"-")</f>
        <v>0</v>
      </c>
      <c r="G572" s="406">
        <f>IFERROR(E572*'01 Prod Physique Boites'!L567,"-")</f>
        <v>0</v>
      </c>
      <c r="H572" s="388">
        <v>27.5</v>
      </c>
      <c r="I572" s="424">
        <f>IFERROR(H572*(F572/E572),"-")</f>
        <v>0</v>
      </c>
      <c r="J572" s="425">
        <f t="shared" si="359"/>
        <v>0</v>
      </c>
    </row>
    <row r="573" spans="1:10" ht="23.4" x14ac:dyDescent="0.3">
      <c r="A573" s="277" t="s">
        <v>110</v>
      </c>
      <c r="B573" s="957"/>
      <c r="C573" s="298" t="s">
        <v>405</v>
      </c>
      <c r="D573" s="298" t="s">
        <v>194</v>
      </c>
      <c r="E573" s="387">
        <v>22.820599999999999</v>
      </c>
      <c r="F573" s="405">
        <f>IFERROR(E573*'01 Prod Physique Boites'!H568,"-")</f>
        <v>0</v>
      </c>
      <c r="G573" s="406">
        <f>IFERROR(E573*'01 Prod Physique Boites'!L568,"-")</f>
        <v>7500674.8079999993</v>
      </c>
      <c r="H573" s="388">
        <v>27.5</v>
      </c>
      <c r="I573" s="424">
        <f>IFERROR(H573*(F573/E573),"-")</f>
        <v>0</v>
      </c>
      <c r="J573" s="425">
        <f t="shared" si="359"/>
        <v>9038700</v>
      </c>
    </row>
    <row r="574" spans="1:10" ht="24" thickBot="1" x14ac:dyDescent="0.35">
      <c r="A574" s="277" t="s">
        <v>110</v>
      </c>
      <c r="B574" s="958"/>
      <c r="C574" s="282" t="s">
        <v>195</v>
      </c>
      <c r="D574" s="282" t="s">
        <v>100</v>
      </c>
      <c r="E574" s="389">
        <v>23.5685</v>
      </c>
      <c r="F574" s="405">
        <f>IFERROR(E574*'01 Prod Physique Boites'!H569,"-")</f>
        <v>0</v>
      </c>
      <c r="G574" s="406">
        <f>IFERROR(E574*'01 Prod Physique Boites'!L569,"-")</f>
        <v>0</v>
      </c>
      <c r="H574" s="390">
        <v>24</v>
      </c>
      <c r="I574" s="426">
        <f>IFERROR(H574*(F574/E574),"-")</f>
        <v>0</v>
      </c>
      <c r="J574" s="427">
        <f t="shared" si="359"/>
        <v>0</v>
      </c>
    </row>
    <row r="575" spans="1:10" ht="24" thickBot="1" x14ac:dyDescent="0.35">
      <c r="A575" s="277" t="s">
        <v>110</v>
      </c>
      <c r="B575" s="967" t="s">
        <v>51</v>
      </c>
      <c r="C575" s="968"/>
      <c r="D575" s="969"/>
      <c r="E575" s="393"/>
      <c r="F575" s="409">
        <f t="shared" ref="F575:G575" si="360">SUM(F571:F574)</f>
        <v>0</v>
      </c>
      <c r="G575" s="410">
        <f t="shared" si="360"/>
        <v>7500674.8079999993</v>
      </c>
      <c r="H575" s="394"/>
      <c r="I575" s="409">
        <f t="shared" ref="I575:J575" si="361">SUM(I571:I574)</f>
        <v>0</v>
      </c>
      <c r="J575" s="428">
        <f t="shared" si="361"/>
        <v>9038700</v>
      </c>
    </row>
    <row r="576" spans="1:10" ht="23.4" x14ac:dyDescent="0.3">
      <c r="A576" s="277" t="s">
        <v>110</v>
      </c>
      <c r="B576" s="956" t="s">
        <v>23</v>
      </c>
      <c r="C576" s="299" t="s">
        <v>337</v>
      </c>
      <c r="D576" s="299" t="s">
        <v>258</v>
      </c>
      <c r="E576" s="383">
        <v>101.4935</v>
      </c>
      <c r="F576" s="405">
        <f>IFERROR(E576*'01 Prod Physique Boites'!H571,"-")</f>
        <v>0</v>
      </c>
      <c r="G576" s="406">
        <f>IFERROR(E576*'01 Prod Physique Boites'!L571,"-")</f>
        <v>0</v>
      </c>
      <c r="H576" s="388">
        <v>160.44999999999999</v>
      </c>
      <c r="I576" s="422">
        <f t="shared" ref="I576:I583" si="362">IFERROR(H576*(F576/E576),"-")</f>
        <v>0</v>
      </c>
      <c r="J576" s="423">
        <f t="shared" ref="J576:J583" si="363">IFERROR(H576*(G576/E576),"-")</f>
        <v>0</v>
      </c>
    </row>
    <row r="577" spans="1:10" ht="23.4" x14ac:dyDescent="0.3">
      <c r="A577" s="277" t="s">
        <v>110</v>
      </c>
      <c r="B577" s="957"/>
      <c r="C577" s="278" t="s">
        <v>24</v>
      </c>
      <c r="D577" s="278" t="s">
        <v>258</v>
      </c>
      <c r="E577" s="387">
        <v>101.4935</v>
      </c>
      <c r="F577" s="405">
        <f>IFERROR(E577*'01 Prod Physique Boites'!H572,"-")</f>
        <v>0</v>
      </c>
      <c r="G577" s="406">
        <f>IFERROR(E577*'01 Prod Physique Boites'!L572,"-")</f>
        <v>0</v>
      </c>
      <c r="H577" s="388">
        <v>160.44999999999999</v>
      </c>
      <c r="I577" s="424">
        <f t="shared" si="362"/>
        <v>0</v>
      </c>
      <c r="J577" s="425">
        <f t="shared" si="363"/>
        <v>0</v>
      </c>
    </row>
    <row r="578" spans="1:10" ht="23.4" x14ac:dyDescent="0.3">
      <c r="A578" s="277" t="s">
        <v>110</v>
      </c>
      <c r="B578" s="957"/>
      <c r="C578" s="278" t="s">
        <v>256</v>
      </c>
      <c r="D578" s="278" t="s">
        <v>258</v>
      </c>
      <c r="E578" s="387">
        <v>101.4935</v>
      </c>
      <c r="F578" s="405">
        <f>IFERROR(E578*'01 Prod Physique Boites'!H573,"-")</f>
        <v>0</v>
      </c>
      <c r="G578" s="406">
        <f>IFERROR(E578*'01 Prod Physique Boites'!L573,"-")</f>
        <v>0</v>
      </c>
      <c r="H578" s="388">
        <v>160.44999999999999</v>
      </c>
      <c r="I578" s="424">
        <f t="shared" si="362"/>
        <v>0</v>
      </c>
      <c r="J578" s="425">
        <f t="shared" si="363"/>
        <v>0</v>
      </c>
    </row>
    <row r="579" spans="1:10" ht="23.4" x14ac:dyDescent="0.3">
      <c r="A579" s="277" t="s">
        <v>110</v>
      </c>
      <c r="B579" s="957"/>
      <c r="C579" s="278" t="s">
        <v>257</v>
      </c>
      <c r="D579" s="278" t="s">
        <v>258</v>
      </c>
      <c r="E579" s="387">
        <v>101.4935</v>
      </c>
      <c r="F579" s="405">
        <f>IFERROR(E579*'01 Prod Physique Boites'!H574,"-")</f>
        <v>0</v>
      </c>
      <c r="G579" s="406">
        <f>IFERROR(E579*'01 Prod Physique Boites'!L574,"-")</f>
        <v>0</v>
      </c>
      <c r="H579" s="388">
        <v>160.44999999999999</v>
      </c>
      <c r="I579" s="424">
        <f t="shared" si="362"/>
        <v>0</v>
      </c>
      <c r="J579" s="425">
        <f t="shared" si="363"/>
        <v>0</v>
      </c>
    </row>
    <row r="580" spans="1:10" ht="23.4" x14ac:dyDescent="0.3">
      <c r="A580" s="277" t="s">
        <v>110</v>
      </c>
      <c r="B580" s="957"/>
      <c r="C580" s="298" t="s">
        <v>259</v>
      </c>
      <c r="D580" s="278" t="s">
        <v>258</v>
      </c>
      <c r="E580" s="387">
        <v>101.4935</v>
      </c>
      <c r="F580" s="405">
        <f>IFERROR(E580*'01 Prod Physique Boites'!H575,"-")</f>
        <v>0</v>
      </c>
      <c r="G580" s="406">
        <f>IFERROR(E580*'01 Prod Physique Boites'!L575,"-")</f>
        <v>0</v>
      </c>
      <c r="H580" s="388">
        <v>160.44999999999999</v>
      </c>
      <c r="I580" s="424">
        <f t="shared" si="362"/>
        <v>0</v>
      </c>
      <c r="J580" s="425">
        <f t="shared" si="363"/>
        <v>0</v>
      </c>
    </row>
    <row r="581" spans="1:10" ht="23.4" x14ac:dyDescent="0.3">
      <c r="A581" s="277" t="s">
        <v>110</v>
      </c>
      <c r="B581" s="957"/>
      <c r="C581" s="298" t="s">
        <v>260</v>
      </c>
      <c r="D581" s="278" t="s">
        <v>258</v>
      </c>
      <c r="E581" s="387">
        <v>101.4935</v>
      </c>
      <c r="F581" s="405">
        <f>IFERROR(E581*'01 Prod Physique Boites'!H576,"-")</f>
        <v>0</v>
      </c>
      <c r="G581" s="406">
        <f>IFERROR(E581*'01 Prod Physique Boites'!L576,"-")</f>
        <v>0</v>
      </c>
      <c r="H581" s="388">
        <v>160.44999999999999</v>
      </c>
      <c r="I581" s="424">
        <f t="shared" si="362"/>
        <v>0</v>
      </c>
      <c r="J581" s="425">
        <f t="shared" si="363"/>
        <v>0</v>
      </c>
    </row>
    <row r="582" spans="1:10" ht="23.4" x14ac:dyDescent="0.3">
      <c r="A582" s="277" t="s">
        <v>110</v>
      </c>
      <c r="B582" s="957"/>
      <c r="C582" s="298" t="s">
        <v>261</v>
      </c>
      <c r="D582" s="278" t="s">
        <v>263</v>
      </c>
      <c r="E582" s="387">
        <v>101.4935</v>
      </c>
      <c r="F582" s="405">
        <f>IFERROR(E582*'01 Prod Physique Boites'!H577,"-")</f>
        <v>430332.44</v>
      </c>
      <c r="G582" s="406">
        <f>IFERROR(E582*'01 Prod Physique Boites'!L577,"-")</f>
        <v>2384082.3149999999</v>
      </c>
      <c r="H582" s="388">
        <v>160.44999999999999</v>
      </c>
      <c r="I582" s="424">
        <f t="shared" si="362"/>
        <v>680308</v>
      </c>
      <c r="J582" s="425">
        <f t="shared" si="363"/>
        <v>3768970.4999999995</v>
      </c>
    </row>
    <row r="583" spans="1:10" ht="24" thickBot="1" x14ac:dyDescent="0.35">
      <c r="A583" s="277" t="s">
        <v>110</v>
      </c>
      <c r="B583" s="958"/>
      <c r="C583" s="298" t="s">
        <v>262</v>
      </c>
      <c r="D583" s="278" t="s">
        <v>258</v>
      </c>
      <c r="E583" s="389">
        <v>101.4935</v>
      </c>
      <c r="F583" s="405">
        <f>IFERROR(E583*'01 Prod Physique Boites'!H578,"-")</f>
        <v>1192548.625</v>
      </c>
      <c r="G583" s="406">
        <f>IFERROR(E583*'01 Prod Physique Boites'!L578,"-")</f>
        <v>1192548.625</v>
      </c>
      <c r="H583" s="388">
        <v>160.44999999999999</v>
      </c>
      <c r="I583" s="426">
        <f t="shared" si="362"/>
        <v>1885287.4999999998</v>
      </c>
      <c r="J583" s="427">
        <f t="shared" si="363"/>
        <v>1885287.4999999998</v>
      </c>
    </row>
    <row r="584" spans="1:10" ht="24" thickBot="1" x14ac:dyDescent="0.35">
      <c r="A584" s="277" t="s">
        <v>110</v>
      </c>
      <c r="B584" s="967" t="s">
        <v>52</v>
      </c>
      <c r="C584" s="968"/>
      <c r="D584" s="969"/>
      <c r="E584" s="393"/>
      <c r="F584" s="409">
        <f t="shared" ref="F584" si="364">SUM(F576:F583)</f>
        <v>1622881.0649999999</v>
      </c>
      <c r="G584" s="410">
        <f>SUM(G576:G583)</f>
        <v>3576630.94</v>
      </c>
      <c r="H584" s="394"/>
      <c r="I584" s="409">
        <f t="shared" ref="I584" si="365">SUM(I576:I583)</f>
        <v>2565595.5</v>
      </c>
      <c r="J584" s="428">
        <f>SUM(J576:J583)</f>
        <v>5654257.9999999991</v>
      </c>
    </row>
    <row r="585" spans="1:10" ht="24" thickBot="1" x14ac:dyDescent="0.35">
      <c r="A585" s="277" t="s">
        <v>110</v>
      </c>
      <c r="B585" s="981" t="s">
        <v>25</v>
      </c>
      <c r="C585" s="982"/>
      <c r="D585" s="983"/>
      <c r="E585" s="396"/>
      <c r="F585" s="413">
        <f t="shared" ref="F585" si="366">+F575+F584</f>
        <v>1622881.0649999999</v>
      </c>
      <c r="G585" s="414">
        <f>+G575+G584</f>
        <v>11077305.748</v>
      </c>
      <c r="H585" s="397"/>
      <c r="I585" s="413">
        <f t="shared" ref="I585:J585" si="367">+I575+I584</f>
        <v>2565595.5</v>
      </c>
      <c r="J585" s="431">
        <f t="shared" si="367"/>
        <v>14692958</v>
      </c>
    </row>
    <row r="586" spans="1:10" ht="24" thickBot="1" x14ac:dyDescent="0.35">
      <c r="A586" s="277" t="s">
        <v>110</v>
      </c>
      <c r="B586" s="984" t="s">
        <v>180</v>
      </c>
      <c r="C586" s="962"/>
      <c r="D586" s="963"/>
      <c r="E586" s="398"/>
      <c r="F586" s="415">
        <f t="shared" ref="F586" si="368">+F570+F585</f>
        <v>4088522.1088</v>
      </c>
      <c r="G586" s="416">
        <f>+G570+G585</f>
        <v>26282342.369599998</v>
      </c>
      <c r="H586" s="399"/>
      <c r="I586" s="415">
        <f t="shared" ref="I586:J586" si="369">+I570+I585</f>
        <v>4549178.22</v>
      </c>
      <c r="J586" s="432">
        <f t="shared" si="369"/>
        <v>34176309.200000003</v>
      </c>
    </row>
    <row r="587" spans="1:10" ht="23.4" x14ac:dyDescent="0.3">
      <c r="A587" s="271" t="s">
        <v>108</v>
      </c>
      <c r="B587" s="977" t="s">
        <v>26</v>
      </c>
      <c r="C587" s="300" t="s">
        <v>323</v>
      </c>
      <c r="D587" s="302" t="s">
        <v>190</v>
      </c>
      <c r="E587" s="508">
        <v>13.1272</v>
      </c>
      <c r="F587" s="405">
        <f>IFERROR(E587*'01 Prod Physique Boites'!H582,"-")</f>
        <v>0</v>
      </c>
      <c r="G587" s="406">
        <f>IFERROR(E587*'01 Prod Physique Boites'!L582,"-")</f>
        <v>0</v>
      </c>
      <c r="H587" s="384">
        <v>20.76</v>
      </c>
      <c r="I587" s="422">
        <f t="shared" ref="I587:I595" si="370">IFERROR(H587*(F587/E587),"-")</f>
        <v>0</v>
      </c>
      <c r="J587" s="644">
        <f t="shared" ref="J587:J595" si="371">IFERROR(H587*(G587/E587),"-")</f>
        <v>0</v>
      </c>
    </row>
    <row r="588" spans="1:10" ht="23.4" x14ac:dyDescent="0.3">
      <c r="A588" s="277" t="s">
        <v>108</v>
      </c>
      <c r="B588" s="977"/>
      <c r="C588" s="301" t="s">
        <v>196</v>
      </c>
      <c r="D588" s="301" t="s">
        <v>114</v>
      </c>
      <c r="E588" s="509">
        <v>14.608000000000001</v>
      </c>
      <c r="F588" s="405">
        <f>IFERROR(E588*'01 Prod Physique Boites'!H583,"-")</f>
        <v>0</v>
      </c>
      <c r="G588" s="406">
        <f>IFERROR(E588*'01 Prod Physique Boites'!L583,"-")</f>
        <v>0</v>
      </c>
      <c r="H588" s="388">
        <v>24.93</v>
      </c>
      <c r="I588" s="424">
        <f t="shared" si="370"/>
        <v>0</v>
      </c>
      <c r="J588" s="645">
        <f t="shared" si="371"/>
        <v>0</v>
      </c>
    </row>
    <row r="589" spans="1:10" ht="23.4" x14ac:dyDescent="0.3">
      <c r="A589" s="277" t="s">
        <v>108</v>
      </c>
      <c r="B589" s="977"/>
      <c r="C589" s="302" t="s">
        <v>27</v>
      </c>
      <c r="D589" s="302" t="s">
        <v>370</v>
      </c>
      <c r="E589" s="505">
        <v>17.8202</v>
      </c>
      <c r="F589" s="405">
        <f>IFERROR(E589*'01 Prod Physique Boites'!H584,"-")</f>
        <v>0</v>
      </c>
      <c r="G589" s="406">
        <f>IFERROR(E589*'01 Prod Physique Boites'!L584,"-")</f>
        <v>141777.51120000001</v>
      </c>
      <c r="H589" s="388">
        <v>21.22</v>
      </c>
      <c r="I589" s="424">
        <f t="shared" si="370"/>
        <v>0</v>
      </c>
      <c r="J589" s="645">
        <f t="shared" si="371"/>
        <v>168826.32</v>
      </c>
    </row>
    <row r="590" spans="1:10" ht="23.4" x14ac:dyDescent="0.3">
      <c r="A590" s="277" t="s">
        <v>108</v>
      </c>
      <c r="B590" s="977"/>
      <c r="C590" s="302" t="s">
        <v>27</v>
      </c>
      <c r="D590" s="302" t="s">
        <v>254</v>
      </c>
      <c r="E590" s="505">
        <v>17.8202</v>
      </c>
      <c r="F590" s="405">
        <f>IFERROR(E590*'01 Prod Physique Boites'!H585,"-")</f>
        <v>0</v>
      </c>
      <c r="G590" s="406">
        <f>IFERROR(E590*'01 Prod Physique Boites'!L585,"-")</f>
        <v>283555.02240000002</v>
      </c>
      <c r="H590" s="388">
        <v>24.93</v>
      </c>
      <c r="I590" s="424">
        <f t="shared" si="370"/>
        <v>0</v>
      </c>
      <c r="J590" s="645">
        <f t="shared" si="371"/>
        <v>396686.16000000003</v>
      </c>
    </row>
    <row r="591" spans="1:10" ht="23.4" x14ac:dyDescent="0.3">
      <c r="A591" s="277" t="s">
        <v>108</v>
      </c>
      <c r="B591" s="977"/>
      <c r="C591" s="302" t="s">
        <v>27</v>
      </c>
      <c r="D591" s="302" t="s">
        <v>302</v>
      </c>
      <c r="E591" s="505">
        <v>17.8202</v>
      </c>
      <c r="F591" s="405">
        <f>IFERROR(E591*'01 Prod Physique Boites'!H586,"-")</f>
        <v>0</v>
      </c>
      <c r="G591" s="406">
        <f>IFERROR(E591*'01 Prod Physique Boites'!L586,"-")</f>
        <v>0</v>
      </c>
      <c r="H591" s="388">
        <v>24.93</v>
      </c>
      <c r="I591" s="424">
        <f t="shared" si="370"/>
        <v>0</v>
      </c>
      <c r="J591" s="645">
        <f t="shared" si="371"/>
        <v>0</v>
      </c>
    </row>
    <row r="592" spans="1:10" ht="23.4" x14ac:dyDescent="0.3">
      <c r="A592" s="277"/>
      <c r="B592" s="977"/>
      <c r="C592" s="302" t="s">
        <v>369</v>
      </c>
      <c r="D592" s="302" t="s">
        <v>190</v>
      </c>
      <c r="E592" s="505">
        <v>17.8202</v>
      </c>
      <c r="F592" s="405">
        <f>IFERROR(E592*'01 Prod Physique Boites'!H587,"-")</f>
        <v>0</v>
      </c>
      <c r="G592" s="406">
        <f>IFERROR(E592*'01 Prod Physique Boites'!L587,"-")</f>
        <v>0</v>
      </c>
      <c r="H592" s="390">
        <v>21.22</v>
      </c>
      <c r="I592" s="424">
        <f t="shared" si="370"/>
        <v>0</v>
      </c>
      <c r="J592" s="646">
        <f t="shared" si="371"/>
        <v>0</v>
      </c>
    </row>
    <row r="593" spans="1:10" ht="23.4" x14ac:dyDescent="0.3">
      <c r="A593" s="277"/>
      <c r="B593" s="977"/>
      <c r="C593" s="302" t="s">
        <v>314</v>
      </c>
      <c r="D593" s="302" t="s">
        <v>101</v>
      </c>
      <c r="E593" s="505">
        <v>14.608000000000001</v>
      </c>
      <c r="F593" s="405">
        <f>IFERROR(E593*'01 Prod Physique Boites'!H588,"-")</f>
        <v>0</v>
      </c>
      <c r="G593" s="406">
        <f>IFERROR(E593*'01 Prod Physique Boites'!L588,"-")</f>
        <v>0</v>
      </c>
      <c r="H593" s="390">
        <v>24.93</v>
      </c>
      <c r="I593" s="426">
        <f t="shared" si="370"/>
        <v>0</v>
      </c>
      <c r="J593" s="646">
        <f t="shared" si="371"/>
        <v>0</v>
      </c>
    </row>
    <row r="594" spans="1:10" ht="23.4" x14ac:dyDescent="0.3">
      <c r="A594" s="277"/>
      <c r="B594" s="977"/>
      <c r="C594" s="302" t="s">
        <v>453</v>
      </c>
      <c r="D594" s="302" t="s">
        <v>454</v>
      </c>
      <c r="E594" s="773">
        <v>16.345199999999998</v>
      </c>
      <c r="F594" s="405">
        <f>IFERROR(E594*'01 Prod Physique Boites'!H589,"-")</f>
        <v>455148.43919999996</v>
      </c>
      <c r="G594" s="406">
        <f>IFERROR(E594*'01 Prod Physique Boites'!L589,"-")</f>
        <v>585190.8504</v>
      </c>
      <c r="H594" s="390">
        <v>23.78</v>
      </c>
      <c r="I594" s="426">
        <f t="shared" si="370"/>
        <v>662177.88</v>
      </c>
      <c r="J594" s="646">
        <f t="shared" si="371"/>
        <v>851371.56</v>
      </c>
    </row>
    <row r="595" spans="1:10" ht="24" thickBot="1" x14ac:dyDescent="0.35">
      <c r="A595" s="277" t="s">
        <v>108</v>
      </c>
      <c r="B595" s="977"/>
      <c r="C595" s="303" t="s">
        <v>315</v>
      </c>
      <c r="D595" s="302" t="s">
        <v>313</v>
      </c>
      <c r="E595" s="505">
        <v>12.6997</v>
      </c>
      <c r="F595" s="405">
        <f>IFERROR(E595*'01 Prod Physique Boites'!H590,"-")</f>
        <v>0</v>
      </c>
      <c r="G595" s="406">
        <f>IFERROR(E595*'01 Prod Physique Boites'!L590,"-")</f>
        <v>0</v>
      </c>
      <c r="H595" s="390">
        <v>13.25</v>
      </c>
      <c r="I595" s="426">
        <f t="shared" si="370"/>
        <v>0</v>
      </c>
      <c r="J595" s="646">
        <f t="shared" si="371"/>
        <v>0</v>
      </c>
    </row>
    <row r="596" spans="1:10" ht="24" thickBot="1" x14ac:dyDescent="0.35">
      <c r="A596" s="277" t="s">
        <v>108</v>
      </c>
      <c r="B596" s="990"/>
      <c r="C596" s="304"/>
      <c r="D596" s="305" t="s">
        <v>55</v>
      </c>
      <c r="E596" s="393"/>
      <c r="F596" s="409">
        <f>SUM(F587:F595)</f>
        <v>455148.43919999996</v>
      </c>
      <c r="G596" s="410">
        <f t="shared" ref="G596" si="372">SUM(G587:G595)</f>
        <v>1010523.3840000001</v>
      </c>
      <c r="H596" s="394"/>
      <c r="I596" s="409">
        <f t="shared" ref="I596" si="373">SUM(I587:I595)</f>
        <v>662177.88</v>
      </c>
      <c r="J596" s="428">
        <f>SUM(J587:J595)</f>
        <v>1416884.04</v>
      </c>
    </row>
    <row r="597" spans="1:10" ht="23.4" x14ac:dyDescent="0.3">
      <c r="A597" s="277" t="s">
        <v>108</v>
      </c>
      <c r="B597" s="976" t="s">
        <v>28</v>
      </c>
      <c r="C597" s="302" t="s">
        <v>27</v>
      </c>
      <c r="D597" s="300" t="s">
        <v>302</v>
      </c>
      <c r="E597" s="508">
        <v>17.8202</v>
      </c>
      <c r="F597" s="405">
        <f>IFERROR(E597*'01 Prod Physique Boites'!H592,"-")</f>
        <v>0</v>
      </c>
      <c r="G597" s="406">
        <f>IFERROR(E597*'01 Prod Physique Boites'!L592,"-")</f>
        <v>70888.755600000004</v>
      </c>
      <c r="H597" s="384">
        <v>24.93</v>
      </c>
      <c r="I597" s="422">
        <f>IFERROR(H597*(F597/E597),"-")</f>
        <v>0</v>
      </c>
      <c r="J597" s="644">
        <f t="shared" ref="J597:J601" si="374">IFERROR(H597*(G597/E597),"-")</f>
        <v>99171.540000000008</v>
      </c>
    </row>
    <row r="598" spans="1:10" ht="23.4" x14ac:dyDescent="0.3">
      <c r="A598" s="277" t="s">
        <v>108</v>
      </c>
      <c r="B598" s="977"/>
      <c r="C598" s="302" t="s">
        <v>456</v>
      </c>
      <c r="D598" s="302" t="s">
        <v>370</v>
      </c>
      <c r="E598" s="773">
        <v>16.7288</v>
      </c>
      <c r="F598" s="405">
        <f>IFERROR(E598*'01 Prod Physique Boites'!H593,"-")</f>
        <v>0</v>
      </c>
      <c r="G598" s="406">
        <f>IFERROR(E598*'01 Prod Physique Boites'!L593,"-")</f>
        <v>1464037.6608</v>
      </c>
      <c r="H598" s="770">
        <v>20.76</v>
      </c>
      <c r="I598" s="424">
        <f>IFERROR(H598*(F598/E598),"-")</f>
        <v>0</v>
      </c>
      <c r="J598" s="645">
        <f t="shared" si="374"/>
        <v>1816832.1600000001</v>
      </c>
    </row>
    <row r="599" spans="1:10" ht="23.4" x14ac:dyDescent="0.3">
      <c r="A599" s="277" t="s">
        <v>108</v>
      </c>
      <c r="B599" s="977"/>
      <c r="C599" s="302" t="s">
        <v>455</v>
      </c>
      <c r="D599" s="302" t="s">
        <v>370</v>
      </c>
      <c r="E599" s="505">
        <v>17.8202</v>
      </c>
      <c r="F599" s="405">
        <f>IFERROR(E599*'01 Prod Physique Boites'!H594,"-")</f>
        <v>0</v>
      </c>
      <c r="G599" s="406">
        <f>IFERROR(E599*'01 Prod Physique Boites'!L594,"-")</f>
        <v>425332.53360000002</v>
      </c>
      <c r="H599" s="388">
        <v>21.22</v>
      </c>
      <c r="I599" s="424">
        <f>IFERROR(H599*(F599/E599),"-")</f>
        <v>0</v>
      </c>
      <c r="J599" s="645">
        <f t="shared" si="374"/>
        <v>506478.95999999996</v>
      </c>
    </row>
    <row r="600" spans="1:10" ht="23.4" x14ac:dyDescent="0.3">
      <c r="A600" s="277"/>
      <c r="B600" s="977"/>
      <c r="C600" s="302" t="s">
        <v>453</v>
      </c>
      <c r="D600" s="302" t="s">
        <v>454</v>
      </c>
      <c r="E600" s="773">
        <v>16.345199999999998</v>
      </c>
      <c r="F600" s="405">
        <f>IFERROR(E600*'01 Prod Physique Boites'!H595,"-")</f>
        <v>2665869.4295999999</v>
      </c>
      <c r="G600" s="406">
        <f>IFERROR(E600*'01 Prod Physique Boites'!L595,"-")</f>
        <v>3121017.8687999998</v>
      </c>
      <c r="H600" s="388">
        <v>23.78</v>
      </c>
      <c r="I600" s="426">
        <f>IFERROR(H600*(F600/E600),"-")</f>
        <v>3878470.4400000004</v>
      </c>
      <c r="J600" s="646">
        <f t="shared" si="374"/>
        <v>4540648.32</v>
      </c>
    </row>
    <row r="601" spans="1:10" ht="24" thickBot="1" x14ac:dyDescent="0.35">
      <c r="A601" s="277" t="s">
        <v>108</v>
      </c>
      <c r="B601" s="977"/>
      <c r="C601" s="302" t="s">
        <v>27</v>
      </c>
      <c r="D601" s="303" t="s">
        <v>254</v>
      </c>
      <c r="E601" s="505">
        <v>17.8202</v>
      </c>
      <c r="F601" s="405">
        <f>IFERROR(E601*'01 Prod Physique Boites'!H596,"-")</f>
        <v>0</v>
      </c>
      <c r="G601" s="406">
        <f>IFERROR(E601*'01 Prod Physique Boites'!L596,"-")</f>
        <v>10420647.0732</v>
      </c>
      <c r="H601" s="388">
        <v>24.93</v>
      </c>
      <c r="I601" s="426">
        <f>IFERROR(H601*(F601/E601),"-")</f>
        <v>0</v>
      </c>
      <c r="J601" s="646">
        <f t="shared" si="374"/>
        <v>14578216.379999999</v>
      </c>
    </row>
    <row r="602" spans="1:10" ht="24" thickBot="1" x14ac:dyDescent="0.35">
      <c r="A602" s="277" t="s">
        <v>108</v>
      </c>
      <c r="B602" s="977"/>
      <c r="C602" s="307"/>
      <c r="D602" s="308" t="s">
        <v>55</v>
      </c>
      <c r="E602" s="400"/>
      <c r="F602" s="417">
        <f t="shared" ref="F602:G602" si="375">SUM(F597:F601)</f>
        <v>2665869.4295999999</v>
      </c>
      <c r="G602" s="418">
        <f t="shared" si="375"/>
        <v>15501923.892000001</v>
      </c>
      <c r="H602" s="401"/>
      <c r="I602" s="417">
        <f t="shared" ref="I602:J602" si="376">SUM(I597:I601)</f>
        <v>3878470.4400000004</v>
      </c>
      <c r="J602" s="433">
        <f t="shared" si="376"/>
        <v>21541347.359999999</v>
      </c>
    </row>
    <row r="603" spans="1:10" ht="24" thickBot="1" x14ac:dyDescent="0.35">
      <c r="A603" s="783" t="s">
        <v>108</v>
      </c>
      <c r="B603" s="978" t="s">
        <v>170</v>
      </c>
      <c r="C603" s="979"/>
      <c r="D603" s="980"/>
      <c r="E603" s="402"/>
      <c r="F603" s="419">
        <f t="shared" ref="F603:G603" si="377">+F596+F602</f>
        <v>3121017.8687999998</v>
      </c>
      <c r="G603" s="420">
        <f t="shared" si="377"/>
        <v>16512447.276000001</v>
      </c>
      <c r="H603" s="403"/>
      <c r="I603" s="419">
        <f t="shared" ref="I603:J603" si="378">+I596+I602</f>
        <v>4540648.32</v>
      </c>
      <c r="J603" s="434">
        <f t="shared" si="378"/>
        <v>22958231.399999999</v>
      </c>
    </row>
    <row r="604" spans="1:10" ht="23.4" x14ac:dyDescent="0.3">
      <c r="A604" s="277" t="s">
        <v>108</v>
      </c>
      <c r="B604" s="977" t="s">
        <v>30</v>
      </c>
      <c r="C604" s="306" t="s">
        <v>356</v>
      </c>
      <c r="D604" s="300" t="s">
        <v>191</v>
      </c>
      <c r="E604" s="508">
        <v>15.2788</v>
      </c>
      <c r="F604" s="405">
        <f>IFERROR(E604*'01 Prod Physique Boites'!H599,"-")</f>
        <v>0</v>
      </c>
      <c r="G604" s="406">
        <f>IFERROR(E604*'01 Prod Physique Boites'!L599,"-")</f>
        <v>0</v>
      </c>
      <c r="H604" s="384">
        <v>23.65</v>
      </c>
      <c r="I604" s="422">
        <f>IFERROR(H604*(F604/E604),"-")</f>
        <v>0</v>
      </c>
      <c r="J604" s="423">
        <f t="shared" ref="J604:J606" si="379">IFERROR(H604*(G604/E604),"-")</f>
        <v>0</v>
      </c>
    </row>
    <row r="605" spans="1:10" ht="23.4" x14ac:dyDescent="0.3">
      <c r="A605" s="277" t="s">
        <v>108</v>
      </c>
      <c r="B605" s="977"/>
      <c r="C605" s="306" t="s">
        <v>349</v>
      </c>
      <c r="D605" s="306" t="s">
        <v>313</v>
      </c>
      <c r="E605" s="509">
        <v>22.6356</v>
      </c>
      <c r="F605" s="405">
        <f>IFERROR(E605*'01 Prod Physique Boites'!H600,"-")</f>
        <v>0</v>
      </c>
      <c r="G605" s="406">
        <f>IFERROR(E605*'01 Prod Physique Boites'!L600,"-")</f>
        <v>0</v>
      </c>
      <c r="H605" s="388">
        <v>34.26</v>
      </c>
      <c r="I605" s="424">
        <f>IFERROR(H605*(F605/E605),"-")</f>
        <v>0</v>
      </c>
      <c r="J605" s="425">
        <f t="shared" si="379"/>
        <v>0</v>
      </c>
    </row>
    <row r="606" spans="1:10" ht="24" thickBot="1" x14ac:dyDescent="0.35">
      <c r="A606" s="277" t="s">
        <v>108</v>
      </c>
      <c r="B606" s="977"/>
      <c r="C606" s="303" t="s">
        <v>316</v>
      </c>
      <c r="D606" s="303"/>
      <c r="E606" s="505">
        <v>25.751300000000001</v>
      </c>
      <c r="F606" s="405">
        <f>IFERROR(E606*'01 Prod Physique Boites'!H601,"-")</f>
        <v>0</v>
      </c>
      <c r="G606" s="406">
        <f>IFERROR(E606*'01 Prod Physique Boites'!L601,"-")</f>
        <v>1590812.3088</v>
      </c>
      <c r="H606" s="390">
        <v>37.89</v>
      </c>
      <c r="I606" s="426">
        <f>IFERROR(H606*(F606/E606),"-")</f>
        <v>0</v>
      </c>
      <c r="J606" s="427">
        <f t="shared" si="379"/>
        <v>2340692.64</v>
      </c>
    </row>
    <row r="607" spans="1:10" ht="24" thickBot="1" x14ac:dyDescent="0.35">
      <c r="A607" s="277" t="s">
        <v>108</v>
      </c>
      <c r="B607" s="977"/>
      <c r="C607" s="304"/>
      <c r="D607" s="305" t="s">
        <v>53</v>
      </c>
      <c r="E607" s="393"/>
      <c r="F607" s="409">
        <f t="shared" ref="F607:G607" si="380">SUM(F604:F606)</f>
        <v>0</v>
      </c>
      <c r="G607" s="410">
        <f t="shared" si="380"/>
        <v>1590812.3088</v>
      </c>
      <c r="H607" s="394"/>
      <c r="I607" s="409">
        <f t="shared" ref="I607" si="381">SUM(I604:I606)</f>
        <v>0</v>
      </c>
      <c r="J607" s="428">
        <f>SUM(J604:J606)</f>
        <v>2340692.64</v>
      </c>
    </row>
    <row r="608" spans="1:10" ht="23.4" x14ac:dyDescent="0.3">
      <c r="A608" s="277" t="s">
        <v>108</v>
      </c>
      <c r="B608" s="977"/>
      <c r="C608" s="300" t="s">
        <v>339</v>
      </c>
      <c r="D608" s="300"/>
      <c r="E608" s="508">
        <v>22.094999999999999</v>
      </c>
      <c r="F608" s="405">
        <f>IFERROR(E608*'01 Prod Physique Boites'!H603,"-")</f>
        <v>0</v>
      </c>
      <c r="G608" s="406">
        <f>IFERROR(E608*'01 Prod Physique Boites'!L603,"-")</f>
        <v>0</v>
      </c>
      <c r="H608" s="384">
        <v>37.11</v>
      </c>
      <c r="I608" s="422">
        <f>IFERROR(H608*(F608/E608),"-")</f>
        <v>0</v>
      </c>
      <c r="J608" s="423">
        <f t="shared" ref="J608:J610" si="382">IFERROR(H608*(G608/E608),"-")</f>
        <v>0</v>
      </c>
    </row>
    <row r="609" spans="1:10" ht="23.4" x14ac:dyDescent="0.3">
      <c r="A609" s="277" t="s">
        <v>108</v>
      </c>
      <c r="B609" s="977"/>
      <c r="C609" s="306" t="s">
        <v>373</v>
      </c>
      <c r="D609" s="306" t="s">
        <v>254</v>
      </c>
      <c r="E609" s="509">
        <v>27.917000000000002</v>
      </c>
      <c r="F609" s="405">
        <f>IFERROR(E609*'01 Prod Physique Boites'!H604,"-")</f>
        <v>0</v>
      </c>
      <c r="G609" s="406">
        <f>IFERROR(E609*'01 Prod Physique Boites'!L604,"-")</f>
        <v>261303.12000000002</v>
      </c>
      <c r="H609" s="388">
        <v>39</v>
      </c>
      <c r="I609" s="424">
        <f>IFERROR(H609*(F609/E609),"-")</f>
        <v>0</v>
      </c>
      <c r="J609" s="425">
        <f t="shared" si="382"/>
        <v>365040</v>
      </c>
    </row>
    <row r="610" spans="1:10" ht="24" thickBot="1" x14ac:dyDescent="0.35">
      <c r="A610" s="277" t="s">
        <v>108</v>
      </c>
      <c r="B610" s="977"/>
      <c r="C610" s="303" t="s">
        <v>145</v>
      </c>
      <c r="D610" s="303"/>
      <c r="E610" s="505">
        <v>25.4041</v>
      </c>
      <c r="F610" s="405">
        <f>IFERROR(E610*'01 Prod Physique Boites'!H605,"-")</f>
        <v>0</v>
      </c>
      <c r="G610" s="406">
        <f>IFERROR(E610*'01 Prod Physique Boites'!L605,"-")</f>
        <v>0</v>
      </c>
      <c r="H610" s="390">
        <v>28.21</v>
      </c>
      <c r="I610" s="426">
        <f>IFERROR(H610*(F610/E610),"-")</f>
        <v>0</v>
      </c>
      <c r="J610" s="427">
        <f t="shared" si="382"/>
        <v>0</v>
      </c>
    </row>
    <row r="611" spans="1:10" ht="24" thickBot="1" x14ac:dyDescent="0.35">
      <c r="A611" s="277" t="s">
        <v>108</v>
      </c>
      <c r="B611" s="977"/>
      <c r="C611" s="307"/>
      <c r="D611" s="308" t="s">
        <v>54</v>
      </c>
      <c r="E611" s="400"/>
      <c r="F611" s="417">
        <f t="shared" ref="F611:G611" si="383">SUM(F608:F610)</f>
        <v>0</v>
      </c>
      <c r="G611" s="418">
        <f t="shared" si="383"/>
        <v>261303.12000000002</v>
      </c>
      <c r="H611" s="401"/>
      <c r="I611" s="417">
        <f t="shared" ref="I611" si="384">SUM(I608:I610)</f>
        <v>0</v>
      </c>
      <c r="J611" s="433">
        <f>SUM(J608:J610)</f>
        <v>365040</v>
      </c>
    </row>
    <row r="612" spans="1:10" ht="24" thickBot="1" x14ac:dyDescent="0.35">
      <c r="A612" s="277" t="s">
        <v>108</v>
      </c>
      <c r="B612" s="978" t="s">
        <v>171</v>
      </c>
      <c r="C612" s="979"/>
      <c r="D612" s="980"/>
      <c r="E612" s="402"/>
      <c r="F612" s="419">
        <f t="shared" ref="F612:G612" si="385">+F607+F611</f>
        <v>0</v>
      </c>
      <c r="G612" s="420">
        <f t="shared" si="385"/>
        <v>1852115.4288000001</v>
      </c>
      <c r="H612" s="403"/>
      <c r="I612" s="419">
        <f t="shared" ref="I612:J612" si="386">+I607+I611</f>
        <v>0</v>
      </c>
      <c r="J612" s="434">
        <f t="shared" si="386"/>
        <v>2705732.64</v>
      </c>
    </row>
    <row r="613" spans="1:10" ht="24" thickBot="1" x14ac:dyDescent="0.35">
      <c r="A613" s="277" t="s">
        <v>108</v>
      </c>
      <c r="B613" s="609" t="s">
        <v>32</v>
      </c>
      <c r="C613" s="778"/>
      <c r="D613" s="313"/>
      <c r="E613" s="510">
        <v>12.2659</v>
      </c>
      <c r="F613" s="411">
        <f>IFERROR(E613*'01 Prod Physique Boites'!H608,"-")</f>
        <v>0</v>
      </c>
      <c r="G613" s="412">
        <f>IFERROR(E613*'01 Prod Physique Boites'!L608,"-")</f>
        <v>0</v>
      </c>
      <c r="H613" s="395"/>
      <c r="I613" s="429">
        <f>IFERROR(H613*(F613/E613),"-")</f>
        <v>0</v>
      </c>
      <c r="J613" s="430">
        <f>IFERROR(H613*(G613/E613),"-")</f>
        <v>0</v>
      </c>
    </row>
    <row r="614" spans="1:10" ht="24" thickBot="1" x14ac:dyDescent="0.35">
      <c r="A614" s="277" t="s">
        <v>108</v>
      </c>
      <c r="B614" s="981" t="s">
        <v>21</v>
      </c>
      <c r="C614" s="982"/>
      <c r="D614" s="983"/>
      <c r="E614" s="396"/>
      <c r="F614" s="413">
        <f t="shared" ref="F614" si="387">+F603+F612+F613</f>
        <v>3121017.8687999998</v>
      </c>
      <c r="G614" s="414">
        <f>+G603+G612+G613</f>
        <v>18364562.704800002</v>
      </c>
      <c r="H614" s="397"/>
      <c r="I614" s="413">
        <f t="shared" ref="I614:J614" si="388">+I603+I612+I613</f>
        <v>4540648.32</v>
      </c>
      <c r="J614" s="431">
        <f t="shared" si="388"/>
        <v>25663964.039999999</v>
      </c>
    </row>
    <row r="615" spans="1:10" ht="24" thickBot="1" x14ac:dyDescent="0.35">
      <c r="A615" s="277" t="s">
        <v>108</v>
      </c>
      <c r="B615" s="984" t="s">
        <v>179</v>
      </c>
      <c r="C615" s="962"/>
      <c r="D615" s="963"/>
      <c r="E615" s="398"/>
      <c r="F615" s="415">
        <f t="shared" ref="F615:G615" si="389">+F614</f>
        <v>3121017.8687999998</v>
      </c>
      <c r="G615" s="416">
        <f t="shared" si="389"/>
        <v>18364562.704800002</v>
      </c>
      <c r="H615" s="399"/>
      <c r="I615" s="415">
        <f t="shared" ref="I615:J615" si="390">+I614</f>
        <v>4540648.32</v>
      </c>
      <c r="J615" s="432">
        <f t="shared" si="390"/>
        <v>25663964.039999999</v>
      </c>
    </row>
    <row r="616" spans="1:10" ht="23.4" x14ac:dyDescent="0.3">
      <c r="A616" s="271" t="s">
        <v>109</v>
      </c>
      <c r="B616" s="970" t="s">
        <v>33</v>
      </c>
      <c r="C616" s="314" t="s">
        <v>120</v>
      </c>
      <c r="D616" s="314"/>
      <c r="E616" s="771">
        <v>254.89750000000001</v>
      </c>
      <c r="F616" s="405">
        <f>IFERROR(E616*'01 Prod Physique Boites'!H611,"-")</f>
        <v>0</v>
      </c>
      <c r="G616" s="406">
        <f>IFERROR(E616*'01 Prod Physique Boites'!L611,"-")</f>
        <v>0</v>
      </c>
      <c r="H616" s="384">
        <v>445.38</v>
      </c>
      <c r="I616" s="422">
        <f>IFERROR(H616*(F616/E616),"-")</f>
        <v>0</v>
      </c>
      <c r="J616" s="423">
        <f t="shared" ref="J616:J618" si="391">IFERROR(H616*(G616/E616),"-")</f>
        <v>0</v>
      </c>
    </row>
    <row r="617" spans="1:10" ht="23.4" x14ac:dyDescent="0.3">
      <c r="A617" s="277" t="s">
        <v>109</v>
      </c>
      <c r="B617" s="972"/>
      <c r="C617" s="315" t="s">
        <v>267</v>
      </c>
      <c r="D617" s="315"/>
      <c r="E617" s="507">
        <v>246.51390000000001</v>
      </c>
      <c r="F617" s="405">
        <f>IFERROR(E617*'01 Prod Physique Boites'!H612,"-")</f>
        <v>946613.37600000005</v>
      </c>
      <c r="G617" s="406">
        <f>IFERROR(E617*'01 Prod Physique Boites'!L612,"-")</f>
        <v>2682071.2319999998</v>
      </c>
      <c r="H617" s="388">
        <v>430.02</v>
      </c>
      <c r="I617" s="424">
        <f>IFERROR(H617*(F617/E617),"-")</f>
        <v>1651276.7999999998</v>
      </c>
      <c r="J617" s="425">
        <f t="shared" si="391"/>
        <v>4678617.5999999987</v>
      </c>
    </row>
    <row r="618" spans="1:10" ht="24" thickBot="1" x14ac:dyDescent="0.35">
      <c r="A618" s="277" t="s">
        <v>109</v>
      </c>
      <c r="B618" s="971"/>
      <c r="C618" s="316" t="s">
        <v>34</v>
      </c>
      <c r="D618" s="316"/>
      <c r="E618" s="504">
        <v>225.7713</v>
      </c>
      <c r="F618" s="405">
        <f>IFERROR(E618*'01 Prod Physique Boites'!H613,"-")</f>
        <v>0</v>
      </c>
      <c r="G618" s="406">
        <f>IFERROR(E618*'01 Prod Physique Boites'!L613,"-")</f>
        <v>0</v>
      </c>
      <c r="H618" s="390"/>
      <c r="I618" s="426">
        <f>IFERROR(H618*(F618/E618),"-")</f>
        <v>0</v>
      </c>
      <c r="J618" s="427">
        <f t="shared" si="391"/>
        <v>0</v>
      </c>
    </row>
    <row r="619" spans="1:10" ht="24" thickBot="1" x14ac:dyDescent="0.35">
      <c r="A619" s="277" t="s">
        <v>109</v>
      </c>
      <c r="B619" s="967" t="s">
        <v>35</v>
      </c>
      <c r="C619" s="968"/>
      <c r="D619" s="969"/>
      <c r="E619" s="393"/>
      <c r="F619" s="409">
        <f t="shared" ref="F619:G619" si="392">SUM(F616:F618)</f>
        <v>946613.37600000005</v>
      </c>
      <c r="G619" s="410">
        <f t="shared" si="392"/>
        <v>2682071.2319999998</v>
      </c>
      <c r="H619" s="394"/>
      <c r="I619" s="409">
        <f t="shared" ref="I619:J619" si="393">SUM(I616:I618)</f>
        <v>1651276.7999999998</v>
      </c>
      <c r="J619" s="428">
        <f t="shared" si="393"/>
        <v>4678617.5999999987</v>
      </c>
    </row>
    <row r="620" spans="1:10" ht="23.4" x14ac:dyDescent="0.3">
      <c r="A620" s="277" t="s">
        <v>109</v>
      </c>
      <c r="B620" s="970" t="s">
        <v>36</v>
      </c>
      <c r="C620" s="314" t="s">
        <v>120</v>
      </c>
      <c r="D620" s="314"/>
      <c r="E620" s="506">
        <v>254.89750000000001</v>
      </c>
      <c r="F620" s="405">
        <f>IFERROR(E620*'01 Prod Physique Boites'!H615,"-")</f>
        <v>0</v>
      </c>
      <c r="G620" s="406">
        <f>IFERROR(E620*'01 Prod Physique Boites'!L615,"-")</f>
        <v>0</v>
      </c>
      <c r="H620" s="384">
        <v>445.38</v>
      </c>
      <c r="I620" s="422">
        <f>IFERROR(H620*(F620/E620),"-")</f>
        <v>0</v>
      </c>
      <c r="J620" s="423">
        <f t="shared" ref="J620:J623" si="394">IFERROR(H620*(G620/E620),"-")</f>
        <v>0</v>
      </c>
    </row>
    <row r="621" spans="1:10" ht="23.4" x14ac:dyDescent="0.3">
      <c r="A621" s="277" t="s">
        <v>109</v>
      </c>
      <c r="B621" s="972"/>
      <c r="C621" s="315" t="s">
        <v>267</v>
      </c>
      <c r="D621" s="315"/>
      <c r="E621" s="507">
        <v>246.51390000000001</v>
      </c>
      <c r="F621" s="405">
        <f>IFERROR(E621*'01 Prod Physique Boites'!H616,"-")</f>
        <v>0</v>
      </c>
      <c r="G621" s="406">
        <f>IFERROR(E621*'01 Prod Physique Boites'!L616,"-")</f>
        <v>0</v>
      </c>
      <c r="H621" s="388">
        <v>430.02</v>
      </c>
      <c r="I621" s="424">
        <f>IFERROR(H621*(F621/E621),"-")</f>
        <v>0</v>
      </c>
      <c r="J621" s="425">
        <f t="shared" si="394"/>
        <v>0</v>
      </c>
    </row>
    <row r="622" spans="1:10" ht="23.4" x14ac:dyDescent="0.3">
      <c r="A622" s="277" t="s">
        <v>109</v>
      </c>
      <c r="B622" s="972"/>
      <c r="C622" s="315" t="s">
        <v>198</v>
      </c>
      <c r="D622" s="315" t="s">
        <v>197</v>
      </c>
      <c r="E622" s="507">
        <v>254.89750000000001</v>
      </c>
      <c r="F622" s="405">
        <f>IFERROR(E622*'01 Prod Physique Boites'!H617,"-")</f>
        <v>0</v>
      </c>
      <c r="G622" s="406">
        <f>IFERROR(E622*'01 Prod Physique Boites'!L617,"-")</f>
        <v>0</v>
      </c>
      <c r="H622" s="388"/>
      <c r="I622" s="424">
        <f>IFERROR(H622*(F622/E622),"-")</f>
        <v>0</v>
      </c>
      <c r="J622" s="425">
        <f t="shared" si="394"/>
        <v>0</v>
      </c>
    </row>
    <row r="623" spans="1:10" ht="24" thickBot="1" x14ac:dyDescent="0.35">
      <c r="A623" s="277" t="s">
        <v>109</v>
      </c>
      <c r="B623" s="971"/>
      <c r="C623" s="316" t="s">
        <v>37</v>
      </c>
      <c r="D623" s="316"/>
      <c r="E623" s="504">
        <v>229.99359999999999</v>
      </c>
      <c r="F623" s="405">
        <f>IFERROR(E623*'01 Prod Physique Boites'!H618,"-")</f>
        <v>0</v>
      </c>
      <c r="G623" s="406">
        <f>IFERROR(E623*'01 Prod Physique Boites'!L618,"-")</f>
        <v>0</v>
      </c>
      <c r="H623" s="390"/>
      <c r="I623" s="426">
        <f>IFERROR(H623*(F623/E623),"-")</f>
        <v>0</v>
      </c>
      <c r="J623" s="427">
        <f t="shared" si="394"/>
        <v>0</v>
      </c>
    </row>
    <row r="624" spans="1:10" ht="24" thickBot="1" x14ac:dyDescent="0.35">
      <c r="A624" s="277" t="s">
        <v>109</v>
      </c>
      <c r="B624" s="967" t="s">
        <v>38</v>
      </c>
      <c r="C624" s="968"/>
      <c r="D624" s="969"/>
      <c r="E624" s="393"/>
      <c r="F624" s="409">
        <f t="shared" ref="F624:G624" si="395">SUM(F620:F623)</f>
        <v>0</v>
      </c>
      <c r="G624" s="410">
        <f t="shared" si="395"/>
        <v>0</v>
      </c>
      <c r="H624" s="394"/>
      <c r="I624" s="409">
        <f>SUM(I620:I623)</f>
        <v>0</v>
      </c>
      <c r="J624" s="428">
        <f>SUM(J620:J623)</f>
        <v>0</v>
      </c>
    </row>
    <row r="625" spans="1:10" ht="23.4" x14ac:dyDescent="0.3">
      <c r="A625" s="277" t="s">
        <v>109</v>
      </c>
      <c r="B625" s="970" t="s">
        <v>39</v>
      </c>
      <c r="C625" s="317" t="s">
        <v>123</v>
      </c>
      <c r="D625" s="317"/>
      <c r="E625" s="506">
        <v>195.2808</v>
      </c>
      <c r="F625" s="405">
        <f>IFERROR(E625*'01 Prod Physique Boites'!H620,"-")</f>
        <v>0</v>
      </c>
      <c r="G625" s="406">
        <f>IFERROR(E625*'01 Prod Physique Boites'!L620,"-")</f>
        <v>28120.4352</v>
      </c>
      <c r="H625" s="715">
        <v>256.7</v>
      </c>
      <c r="I625" s="422">
        <f>IFERROR(H625*(F625/E625),"-")</f>
        <v>0</v>
      </c>
      <c r="J625" s="423">
        <f t="shared" ref="J625:J626" si="396">IFERROR(H625*(G625/E625),"-")</f>
        <v>36964.799999999996</v>
      </c>
    </row>
    <row r="626" spans="1:10" ht="24" thickBot="1" x14ac:dyDescent="0.35">
      <c r="A626" s="277" t="s">
        <v>109</v>
      </c>
      <c r="B626" s="971"/>
      <c r="C626" s="289" t="s">
        <v>139</v>
      </c>
      <c r="D626" s="289"/>
      <c r="E626" s="504">
        <v>189.91890000000001</v>
      </c>
      <c r="F626" s="405">
        <f>IFERROR(E626*'01 Prod Physique Boites'!H621,"-")</f>
        <v>0</v>
      </c>
      <c r="G626" s="406">
        <f>IFERROR(E626*'01 Prod Physique Boites'!L621,"-")</f>
        <v>45580.536</v>
      </c>
      <c r="H626" s="390">
        <v>320.35000000000002</v>
      </c>
      <c r="I626" s="426">
        <f>IFERROR(H626*(F626/E626),"-")</f>
        <v>0</v>
      </c>
      <c r="J626" s="427">
        <f t="shared" si="396"/>
        <v>76884</v>
      </c>
    </row>
    <row r="627" spans="1:10" ht="24" thickBot="1" x14ac:dyDescent="0.35">
      <c r="A627" s="783" t="s">
        <v>109</v>
      </c>
      <c r="B627" s="967" t="s">
        <v>40</v>
      </c>
      <c r="C627" s="968"/>
      <c r="D627" s="969"/>
      <c r="E627" s="393"/>
      <c r="F627" s="409">
        <f>SUM(F625:F626)</f>
        <v>0</v>
      </c>
      <c r="G627" s="410">
        <f t="shared" ref="G627" si="397">SUM(G625:G626)</f>
        <v>73700.9712</v>
      </c>
      <c r="H627" s="394"/>
      <c r="I627" s="409">
        <f t="shared" ref="I627:J627" si="398">SUM(I625:I626)</f>
        <v>0</v>
      </c>
      <c r="J627" s="428">
        <f t="shared" si="398"/>
        <v>113848.79999999999</v>
      </c>
    </row>
    <row r="628" spans="1:10" ht="23.4" x14ac:dyDescent="0.3">
      <c r="A628" s="277" t="s">
        <v>109</v>
      </c>
      <c r="B628" s="970" t="s">
        <v>41</v>
      </c>
      <c r="C628" s="272" t="s">
        <v>335</v>
      </c>
      <c r="D628" s="272" t="s">
        <v>258</v>
      </c>
      <c r="E628" s="508">
        <v>37.248699999999999</v>
      </c>
      <c r="F628" s="405">
        <f>IFERROR(E628*'01 Prod Physique Boites'!H623,"-")</f>
        <v>712046.14919999999</v>
      </c>
      <c r="G628" s="406">
        <f>IFERROR(E628*'01 Prod Physique Boites'!L623,"-")</f>
        <v>4180645.0932</v>
      </c>
      <c r="H628" s="384">
        <v>71.44</v>
      </c>
      <c r="I628" s="422">
        <f>IFERROR(H628*(F628/E628),"-")</f>
        <v>1365647.04</v>
      </c>
      <c r="J628" s="423">
        <f>IFERROR(H628*(G628/E628),"-")</f>
        <v>8018139.8399999999</v>
      </c>
    </row>
    <row r="629" spans="1:10" ht="23.4" x14ac:dyDescent="0.3">
      <c r="A629" s="277" t="s">
        <v>109</v>
      </c>
      <c r="B629" s="972"/>
      <c r="C629" s="272" t="s">
        <v>164</v>
      </c>
      <c r="D629" s="278"/>
      <c r="E629" s="508">
        <v>37.248699999999999</v>
      </c>
      <c r="F629" s="405">
        <f>IFERROR(E629*'01 Prod Physique Boites'!H624,"-")</f>
        <v>0</v>
      </c>
      <c r="G629" s="406">
        <f>IFERROR(E629*'01 Prod Physique Boites'!L624,"-")</f>
        <v>0</v>
      </c>
      <c r="H629" s="388"/>
      <c r="I629" s="424">
        <f>IFERROR(H629*(F629/E629),"-")</f>
        <v>0</v>
      </c>
      <c r="J629" s="425">
        <f t="shared" ref="J629:J631" si="399">IFERROR(H629*(G629/E629),"-")</f>
        <v>0</v>
      </c>
    </row>
    <row r="630" spans="1:10" ht="23.4" x14ac:dyDescent="0.3">
      <c r="A630" s="277" t="s">
        <v>109</v>
      </c>
      <c r="B630" s="972"/>
      <c r="C630" s="278" t="s">
        <v>383</v>
      </c>
      <c r="D630" s="272" t="s">
        <v>258</v>
      </c>
      <c r="E630" s="508">
        <v>37.248699999999999</v>
      </c>
      <c r="F630" s="405">
        <f>IFERROR(E630*'01 Prod Physique Boites'!H625,"-")</f>
        <v>0</v>
      </c>
      <c r="G630" s="406">
        <f>IFERROR(E630*'01 Prod Physique Boites'!L625,"-")</f>
        <v>0</v>
      </c>
      <c r="H630" s="388">
        <v>71.44</v>
      </c>
      <c r="I630" s="424">
        <f>IFERROR(H630*(F630/E630),"-")</f>
        <v>0</v>
      </c>
      <c r="J630" s="425">
        <f t="shared" si="399"/>
        <v>0</v>
      </c>
    </row>
    <row r="631" spans="1:10" ht="24" thickBot="1" x14ac:dyDescent="0.35">
      <c r="A631" s="277" t="s">
        <v>109</v>
      </c>
      <c r="B631" s="972"/>
      <c r="C631" s="278" t="s">
        <v>165</v>
      </c>
      <c r="D631" s="278"/>
      <c r="E631" s="509">
        <v>38.466099999999997</v>
      </c>
      <c r="F631" s="405">
        <f>IFERROR(E631*'01 Prod Physique Boites'!H626,"-")</f>
        <v>0</v>
      </c>
      <c r="G631" s="406">
        <f>IFERROR(E631*'01 Prod Physique Boites'!L626,"-")</f>
        <v>0</v>
      </c>
      <c r="H631" s="388"/>
      <c r="I631" s="424">
        <f>IFERROR(H631*(F631/E631),"-")</f>
        <v>0</v>
      </c>
      <c r="J631" s="425">
        <f t="shared" si="399"/>
        <v>0</v>
      </c>
    </row>
    <row r="632" spans="1:10" ht="24" thickBot="1" x14ac:dyDescent="0.35">
      <c r="A632" s="277" t="s">
        <v>109</v>
      </c>
      <c r="B632" s="967" t="s">
        <v>42</v>
      </c>
      <c r="C632" s="968"/>
      <c r="D632" s="969"/>
      <c r="E632" s="393"/>
      <c r="F632" s="409">
        <f>SUM(F628:F631)</f>
        <v>712046.14919999999</v>
      </c>
      <c r="G632" s="410">
        <f>SUM(G628:G631)</f>
        <v>4180645.0932</v>
      </c>
      <c r="H632" s="394"/>
      <c r="I632" s="409">
        <f>SUM(I628:I631)</f>
        <v>1365647.04</v>
      </c>
      <c r="J632" s="409">
        <f>SUM(J628:J631)</f>
        <v>8018139.8399999999</v>
      </c>
    </row>
    <row r="633" spans="1:10" ht="23.4" x14ac:dyDescent="0.3">
      <c r="A633" s="277" t="s">
        <v>109</v>
      </c>
      <c r="B633" s="970" t="s">
        <v>43</v>
      </c>
      <c r="C633" s="272" t="s">
        <v>200</v>
      </c>
      <c r="D633" s="272" t="s">
        <v>197</v>
      </c>
      <c r="E633" s="508">
        <v>30.7499</v>
      </c>
      <c r="F633" s="405">
        <f>IFERROR(E633*'01 Prod Physique Boites'!H629,"-")</f>
        <v>0</v>
      </c>
      <c r="G633" s="406">
        <f>IFERROR(E633*'01 Prod Physique Boites'!L629,"-")</f>
        <v>0</v>
      </c>
      <c r="H633" s="384"/>
      <c r="I633" s="422">
        <f>IFERROR(H633*(F633/E633),"-")</f>
        <v>0</v>
      </c>
      <c r="J633" s="423">
        <f>IFERROR(H633*(G633/E633),"-")</f>
        <v>0</v>
      </c>
    </row>
    <row r="634" spans="1:10" ht="23.4" x14ac:dyDescent="0.3">
      <c r="A634" s="277" t="s">
        <v>109</v>
      </c>
      <c r="B634" s="972"/>
      <c r="C634" s="278" t="s">
        <v>167</v>
      </c>
      <c r="D634" s="278"/>
      <c r="E634" s="727">
        <v>25.139099999999999</v>
      </c>
      <c r="F634" s="405">
        <f>IFERROR(E634*'01 Prod Physique Boites'!H630,"-")</f>
        <v>144801.21599999999</v>
      </c>
      <c r="G634" s="406">
        <f>IFERROR(E634*'01 Prod Physique Boites'!L630,"-")</f>
        <v>1230810.3359999999</v>
      </c>
      <c r="H634" s="388">
        <v>59.96</v>
      </c>
      <c r="I634" s="424">
        <f>IFERROR(H634*(F634/E634),"-")</f>
        <v>345369.59999999998</v>
      </c>
      <c r="J634" s="425">
        <f t="shared" ref="J634:J635" si="400">IFERROR(H634*(G634/E634),"-")</f>
        <v>2935641.6</v>
      </c>
    </row>
    <row r="635" spans="1:10" ht="24" thickBot="1" x14ac:dyDescent="0.35">
      <c r="A635" s="277" t="s">
        <v>109</v>
      </c>
      <c r="B635" s="971"/>
      <c r="C635" s="282" t="s">
        <v>200</v>
      </c>
      <c r="D635" s="282" t="s">
        <v>199</v>
      </c>
      <c r="E635" s="505">
        <v>30.073599999999999</v>
      </c>
      <c r="F635" s="405">
        <f>IFERROR(E635*'01 Prod Physique Boites'!H631,"-")</f>
        <v>0</v>
      </c>
      <c r="G635" s="406">
        <f>IFERROR(E635*'01 Prod Physique Boites'!L631,"-")</f>
        <v>0</v>
      </c>
      <c r="H635" s="390"/>
      <c r="I635" s="426">
        <f>IFERROR(H635*(F635/E635),"-")</f>
        <v>0</v>
      </c>
      <c r="J635" s="427">
        <f t="shared" si="400"/>
        <v>0</v>
      </c>
    </row>
    <row r="636" spans="1:10" ht="24" thickBot="1" x14ac:dyDescent="0.35">
      <c r="A636" s="277" t="s">
        <v>109</v>
      </c>
      <c r="B636" s="973" t="s">
        <v>44</v>
      </c>
      <c r="C636" s="974"/>
      <c r="D636" s="975"/>
      <c r="E636" s="393"/>
      <c r="F636" s="409">
        <f t="shared" ref="F636:G636" si="401">SUM(F633:F635)</f>
        <v>144801.21599999999</v>
      </c>
      <c r="G636" s="410">
        <f t="shared" si="401"/>
        <v>1230810.3359999999</v>
      </c>
      <c r="H636" s="394"/>
      <c r="I636" s="409">
        <f t="shared" ref="I636:J636" si="402">SUM(I633:I635)</f>
        <v>345369.59999999998</v>
      </c>
      <c r="J636" s="428">
        <f t="shared" si="402"/>
        <v>2935641.6</v>
      </c>
    </row>
    <row r="637" spans="1:10" ht="23.4" x14ac:dyDescent="0.3">
      <c r="A637" s="277" t="s">
        <v>109</v>
      </c>
      <c r="B637" s="970" t="s">
        <v>45</v>
      </c>
      <c r="C637" s="272" t="s">
        <v>168</v>
      </c>
      <c r="D637" s="272"/>
      <c r="E637" s="508">
        <v>36.684899999999999</v>
      </c>
      <c r="F637" s="405">
        <f>IFERROR(E637*'01 Prod Physique Boites'!H633,"-")</f>
        <v>0</v>
      </c>
      <c r="G637" s="406">
        <f>IFERROR(E637*'01 Prod Physique Boites'!L633,"-")</f>
        <v>0</v>
      </c>
      <c r="H637" s="384"/>
      <c r="I637" s="385" t="s">
        <v>204</v>
      </c>
      <c r="J637" s="386" t="s">
        <v>204</v>
      </c>
    </row>
    <row r="638" spans="1:10" ht="24" thickBot="1" x14ac:dyDescent="0.35">
      <c r="A638" s="277" t="s">
        <v>109</v>
      </c>
      <c r="B638" s="971"/>
      <c r="C638" s="282" t="s">
        <v>169</v>
      </c>
      <c r="D638" s="282"/>
      <c r="E638" s="505">
        <v>37.002800000000001</v>
      </c>
      <c r="F638" s="405">
        <f>IFERROR(E638*'01 Prod Physique Boites'!H634,"-")</f>
        <v>0</v>
      </c>
      <c r="G638" s="406">
        <f>IFERROR(E638*'01 Prod Physique Boites'!L634,"-")</f>
        <v>0</v>
      </c>
      <c r="H638" s="390"/>
      <c r="I638" s="391" t="s">
        <v>204</v>
      </c>
      <c r="J638" s="392" t="s">
        <v>204</v>
      </c>
    </row>
    <row r="639" spans="1:10" ht="24" thickBot="1" x14ac:dyDescent="0.35">
      <c r="A639" s="277" t="s">
        <v>109</v>
      </c>
      <c r="B639" s="973" t="s">
        <v>46</v>
      </c>
      <c r="C639" s="974"/>
      <c r="D639" s="975"/>
      <c r="E639" s="393"/>
      <c r="F639" s="405">
        <f>IFERROR(E639*'01 Prod Physique Boites'!H635,"-")</f>
        <v>0</v>
      </c>
      <c r="G639" s="410">
        <f>IFERROR(E639*'01 Prod Physique Boites'!L635,"-")</f>
        <v>0</v>
      </c>
      <c r="H639" s="394"/>
      <c r="I639" s="409">
        <f t="shared" ref="I639:J639" si="403">SUM(I637:I638)</f>
        <v>0</v>
      </c>
      <c r="J639" s="428">
        <f t="shared" si="403"/>
        <v>0</v>
      </c>
    </row>
    <row r="640" spans="1:10" ht="24" thickBot="1" x14ac:dyDescent="0.35">
      <c r="A640" s="277" t="s">
        <v>109</v>
      </c>
      <c r="B640" s="959" t="s">
        <v>25</v>
      </c>
      <c r="C640" s="960"/>
      <c r="D640" s="961"/>
      <c r="E640" s="396"/>
      <c r="F640" s="413">
        <f>+F619+F624+F627+F632+F636+F639</f>
        <v>1803460.7412</v>
      </c>
      <c r="G640" s="414">
        <f>+G619+G624+G627+G632+G636+G639</f>
        <v>8167227.6323999995</v>
      </c>
      <c r="H640" s="397"/>
      <c r="I640" s="413">
        <f>+I619+I624+I627+I632+I636+I639</f>
        <v>3362293.44</v>
      </c>
      <c r="J640" s="431">
        <f>+J619+J624+J627+J632+J636+J639</f>
        <v>15746247.839999998</v>
      </c>
    </row>
    <row r="641" spans="1:15" ht="24" thickBot="1" x14ac:dyDescent="0.35">
      <c r="A641" s="321" t="s">
        <v>109</v>
      </c>
      <c r="B641" s="962" t="s">
        <v>181</v>
      </c>
      <c r="C641" s="962"/>
      <c r="D641" s="963"/>
      <c r="E641" s="398"/>
      <c r="F641" s="415">
        <f t="shared" ref="F641:G641" si="404">+F640</f>
        <v>1803460.7412</v>
      </c>
      <c r="G641" s="416">
        <f t="shared" si="404"/>
        <v>8167227.6323999995</v>
      </c>
      <c r="H641" s="399"/>
      <c r="I641" s="415">
        <f t="shared" ref="I641" si="405">+I640</f>
        <v>3362293.44</v>
      </c>
      <c r="J641" s="432">
        <f>+J640</f>
        <v>15746247.839999998</v>
      </c>
    </row>
    <row r="642" spans="1:15" ht="24.6" thickBot="1" x14ac:dyDescent="0.35">
      <c r="A642" s="322"/>
      <c r="B642" s="964" t="s">
        <v>182</v>
      </c>
      <c r="C642" s="965"/>
      <c r="D642" s="966"/>
      <c r="E642" s="404"/>
      <c r="F642" s="421">
        <f>+F586+F615+F641</f>
        <v>9013000.7188000008</v>
      </c>
      <c r="G642" s="421">
        <f>+G586+G615+G641</f>
        <v>52814132.706799999</v>
      </c>
      <c r="H642" s="404"/>
      <c r="I642" s="421">
        <f>+I586+I615+I641</f>
        <v>12452119.979999999</v>
      </c>
      <c r="J642" s="435">
        <f>+J586+J615+J641</f>
        <v>75586521.079999998</v>
      </c>
    </row>
    <row r="643" spans="1:15" ht="23.4" x14ac:dyDescent="0.3">
      <c r="A643" s="991" t="s">
        <v>1</v>
      </c>
      <c r="B643" s="994" t="s">
        <v>2</v>
      </c>
      <c r="C643" s="997" t="s">
        <v>3</v>
      </c>
      <c r="D643" s="997" t="s">
        <v>93</v>
      </c>
      <c r="E643" s="1021" t="s">
        <v>175</v>
      </c>
      <c r="F643" s="1022"/>
      <c r="G643" s="1022"/>
      <c r="H643" s="445"/>
      <c r="I643" s="445"/>
      <c r="J643" s="446"/>
    </row>
    <row r="644" spans="1:15" ht="23.4" x14ac:dyDescent="0.3">
      <c r="A644" s="992"/>
      <c r="B644" s="995"/>
      <c r="C644" s="998"/>
      <c r="D644" s="998"/>
      <c r="E644" s="1023" t="s">
        <v>177</v>
      </c>
      <c r="F644" s="1024"/>
      <c r="G644" s="1025"/>
      <c r="H644" s="1023" t="s">
        <v>176</v>
      </c>
      <c r="I644" s="1024"/>
      <c r="J644" s="1025"/>
    </row>
    <row r="645" spans="1:15" ht="46.8" x14ac:dyDescent="0.3">
      <c r="A645" s="993"/>
      <c r="B645" s="1019"/>
      <c r="C645" s="1020"/>
      <c r="D645" s="1020"/>
      <c r="E645" s="382" t="s">
        <v>178</v>
      </c>
      <c r="F645" s="790" t="s">
        <v>11</v>
      </c>
      <c r="G645" s="791" t="s">
        <v>12</v>
      </c>
      <c r="H645" s="1026" t="s">
        <v>178</v>
      </c>
      <c r="I645" s="1028" t="s">
        <v>144</v>
      </c>
      <c r="J645" s="1030" t="s">
        <v>12</v>
      </c>
    </row>
    <row r="646" spans="1:15" ht="24" thickBot="1" x14ac:dyDescent="0.35">
      <c r="A646" s="993"/>
      <c r="B646" s="996"/>
      <c r="C646" s="999"/>
      <c r="D646" s="999"/>
      <c r="E646" s="1032">
        <v>44541</v>
      </c>
      <c r="F646" s="1033"/>
      <c r="G646" s="1034"/>
      <c r="H646" s="1027"/>
      <c r="I646" s="1029"/>
      <c r="J646" s="1031"/>
    </row>
    <row r="647" spans="1:15" ht="23.4" x14ac:dyDescent="0.3">
      <c r="A647" s="271" t="s">
        <v>110</v>
      </c>
      <c r="B647" s="956" t="s">
        <v>16</v>
      </c>
      <c r="C647" s="272" t="s">
        <v>424</v>
      </c>
      <c r="D647" s="272" t="s">
        <v>425</v>
      </c>
      <c r="E647" s="758">
        <v>81.360699999999994</v>
      </c>
      <c r="F647" s="405">
        <f>IFERROR(E647*'01 Prod Physique Boites'!H642,"-")</f>
        <v>0</v>
      </c>
      <c r="G647" s="405">
        <f>IFERROR(E647*'01 Prod Physique Boites'!L642,"-")</f>
        <v>1614196.2879999999</v>
      </c>
      <c r="H647" s="759">
        <v>143.28</v>
      </c>
      <c r="I647" s="422">
        <f>IFERROR(H647*(F647/E647),"-")</f>
        <v>0</v>
      </c>
      <c r="J647" s="423">
        <f t="shared" ref="J647:J649" si="406">IFERROR(H647*(G647/E647),"-")</f>
        <v>2842675.2000000002</v>
      </c>
    </row>
    <row r="648" spans="1:15" ht="23.4" x14ac:dyDescent="0.3">
      <c r="A648" s="784"/>
      <c r="B648" s="957"/>
      <c r="C648" s="278" t="s">
        <v>188</v>
      </c>
      <c r="D648" s="278" t="s">
        <v>101</v>
      </c>
      <c r="E648" s="509">
        <v>81.360699999999994</v>
      </c>
      <c r="F648" s="405">
        <f>IFERROR(E648*'01 Prod Physique Boites'!H643,"-")</f>
        <v>733954.87469999993</v>
      </c>
      <c r="G648" s="405">
        <f>IFERROR(E648*'01 Prod Physique Boites'!L643,"-")</f>
        <v>3936312.0266999998</v>
      </c>
      <c r="H648" s="770">
        <v>0</v>
      </c>
      <c r="I648" s="422">
        <f>IFERROR(H648*(F648/E648),"-")</f>
        <v>0</v>
      </c>
      <c r="J648" s="423">
        <f t="shared" si="406"/>
        <v>0</v>
      </c>
    </row>
    <row r="649" spans="1:15" ht="23.4" x14ac:dyDescent="0.3">
      <c r="A649" s="277" t="s">
        <v>110</v>
      </c>
      <c r="B649" s="957"/>
      <c r="C649" s="278" t="s">
        <v>186</v>
      </c>
      <c r="D649" s="278" t="s">
        <v>184</v>
      </c>
      <c r="E649" s="509">
        <v>55.476900000000001</v>
      </c>
      <c r="F649" s="405">
        <f>IFERROR(E649*'01 Prod Physique Boites'!H644,"-")</f>
        <v>0</v>
      </c>
      <c r="G649" s="405">
        <f>IFERROR(E649*'01 Prod Physique Boites'!L644,"-")</f>
        <v>0</v>
      </c>
      <c r="H649" s="388">
        <v>0</v>
      </c>
      <c r="I649" s="422">
        <f>IFERROR(H649*(F649/E649),"-")</f>
        <v>0</v>
      </c>
      <c r="J649" s="423">
        <f t="shared" si="406"/>
        <v>0</v>
      </c>
    </row>
    <row r="650" spans="1:15" ht="24" thickBot="1" x14ac:dyDescent="0.35">
      <c r="A650" s="277" t="s">
        <v>110</v>
      </c>
      <c r="B650" s="958"/>
      <c r="C650" s="282" t="s">
        <v>282</v>
      </c>
      <c r="D650" s="282" t="s">
        <v>251</v>
      </c>
      <c r="E650" s="505">
        <v>60.703499999999998</v>
      </c>
      <c r="F650" s="405">
        <f>IFERROR(E650*'01 Prod Physique Boites'!H645,"-")</f>
        <v>0</v>
      </c>
      <c r="G650" s="405">
        <f>IFERROR(E650*'01 Prod Physique Boites'!L645,"-")</f>
        <v>0</v>
      </c>
      <c r="H650" s="390">
        <v>111.09</v>
      </c>
      <c r="I650" s="422">
        <f>IFERROR(H650*(F650/E650),"-")</f>
        <v>0</v>
      </c>
      <c r="J650" s="423">
        <f>IFERROR(H650*(G650/E650),"-")</f>
        <v>0</v>
      </c>
    </row>
    <row r="651" spans="1:15" ht="24" thickBot="1" x14ac:dyDescent="0.35">
      <c r="A651" s="277" t="s">
        <v>110</v>
      </c>
      <c r="B651" s="967" t="s">
        <v>47</v>
      </c>
      <c r="C651" s="968"/>
      <c r="D651" s="969"/>
      <c r="E651" s="393"/>
      <c r="F651" s="409">
        <f t="shared" ref="F651" si="407">SUM(F647:F650)</f>
        <v>733954.87469999993</v>
      </c>
      <c r="G651" s="410">
        <f>SUM(G647:G650)</f>
        <v>5550508.3147</v>
      </c>
      <c r="H651" s="394"/>
      <c r="I651" s="409">
        <f t="shared" ref="I651:J651" si="408">SUM(I647:I650)</f>
        <v>0</v>
      </c>
      <c r="J651" s="428">
        <f t="shared" si="408"/>
        <v>2842675.2000000002</v>
      </c>
      <c r="K651" s="757"/>
      <c r="L651" s="757"/>
      <c r="M651" s="757"/>
      <c r="N651" s="757"/>
      <c r="O651" s="757"/>
    </row>
    <row r="652" spans="1:15" ht="23.4" x14ac:dyDescent="0.3">
      <c r="A652" s="277" t="s">
        <v>110</v>
      </c>
      <c r="B652" s="956" t="s">
        <v>17</v>
      </c>
      <c r="C652" s="272" t="s">
        <v>320</v>
      </c>
      <c r="D652" s="272"/>
      <c r="E652" s="508">
        <v>12.5275</v>
      </c>
      <c r="F652" s="405">
        <f>IFERROR(E652*'01 Prod Physique Boites'!H647,"-")</f>
        <v>0</v>
      </c>
      <c r="G652" s="405">
        <f>IFERROR(E652*'01 Prod Physique Boites'!L647,"-")</f>
        <v>0</v>
      </c>
      <c r="H652" s="384">
        <v>18.836400000000001</v>
      </c>
      <c r="I652" s="422">
        <f t="shared" ref="I652:I658" si="409">IFERROR(H652*(F652/E652),"-")</f>
        <v>0</v>
      </c>
      <c r="J652" s="423">
        <f t="shared" ref="J652:J657" si="410">IFERROR(H652*(G652/E652),"-")</f>
        <v>0</v>
      </c>
    </row>
    <row r="653" spans="1:15" ht="23.4" x14ac:dyDescent="0.3">
      <c r="A653" s="277" t="s">
        <v>110</v>
      </c>
      <c r="B653" s="957"/>
      <c r="C653" s="278" t="s">
        <v>382</v>
      </c>
      <c r="D653" s="278" t="s">
        <v>252</v>
      </c>
      <c r="E653" s="698">
        <v>13.002700000000001</v>
      </c>
      <c r="F653" s="405">
        <f>IFERROR(E653*'01 Prod Physique Boites'!H648,"-")</f>
        <v>1591530.4800000002</v>
      </c>
      <c r="G653" s="405">
        <f>IFERROR(E653*'01 Prod Physique Boites'!L648,"-")</f>
        <v>6047815.824</v>
      </c>
      <c r="H653" s="388">
        <v>21.18</v>
      </c>
      <c r="I653" s="424">
        <f t="shared" si="409"/>
        <v>2592432.0000000005</v>
      </c>
      <c r="J653" s="425">
        <f t="shared" si="410"/>
        <v>9851241.5999999996</v>
      </c>
    </row>
    <row r="654" spans="1:15" ht="23.4" x14ac:dyDescent="0.3">
      <c r="A654" s="277" t="s">
        <v>110</v>
      </c>
      <c r="B654" s="957"/>
      <c r="C654" s="278" t="s">
        <v>391</v>
      </c>
      <c r="D654" s="278" t="s">
        <v>201</v>
      </c>
      <c r="E654" s="698">
        <v>12.9049</v>
      </c>
      <c r="F654" s="405">
        <f>IFERROR(E654*'01 Prod Physique Boites'!H649,"-")</f>
        <v>0</v>
      </c>
      <c r="G654" s="405">
        <f>IFERROR(E654*'01 Prod Physique Boites'!L649,"-")</f>
        <v>5828575.5143999998</v>
      </c>
      <c r="H654" s="388">
        <v>20.5</v>
      </c>
      <c r="I654" s="424">
        <f t="shared" si="409"/>
        <v>0</v>
      </c>
      <c r="J654" s="425">
        <f t="shared" si="410"/>
        <v>9258948</v>
      </c>
    </row>
    <row r="655" spans="1:15" ht="23.4" x14ac:dyDescent="0.3">
      <c r="A655" s="277" t="s">
        <v>110</v>
      </c>
      <c r="B655" s="957"/>
      <c r="C655" s="278" t="s">
        <v>319</v>
      </c>
      <c r="D655" s="278" t="s">
        <v>202</v>
      </c>
      <c r="E655" s="509">
        <v>13.078200000000001</v>
      </c>
      <c r="F655" s="405">
        <f>IFERROR(E655*'01 Prod Physique Boites'!H650,"-")</f>
        <v>0</v>
      </c>
      <c r="G655" s="405">
        <f>IFERROR(E655*'01 Prod Physique Boites'!L650,"-")</f>
        <v>0</v>
      </c>
      <c r="H655" s="388">
        <v>20.6</v>
      </c>
      <c r="I655" s="424">
        <f t="shared" si="409"/>
        <v>0</v>
      </c>
      <c r="J655" s="425">
        <f t="shared" si="410"/>
        <v>0</v>
      </c>
    </row>
    <row r="656" spans="1:15" ht="23.4" x14ac:dyDescent="0.3">
      <c r="A656" s="277" t="s">
        <v>110</v>
      </c>
      <c r="B656" s="957"/>
      <c r="C656" s="278" t="s">
        <v>358</v>
      </c>
      <c r="D656" s="278" t="s">
        <v>352</v>
      </c>
      <c r="E656" s="509">
        <v>13.1958</v>
      </c>
      <c r="F656" s="405">
        <f>IFERROR(E656*'01 Prod Physique Boites'!H651,"-")</f>
        <v>0</v>
      </c>
      <c r="G656" s="405">
        <f>IFERROR(E656*'01 Prod Physique Boites'!L651,"-")</f>
        <v>0</v>
      </c>
      <c r="H656" s="388">
        <v>21.28</v>
      </c>
      <c r="I656" s="424">
        <f t="shared" si="409"/>
        <v>0</v>
      </c>
      <c r="J656" s="425">
        <f t="shared" si="410"/>
        <v>0</v>
      </c>
    </row>
    <row r="657" spans="1:15" ht="23.4" x14ac:dyDescent="0.3">
      <c r="A657" s="277">
        <v>1</v>
      </c>
      <c r="B657" s="957"/>
      <c r="C657" s="278" t="s">
        <v>392</v>
      </c>
      <c r="D657" s="278" t="s">
        <v>203</v>
      </c>
      <c r="E657" s="698">
        <v>12.9049</v>
      </c>
      <c r="F657" s="405">
        <f>IFERROR(E657*'01 Prod Physique Boites'!H652,"-")</f>
        <v>0</v>
      </c>
      <c r="G657" s="405">
        <f>IFERROR(E657*'01 Prod Physique Boites'!L652,"-")</f>
        <v>0</v>
      </c>
      <c r="H657" s="677">
        <v>20.5</v>
      </c>
      <c r="I657" s="424">
        <f t="shared" si="409"/>
        <v>0</v>
      </c>
      <c r="J657" s="425">
        <f t="shared" si="410"/>
        <v>0</v>
      </c>
    </row>
    <row r="658" spans="1:15" ht="24" thickBot="1" x14ac:dyDescent="0.35">
      <c r="A658" s="277" t="s">
        <v>110</v>
      </c>
      <c r="B658" s="958"/>
      <c r="C658" s="282" t="s">
        <v>379</v>
      </c>
      <c r="D658" s="282" t="s">
        <v>187</v>
      </c>
      <c r="E658" s="505">
        <v>13.6509</v>
      </c>
      <c r="F658" s="405">
        <f>IFERROR(E658*'01 Prod Physique Boites'!H653,"-")</f>
        <v>0</v>
      </c>
      <c r="G658" s="405">
        <f>IFERROR(E658*'01 Prod Physique Boites'!L653,"-")</f>
        <v>0</v>
      </c>
      <c r="H658" s="390">
        <v>21.18</v>
      </c>
      <c r="I658" s="426">
        <f t="shared" si="409"/>
        <v>0</v>
      </c>
      <c r="J658" s="427">
        <f>IFERROR(H658*(G658/E658),"-")</f>
        <v>0</v>
      </c>
    </row>
    <row r="659" spans="1:15" ht="24" thickBot="1" x14ac:dyDescent="0.35">
      <c r="A659" s="277" t="s">
        <v>110</v>
      </c>
      <c r="B659" s="967" t="s">
        <v>48</v>
      </c>
      <c r="C659" s="968"/>
      <c r="D659" s="969"/>
      <c r="E659" s="393"/>
      <c r="F659" s="409">
        <f t="shared" ref="F659" si="411">SUM(F652:F658)</f>
        <v>1591530.4800000002</v>
      </c>
      <c r="G659" s="410">
        <f>SUM(G652:G658)</f>
        <v>11876391.338399999</v>
      </c>
      <c r="H659" s="394"/>
      <c r="I659" s="409">
        <f t="shared" ref="I659" si="412">SUM(I652:I658)</f>
        <v>2592432.0000000005</v>
      </c>
      <c r="J659" s="428">
        <f>SUM(J652:J658)</f>
        <v>19110189.600000001</v>
      </c>
      <c r="K659" s="757"/>
      <c r="L659" s="757"/>
      <c r="M659" s="757"/>
      <c r="N659" s="757"/>
      <c r="O659" s="757"/>
    </row>
    <row r="660" spans="1:15" ht="23.4" x14ac:dyDescent="0.3">
      <c r="A660" s="277" t="s">
        <v>110</v>
      </c>
      <c r="B660" s="956" t="s">
        <v>18</v>
      </c>
      <c r="C660" s="272" t="s">
        <v>344</v>
      </c>
      <c r="D660" s="272" t="s">
        <v>99</v>
      </c>
      <c r="E660" s="508">
        <v>17.8202</v>
      </c>
      <c r="F660" s="405">
        <f>IFERROR(E660*'01 Prod Physique Boites'!H655,"-")</f>
        <v>0</v>
      </c>
      <c r="G660" s="406">
        <f>IFERROR(E660*'01 Prod Physique Boites'!L655,"-")</f>
        <v>0</v>
      </c>
      <c r="H660" s="384">
        <v>24.93</v>
      </c>
      <c r="I660" s="422">
        <f t="shared" ref="I660:I666" si="413">IFERROR(H660*(F660/E660),"-")</f>
        <v>0</v>
      </c>
      <c r="J660" s="423">
        <f t="shared" ref="J660:J662" si="414">IFERROR(H660*(G660/E660),"-")</f>
        <v>0</v>
      </c>
    </row>
    <row r="661" spans="1:15" ht="23.4" x14ac:dyDescent="0.3">
      <c r="A661" s="277" t="s">
        <v>110</v>
      </c>
      <c r="B661" s="957"/>
      <c r="C661" s="278" t="s">
        <v>137</v>
      </c>
      <c r="D661" s="278"/>
      <c r="E661" s="509">
        <v>17.8202</v>
      </c>
      <c r="F661" s="405">
        <f>IFERROR(E661*'01 Prod Physique Boites'!H656,"-")</f>
        <v>0</v>
      </c>
      <c r="G661" s="406">
        <f>IFERROR(E661*'01 Prod Physique Boites'!L656,"-")</f>
        <v>0</v>
      </c>
      <c r="H661" s="388">
        <v>0</v>
      </c>
      <c r="I661" s="424">
        <f t="shared" si="413"/>
        <v>0</v>
      </c>
      <c r="J661" s="425">
        <f t="shared" si="414"/>
        <v>0</v>
      </c>
    </row>
    <row r="662" spans="1:15" ht="23.4" x14ac:dyDescent="0.3">
      <c r="A662" s="277" t="s">
        <v>110</v>
      </c>
      <c r="B662" s="957"/>
      <c r="C662" s="278" t="s">
        <v>122</v>
      </c>
      <c r="D662" s="278"/>
      <c r="E662" s="509">
        <v>16.4071</v>
      </c>
      <c r="F662" s="405">
        <f>IFERROR(E662*'01 Prod Physique Boites'!H657,"-")</f>
        <v>0</v>
      </c>
      <c r="G662" s="406">
        <f>IFERROR(E662*'01 Prod Physique Boites'!L657,"-")</f>
        <v>0</v>
      </c>
      <c r="H662" s="388">
        <v>0</v>
      </c>
      <c r="I662" s="424">
        <f t="shared" si="413"/>
        <v>0</v>
      </c>
      <c r="J662" s="425">
        <f t="shared" si="414"/>
        <v>0</v>
      </c>
    </row>
    <row r="663" spans="1:15" ht="23.4" x14ac:dyDescent="0.3">
      <c r="A663" s="277" t="s">
        <v>110</v>
      </c>
      <c r="B663" s="957"/>
      <c r="C663" s="278" t="s">
        <v>129</v>
      </c>
      <c r="D663" s="278"/>
      <c r="E663" s="509">
        <v>17.8202</v>
      </c>
      <c r="F663" s="405">
        <f>IFERROR(E663*'01 Prod Physique Boites'!H658,"-")</f>
        <v>0</v>
      </c>
      <c r="G663" s="406">
        <f>IFERROR(E663*'01 Prod Physique Boites'!L658,"-")</f>
        <v>0</v>
      </c>
      <c r="H663" s="388">
        <v>0</v>
      </c>
      <c r="I663" s="424">
        <f t="shared" si="413"/>
        <v>0</v>
      </c>
      <c r="J663" s="425">
        <f>IFERROR(H663*(G663/E663),"-")</f>
        <v>0</v>
      </c>
    </row>
    <row r="664" spans="1:15" ht="23.4" x14ac:dyDescent="0.3">
      <c r="A664" s="277" t="s">
        <v>110</v>
      </c>
      <c r="B664" s="957"/>
      <c r="C664" s="278" t="s">
        <v>189</v>
      </c>
      <c r="D664" s="278" t="s">
        <v>190</v>
      </c>
      <c r="E664" s="509">
        <v>17.8202</v>
      </c>
      <c r="F664" s="405">
        <f>IFERROR(E664*'01 Prod Physique Boites'!H659,"-")</f>
        <v>0</v>
      </c>
      <c r="G664" s="406">
        <f>IFERROR(E664*'01 Prod Physique Boites'!L659,"-")</f>
        <v>0</v>
      </c>
      <c r="H664" s="388">
        <v>0</v>
      </c>
      <c r="I664" s="424">
        <f t="shared" si="413"/>
        <v>0</v>
      </c>
      <c r="J664" s="425">
        <f t="shared" ref="J664:J666" si="415">IFERROR(H664*(G664/E664),"-")</f>
        <v>0</v>
      </c>
    </row>
    <row r="665" spans="1:15" ht="23.4" x14ac:dyDescent="0.3">
      <c r="A665" s="277" t="s">
        <v>110</v>
      </c>
      <c r="B665" s="957"/>
      <c r="C665" s="278" t="s">
        <v>192</v>
      </c>
      <c r="D665" s="278" t="s">
        <v>191</v>
      </c>
      <c r="E665" s="509">
        <v>16.7288</v>
      </c>
      <c r="F665" s="405">
        <f>IFERROR(E665*'01 Prod Physique Boites'!H660,"-")</f>
        <v>0</v>
      </c>
      <c r="G665" s="406">
        <f>IFERROR(E665*'01 Prod Physique Boites'!L660,"-")</f>
        <v>0</v>
      </c>
      <c r="H665" s="388">
        <v>0</v>
      </c>
      <c r="I665" s="424">
        <f t="shared" si="413"/>
        <v>0</v>
      </c>
      <c r="J665" s="425">
        <f t="shared" si="415"/>
        <v>0</v>
      </c>
    </row>
    <row r="666" spans="1:15" ht="24" thickBot="1" x14ac:dyDescent="0.35">
      <c r="A666" s="277" t="s">
        <v>110</v>
      </c>
      <c r="B666" s="958"/>
      <c r="C666" s="289" t="s">
        <v>193</v>
      </c>
      <c r="D666" s="289" t="s">
        <v>114</v>
      </c>
      <c r="E666" s="505">
        <v>17.8202</v>
      </c>
      <c r="F666" s="405">
        <f>IFERROR(E666*'01 Prod Physique Boites'!H661,"-")</f>
        <v>0</v>
      </c>
      <c r="G666" s="406">
        <f>IFERROR(E666*'01 Prod Physique Boites'!L661,"-")</f>
        <v>0</v>
      </c>
      <c r="H666" s="388">
        <v>0</v>
      </c>
      <c r="I666" s="426">
        <f t="shared" si="413"/>
        <v>0</v>
      </c>
      <c r="J666" s="427">
        <f t="shared" si="415"/>
        <v>0</v>
      </c>
    </row>
    <row r="667" spans="1:15" ht="24" thickBot="1" x14ac:dyDescent="0.35">
      <c r="A667" s="277" t="s">
        <v>110</v>
      </c>
      <c r="B667" s="967" t="s">
        <v>29</v>
      </c>
      <c r="C667" s="968"/>
      <c r="D667" s="969"/>
      <c r="E667" s="660"/>
      <c r="F667" s="661">
        <f t="shared" ref="F667:G667" si="416">SUM(F660:F666)</f>
        <v>0</v>
      </c>
      <c r="G667" s="410">
        <f t="shared" si="416"/>
        <v>0</v>
      </c>
      <c r="H667" s="394"/>
      <c r="I667" s="409">
        <f t="shared" ref="I667:J667" si="417">SUM(I660:I666)</f>
        <v>0</v>
      </c>
      <c r="J667" s="428">
        <f t="shared" si="417"/>
        <v>0</v>
      </c>
    </row>
    <row r="668" spans="1:15" ht="24" thickBot="1" x14ac:dyDescent="0.35">
      <c r="A668" s="277"/>
      <c r="B668" s="985" t="s">
        <v>19</v>
      </c>
      <c r="C668" s="662" t="s">
        <v>255</v>
      </c>
      <c r="D668" s="668" t="s">
        <v>190</v>
      </c>
      <c r="E668" s="669">
        <v>12.2659</v>
      </c>
      <c r="F668" s="670">
        <f>IFERROR(E668*'01 Prod Physique Boites'!H663,"-")</f>
        <v>0</v>
      </c>
      <c r="G668" s="671">
        <f>IFERROR(E668*'01 Prod Physique Boites'!L663,"-")</f>
        <v>0</v>
      </c>
      <c r="H668" s="665">
        <v>14.79</v>
      </c>
      <c r="I668" s="650">
        <f t="shared" ref="I668:I670" si="418">IFERROR(H668*(F668/E668),"-")</f>
        <v>0</v>
      </c>
      <c r="J668" s="650">
        <f>IFERROR(H668*(G668/E668),"-")</f>
        <v>0</v>
      </c>
    </row>
    <row r="669" spans="1:15" ht="24" thickBot="1" x14ac:dyDescent="0.35">
      <c r="A669" s="277"/>
      <c r="B669" s="986"/>
      <c r="C669" s="663" t="s">
        <v>399</v>
      </c>
      <c r="D669" s="672"/>
      <c r="E669" s="654">
        <v>12.2659</v>
      </c>
      <c r="F669" s="670">
        <f>IFERROR(E669*'01 Prod Physique Boites'!H664,"-")</f>
        <v>0</v>
      </c>
      <c r="G669" s="645">
        <f>IFERROR(E669*'01 Prod Physique Boites'!L664,"-")</f>
        <v>103622.3232</v>
      </c>
      <c r="H669" s="666">
        <v>14.55</v>
      </c>
      <c r="I669" s="655">
        <f t="shared" si="418"/>
        <v>0</v>
      </c>
      <c r="J669" s="655">
        <f>IFERROR(H669*(G669/E669),"-")</f>
        <v>122918.40000000001</v>
      </c>
    </row>
    <row r="670" spans="1:15" ht="24" thickBot="1" x14ac:dyDescent="0.35">
      <c r="A670" s="793" t="s">
        <v>110</v>
      </c>
      <c r="B670" s="987"/>
      <c r="C670" s="664" t="s">
        <v>380</v>
      </c>
      <c r="D670" s="673"/>
      <c r="E670" s="674">
        <v>0</v>
      </c>
      <c r="F670" s="670">
        <f>IFERROR(E670*'01 Prod Physique Boites'!H665,"-")</f>
        <v>0</v>
      </c>
      <c r="G670" s="676">
        <f>IFERROR(E670*'01 Prod Physique Boites'!L665,"-")</f>
        <v>0</v>
      </c>
      <c r="H670" s="667">
        <v>0</v>
      </c>
      <c r="I670" s="429" t="str">
        <f t="shared" si="418"/>
        <v>-</v>
      </c>
      <c r="J670" s="430" t="str">
        <f t="shared" ref="J670" si="419">IFERROR(I670*(G670/F670),"-")</f>
        <v>-</v>
      </c>
    </row>
    <row r="671" spans="1:15" ht="24" thickBot="1" x14ac:dyDescent="0.35">
      <c r="A671" s="277" t="s">
        <v>110</v>
      </c>
      <c r="B671" s="967" t="s">
        <v>49</v>
      </c>
      <c r="C671" s="968"/>
      <c r="D671" s="969"/>
      <c r="E671" s="393"/>
      <c r="F671" s="409">
        <f>SUM(F668:F670)</f>
        <v>0</v>
      </c>
      <c r="G671" s="409">
        <f>SUM(G668:G670)</f>
        <v>103622.3232</v>
      </c>
      <c r="H671" s="394"/>
      <c r="I671" s="409">
        <f t="shared" ref="I671" si="420">SUM(I670)</f>
        <v>0</v>
      </c>
      <c r="J671" s="428">
        <f>SUM(J668:J670)</f>
        <v>122918.40000000001</v>
      </c>
    </row>
    <row r="672" spans="1:15" ht="23.4" x14ac:dyDescent="0.3">
      <c r="A672" s="277" t="s">
        <v>110</v>
      </c>
      <c r="B672" s="956" t="s">
        <v>20</v>
      </c>
      <c r="C672" s="294" t="s">
        <v>351</v>
      </c>
      <c r="D672" s="294" t="s">
        <v>313</v>
      </c>
      <c r="E672" s="508">
        <v>26.032900000000001</v>
      </c>
      <c r="F672" s="405">
        <f>IFERROR(E672*'01 Prod Physique Boites'!H667,"-")</f>
        <v>0</v>
      </c>
      <c r="G672" s="406">
        <f>IFERROR(E672*'01 Prod Physique Boites'!L667,"-")</f>
        <v>0</v>
      </c>
      <c r="H672" s="384">
        <v>36.44</v>
      </c>
      <c r="I672" s="422">
        <f>IFERROR(H672*(F672/E672),"-")</f>
        <v>0</v>
      </c>
      <c r="J672" s="423">
        <f t="shared" ref="J672:J674" si="421">IFERROR(H672*(G672/E672),"-")</f>
        <v>0</v>
      </c>
    </row>
    <row r="673" spans="1:10" ht="23.4" x14ac:dyDescent="0.3">
      <c r="A673" s="277" t="s">
        <v>110</v>
      </c>
      <c r="B673" s="957"/>
      <c r="C673" s="295" t="s">
        <v>121</v>
      </c>
      <c r="D673" s="295"/>
      <c r="E673" s="387">
        <v>24.2607</v>
      </c>
      <c r="F673" s="405">
        <f>IFERROR(E673*'01 Prod Physique Boites'!H668,"-")</f>
        <v>0</v>
      </c>
      <c r="G673" s="406">
        <f>IFERROR(E673*'01 Prod Physique Boites'!L668,"-")</f>
        <v>0</v>
      </c>
      <c r="H673" s="388">
        <v>37.369999999999997</v>
      </c>
      <c r="I673" s="424">
        <f>IFERROR(H673*(F673/E673),"-")</f>
        <v>0</v>
      </c>
      <c r="J673" s="425">
        <f t="shared" si="421"/>
        <v>0</v>
      </c>
    </row>
    <row r="674" spans="1:10" ht="24" thickBot="1" x14ac:dyDescent="0.35">
      <c r="A674" s="277" t="s">
        <v>110</v>
      </c>
      <c r="B674" s="958"/>
      <c r="C674" s="296" t="s">
        <v>127</v>
      </c>
      <c r="D674" s="296"/>
      <c r="E674" s="389">
        <v>26.035799999999998</v>
      </c>
      <c r="F674" s="405">
        <f>IFERROR(E674*'01 Prod Physique Boites'!H669,"-")</f>
        <v>0</v>
      </c>
      <c r="G674" s="406">
        <f>IFERROR(E674*'01 Prod Physique Boites'!L669,"-")</f>
        <v>0</v>
      </c>
      <c r="H674" s="390">
        <v>37.11</v>
      </c>
      <c r="I674" s="426">
        <f>IFERROR(H674*(F674/E674),"-")</f>
        <v>0</v>
      </c>
      <c r="J674" s="427">
        <f t="shared" si="421"/>
        <v>0</v>
      </c>
    </row>
    <row r="675" spans="1:10" ht="24" thickBot="1" x14ac:dyDescent="0.35">
      <c r="A675" s="277" t="s">
        <v>110</v>
      </c>
      <c r="B675" s="968" t="s">
        <v>50</v>
      </c>
      <c r="C675" s="968"/>
      <c r="D675" s="989"/>
      <c r="E675" s="393"/>
      <c r="F675" s="409">
        <f t="shared" ref="F675:G675" si="422">SUM(F672:F674)</f>
        <v>0</v>
      </c>
      <c r="G675" s="410">
        <f t="shared" si="422"/>
        <v>0</v>
      </c>
      <c r="H675" s="394"/>
      <c r="I675" s="409">
        <f t="shared" ref="I675:J675" si="423">SUM(I672:I674)</f>
        <v>0</v>
      </c>
      <c r="J675" s="428">
        <f t="shared" si="423"/>
        <v>0</v>
      </c>
    </row>
    <row r="676" spans="1:10" ht="24" thickBot="1" x14ac:dyDescent="0.35">
      <c r="A676" s="277" t="s">
        <v>110</v>
      </c>
      <c r="B676" s="981" t="s">
        <v>21</v>
      </c>
      <c r="C676" s="982"/>
      <c r="D676" s="983"/>
      <c r="E676" s="396"/>
      <c r="F676" s="413">
        <f>+F651+F659+F667+F671+F675</f>
        <v>2325485.3547</v>
      </c>
      <c r="G676" s="414">
        <f>+G651+G659+G667+G671+G675</f>
        <v>17530521.976299997</v>
      </c>
      <c r="H676" s="397"/>
      <c r="I676" s="413">
        <f>+I651+I659+I667+I671+I675</f>
        <v>2592432.0000000005</v>
      </c>
      <c r="J676" s="431">
        <f>+J651+J659+J667+J671+J675</f>
        <v>22075783.199999999</v>
      </c>
    </row>
    <row r="677" spans="1:10" ht="23.4" x14ac:dyDescent="0.3">
      <c r="A677" s="277" t="s">
        <v>110</v>
      </c>
      <c r="B677" s="956" t="s">
        <v>22</v>
      </c>
      <c r="C677" s="272" t="s">
        <v>132</v>
      </c>
      <c r="D677" s="272"/>
      <c r="E677" s="383">
        <v>22.820599999999999</v>
      </c>
      <c r="F677" s="405">
        <f>IFERROR(E677*'01 Prod Physique Boites'!H672,"-")</f>
        <v>0</v>
      </c>
      <c r="G677" s="406">
        <f>IFERROR(E677*'01 Prod Physique Boites'!L672,"-")</f>
        <v>0</v>
      </c>
      <c r="H677" s="384">
        <v>27.5</v>
      </c>
      <c r="I677" s="422">
        <f>IFERROR(H677*(F677/E677),"-")</f>
        <v>0</v>
      </c>
      <c r="J677" s="423">
        <f t="shared" ref="J677:J680" si="424">IFERROR(H677*(G677/E677),"-")</f>
        <v>0</v>
      </c>
    </row>
    <row r="678" spans="1:10" ht="23.4" x14ac:dyDescent="0.3">
      <c r="A678" s="277" t="s">
        <v>110</v>
      </c>
      <c r="B678" s="957"/>
      <c r="C678" s="298" t="s">
        <v>283</v>
      </c>
      <c r="D678" s="298" t="s">
        <v>194</v>
      </c>
      <c r="E678" s="387">
        <v>23.570699999999999</v>
      </c>
      <c r="F678" s="405">
        <f>IFERROR(E678*'01 Prod Physique Boites'!H673,"-")</f>
        <v>0</v>
      </c>
      <c r="G678" s="406">
        <f>IFERROR(E678*'01 Prod Physique Boites'!L673,"-")</f>
        <v>0</v>
      </c>
      <c r="H678" s="388">
        <v>27.5</v>
      </c>
      <c r="I678" s="424">
        <f>IFERROR(H678*(F678/E678),"-")</f>
        <v>0</v>
      </c>
      <c r="J678" s="425">
        <f t="shared" si="424"/>
        <v>0</v>
      </c>
    </row>
    <row r="679" spans="1:10" ht="23.4" x14ac:dyDescent="0.3">
      <c r="A679" s="277" t="s">
        <v>110</v>
      </c>
      <c r="B679" s="957"/>
      <c r="C679" s="298" t="s">
        <v>405</v>
      </c>
      <c r="D679" s="298" t="s">
        <v>194</v>
      </c>
      <c r="E679" s="387">
        <v>22.820599999999999</v>
      </c>
      <c r="F679" s="405">
        <f>IFERROR(E679*'01 Prod Physique Boites'!H674,"-")</f>
        <v>45184.788</v>
      </c>
      <c r="G679" s="406">
        <f>IFERROR(E679*'01 Prod Physique Boites'!L674,"-")</f>
        <v>7545859.5959999999</v>
      </c>
      <c r="H679" s="388">
        <v>27.5</v>
      </c>
      <c r="I679" s="424">
        <f>IFERROR(H679*(F679/E679),"-")</f>
        <v>54450.000000000007</v>
      </c>
      <c r="J679" s="425">
        <f t="shared" si="424"/>
        <v>9093150</v>
      </c>
    </row>
    <row r="680" spans="1:10" ht="24" thickBot="1" x14ac:dyDescent="0.35">
      <c r="A680" s="277" t="s">
        <v>110</v>
      </c>
      <c r="B680" s="958"/>
      <c r="C680" s="282" t="s">
        <v>195</v>
      </c>
      <c r="D680" s="282" t="s">
        <v>100</v>
      </c>
      <c r="E680" s="389">
        <v>23.5685</v>
      </c>
      <c r="F680" s="405">
        <f>IFERROR(E680*'01 Prod Physique Boites'!H675,"-")</f>
        <v>0</v>
      </c>
      <c r="G680" s="406">
        <f>IFERROR(E680*'01 Prod Physique Boites'!L675,"-")</f>
        <v>0</v>
      </c>
      <c r="H680" s="390">
        <v>24</v>
      </c>
      <c r="I680" s="426">
        <f>IFERROR(H680*(F680/E680),"-")</f>
        <v>0</v>
      </c>
      <c r="J680" s="427">
        <f t="shared" si="424"/>
        <v>0</v>
      </c>
    </row>
    <row r="681" spans="1:10" ht="24" thickBot="1" x14ac:dyDescent="0.35">
      <c r="A681" s="277" t="s">
        <v>110</v>
      </c>
      <c r="B681" s="967" t="s">
        <v>51</v>
      </c>
      <c r="C681" s="968"/>
      <c r="D681" s="969"/>
      <c r="E681" s="393"/>
      <c r="F681" s="409">
        <f t="shared" ref="F681:G681" si="425">SUM(F677:F680)</f>
        <v>45184.788</v>
      </c>
      <c r="G681" s="410">
        <f t="shared" si="425"/>
        <v>7545859.5959999999</v>
      </c>
      <c r="H681" s="394"/>
      <c r="I681" s="409">
        <f t="shared" ref="I681:J681" si="426">SUM(I677:I680)</f>
        <v>54450.000000000007</v>
      </c>
      <c r="J681" s="428">
        <f t="shared" si="426"/>
        <v>9093150</v>
      </c>
    </row>
    <row r="682" spans="1:10" ht="23.4" x14ac:dyDescent="0.3">
      <c r="A682" s="277" t="s">
        <v>110</v>
      </c>
      <c r="B682" s="956" t="s">
        <v>23</v>
      </c>
      <c r="C682" s="299" t="s">
        <v>337</v>
      </c>
      <c r="D682" s="299" t="s">
        <v>258</v>
      </c>
      <c r="E682" s="383">
        <v>101.4935</v>
      </c>
      <c r="F682" s="405">
        <f>IFERROR(E682*'01 Prod Physique Boites'!H677,"-")</f>
        <v>0</v>
      </c>
      <c r="G682" s="406">
        <f>IFERROR(E682*'01 Prod Physique Boites'!L677,"-")</f>
        <v>0</v>
      </c>
      <c r="H682" s="388">
        <v>160.44999999999999</v>
      </c>
      <c r="I682" s="422">
        <f t="shared" ref="I682:I689" si="427">IFERROR(H682*(F682/E682),"-")</f>
        <v>0</v>
      </c>
      <c r="J682" s="423">
        <f t="shared" ref="J682:J689" si="428">IFERROR(H682*(G682/E682),"-")</f>
        <v>0</v>
      </c>
    </row>
    <row r="683" spans="1:10" ht="23.4" x14ac:dyDescent="0.3">
      <c r="A683" s="277" t="s">
        <v>110</v>
      </c>
      <c r="B683" s="957"/>
      <c r="C683" s="278" t="s">
        <v>24</v>
      </c>
      <c r="D683" s="278" t="s">
        <v>258</v>
      </c>
      <c r="E683" s="387">
        <v>101.4935</v>
      </c>
      <c r="F683" s="405">
        <f>IFERROR(E683*'01 Prod Physique Boites'!H678,"-")</f>
        <v>0</v>
      </c>
      <c r="G683" s="406">
        <f>IFERROR(E683*'01 Prod Physique Boites'!L678,"-")</f>
        <v>0</v>
      </c>
      <c r="H683" s="388">
        <v>160.44999999999999</v>
      </c>
      <c r="I683" s="424">
        <f t="shared" si="427"/>
        <v>0</v>
      </c>
      <c r="J683" s="425">
        <f t="shared" si="428"/>
        <v>0</v>
      </c>
    </row>
    <row r="684" spans="1:10" ht="23.4" x14ac:dyDescent="0.3">
      <c r="A684" s="277" t="s">
        <v>110</v>
      </c>
      <c r="B684" s="957"/>
      <c r="C684" s="278" t="s">
        <v>256</v>
      </c>
      <c r="D684" s="278" t="s">
        <v>258</v>
      </c>
      <c r="E684" s="387">
        <v>101.4935</v>
      </c>
      <c r="F684" s="405">
        <f>IFERROR(E684*'01 Prod Physique Boites'!H679,"-")</f>
        <v>0</v>
      </c>
      <c r="G684" s="406">
        <f>IFERROR(E684*'01 Prod Physique Boites'!L679,"-")</f>
        <v>0</v>
      </c>
      <c r="H684" s="388">
        <v>160.44999999999999</v>
      </c>
      <c r="I684" s="424">
        <f t="shared" si="427"/>
        <v>0</v>
      </c>
      <c r="J684" s="425">
        <f t="shared" si="428"/>
        <v>0</v>
      </c>
    </row>
    <row r="685" spans="1:10" ht="23.4" x14ac:dyDescent="0.3">
      <c r="A685" s="277" t="s">
        <v>110</v>
      </c>
      <c r="B685" s="957"/>
      <c r="C685" s="278" t="s">
        <v>257</v>
      </c>
      <c r="D685" s="278" t="s">
        <v>258</v>
      </c>
      <c r="E685" s="387">
        <v>101.4935</v>
      </c>
      <c r="F685" s="405">
        <f>IFERROR(E685*'01 Prod Physique Boites'!H680,"-")</f>
        <v>0</v>
      </c>
      <c r="G685" s="406">
        <f>IFERROR(E685*'01 Prod Physique Boites'!L680,"-")</f>
        <v>0</v>
      </c>
      <c r="H685" s="388">
        <v>160.44999999999999</v>
      </c>
      <c r="I685" s="424">
        <f t="shared" si="427"/>
        <v>0</v>
      </c>
      <c r="J685" s="425">
        <f t="shared" si="428"/>
        <v>0</v>
      </c>
    </row>
    <row r="686" spans="1:10" ht="23.4" x14ac:dyDescent="0.3">
      <c r="A686" s="277" t="s">
        <v>110</v>
      </c>
      <c r="B686" s="957"/>
      <c r="C686" s="298" t="s">
        <v>259</v>
      </c>
      <c r="D686" s="278" t="s">
        <v>258</v>
      </c>
      <c r="E686" s="387">
        <v>101.4935</v>
      </c>
      <c r="F686" s="405">
        <f>IFERROR(E686*'01 Prod Physique Boites'!H681,"-")</f>
        <v>0</v>
      </c>
      <c r="G686" s="406">
        <f>IFERROR(E686*'01 Prod Physique Boites'!L681,"-")</f>
        <v>0</v>
      </c>
      <c r="H686" s="388">
        <v>160.44999999999999</v>
      </c>
      <c r="I686" s="424">
        <f t="shared" si="427"/>
        <v>0</v>
      </c>
      <c r="J686" s="425">
        <f t="shared" si="428"/>
        <v>0</v>
      </c>
    </row>
    <row r="687" spans="1:10" ht="23.4" x14ac:dyDescent="0.3">
      <c r="A687" s="277" t="s">
        <v>110</v>
      </c>
      <c r="B687" s="957"/>
      <c r="C687" s="298" t="s">
        <v>260</v>
      </c>
      <c r="D687" s="278" t="s">
        <v>258</v>
      </c>
      <c r="E687" s="387">
        <v>101.4935</v>
      </c>
      <c r="F687" s="405">
        <f>IFERROR(E687*'01 Prod Physique Boites'!H682,"-")</f>
        <v>0</v>
      </c>
      <c r="G687" s="406">
        <f>IFERROR(E687*'01 Prod Physique Boites'!L682,"-")</f>
        <v>0</v>
      </c>
      <c r="H687" s="388">
        <v>160.44999999999999</v>
      </c>
      <c r="I687" s="424">
        <f t="shared" si="427"/>
        <v>0</v>
      </c>
      <c r="J687" s="425">
        <f t="shared" si="428"/>
        <v>0</v>
      </c>
    </row>
    <row r="688" spans="1:10" ht="23.4" x14ac:dyDescent="0.3">
      <c r="A688" s="277" t="s">
        <v>110</v>
      </c>
      <c r="B688" s="957"/>
      <c r="C688" s="298" t="s">
        <v>261</v>
      </c>
      <c r="D688" s="278" t="s">
        <v>263</v>
      </c>
      <c r="E688" s="387">
        <v>101.4935</v>
      </c>
      <c r="F688" s="405">
        <f>IFERROR(E688*'01 Prod Physique Boites'!H683,"-")</f>
        <v>0</v>
      </c>
      <c r="G688" s="406">
        <f>IFERROR(E688*'01 Prod Physique Boites'!L683,"-")</f>
        <v>2384082.3149999999</v>
      </c>
      <c r="H688" s="388">
        <v>160.44999999999999</v>
      </c>
      <c r="I688" s="424">
        <f t="shared" si="427"/>
        <v>0</v>
      </c>
      <c r="J688" s="425">
        <f t="shared" si="428"/>
        <v>3768970.4999999995</v>
      </c>
    </row>
    <row r="689" spans="1:10" ht="24" thickBot="1" x14ac:dyDescent="0.35">
      <c r="A689" s="277" t="s">
        <v>110</v>
      </c>
      <c r="B689" s="958"/>
      <c r="C689" s="298" t="s">
        <v>262</v>
      </c>
      <c r="D689" s="278" t="s">
        <v>258</v>
      </c>
      <c r="E689" s="389">
        <v>101.4935</v>
      </c>
      <c r="F689" s="405">
        <f>IFERROR(E689*'01 Prod Physique Boites'!H684,"-")</f>
        <v>1420909</v>
      </c>
      <c r="G689" s="406">
        <f>IFERROR(E689*'01 Prod Physique Boites'!L684,"-")</f>
        <v>2613457.625</v>
      </c>
      <c r="H689" s="388">
        <v>160.44999999999999</v>
      </c>
      <c r="I689" s="426">
        <f t="shared" si="427"/>
        <v>2246300</v>
      </c>
      <c r="J689" s="427">
        <f t="shared" si="428"/>
        <v>4131587.4999999995</v>
      </c>
    </row>
    <row r="690" spans="1:10" ht="24" thickBot="1" x14ac:dyDescent="0.35">
      <c r="A690" s="277" t="s">
        <v>110</v>
      </c>
      <c r="B690" s="967" t="s">
        <v>52</v>
      </c>
      <c r="C690" s="968"/>
      <c r="D690" s="969"/>
      <c r="E690" s="393"/>
      <c r="F690" s="409">
        <f t="shared" ref="F690" si="429">SUM(F682:F689)</f>
        <v>1420909</v>
      </c>
      <c r="G690" s="410">
        <f>SUM(G682:G689)</f>
        <v>4997539.9399999995</v>
      </c>
      <c r="H690" s="394"/>
      <c r="I690" s="409">
        <f t="shared" ref="I690" si="430">SUM(I682:I689)</f>
        <v>2246300</v>
      </c>
      <c r="J690" s="428">
        <f>SUM(J682:J689)</f>
        <v>7900557.9999999991</v>
      </c>
    </row>
    <row r="691" spans="1:10" ht="24" thickBot="1" x14ac:dyDescent="0.35">
      <c r="A691" s="277" t="s">
        <v>110</v>
      </c>
      <c r="B691" s="981" t="s">
        <v>25</v>
      </c>
      <c r="C691" s="982"/>
      <c r="D691" s="983"/>
      <c r="E691" s="396"/>
      <c r="F691" s="413">
        <f t="shared" ref="F691" si="431">+F681+F690</f>
        <v>1466093.7879999999</v>
      </c>
      <c r="G691" s="414">
        <f>+G681+G690</f>
        <v>12543399.535999998</v>
      </c>
      <c r="H691" s="397"/>
      <c r="I691" s="413">
        <f t="shared" ref="I691:J691" si="432">+I681+I690</f>
        <v>2300750</v>
      </c>
      <c r="J691" s="431">
        <f t="shared" si="432"/>
        <v>16993708</v>
      </c>
    </row>
    <row r="692" spans="1:10" ht="24" thickBot="1" x14ac:dyDescent="0.35">
      <c r="A692" s="277" t="s">
        <v>110</v>
      </c>
      <c r="B692" s="984" t="s">
        <v>180</v>
      </c>
      <c r="C692" s="962"/>
      <c r="D692" s="963"/>
      <c r="E692" s="398"/>
      <c r="F692" s="415">
        <f t="shared" ref="F692" si="433">+F676+F691</f>
        <v>3791579.1426999997</v>
      </c>
      <c r="G692" s="416">
        <f>+G676+G691</f>
        <v>30073921.512299996</v>
      </c>
      <c r="H692" s="399"/>
      <c r="I692" s="415">
        <f t="shared" ref="I692:J692" si="434">+I676+I691</f>
        <v>4893182</v>
      </c>
      <c r="J692" s="432">
        <f t="shared" si="434"/>
        <v>39069491.200000003</v>
      </c>
    </row>
    <row r="693" spans="1:10" ht="23.4" x14ac:dyDescent="0.3">
      <c r="A693" s="271" t="s">
        <v>108</v>
      </c>
      <c r="B693" s="977" t="s">
        <v>26</v>
      </c>
      <c r="C693" s="300" t="s">
        <v>323</v>
      </c>
      <c r="D693" s="302" t="s">
        <v>190</v>
      </c>
      <c r="E693" s="508">
        <v>13.1272</v>
      </c>
      <c r="F693" s="405">
        <f>IFERROR(E693*'01 Prod Physique Boites'!H688,"-")</f>
        <v>0</v>
      </c>
      <c r="G693" s="406">
        <f>IFERROR(E693*'01 Prod Physique Boites'!L688,"-")</f>
        <v>0</v>
      </c>
      <c r="H693" s="384">
        <v>20.76</v>
      </c>
      <c r="I693" s="422">
        <f t="shared" ref="I693:I701" si="435">IFERROR(H693*(F693/E693),"-")</f>
        <v>0</v>
      </c>
      <c r="J693" s="644">
        <f t="shared" ref="J693:J701" si="436">IFERROR(H693*(G693/E693),"-")</f>
        <v>0</v>
      </c>
    </row>
    <row r="694" spans="1:10" ht="23.4" x14ac:dyDescent="0.3">
      <c r="A694" s="277" t="s">
        <v>108</v>
      </c>
      <c r="B694" s="977"/>
      <c r="C694" s="301" t="s">
        <v>196</v>
      </c>
      <c r="D694" s="301" t="s">
        <v>114</v>
      </c>
      <c r="E694" s="509">
        <v>14.608000000000001</v>
      </c>
      <c r="F694" s="405">
        <f>IFERROR(E694*'01 Prod Physique Boites'!H689,"-")</f>
        <v>0</v>
      </c>
      <c r="G694" s="406">
        <f>IFERROR(E694*'01 Prod Physique Boites'!L689,"-")</f>
        <v>0</v>
      </c>
      <c r="H694" s="388">
        <v>24.93</v>
      </c>
      <c r="I694" s="424">
        <f t="shared" si="435"/>
        <v>0</v>
      </c>
      <c r="J694" s="645">
        <f t="shared" si="436"/>
        <v>0</v>
      </c>
    </row>
    <row r="695" spans="1:10" ht="23.4" x14ac:dyDescent="0.3">
      <c r="A695" s="277" t="s">
        <v>108</v>
      </c>
      <c r="B695" s="977"/>
      <c r="C695" s="302" t="s">
        <v>27</v>
      </c>
      <c r="D695" s="302" t="s">
        <v>370</v>
      </c>
      <c r="E695" s="505">
        <v>17.8202</v>
      </c>
      <c r="F695" s="405">
        <f>IFERROR(E695*'01 Prod Physique Boites'!H690,"-")</f>
        <v>0</v>
      </c>
      <c r="G695" s="406">
        <f>IFERROR(E695*'01 Prod Physique Boites'!L690,"-")</f>
        <v>141777.51120000001</v>
      </c>
      <c r="H695" s="388">
        <v>21.22</v>
      </c>
      <c r="I695" s="424">
        <f t="shared" si="435"/>
        <v>0</v>
      </c>
      <c r="J695" s="645">
        <f t="shared" si="436"/>
        <v>168826.32</v>
      </c>
    </row>
    <row r="696" spans="1:10" ht="23.4" x14ac:dyDescent="0.3">
      <c r="A696" s="277" t="s">
        <v>108</v>
      </c>
      <c r="B696" s="977"/>
      <c r="C696" s="302" t="s">
        <v>27</v>
      </c>
      <c r="D696" s="302" t="s">
        <v>254</v>
      </c>
      <c r="E696" s="505">
        <v>17.8202</v>
      </c>
      <c r="F696" s="405">
        <f>IFERROR(E696*'01 Prod Physique Boites'!H691,"-")</f>
        <v>283555.02240000002</v>
      </c>
      <c r="G696" s="406">
        <f>IFERROR(E696*'01 Prod Physique Boites'!L691,"-")</f>
        <v>567110.04480000003</v>
      </c>
      <c r="H696" s="388">
        <v>24.93</v>
      </c>
      <c r="I696" s="424">
        <f t="shared" si="435"/>
        <v>396686.16000000003</v>
      </c>
      <c r="J696" s="645">
        <f t="shared" si="436"/>
        <v>793372.32000000007</v>
      </c>
    </row>
    <row r="697" spans="1:10" ht="23.4" x14ac:dyDescent="0.3">
      <c r="A697" s="277" t="s">
        <v>108</v>
      </c>
      <c r="B697" s="977"/>
      <c r="C697" s="302" t="s">
        <v>27</v>
      </c>
      <c r="D697" s="302" t="s">
        <v>302</v>
      </c>
      <c r="E697" s="505">
        <v>17.8202</v>
      </c>
      <c r="F697" s="405">
        <f>IFERROR(E697*'01 Prod Physique Boites'!H692,"-")</f>
        <v>0</v>
      </c>
      <c r="G697" s="406">
        <f>IFERROR(E697*'01 Prod Physique Boites'!L692,"-")</f>
        <v>0</v>
      </c>
      <c r="H697" s="388">
        <v>24.93</v>
      </c>
      <c r="I697" s="424">
        <f t="shared" si="435"/>
        <v>0</v>
      </c>
      <c r="J697" s="645">
        <f t="shared" si="436"/>
        <v>0</v>
      </c>
    </row>
    <row r="698" spans="1:10" ht="23.4" x14ac:dyDescent="0.3">
      <c r="A698" s="277"/>
      <c r="B698" s="977"/>
      <c r="C698" s="302" t="s">
        <v>369</v>
      </c>
      <c r="D698" s="302" t="s">
        <v>190</v>
      </c>
      <c r="E698" s="505">
        <v>17.8202</v>
      </c>
      <c r="F698" s="405">
        <f>IFERROR(E698*'01 Prod Physique Boites'!H693,"-")</f>
        <v>0</v>
      </c>
      <c r="G698" s="406">
        <f>IFERROR(E698*'01 Prod Physique Boites'!L693,"-")</f>
        <v>0</v>
      </c>
      <c r="H698" s="390">
        <v>21.22</v>
      </c>
      <c r="I698" s="424">
        <f t="shared" si="435"/>
        <v>0</v>
      </c>
      <c r="J698" s="646">
        <f t="shared" si="436"/>
        <v>0</v>
      </c>
    </row>
    <row r="699" spans="1:10" ht="23.4" x14ac:dyDescent="0.3">
      <c r="A699" s="277"/>
      <c r="B699" s="977"/>
      <c r="C699" s="302" t="s">
        <v>314</v>
      </c>
      <c r="D699" s="302" t="s">
        <v>101</v>
      </c>
      <c r="E699" s="505">
        <v>14.608000000000001</v>
      </c>
      <c r="F699" s="405">
        <f>IFERROR(E699*'01 Prod Physique Boites'!H694,"-")</f>
        <v>0</v>
      </c>
      <c r="G699" s="406">
        <f>IFERROR(E699*'01 Prod Physique Boites'!L694,"-")</f>
        <v>0</v>
      </c>
      <c r="H699" s="390">
        <v>24.93</v>
      </c>
      <c r="I699" s="426">
        <f t="shared" si="435"/>
        <v>0</v>
      </c>
      <c r="J699" s="646">
        <f t="shared" si="436"/>
        <v>0</v>
      </c>
    </row>
    <row r="700" spans="1:10" ht="23.4" x14ac:dyDescent="0.3">
      <c r="A700" s="277"/>
      <c r="B700" s="977"/>
      <c r="C700" s="302" t="s">
        <v>453</v>
      </c>
      <c r="D700" s="302" t="s">
        <v>454</v>
      </c>
      <c r="E700" s="773">
        <v>16.345199999999998</v>
      </c>
      <c r="F700" s="405">
        <f>IFERROR(E700*'01 Prod Physique Boites'!H695,"-")</f>
        <v>0</v>
      </c>
      <c r="G700" s="406">
        <f>IFERROR(E700*'01 Prod Physique Boites'!L695,"-")</f>
        <v>585190.8504</v>
      </c>
      <c r="H700" s="390">
        <v>23.78</v>
      </c>
      <c r="I700" s="426">
        <f t="shared" si="435"/>
        <v>0</v>
      </c>
      <c r="J700" s="646">
        <f t="shared" si="436"/>
        <v>851371.56</v>
      </c>
    </row>
    <row r="701" spans="1:10" ht="24" thickBot="1" x14ac:dyDescent="0.35">
      <c r="A701" s="277" t="s">
        <v>108</v>
      </c>
      <c r="B701" s="977"/>
      <c r="C701" s="303" t="s">
        <v>315</v>
      </c>
      <c r="D701" s="302" t="s">
        <v>313</v>
      </c>
      <c r="E701" s="505">
        <v>12.6997</v>
      </c>
      <c r="F701" s="405">
        <f>IFERROR(E701*'01 Prod Physique Boites'!H696,"-")</f>
        <v>101038.8132</v>
      </c>
      <c r="G701" s="406">
        <f>IFERROR(E701*'01 Prod Physique Boites'!L696,"-")</f>
        <v>101038.8132</v>
      </c>
      <c r="H701" s="390">
        <v>13.25</v>
      </c>
      <c r="I701" s="426">
        <f t="shared" si="435"/>
        <v>105417</v>
      </c>
      <c r="J701" s="646">
        <f t="shared" si="436"/>
        <v>105417</v>
      </c>
    </row>
    <row r="702" spans="1:10" ht="24" thickBot="1" x14ac:dyDescent="0.35">
      <c r="A702" s="277" t="s">
        <v>108</v>
      </c>
      <c r="B702" s="990"/>
      <c r="C702" s="304"/>
      <c r="D702" s="305" t="s">
        <v>55</v>
      </c>
      <c r="E702" s="393"/>
      <c r="F702" s="409">
        <f>SUM(F693:F701)</f>
        <v>384593.83559999999</v>
      </c>
      <c r="G702" s="410">
        <f t="shared" ref="G702" si="437">SUM(G693:G701)</f>
        <v>1395117.2196000002</v>
      </c>
      <c r="H702" s="394"/>
      <c r="I702" s="409">
        <f t="shared" ref="I702" si="438">SUM(I693:I701)</f>
        <v>502103.16000000003</v>
      </c>
      <c r="J702" s="428">
        <f>SUM(J693:J701)</f>
        <v>1918987.2000000002</v>
      </c>
    </row>
    <row r="703" spans="1:10" ht="23.4" x14ac:dyDescent="0.3">
      <c r="A703" s="277" t="s">
        <v>108</v>
      </c>
      <c r="B703" s="976" t="s">
        <v>28</v>
      </c>
      <c r="C703" s="302" t="s">
        <v>27</v>
      </c>
      <c r="D703" s="300" t="s">
        <v>302</v>
      </c>
      <c r="E703" s="508">
        <v>17.8202</v>
      </c>
      <c r="F703" s="405">
        <f>IFERROR(E703*'01 Prod Physique Boites'!H698,"-")</f>
        <v>0</v>
      </c>
      <c r="G703" s="406">
        <f>IFERROR(E703*'01 Prod Physique Boites'!L698,"-")</f>
        <v>70888.755600000004</v>
      </c>
      <c r="H703" s="384">
        <v>24.93</v>
      </c>
      <c r="I703" s="422">
        <f>IFERROR(H703*(F703/E703),"-")</f>
        <v>0</v>
      </c>
      <c r="J703" s="644">
        <f t="shared" ref="J703:J707" si="439">IFERROR(H703*(G703/E703),"-")</f>
        <v>99171.540000000008</v>
      </c>
    </row>
    <row r="704" spans="1:10" ht="23.4" x14ac:dyDescent="0.3">
      <c r="A704" s="277" t="s">
        <v>108</v>
      </c>
      <c r="B704" s="977"/>
      <c r="C704" s="302" t="s">
        <v>456</v>
      </c>
      <c r="D704" s="302" t="s">
        <v>370</v>
      </c>
      <c r="E704" s="773">
        <v>16.7288</v>
      </c>
      <c r="F704" s="405">
        <f>IFERROR(E704*'01 Prod Physique Boites'!H699,"-")</f>
        <v>61428.153599999998</v>
      </c>
      <c r="G704" s="406">
        <f>IFERROR(E704*'01 Prod Physique Boites'!L699,"-")</f>
        <v>1525465.8144</v>
      </c>
      <c r="H704" s="770">
        <v>20.76</v>
      </c>
      <c r="I704" s="424">
        <f>IFERROR(H704*(F704/E704),"-")</f>
        <v>76230.720000000001</v>
      </c>
      <c r="J704" s="645">
        <f t="shared" si="439"/>
        <v>1893062.8800000001</v>
      </c>
    </row>
    <row r="705" spans="1:10" ht="23.4" x14ac:dyDescent="0.3">
      <c r="A705" s="277" t="s">
        <v>108</v>
      </c>
      <c r="B705" s="977"/>
      <c r="C705" s="302" t="s">
        <v>455</v>
      </c>
      <c r="D705" s="302" t="s">
        <v>370</v>
      </c>
      <c r="E705" s="505">
        <v>17.8202</v>
      </c>
      <c r="F705" s="405">
        <f>IFERROR(E705*'01 Prod Physique Boites'!H700,"-")</f>
        <v>708887.55599999998</v>
      </c>
      <c r="G705" s="406">
        <f>IFERROR(E705*'01 Prod Physique Boites'!L700,"-")</f>
        <v>1134220.0896000001</v>
      </c>
      <c r="H705" s="388">
        <v>21.22</v>
      </c>
      <c r="I705" s="424">
        <f>IFERROR(H705*(F705/E705),"-")</f>
        <v>844131.6</v>
      </c>
      <c r="J705" s="645">
        <f t="shared" si="439"/>
        <v>1350610.56</v>
      </c>
    </row>
    <row r="706" spans="1:10" ht="23.4" x14ac:dyDescent="0.3">
      <c r="A706" s="277"/>
      <c r="B706" s="977"/>
      <c r="C706" s="302" t="s">
        <v>453</v>
      </c>
      <c r="D706" s="302" t="s">
        <v>454</v>
      </c>
      <c r="E706" s="773">
        <v>16.345199999999998</v>
      </c>
      <c r="F706" s="405">
        <f>IFERROR(E706*'01 Prod Physique Boites'!H701,"-")</f>
        <v>910296.87839999993</v>
      </c>
      <c r="G706" s="406">
        <f>IFERROR(E706*'01 Prod Physique Boites'!L701,"-")</f>
        <v>4031314.7471999996</v>
      </c>
      <c r="H706" s="388">
        <v>23.78</v>
      </c>
      <c r="I706" s="426">
        <f>IFERROR(H706*(F706/E706),"-")</f>
        <v>1324355.76</v>
      </c>
      <c r="J706" s="646">
        <f t="shared" si="439"/>
        <v>5865004.0800000001</v>
      </c>
    </row>
    <row r="707" spans="1:10" ht="24" thickBot="1" x14ac:dyDescent="0.35">
      <c r="A707" s="277" t="s">
        <v>108</v>
      </c>
      <c r="B707" s="977"/>
      <c r="C707" s="302" t="s">
        <v>27</v>
      </c>
      <c r="D707" s="303" t="s">
        <v>254</v>
      </c>
      <c r="E707" s="505">
        <v>17.8202</v>
      </c>
      <c r="F707" s="405">
        <f>IFERROR(E707*'01 Prod Physique Boites'!H702,"-")</f>
        <v>1630441.3788000001</v>
      </c>
      <c r="G707" s="406">
        <f>IFERROR(E707*'01 Prod Physique Boites'!L702,"-")</f>
        <v>12051088.452</v>
      </c>
      <c r="H707" s="388">
        <v>24.93</v>
      </c>
      <c r="I707" s="426">
        <f>IFERROR(H707*(F707/E707),"-")</f>
        <v>2280945.42</v>
      </c>
      <c r="J707" s="646">
        <f t="shared" si="439"/>
        <v>16859161.800000001</v>
      </c>
    </row>
    <row r="708" spans="1:10" ht="24" thickBot="1" x14ac:dyDescent="0.35">
      <c r="A708" s="277" t="s">
        <v>108</v>
      </c>
      <c r="B708" s="977"/>
      <c r="C708" s="307"/>
      <c r="D708" s="308" t="s">
        <v>55</v>
      </c>
      <c r="E708" s="400"/>
      <c r="F708" s="417">
        <f t="shared" ref="F708:G708" si="440">SUM(F703:F707)</f>
        <v>3311053.9668000001</v>
      </c>
      <c r="G708" s="418">
        <f t="shared" si="440"/>
        <v>18812977.858800001</v>
      </c>
      <c r="H708" s="401"/>
      <c r="I708" s="417">
        <f t="shared" ref="I708:J708" si="441">SUM(I703:I707)</f>
        <v>4525663.5</v>
      </c>
      <c r="J708" s="433">
        <f t="shared" si="441"/>
        <v>26067010.859999999</v>
      </c>
    </row>
    <row r="709" spans="1:10" ht="24" thickBot="1" x14ac:dyDescent="0.35">
      <c r="A709" s="793" t="s">
        <v>108</v>
      </c>
      <c r="B709" s="978" t="s">
        <v>170</v>
      </c>
      <c r="C709" s="979"/>
      <c r="D709" s="980"/>
      <c r="E709" s="402"/>
      <c r="F709" s="419">
        <f t="shared" ref="F709:G709" si="442">+F702+F708</f>
        <v>3695647.8023999999</v>
      </c>
      <c r="G709" s="420">
        <f t="shared" si="442"/>
        <v>20208095.078400001</v>
      </c>
      <c r="H709" s="403"/>
      <c r="I709" s="419">
        <f t="shared" ref="I709:J709" si="443">+I702+I708</f>
        <v>5027766.66</v>
      </c>
      <c r="J709" s="434">
        <f t="shared" si="443"/>
        <v>27985998.059999999</v>
      </c>
    </row>
    <row r="710" spans="1:10" ht="23.4" x14ac:dyDescent="0.3">
      <c r="A710" s="277" t="s">
        <v>108</v>
      </c>
      <c r="B710" s="977" t="s">
        <v>30</v>
      </c>
      <c r="C710" s="306" t="s">
        <v>356</v>
      </c>
      <c r="D710" s="300" t="s">
        <v>191</v>
      </c>
      <c r="E710" s="508">
        <v>15.2788</v>
      </c>
      <c r="F710" s="405">
        <f>IFERROR(E710*'01 Prod Physique Boites'!H705,"-")</f>
        <v>0</v>
      </c>
      <c r="G710" s="406">
        <f>IFERROR(E710*'01 Prod Physique Boites'!L705,"-")</f>
        <v>0</v>
      </c>
      <c r="H710" s="384">
        <v>23.65</v>
      </c>
      <c r="I710" s="422">
        <f>IFERROR(H710*(F710/E710),"-")</f>
        <v>0</v>
      </c>
      <c r="J710" s="423">
        <f t="shared" ref="J710:J712" si="444">IFERROR(H710*(G710/E710),"-")</f>
        <v>0</v>
      </c>
    </row>
    <row r="711" spans="1:10" ht="23.4" x14ac:dyDescent="0.3">
      <c r="A711" s="277" t="s">
        <v>108</v>
      </c>
      <c r="B711" s="977"/>
      <c r="C711" s="306" t="s">
        <v>349</v>
      </c>
      <c r="D711" s="306" t="s">
        <v>313</v>
      </c>
      <c r="E711" s="509">
        <v>22.6356</v>
      </c>
      <c r="F711" s="405">
        <f>IFERROR(E711*'01 Prod Physique Boites'!H706,"-")</f>
        <v>0</v>
      </c>
      <c r="G711" s="406">
        <f>IFERROR(E711*'01 Prod Physique Boites'!L706,"-")</f>
        <v>0</v>
      </c>
      <c r="H711" s="388">
        <v>34.26</v>
      </c>
      <c r="I711" s="424">
        <f>IFERROR(H711*(F711/E711),"-")</f>
        <v>0</v>
      </c>
      <c r="J711" s="425">
        <f t="shared" si="444"/>
        <v>0</v>
      </c>
    </row>
    <row r="712" spans="1:10" ht="24" thickBot="1" x14ac:dyDescent="0.35">
      <c r="A712" s="277" t="s">
        <v>108</v>
      </c>
      <c r="B712" s="977"/>
      <c r="C712" s="303" t="s">
        <v>316</v>
      </c>
      <c r="D712" s="303"/>
      <c r="E712" s="505">
        <v>25.751300000000001</v>
      </c>
      <c r="F712" s="405">
        <f>IFERROR(E712*'01 Prod Physique Boites'!H707,"-")</f>
        <v>1831844.4768000001</v>
      </c>
      <c r="G712" s="406">
        <f>IFERROR(E712*'01 Prod Physique Boites'!L707,"-")</f>
        <v>3422656.7856000001</v>
      </c>
      <c r="H712" s="390">
        <v>37.89</v>
      </c>
      <c r="I712" s="426">
        <f>IFERROR(H712*(F712/E712),"-")</f>
        <v>2695343.04</v>
      </c>
      <c r="J712" s="427">
        <f t="shared" si="444"/>
        <v>5036035.68</v>
      </c>
    </row>
    <row r="713" spans="1:10" ht="24" thickBot="1" x14ac:dyDescent="0.35">
      <c r="A713" s="277" t="s">
        <v>108</v>
      </c>
      <c r="B713" s="977"/>
      <c r="C713" s="304"/>
      <c r="D713" s="305" t="s">
        <v>53</v>
      </c>
      <c r="E713" s="393"/>
      <c r="F713" s="409">
        <f t="shared" ref="F713:G713" si="445">SUM(F710:F712)</f>
        <v>1831844.4768000001</v>
      </c>
      <c r="G713" s="410">
        <f t="shared" si="445"/>
        <v>3422656.7856000001</v>
      </c>
      <c r="H713" s="394"/>
      <c r="I713" s="409">
        <f t="shared" ref="I713" si="446">SUM(I710:I712)</f>
        <v>2695343.04</v>
      </c>
      <c r="J713" s="428">
        <f>SUM(J710:J712)</f>
        <v>5036035.68</v>
      </c>
    </row>
    <row r="714" spans="1:10" ht="23.4" x14ac:dyDescent="0.3">
      <c r="A714" s="277" t="s">
        <v>108</v>
      </c>
      <c r="B714" s="977"/>
      <c r="C714" s="300" t="s">
        <v>339</v>
      </c>
      <c r="D714" s="300"/>
      <c r="E714" s="508">
        <v>22.094999999999999</v>
      </c>
      <c r="F714" s="405">
        <f>IFERROR(E714*'01 Prod Physique Boites'!H709,"-")</f>
        <v>0</v>
      </c>
      <c r="G714" s="406">
        <f>IFERROR(E714*'01 Prod Physique Boites'!L709,"-")</f>
        <v>0</v>
      </c>
      <c r="H714" s="384">
        <v>37.11</v>
      </c>
      <c r="I714" s="422">
        <f>IFERROR(H714*(F714/E714),"-")</f>
        <v>0</v>
      </c>
      <c r="J714" s="423">
        <f t="shared" ref="J714:J716" si="447">IFERROR(H714*(G714/E714),"-")</f>
        <v>0</v>
      </c>
    </row>
    <row r="715" spans="1:10" ht="23.4" x14ac:dyDescent="0.3">
      <c r="A715" s="277" t="s">
        <v>108</v>
      </c>
      <c r="B715" s="977"/>
      <c r="C715" s="306" t="s">
        <v>373</v>
      </c>
      <c r="D715" s="306" t="s">
        <v>254</v>
      </c>
      <c r="E715" s="509">
        <v>27.917000000000002</v>
      </c>
      <c r="F715" s="405">
        <f>IFERROR(E715*'01 Prod Physique Boites'!H710,"-")</f>
        <v>0</v>
      </c>
      <c r="G715" s="406">
        <f>IFERROR(E715*'01 Prod Physique Boites'!L710,"-")</f>
        <v>261303.12000000002</v>
      </c>
      <c r="H715" s="388">
        <v>39</v>
      </c>
      <c r="I715" s="424">
        <f>IFERROR(H715*(F715/E715),"-")</f>
        <v>0</v>
      </c>
      <c r="J715" s="425">
        <f t="shared" si="447"/>
        <v>365040</v>
      </c>
    </row>
    <row r="716" spans="1:10" ht="24" thickBot="1" x14ac:dyDescent="0.35">
      <c r="A716" s="277" t="s">
        <v>108</v>
      </c>
      <c r="B716" s="977"/>
      <c r="C716" s="303" t="s">
        <v>145</v>
      </c>
      <c r="D716" s="303"/>
      <c r="E716" s="505">
        <v>25.4041</v>
      </c>
      <c r="F716" s="405">
        <f>IFERROR(E716*'01 Prod Physique Boites'!H711,"-")</f>
        <v>0</v>
      </c>
      <c r="G716" s="406">
        <f>IFERROR(E716*'01 Prod Physique Boites'!L711,"-")</f>
        <v>0</v>
      </c>
      <c r="H716" s="390">
        <v>28.21</v>
      </c>
      <c r="I716" s="426">
        <f>IFERROR(H716*(F716/E716),"-")</f>
        <v>0</v>
      </c>
      <c r="J716" s="427">
        <f t="shared" si="447"/>
        <v>0</v>
      </c>
    </row>
    <row r="717" spans="1:10" ht="24" thickBot="1" x14ac:dyDescent="0.35">
      <c r="A717" s="277" t="s">
        <v>108</v>
      </c>
      <c r="B717" s="977"/>
      <c r="C717" s="307"/>
      <c r="D717" s="308" t="s">
        <v>54</v>
      </c>
      <c r="E717" s="400"/>
      <c r="F717" s="417">
        <f t="shared" ref="F717:G717" si="448">SUM(F714:F716)</f>
        <v>0</v>
      </c>
      <c r="G717" s="418">
        <f t="shared" si="448"/>
        <v>261303.12000000002</v>
      </c>
      <c r="H717" s="401"/>
      <c r="I717" s="417">
        <f t="shared" ref="I717" si="449">SUM(I714:I716)</f>
        <v>0</v>
      </c>
      <c r="J717" s="433">
        <f>SUM(J714:J716)</f>
        <v>365040</v>
      </c>
    </row>
    <row r="718" spans="1:10" ht="24" thickBot="1" x14ac:dyDescent="0.35">
      <c r="A718" s="277" t="s">
        <v>108</v>
      </c>
      <c r="B718" s="978" t="s">
        <v>171</v>
      </c>
      <c r="C718" s="979"/>
      <c r="D718" s="980"/>
      <c r="E718" s="402"/>
      <c r="F718" s="419">
        <f t="shared" ref="F718:G718" si="450">+F713+F717</f>
        <v>1831844.4768000001</v>
      </c>
      <c r="G718" s="420">
        <f t="shared" si="450"/>
        <v>3683959.9056000002</v>
      </c>
      <c r="H718" s="403"/>
      <c r="I718" s="419">
        <f t="shared" ref="I718:J718" si="451">+I713+I717</f>
        <v>2695343.04</v>
      </c>
      <c r="J718" s="434">
        <f t="shared" si="451"/>
        <v>5401075.6799999997</v>
      </c>
    </row>
    <row r="719" spans="1:10" ht="24" thickBot="1" x14ac:dyDescent="0.35">
      <c r="A719" s="277" t="s">
        <v>108</v>
      </c>
      <c r="B719" s="609" t="s">
        <v>32</v>
      </c>
      <c r="C719" s="788"/>
      <c r="D719" s="313"/>
      <c r="E719" s="510">
        <v>12.2659</v>
      </c>
      <c r="F719" s="411">
        <f>IFERROR(E719*'01 Prod Physique Boites'!H714,"-")</f>
        <v>0</v>
      </c>
      <c r="G719" s="412">
        <f>IFERROR(E719*'01 Prod Physique Boites'!L714,"-")</f>
        <v>0</v>
      </c>
      <c r="H719" s="395"/>
      <c r="I719" s="429">
        <f>IFERROR(H719*(F719/E719),"-")</f>
        <v>0</v>
      </c>
      <c r="J719" s="430">
        <f>IFERROR(H719*(G719/E719),"-")</f>
        <v>0</v>
      </c>
    </row>
    <row r="720" spans="1:10" ht="24" thickBot="1" x14ac:dyDescent="0.35">
      <c r="A720" s="277" t="s">
        <v>108</v>
      </c>
      <c r="B720" s="981" t="s">
        <v>21</v>
      </c>
      <c r="C720" s="982"/>
      <c r="D720" s="983"/>
      <c r="E720" s="396"/>
      <c r="F720" s="413">
        <f t="shared" ref="F720" si="452">+F709+F718+F719</f>
        <v>5527492.2791999998</v>
      </c>
      <c r="G720" s="414">
        <f>+G709+G718+G719</f>
        <v>23892054.984000001</v>
      </c>
      <c r="H720" s="397"/>
      <c r="I720" s="413">
        <f t="shared" ref="I720:J720" si="453">+I709+I718+I719</f>
        <v>7723109.7000000002</v>
      </c>
      <c r="J720" s="431">
        <f t="shared" si="453"/>
        <v>33387073.739999998</v>
      </c>
    </row>
    <row r="721" spans="1:10" ht="24" thickBot="1" x14ac:dyDescent="0.35">
      <c r="A721" s="277" t="s">
        <v>108</v>
      </c>
      <c r="B721" s="984" t="s">
        <v>179</v>
      </c>
      <c r="C721" s="962"/>
      <c r="D721" s="963"/>
      <c r="E721" s="398"/>
      <c r="F721" s="415">
        <f t="shared" ref="F721:G721" si="454">+F720</f>
        <v>5527492.2791999998</v>
      </c>
      <c r="G721" s="416">
        <f t="shared" si="454"/>
        <v>23892054.984000001</v>
      </c>
      <c r="H721" s="399"/>
      <c r="I721" s="415">
        <f t="shared" ref="I721:J721" si="455">+I720</f>
        <v>7723109.7000000002</v>
      </c>
      <c r="J721" s="432">
        <f t="shared" si="455"/>
        <v>33387073.739999998</v>
      </c>
    </row>
    <row r="722" spans="1:10" ht="23.4" x14ac:dyDescent="0.3">
      <c r="A722" s="271" t="s">
        <v>109</v>
      </c>
      <c r="B722" s="970" t="s">
        <v>33</v>
      </c>
      <c r="C722" s="314" t="s">
        <v>120</v>
      </c>
      <c r="D722" s="314"/>
      <c r="E722" s="771">
        <v>254.89750000000001</v>
      </c>
      <c r="F722" s="405">
        <f>IFERROR(E722*'01 Prod Physique Boites'!H717,"-")</f>
        <v>0</v>
      </c>
      <c r="G722" s="406">
        <f>IFERROR(E722*'01 Prod Physique Boites'!L717,"-")</f>
        <v>0</v>
      </c>
      <c r="H722" s="384">
        <v>445.38</v>
      </c>
      <c r="I722" s="422">
        <f>IFERROR(H722*(F722/E722),"-")</f>
        <v>0</v>
      </c>
      <c r="J722" s="423">
        <f t="shared" ref="J722:J724" si="456">IFERROR(H722*(G722/E722),"-")</f>
        <v>0</v>
      </c>
    </row>
    <row r="723" spans="1:10" ht="23.4" x14ac:dyDescent="0.3">
      <c r="A723" s="277" t="s">
        <v>109</v>
      </c>
      <c r="B723" s="972"/>
      <c r="C723" s="315" t="s">
        <v>267</v>
      </c>
      <c r="D723" s="315"/>
      <c r="E723" s="507">
        <v>246.51390000000001</v>
      </c>
      <c r="F723" s="405">
        <f>IFERROR(E723*'01 Prod Physique Boites'!H718,"-")</f>
        <v>315537.79200000002</v>
      </c>
      <c r="G723" s="406">
        <f>IFERROR(E723*'01 Prod Physique Boites'!L718,"-")</f>
        <v>2997609.0240000002</v>
      </c>
      <c r="H723" s="388">
        <v>430.02</v>
      </c>
      <c r="I723" s="424">
        <f>IFERROR(H723*(F723/E723),"-")</f>
        <v>550425.59999999998</v>
      </c>
      <c r="J723" s="425">
        <f t="shared" si="456"/>
        <v>5229043.2</v>
      </c>
    </row>
    <row r="724" spans="1:10" ht="24" thickBot="1" x14ac:dyDescent="0.35">
      <c r="A724" s="277" t="s">
        <v>109</v>
      </c>
      <c r="B724" s="971"/>
      <c r="C724" s="316" t="s">
        <v>34</v>
      </c>
      <c r="D724" s="316"/>
      <c r="E724" s="504">
        <v>225.7713</v>
      </c>
      <c r="F724" s="405">
        <f>IFERROR(E724*'01 Prod Physique Boites'!H719,"-")</f>
        <v>0</v>
      </c>
      <c r="G724" s="406">
        <f>IFERROR(E724*'01 Prod Physique Boites'!L719,"-")</f>
        <v>0</v>
      </c>
      <c r="H724" s="390"/>
      <c r="I724" s="426">
        <f>IFERROR(H724*(F724/E724),"-")</f>
        <v>0</v>
      </c>
      <c r="J724" s="427">
        <f t="shared" si="456"/>
        <v>0</v>
      </c>
    </row>
    <row r="725" spans="1:10" ht="24" thickBot="1" x14ac:dyDescent="0.35">
      <c r="A725" s="277" t="s">
        <v>109</v>
      </c>
      <c r="B725" s="967" t="s">
        <v>35</v>
      </c>
      <c r="C725" s="968"/>
      <c r="D725" s="969"/>
      <c r="E725" s="393"/>
      <c r="F725" s="409">
        <f t="shared" ref="F725:G725" si="457">SUM(F722:F724)</f>
        <v>315537.79200000002</v>
      </c>
      <c r="G725" s="410">
        <f t="shared" si="457"/>
        <v>2997609.0240000002</v>
      </c>
      <c r="H725" s="394"/>
      <c r="I725" s="409">
        <f t="shared" ref="I725:J725" si="458">SUM(I722:I724)</f>
        <v>550425.59999999998</v>
      </c>
      <c r="J725" s="428">
        <f t="shared" si="458"/>
        <v>5229043.2</v>
      </c>
    </row>
    <row r="726" spans="1:10" ht="23.4" x14ac:dyDescent="0.3">
      <c r="A726" s="277" t="s">
        <v>109</v>
      </c>
      <c r="B726" s="970" t="s">
        <v>36</v>
      </c>
      <c r="C726" s="314" t="s">
        <v>120</v>
      </c>
      <c r="D726" s="314"/>
      <c r="E726" s="506">
        <v>254.89750000000001</v>
      </c>
      <c r="F726" s="405">
        <f>IFERROR(E726*'01 Prod Physique Boites'!H721,"-")</f>
        <v>0</v>
      </c>
      <c r="G726" s="406">
        <f>IFERROR(E726*'01 Prod Physique Boites'!L721,"-")</f>
        <v>0</v>
      </c>
      <c r="H726" s="384">
        <v>445.38</v>
      </c>
      <c r="I726" s="422">
        <f>IFERROR(H726*(F726/E726),"-")</f>
        <v>0</v>
      </c>
      <c r="J726" s="423">
        <f t="shared" ref="J726:J729" si="459">IFERROR(H726*(G726/E726),"-")</f>
        <v>0</v>
      </c>
    </row>
    <row r="727" spans="1:10" ht="23.4" x14ac:dyDescent="0.3">
      <c r="A727" s="277" t="s">
        <v>109</v>
      </c>
      <c r="B727" s="972"/>
      <c r="C727" s="315" t="s">
        <v>267</v>
      </c>
      <c r="D727" s="315"/>
      <c r="E727" s="507">
        <v>246.51390000000001</v>
      </c>
      <c r="F727" s="405">
        <f>IFERROR(E727*'01 Prod Physique Boites'!H722,"-")</f>
        <v>946613.37600000005</v>
      </c>
      <c r="G727" s="406">
        <f>IFERROR(E727*'01 Prod Physique Boites'!L722,"-")</f>
        <v>946613.37600000005</v>
      </c>
      <c r="H727" s="388">
        <v>430.02</v>
      </c>
      <c r="I727" s="424">
        <f>IFERROR(H727*(F727/E727),"-")</f>
        <v>1651276.7999999998</v>
      </c>
      <c r="J727" s="425">
        <f t="shared" si="459"/>
        <v>1651276.7999999998</v>
      </c>
    </row>
    <row r="728" spans="1:10" ht="23.4" x14ac:dyDescent="0.3">
      <c r="A728" s="277" t="s">
        <v>109</v>
      </c>
      <c r="B728" s="972"/>
      <c r="C728" s="315" t="s">
        <v>198</v>
      </c>
      <c r="D728" s="315" t="s">
        <v>197</v>
      </c>
      <c r="E728" s="507">
        <v>254.89750000000001</v>
      </c>
      <c r="F728" s="405">
        <f>IFERROR(E728*'01 Prod Physique Boites'!H723,"-")</f>
        <v>0</v>
      </c>
      <c r="G728" s="406">
        <f>IFERROR(E728*'01 Prod Physique Boites'!L723,"-")</f>
        <v>0</v>
      </c>
      <c r="H728" s="388"/>
      <c r="I728" s="424">
        <f>IFERROR(H728*(F728/E728),"-")</f>
        <v>0</v>
      </c>
      <c r="J728" s="425">
        <f t="shared" si="459"/>
        <v>0</v>
      </c>
    </row>
    <row r="729" spans="1:10" ht="24" thickBot="1" x14ac:dyDescent="0.35">
      <c r="A729" s="277" t="s">
        <v>109</v>
      </c>
      <c r="B729" s="971"/>
      <c r="C729" s="316" t="s">
        <v>37</v>
      </c>
      <c r="D729" s="316"/>
      <c r="E729" s="504">
        <v>229.99359999999999</v>
      </c>
      <c r="F729" s="405">
        <f>IFERROR(E729*'01 Prod Physique Boites'!H724,"-")</f>
        <v>0</v>
      </c>
      <c r="G729" s="406">
        <f>IFERROR(E729*'01 Prod Physique Boites'!L724,"-")</f>
        <v>0</v>
      </c>
      <c r="H729" s="390"/>
      <c r="I729" s="426">
        <f>IFERROR(H729*(F729/E729),"-")</f>
        <v>0</v>
      </c>
      <c r="J729" s="427">
        <f t="shared" si="459"/>
        <v>0</v>
      </c>
    </row>
    <row r="730" spans="1:10" ht="24" thickBot="1" x14ac:dyDescent="0.35">
      <c r="A730" s="277" t="s">
        <v>109</v>
      </c>
      <c r="B730" s="967" t="s">
        <v>38</v>
      </c>
      <c r="C730" s="968"/>
      <c r="D730" s="969"/>
      <c r="E730" s="393"/>
      <c r="F730" s="409">
        <f t="shared" ref="F730:G730" si="460">SUM(F726:F729)</f>
        <v>946613.37600000005</v>
      </c>
      <c r="G730" s="410">
        <f t="shared" si="460"/>
        <v>946613.37600000005</v>
      </c>
      <c r="H730" s="394"/>
      <c r="I730" s="409">
        <f>SUM(I726:I729)</f>
        <v>1651276.7999999998</v>
      </c>
      <c r="J730" s="428">
        <f>SUM(J726:J729)</f>
        <v>1651276.7999999998</v>
      </c>
    </row>
    <row r="731" spans="1:10" ht="23.4" x14ac:dyDescent="0.3">
      <c r="A731" s="277" t="s">
        <v>109</v>
      </c>
      <c r="B731" s="970" t="s">
        <v>39</v>
      </c>
      <c r="C731" s="317" t="s">
        <v>123</v>
      </c>
      <c r="D731" s="317"/>
      <c r="E731" s="506">
        <v>195.2808</v>
      </c>
      <c r="F731" s="405">
        <f>IFERROR(E731*'01 Prod Physique Boites'!H726,"-")</f>
        <v>0</v>
      </c>
      <c r="G731" s="406">
        <f>IFERROR(E731*'01 Prod Physique Boites'!L726,"-")</f>
        <v>28120.4352</v>
      </c>
      <c r="H731" s="715">
        <v>256.7</v>
      </c>
      <c r="I731" s="422">
        <f>IFERROR(H731*(F731/E731),"-")</f>
        <v>0</v>
      </c>
      <c r="J731" s="423">
        <f t="shared" ref="J731:J732" si="461">IFERROR(H731*(G731/E731),"-")</f>
        <v>36964.799999999996</v>
      </c>
    </row>
    <row r="732" spans="1:10" ht="24" thickBot="1" x14ac:dyDescent="0.35">
      <c r="A732" s="277" t="s">
        <v>109</v>
      </c>
      <c r="B732" s="971"/>
      <c r="C732" s="289" t="s">
        <v>139</v>
      </c>
      <c r="D732" s="289"/>
      <c r="E732" s="504">
        <v>189.91890000000001</v>
      </c>
      <c r="F732" s="405">
        <f>IFERROR(E732*'01 Prod Physique Boites'!H727,"-")</f>
        <v>0</v>
      </c>
      <c r="G732" s="406">
        <f>IFERROR(E732*'01 Prod Physique Boites'!L727,"-")</f>
        <v>45580.536</v>
      </c>
      <c r="H732" s="390">
        <v>320.35000000000002</v>
      </c>
      <c r="I732" s="426">
        <f>IFERROR(H732*(F732/E732),"-")</f>
        <v>0</v>
      </c>
      <c r="J732" s="427">
        <f t="shared" si="461"/>
        <v>76884</v>
      </c>
    </row>
    <row r="733" spans="1:10" ht="24" thickBot="1" x14ac:dyDescent="0.35">
      <c r="A733" s="793" t="s">
        <v>109</v>
      </c>
      <c r="B733" s="967" t="s">
        <v>40</v>
      </c>
      <c r="C733" s="968"/>
      <c r="D733" s="969"/>
      <c r="E733" s="393"/>
      <c r="F733" s="409">
        <f>SUM(F731:F732)</f>
        <v>0</v>
      </c>
      <c r="G733" s="410">
        <f t="shared" ref="G733" si="462">SUM(G731:G732)</f>
        <v>73700.9712</v>
      </c>
      <c r="H733" s="394"/>
      <c r="I733" s="409">
        <f t="shared" ref="I733:J733" si="463">SUM(I731:I732)</f>
        <v>0</v>
      </c>
      <c r="J733" s="428">
        <f t="shared" si="463"/>
        <v>113848.79999999999</v>
      </c>
    </row>
    <row r="734" spans="1:10" ht="23.4" x14ac:dyDescent="0.3">
      <c r="A734" s="277" t="s">
        <v>109</v>
      </c>
      <c r="B734" s="970" t="s">
        <v>41</v>
      </c>
      <c r="C734" s="272" t="s">
        <v>335</v>
      </c>
      <c r="D734" s="272" t="s">
        <v>258</v>
      </c>
      <c r="E734" s="508">
        <v>37.248699999999999</v>
      </c>
      <c r="F734" s="405">
        <f>IFERROR(E734*'01 Prod Physique Boites'!H729,"-")</f>
        <v>758085.54240000003</v>
      </c>
      <c r="G734" s="406">
        <f>IFERROR(E734*'01 Prod Physique Boites'!L729,"-")</f>
        <v>4938730.6355999997</v>
      </c>
      <c r="H734" s="384">
        <v>71.44</v>
      </c>
      <c r="I734" s="422">
        <f>IFERROR(H734*(F734/E734),"-")</f>
        <v>1453946.8799999999</v>
      </c>
      <c r="J734" s="423">
        <f>IFERROR(H734*(G734/E734),"-")</f>
        <v>9472086.7199999988</v>
      </c>
    </row>
    <row r="735" spans="1:10" ht="23.4" x14ac:dyDescent="0.3">
      <c r="A735" s="277" t="s">
        <v>109</v>
      </c>
      <c r="B735" s="972"/>
      <c r="C735" s="272" t="s">
        <v>164</v>
      </c>
      <c r="D735" s="278"/>
      <c r="E735" s="508">
        <v>37.248699999999999</v>
      </c>
      <c r="F735" s="405">
        <f>IFERROR(E735*'01 Prod Physique Boites'!H730,"-")</f>
        <v>0</v>
      </c>
      <c r="G735" s="406">
        <f>IFERROR(E735*'01 Prod Physique Boites'!L730,"-")</f>
        <v>0</v>
      </c>
      <c r="H735" s="388"/>
      <c r="I735" s="424">
        <f>IFERROR(H735*(F735/E735),"-")</f>
        <v>0</v>
      </c>
      <c r="J735" s="425">
        <f t="shared" ref="J735:J737" si="464">IFERROR(H735*(G735/E735),"-")</f>
        <v>0</v>
      </c>
    </row>
    <row r="736" spans="1:10" ht="23.4" x14ac:dyDescent="0.3">
      <c r="A736" s="277" t="s">
        <v>109</v>
      </c>
      <c r="B736" s="972"/>
      <c r="C736" s="278" t="s">
        <v>383</v>
      </c>
      <c r="D736" s="272" t="s">
        <v>258</v>
      </c>
      <c r="E736" s="508">
        <v>37.248699999999999</v>
      </c>
      <c r="F736" s="405">
        <f>IFERROR(E736*'01 Prod Physique Boites'!H731,"-")</f>
        <v>0</v>
      </c>
      <c r="G736" s="406">
        <f>IFERROR(E736*'01 Prod Physique Boites'!L731,"-")</f>
        <v>0</v>
      </c>
      <c r="H736" s="388">
        <v>71.44</v>
      </c>
      <c r="I736" s="424">
        <f>IFERROR(H736*(F736/E736),"-")</f>
        <v>0</v>
      </c>
      <c r="J736" s="425">
        <f t="shared" si="464"/>
        <v>0</v>
      </c>
    </row>
    <row r="737" spans="1:10" ht="24" thickBot="1" x14ac:dyDescent="0.35">
      <c r="A737" s="277" t="s">
        <v>109</v>
      </c>
      <c r="B737" s="972"/>
      <c r="C737" s="278" t="s">
        <v>165</v>
      </c>
      <c r="D737" s="278"/>
      <c r="E737" s="509">
        <v>38.466099999999997</v>
      </c>
      <c r="F737" s="405">
        <f>IFERROR(E737*'01 Prod Physique Boites'!H732,"-")</f>
        <v>0</v>
      </c>
      <c r="G737" s="406">
        <f>IFERROR(E737*'01 Prod Physique Boites'!L732,"-")</f>
        <v>0</v>
      </c>
      <c r="H737" s="388"/>
      <c r="I737" s="424">
        <f>IFERROR(H737*(F737/E737),"-")</f>
        <v>0</v>
      </c>
      <c r="J737" s="425">
        <f t="shared" si="464"/>
        <v>0</v>
      </c>
    </row>
    <row r="738" spans="1:10" ht="24" thickBot="1" x14ac:dyDescent="0.35">
      <c r="A738" s="277" t="s">
        <v>109</v>
      </c>
      <c r="B738" s="967" t="s">
        <v>42</v>
      </c>
      <c r="C738" s="968"/>
      <c r="D738" s="969"/>
      <c r="E738" s="393"/>
      <c r="F738" s="409">
        <f>SUM(F734:F737)</f>
        <v>758085.54240000003</v>
      </c>
      <c r="G738" s="410">
        <f>SUM(G734:G737)</f>
        <v>4938730.6355999997</v>
      </c>
      <c r="H738" s="394"/>
      <c r="I738" s="409">
        <f>SUM(I734:I737)</f>
        <v>1453946.8799999999</v>
      </c>
      <c r="J738" s="409">
        <f>SUM(J734:J737)</f>
        <v>9472086.7199999988</v>
      </c>
    </row>
    <row r="739" spans="1:10" ht="23.4" x14ac:dyDescent="0.3">
      <c r="A739" s="277" t="s">
        <v>109</v>
      </c>
      <c r="B739" s="970" t="s">
        <v>43</v>
      </c>
      <c r="C739" s="272" t="s">
        <v>200</v>
      </c>
      <c r="D739" s="272" t="s">
        <v>197</v>
      </c>
      <c r="E739" s="508">
        <v>30.7499</v>
      </c>
      <c r="F739" s="405">
        <f>IFERROR(E739*'01 Prod Physique Boites'!H735,"-")</f>
        <v>0</v>
      </c>
      <c r="G739" s="406">
        <f>IFERROR(E739*'01 Prod Physique Boites'!L735,"-")</f>
        <v>0</v>
      </c>
      <c r="H739" s="384"/>
      <c r="I739" s="422">
        <f>IFERROR(H739*(F739/E739),"-")</f>
        <v>0</v>
      </c>
      <c r="J739" s="423">
        <f>IFERROR(H739*(G739/E739),"-")</f>
        <v>0</v>
      </c>
    </row>
    <row r="740" spans="1:10" ht="23.4" x14ac:dyDescent="0.3">
      <c r="A740" s="277" t="s">
        <v>109</v>
      </c>
      <c r="B740" s="972"/>
      <c r="C740" s="278" t="s">
        <v>167</v>
      </c>
      <c r="D740" s="278"/>
      <c r="E740" s="727">
        <v>25.139099999999999</v>
      </c>
      <c r="F740" s="405">
        <f>IFERROR(E740*'01 Prod Physique Boites'!H736,"-")</f>
        <v>506804.25599999999</v>
      </c>
      <c r="G740" s="406">
        <f>IFERROR(E740*'01 Prod Physique Boites'!L736,"-")</f>
        <v>1737614.5919999999</v>
      </c>
      <c r="H740" s="388">
        <v>59.96</v>
      </c>
      <c r="I740" s="424">
        <f>IFERROR(H740*(F740/E740),"-")</f>
        <v>1208793.6000000001</v>
      </c>
      <c r="J740" s="425">
        <f t="shared" ref="J740:J741" si="465">IFERROR(H740*(G740/E740),"-")</f>
        <v>4144435.2000000002</v>
      </c>
    </row>
    <row r="741" spans="1:10" ht="24" thickBot="1" x14ac:dyDescent="0.35">
      <c r="A741" s="277" t="s">
        <v>109</v>
      </c>
      <c r="B741" s="971"/>
      <c r="C741" s="282" t="s">
        <v>200</v>
      </c>
      <c r="D741" s="282" t="s">
        <v>199</v>
      </c>
      <c r="E741" s="505">
        <v>30.073599999999999</v>
      </c>
      <c r="F741" s="405">
        <f>IFERROR(E741*'01 Prod Physique Boites'!H737,"-")</f>
        <v>0</v>
      </c>
      <c r="G741" s="406">
        <f>IFERROR(E741*'01 Prod Physique Boites'!L737,"-")</f>
        <v>0</v>
      </c>
      <c r="H741" s="390"/>
      <c r="I741" s="426">
        <f>IFERROR(H741*(F741/E741),"-")</f>
        <v>0</v>
      </c>
      <c r="J741" s="427">
        <f t="shared" si="465"/>
        <v>0</v>
      </c>
    </row>
    <row r="742" spans="1:10" ht="24" thickBot="1" x14ac:dyDescent="0.35">
      <c r="A742" s="277" t="s">
        <v>109</v>
      </c>
      <c r="B742" s="973" t="s">
        <v>44</v>
      </c>
      <c r="C742" s="974"/>
      <c r="D742" s="975"/>
      <c r="E742" s="393"/>
      <c r="F742" s="409">
        <f t="shared" ref="F742:G742" si="466">SUM(F739:F741)</f>
        <v>506804.25599999999</v>
      </c>
      <c r="G742" s="410">
        <f t="shared" si="466"/>
        <v>1737614.5919999999</v>
      </c>
      <c r="H742" s="394"/>
      <c r="I742" s="409">
        <f t="shared" ref="I742:J742" si="467">SUM(I739:I741)</f>
        <v>1208793.6000000001</v>
      </c>
      <c r="J742" s="428">
        <f t="shared" si="467"/>
        <v>4144435.2000000002</v>
      </c>
    </row>
    <row r="743" spans="1:10" ht="23.4" x14ac:dyDescent="0.3">
      <c r="A743" s="277" t="s">
        <v>109</v>
      </c>
      <c r="B743" s="970" t="s">
        <v>45</v>
      </c>
      <c r="C743" s="272" t="s">
        <v>168</v>
      </c>
      <c r="D743" s="272"/>
      <c r="E743" s="508">
        <v>36.684899999999999</v>
      </c>
      <c r="F743" s="405">
        <f>IFERROR(E743*'01 Prod Physique Boites'!H739,"-")</f>
        <v>0</v>
      </c>
      <c r="G743" s="406">
        <f>IFERROR(E743*'01 Prod Physique Boites'!L739,"-")</f>
        <v>0</v>
      </c>
      <c r="H743" s="384"/>
      <c r="I743" s="385" t="s">
        <v>204</v>
      </c>
      <c r="J743" s="386" t="s">
        <v>204</v>
      </c>
    </row>
    <row r="744" spans="1:10" ht="24" thickBot="1" x14ac:dyDescent="0.35">
      <c r="A744" s="277" t="s">
        <v>109</v>
      </c>
      <c r="B744" s="971"/>
      <c r="C744" s="282" t="s">
        <v>169</v>
      </c>
      <c r="D744" s="282"/>
      <c r="E744" s="505">
        <v>37.002800000000001</v>
      </c>
      <c r="F744" s="405">
        <f>IFERROR(E744*'01 Prod Physique Boites'!H740,"-")</f>
        <v>0</v>
      </c>
      <c r="G744" s="406">
        <f>IFERROR(E744*'01 Prod Physique Boites'!L740,"-")</f>
        <v>0</v>
      </c>
      <c r="H744" s="390"/>
      <c r="I744" s="391" t="s">
        <v>204</v>
      </c>
      <c r="J744" s="392" t="s">
        <v>204</v>
      </c>
    </row>
    <row r="745" spans="1:10" ht="24" thickBot="1" x14ac:dyDescent="0.35">
      <c r="A745" s="277" t="s">
        <v>109</v>
      </c>
      <c r="B745" s="973" t="s">
        <v>46</v>
      </c>
      <c r="C745" s="974"/>
      <c r="D745" s="975"/>
      <c r="E745" s="393"/>
      <c r="F745" s="405">
        <f>IFERROR(E745*'01 Prod Physique Boites'!H741,"-")</f>
        <v>0</v>
      </c>
      <c r="G745" s="410">
        <f>IFERROR(E745*'01 Prod Physique Boites'!L741,"-")</f>
        <v>0</v>
      </c>
      <c r="H745" s="394"/>
      <c r="I745" s="409">
        <f t="shared" ref="I745:J745" si="468">SUM(I743:I744)</f>
        <v>0</v>
      </c>
      <c r="J745" s="428">
        <f t="shared" si="468"/>
        <v>0</v>
      </c>
    </row>
    <row r="746" spans="1:10" ht="24" thickBot="1" x14ac:dyDescent="0.35">
      <c r="A746" s="277" t="s">
        <v>109</v>
      </c>
      <c r="B746" s="959" t="s">
        <v>25</v>
      </c>
      <c r="C746" s="960"/>
      <c r="D746" s="961"/>
      <c r="E746" s="396"/>
      <c r="F746" s="413">
        <f>+F725+F730+F733+F738+F742+F745</f>
        <v>2527040.9664000003</v>
      </c>
      <c r="G746" s="414">
        <f>+G725+G730+G733+G738+G742+G745</f>
        <v>10694268.5988</v>
      </c>
      <c r="H746" s="397"/>
      <c r="I746" s="413">
        <f>+I725+I730+I733+I738+I742+I745</f>
        <v>4864442.88</v>
      </c>
      <c r="J746" s="431">
        <f>+J725+J730+J733+J738+J742+J745</f>
        <v>20610690.719999999</v>
      </c>
    </row>
    <row r="747" spans="1:10" ht="24" thickBot="1" x14ac:dyDescent="0.35">
      <c r="A747" s="321" t="s">
        <v>109</v>
      </c>
      <c r="B747" s="962" t="s">
        <v>181</v>
      </c>
      <c r="C747" s="962"/>
      <c r="D747" s="963"/>
      <c r="E747" s="398"/>
      <c r="F747" s="415">
        <f t="shared" ref="F747:G747" si="469">+F746</f>
        <v>2527040.9664000003</v>
      </c>
      <c r="G747" s="416">
        <f t="shared" si="469"/>
        <v>10694268.5988</v>
      </c>
      <c r="H747" s="399"/>
      <c r="I747" s="415">
        <f t="shared" ref="I747" si="470">+I746</f>
        <v>4864442.88</v>
      </c>
      <c r="J747" s="432">
        <f>+J746</f>
        <v>20610690.719999999</v>
      </c>
    </row>
    <row r="748" spans="1:10" ht="24.6" thickBot="1" x14ac:dyDescent="0.35">
      <c r="A748" s="322"/>
      <c r="B748" s="964" t="s">
        <v>182</v>
      </c>
      <c r="C748" s="965"/>
      <c r="D748" s="966"/>
      <c r="E748" s="404"/>
      <c r="F748" s="421">
        <f>+F692+F721+F747</f>
        <v>11846112.388300002</v>
      </c>
      <c r="G748" s="421">
        <f>+G692+G721+G747</f>
        <v>64660245.095100001</v>
      </c>
      <c r="H748" s="404"/>
      <c r="I748" s="421">
        <f>+I692+I721+I747</f>
        <v>17480734.579999998</v>
      </c>
      <c r="J748" s="435">
        <f>+J692+J721+J747</f>
        <v>93067255.659999996</v>
      </c>
    </row>
    <row r="749" spans="1:10" ht="23.4" x14ac:dyDescent="0.3">
      <c r="A749" s="991" t="s">
        <v>1</v>
      </c>
      <c r="B749" s="994" t="s">
        <v>2</v>
      </c>
      <c r="C749" s="997" t="s">
        <v>477</v>
      </c>
      <c r="D749" s="997" t="s">
        <v>478</v>
      </c>
      <c r="E749" s="1021" t="s">
        <v>486</v>
      </c>
      <c r="F749" s="1022"/>
      <c r="G749" s="1022"/>
      <c r="H749" s="445"/>
      <c r="I749" s="445"/>
      <c r="J749" s="446"/>
    </row>
    <row r="750" spans="1:10" ht="23.4" x14ac:dyDescent="0.3">
      <c r="A750" s="992"/>
      <c r="B750" s="995"/>
      <c r="C750" s="998"/>
      <c r="D750" s="998"/>
      <c r="E750" s="1023" t="s">
        <v>489</v>
      </c>
      <c r="F750" s="1024"/>
      <c r="G750" s="1025"/>
      <c r="H750" s="1023" t="s">
        <v>176</v>
      </c>
      <c r="I750" s="1024"/>
      <c r="J750" s="1025"/>
    </row>
    <row r="751" spans="1:10" ht="46.8" x14ac:dyDescent="0.3">
      <c r="A751" s="993"/>
      <c r="B751" s="1019"/>
      <c r="C751" s="1020"/>
      <c r="D751" s="1020"/>
      <c r="E751" s="382" t="s">
        <v>178</v>
      </c>
      <c r="F751" s="802" t="s">
        <v>488</v>
      </c>
      <c r="G751" s="803" t="s">
        <v>487</v>
      </c>
      <c r="H751" s="1026" t="s">
        <v>178</v>
      </c>
      <c r="I751" s="1028" t="s">
        <v>144</v>
      </c>
      <c r="J751" s="1030" t="s">
        <v>487</v>
      </c>
    </row>
    <row r="752" spans="1:10" ht="24" thickBot="1" x14ac:dyDescent="0.35">
      <c r="A752" s="993"/>
      <c r="B752" s="996"/>
      <c r="C752" s="999"/>
      <c r="D752" s="999"/>
      <c r="E752" s="1032">
        <v>44542</v>
      </c>
      <c r="F752" s="1033"/>
      <c r="G752" s="1034"/>
      <c r="H752" s="1027"/>
      <c r="I752" s="1029"/>
      <c r="J752" s="1031"/>
    </row>
    <row r="753" spans="1:15" ht="23.4" x14ac:dyDescent="0.3">
      <c r="A753" s="271" t="s">
        <v>110</v>
      </c>
      <c r="B753" s="956" t="s">
        <v>16</v>
      </c>
      <c r="C753" s="272" t="s">
        <v>424</v>
      </c>
      <c r="D753" s="272" t="s">
        <v>425</v>
      </c>
      <c r="E753" s="758">
        <v>81.360699999999994</v>
      </c>
      <c r="F753" s="405">
        <f>IFERROR(E753*'01 Prod Physique Boites'!H748,"-")</f>
        <v>0</v>
      </c>
      <c r="G753" s="405">
        <f>IFERROR(E753*'01 Prod Physique Boites'!L748,"-")</f>
        <v>1614196.2879999999</v>
      </c>
      <c r="H753" s="759">
        <v>143.28</v>
      </c>
      <c r="I753" s="422">
        <f>IFERROR(H753*(F753/E753),"-")</f>
        <v>0</v>
      </c>
      <c r="J753" s="423">
        <f t="shared" ref="J753:J755" si="471">IFERROR(H753*(G753/E753),"-")</f>
        <v>2842675.2000000002</v>
      </c>
    </row>
    <row r="754" spans="1:15" ht="23.4" x14ac:dyDescent="0.3">
      <c r="A754" s="784"/>
      <c r="B754" s="957"/>
      <c r="C754" s="278" t="s">
        <v>188</v>
      </c>
      <c r="D754" s="278" t="s">
        <v>101</v>
      </c>
      <c r="E754" s="509">
        <v>81.360699999999994</v>
      </c>
      <c r="F754" s="405">
        <f>IFERROR(E754*'01 Prod Physique Boites'!H749,"-")</f>
        <v>0</v>
      </c>
      <c r="G754" s="405">
        <f>IFERROR(E754*'01 Prod Physique Boites'!L749,"-")</f>
        <v>3936312.0266999998</v>
      </c>
      <c r="H754" s="770">
        <v>0</v>
      </c>
      <c r="I754" s="422">
        <f>IFERROR(H754*(F754/E754),"-")</f>
        <v>0</v>
      </c>
      <c r="J754" s="423">
        <f t="shared" si="471"/>
        <v>0</v>
      </c>
    </row>
    <row r="755" spans="1:15" ht="23.4" x14ac:dyDescent="0.3">
      <c r="A755" s="277" t="s">
        <v>110</v>
      </c>
      <c r="B755" s="957"/>
      <c r="C755" s="278" t="s">
        <v>186</v>
      </c>
      <c r="D755" s="278" t="s">
        <v>184</v>
      </c>
      <c r="E755" s="509">
        <v>55.476900000000001</v>
      </c>
      <c r="F755" s="405">
        <f>IFERROR(E755*'01 Prod Physique Boites'!H750,"-")</f>
        <v>0</v>
      </c>
      <c r="G755" s="405">
        <f>IFERROR(E755*'01 Prod Physique Boites'!L750,"-")</f>
        <v>0</v>
      </c>
      <c r="H755" s="388">
        <v>0</v>
      </c>
      <c r="I755" s="422">
        <f>IFERROR(H755*(F755/E755),"-")</f>
        <v>0</v>
      </c>
      <c r="J755" s="423">
        <f t="shared" si="471"/>
        <v>0</v>
      </c>
    </row>
    <row r="756" spans="1:15" ht="24" thickBot="1" x14ac:dyDescent="0.35">
      <c r="A756" s="277" t="s">
        <v>110</v>
      </c>
      <c r="B756" s="958"/>
      <c r="C756" s="282" t="s">
        <v>282</v>
      </c>
      <c r="D756" s="282" t="s">
        <v>251</v>
      </c>
      <c r="E756" s="505">
        <v>60.703499999999998</v>
      </c>
      <c r="F756" s="405">
        <f>IFERROR(E756*'01 Prod Physique Boites'!H751,"-")</f>
        <v>0</v>
      </c>
      <c r="G756" s="405">
        <f>IFERROR(E756*'01 Prod Physique Boites'!L751,"-")</f>
        <v>0</v>
      </c>
      <c r="H756" s="390">
        <v>111.09</v>
      </c>
      <c r="I756" s="422">
        <f>IFERROR(H756*(F756/E756),"-")</f>
        <v>0</v>
      </c>
      <c r="J756" s="423">
        <f>IFERROR(H756*(G756/E756),"-")</f>
        <v>0</v>
      </c>
    </row>
    <row r="757" spans="1:15" ht="24" thickBot="1" x14ac:dyDescent="0.35">
      <c r="A757" s="277" t="s">
        <v>110</v>
      </c>
      <c r="B757" s="967" t="s">
        <v>47</v>
      </c>
      <c r="C757" s="968"/>
      <c r="D757" s="969"/>
      <c r="E757" s="393"/>
      <c r="F757" s="409">
        <f t="shared" ref="F757" si="472">SUM(F753:F756)</f>
        <v>0</v>
      </c>
      <c r="G757" s="410">
        <f>SUM(G753:G756)</f>
        <v>5550508.3147</v>
      </c>
      <c r="H757" s="394"/>
      <c r="I757" s="409">
        <f t="shared" ref="I757:J757" si="473">SUM(I753:I756)</f>
        <v>0</v>
      </c>
      <c r="J757" s="428">
        <f t="shared" si="473"/>
        <v>2842675.2000000002</v>
      </c>
      <c r="K757" s="757"/>
      <c r="L757" s="757"/>
      <c r="M757" s="757"/>
      <c r="N757" s="757"/>
      <c r="O757" s="757"/>
    </row>
    <row r="758" spans="1:15" ht="23.4" x14ac:dyDescent="0.3">
      <c r="A758" s="277" t="s">
        <v>110</v>
      </c>
      <c r="B758" s="956" t="s">
        <v>17</v>
      </c>
      <c r="C758" s="272" t="s">
        <v>320</v>
      </c>
      <c r="D758" s="272"/>
      <c r="E758" s="508">
        <v>12.5275</v>
      </c>
      <c r="F758" s="405">
        <f>IFERROR(E758*'01 Prod Physique Boites'!H753,"-")</f>
        <v>0</v>
      </c>
      <c r="G758" s="405">
        <f>IFERROR(E758*'01 Prod Physique Boites'!L753,"-")</f>
        <v>0</v>
      </c>
      <c r="H758" s="384">
        <v>18.836400000000001</v>
      </c>
      <c r="I758" s="422">
        <f t="shared" ref="I758:I764" si="474">IFERROR(H758*(F758/E758),"-")</f>
        <v>0</v>
      </c>
      <c r="J758" s="423">
        <f t="shared" ref="J758:J763" si="475">IFERROR(H758*(G758/E758),"-")</f>
        <v>0</v>
      </c>
    </row>
    <row r="759" spans="1:15" ht="23.4" x14ac:dyDescent="0.3">
      <c r="A759" s="277" t="s">
        <v>110</v>
      </c>
      <c r="B759" s="957"/>
      <c r="C759" s="278" t="s">
        <v>382</v>
      </c>
      <c r="D759" s="278" t="s">
        <v>252</v>
      </c>
      <c r="E759" s="698">
        <v>13.002700000000001</v>
      </c>
      <c r="F759" s="405">
        <f>IFERROR(E759*'01 Prod Physique Boites'!H754,"-")</f>
        <v>1550741.0101000001</v>
      </c>
      <c r="G759" s="405">
        <f>IFERROR(E759*'01 Prod Physique Boites'!L754,"-")</f>
        <v>7598556.8341000006</v>
      </c>
      <c r="H759" s="388">
        <v>21.18</v>
      </c>
      <c r="I759" s="424">
        <f t="shared" si="474"/>
        <v>2525990.34</v>
      </c>
      <c r="J759" s="425">
        <f t="shared" si="475"/>
        <v>12377231.939999999</v>
      </c>
    </row>
    <row r="760" spans="1:15" ht="23.4" x14ac:dyDescent="0.3">
      <c r="A760" s="277" t="s">
        <v>110</v>
      </c>
      <c r="B760" s="957"/>
      <c r="C760" s="278" t="s">
        <v>391</v>
      </c>
      <c r="D760" s="278" t="s">
        <v>201</v>
      </c>
      <c r="E760" s="698">
        <v>12.9049</v>
      </c>
      <c r="F760" s="405">
        <f>IFERROR(E760*'01 Prod Physique Boites'!H755,"-")</f>
        <v>0</v>
      </c>
      <c r="G760" s="405">
        <f>IFERROR(E760*'01 Prod Physique Boites'!L755,"-")</f>
        <v>5828575.5143999998</v>
      </c>
      <c r="H760" s="388">
        <v>20.5</v>
      </c>
      <c r="I760" s="424">
        <f t="shared" si="474"/>
        <v>0</v>
      </c>
      <c r="J760" s="425">
        <f t="shared" si="475"/>
        <v>9258948</v>
      </c>
    </row>
    <row r="761" spans="1:15" ht="23.4" x14ac:dyDescent="0.3">
      <c r="A761" s="277" t="s">
        <v>110</v>
      </c>
      <c r="B761" s="957"/>
      <c r="C761" s="278" t="s">
        <v>319</v>
      </c>
      <c r="D761" s="278" t="s">
        <v>202</v>
      </c>
      <c r="E761" s="509">
        <v>13.078200000000001</v>
      </c>
      <c r="F761" s="405">
        <f>IFERROR(E761*'01 Prod Physique Boites'!H756,"-")</f>
        <v>0</v>
      </c>
      <c r="G761" s="405">
        <f>IFERROR(E761*'01 Prod Physique Boites'!L756,"-")</f>
        <v>0</v>
      </c>
      <c r="H761" s="388">
        <v>20.6</v>
      </c>
      <c r="I761" s="424">
        <f t="shared" si="474"/>
        <v>0</v>
      </c>
      <c r="J761" s="425">
        <f t="shared" si="475"/>
        <v>0</v>
      </c>
    </row>
    <row r="762" spans="1:15" ht="23.4" x14ac:dyDescent="0.3">
      <c r="A762" s="277" t="s">
        <v>110</v>
      </c>
      <c r="B762" s="957"/>
      <c r="C762" s="278" t="s">
        <v>358</v>
      </c>
      <c r="D762" s="278" t="s">
        <v>352</v>
      </c>
      <c r="E762" s="509">
        <v>13.1958</v>
      </c>
      <c r="F762" s="405">
        <f>IFERROR(E762*'01 Prod Physique Boites'!H757,"-")</f>
        <v>0</v>
      </c>
      <c r="G762" s="405">
        <f>IFERROR(E762*'01 Prod Physique Boites'!L757,"-")</f>
        <v>0</v>
      </c>
      <c r="H762" s="388">
        <v>21.28</v>
      </c>
      <c r="I762" s="424">
        <f t="shared" si="474"/>
        <v>0</v>
      </c>
      <c r="J762" s="425">
        <f t="shared" si="475"/>
        <v>0</v>
      </c>
    </row>
    <row r="763" spans="1:15" ht="23.4" x14ac:dyDescent="0.3">
      <c r="A763" s="277">
        <v>1</v>
      </c>
      <c r="B763" s="957"/>
      <c r="C763" s="278" t="s">
        <v>392</v>
      </c>
      <c r="D763" s="278" t="s">
        <v>203</v>
      </c>
      <c r="E763" s="698">
        <v>12.9049</v>
      </c>
      <c r="F763" s="405">
        <f>IFERROR(E763*'01 Prod Physique Boites'!H758,"-")</f>
        <v>0</v>
      </c>
      <c r="G763" s="405">
        <f>IFERROR(E763*'01 Prod Physique Boites'!L758,"-")</f>
        <v>0</v>
      </c>
      <c r="H763" s="677">
        <v>20.5</v>
      </c>
      <c r="I763" s="424">
        <f t="shared" si="474"/>
        <v>0</v>
      </c>
      <c r="J763" s="425">
        <f t="shared" si="475"/>
        <v>0</v>
      </c>
    </row>
    <row r="764" spans="1:15" ht="24" thickBot="1" x14ac:dyDescent="0.35">
      <c r="A764" s="277" t="s">
        <v>110</v>
      </c>
      <c r="B764" s="958"/>
      <c r="C764" s="282" t="s">
        <v>379</v>
      </c>
      <c r="D764" s="282" t="s">
        <v>187</v>
      </c>
      <c r="E764" s="505">
        <v>13.6509</v>
      </c>
      <c r="F764" s="405">
        <f>IFERROR(E764*'01 Prod Physique Boites'!H759,"-")</f>
        <v>0</v>
      </c>
      <c r="G764" s="405">
        <f>IFERROR(E764*'01 Prod Physique Boites'!L759,"-")</f>
        <v>0</v>
      </c>
      <c r="H764" s="390">
        <v>21.18</v>
      </c>
      <c r="I764" s="426">
        <f t="shared" si="474"/>
        <v>0</v>
      </c>
      <c r="J764" s="427">
        <f>IFERROR(H764*(G764/E764),"-")</f>
        <v>0</v>
      </c>
    </row>
    <row r="765" spans="1:15" ht="24" thickBot="1" x14ac:dyDescent="0.35">
      <c r="A765" s="277" t="s">
        <v>110</v>
      </c>
      <c r="B765" s="967" t="s">
        <v>48</v>
      </c>
      <c r="C765" s="968"/>
      <c r="D765" s="969"/>
      <c r="E765" s="393"/>
      <c r="F765" s="409">
        <f t="shared" ref="F765" si="476">SUM(F758:F764)</f>
        <v>1550741.0101000001</v>
      </c>
      <c r="G765" s="410">
        <f>SUM(G758:G764)</f>
        <v>13427132.3485</v>
      </c>
      <c r="H765" s="394"/>
      <c r="I765" s="409">
        <f t="shared" ref="I765" si="477">SUM(I758:I764)</f>
        <v>2525990.34</v>
      </c>
      <c r="J765" s="428">
        <f>SUM(J758:J764)</f>
        <v>21636179.939999998</v>
      </c>
      <c r="K765" s="757"/>
      <c r="L765" s="757"/>
      <c r="M765" s="757"/>
      <c r="N765" s="757"/>
      <c r="O765" s="757"/>
    </row>
    <row r="766" spans="1:15" ht="23.4" x14ac:dyDescent="0.3">
      <c r="A766" s="277" t="s">
        <v>110</v>
      </c>
      <c r="B766" s="956" t="s">
        <v>18</v>
      </c>
      <c r="C766" s="272" t="s">
        <v>344</v>
      </c>
      <c r="D766" s="272" t="s">
        <v>99</v>
      </c>
      <c r="E766" s="508">
        <v>17.8202</v>
      </c>
      <c r="F766" s="405">
        <f>IFERROR(E766*'01 Prod Physique Boites'!H761,"-")</f>
        <v>0</v>
      </c>
      <c r="G766" s="406">
        <f>IFERROR(E766*'01 Prod Physique Boites'!L761,"-")</f>
        <v>0</v>
      </c>
      <c r="H766" s="384">
        <v>24.93</v>
      </c>
      <c r="I766" s="422">
        <f t="shared" ref="I766:I772" si="478">IFERROR(H766*(F766/E766),"-")</f>
        <v>0</v>
      </c>
      <c r="J766" s="423">
        <f t="shared" ref="J766:J768" si="479">IFERROR(H766*(G766/E766),"-")</f>
        <v>0</v>
      </c>
    </row>
    <row r="767" spans="1:15" ht="23.4" x14ac:dyDescent="0.3">
      <c r="A767" s="277" t="s">
        <v>110</v>
      </c>
      <c r="B767" s="957"/>
      <c r="C767" s="278" t="s">
        <v>137</v>
      </c>
      <c r="D767" s="278"/>
      <c r="E767" s="509">
        <v>17.8202</v>
      </c>
      <c r="F767" s="405">
        <f>IFERROR(E767*'01 Prod Physique Boites'!H762,"-")</f>
        <v>0</v>
      </c>
      <c r="G767" s="406">
        <f>IFERROR(E767*'01 Prod Physique Boites'!L762,"-")</f>
        <v>0</v>
      </c>
      <c r="H767" s="388">
        <v>0</v>
      </c>
      <c r="I767" s="424">
        <f t="shared" si="478"/>
        <v>0</v>
      </c>
      <c r="J767" s="425">
        <f t="shared" si="479"/>
        <v>0</v>
      </c>
    </row>
    <row r="768" spans="1:15" ht="23.4" x14ac:dyDescent="0.3">
      <c r="A768" s="277" t="s">
        <v>110</v>
      </c>
      <c r="B768" s="957"/>
      <c r="C768" s="278" t="s">
        <v>122</v>
      </c>
      <c r="D768" s="278"/>
      <c r="E768" s="509">
        <v>16.4071</v>
      </c>
      <c r="F768" s="405">
        <f>IFERROR(E768*'01 Prod Physique Boites'!H763,"-")</f>
        <v>0</v>
      </c>
      <c r="G768" s="406">
        <f>IFERROR(E768*'01 Prod Physique Boites'!L763,"-")</f>
        <v>0</v>
      </c>
      <c r="H768" s="388">
        <v>0</v>
      </c>
      <c r="I768" s="424">
        <f t="shared" si="478"/>
        <v>0</v>
      </c>
      <c r="J768" s="425">
        <f t="shared" si="479"/>
        <v>0</v>
      </c>
    </row>
    <row r="769" spans="1:10" ht="23.4" x14ac:dyDescent="0.3">
      <c r="A769" s="277" t="s">
        <v>110</v>
      </c>
      <c r="B769" s="957"/>
      <c r="C769" s="278" t="s">
        <v>129</v>
      </c>
      <c r="D769" s="278"/>
      <c r="E769" s="509">
        <v>17.8202</v>
      </c>
      <c r="F769" s="405">
        <f>IFERROR(E769*'01 Prod Physique Boites'!H764,"-")</f>
        <v>0</v>
      </c>
      <c r="G769" s="406">
        <f>IFERROR(E769*'01 Prod Physique Boites'!L764,"-")</f>
        <v>0</v>
      </c>
      <c r="H769" s="388">
        <v>0</v>
      </c>
      <c r="I769" s="424">
        <f t="shared" si="478"/>
        <v>0</v>
      </c>
      <c r="J769" s="425">
        <f>IFERROR(H769*(G769/E769),"-")</f>
        <v>0</v>
      </c>
    </row>
    <row r="770" spans="1:10" ht="23.4" x14ac:dyDescent="0.3">
      <c r="A770" s="277" t="s">
        <v>110</v>
      </c>
      <c r="B770" s="957"/>
      <c r="C770" s="278" t="s">
        <v>189</v>
      </c>
      <c r="D770" s="278" t="s">
        <v>190</v>
      </c>
      <c r="E770" s="509">
        <v>17.8202</v>
      </c>
      <c r="F770" s="405">
        <f>IFERROR(E770*'01 Prod Physique Boites'!H765,"-")</f>
        <v>0</v>
      </c>
      <c r="G770" s="406">
        <f>IFERROR(E770*'01 Prod Physique Boites'!L765,"-")</f>
        <v>0</v>
      </c>
      <c r="H770" s="388">
        <v>0</v>
      </c>
      <c r="I770" s="424">
        <f t="shared" si="478"/>
        <v>0</v>
      </c>
      <c r="J770" s="425">
        <f t="shared" ref="J770:J772" si="480">IFERROR(H770*(G770/E770),"-")</f>
        <v>0</v>
      </c>
    </row>
    <row r="771" spans="1:10" ht="23.4" x14ac:dyDescent="0.3">
      <c r="A771" s="277" t="s">
        <v>110</v>
      </c>
      <c r="B771" s="957"/>
      <c r="C771" s="278" t="s">
        <v>192</v>
      </c>
      <c r="D771" s="278" t="s">
        <v>191</v>
      </c>
      <c r="E771" s="509">
        <v>16.7288</v>
      </c>
      <c r="F771" s="405">
        <f>IFERROR(E771*'01 Prod Physique Boites'!H766,"-")</f>
        <v>0</v>
      </c>
      <c r="G771" s="406">
        <f>IFERROR(E771*'01 Prod Physique Boites'!L766,"-")</f>
        <v>0</v>
      </c>
      <c r="H771" s="388">
        <v>0</v>
      </c>
      <c r="I771" s="424">
        <f t="shared" si="478"/>
        <v>0</v>
      </c>
      <c r="J771" s="425">
        <f t="shared" si="480"/>
        <v>0</v>
      </c>
    </row>
    <row r="772" spans="1:10" ht="24" thickBot="1" x14ac:dyDescent="0.35">
      <c r="A772" s="277" t="s">
        <v>110</v>
      </c>
      <c r="B772" s="958"/>
      <c r="C772" s="289" t="s">
        <v>193</v>
      </c>
      <c r="D772" s="289" t="s">
        <v>114</v>
      </c>
      <c r="E772" s="505">
        <v>17.8202</v>
      </c>
      <c r="F772" s="405">
        <f>IFERROR(E772*'01 Prod Physique Boites'!H767,"-")</f>
        <v>0</v>
      </c>
      <c r="G772" s="406">
        <f>IFERROR(E772*'01 Prod Physique Boites'!L767,"-")</f>
        <v>0</v>
      </c>
      <c r="H772" s="388">
        <v>0</v>
      </c>
      <c r="I772" s="426">
        <f t="shared" si="478"/>
        <v>0</v>
      </c>
      <c r="J772" s="427">
        <f t="shared" si="480"/>
        <v>0</v>
      </c>
    </row>
    <row r="773" spans="1:10" ht="24" thickBot="1" x14ac:dyDescent="0.35">
      <c r="A773" s="277" t="s">
        <v>110</v>
      </c>
      <c r="B773" s="967" t="s">
        <v>29</v>
      </c>
      <c r="C773" s="968"/>
      <c r="D773" s="969"/>
      <c r="E773" s="660"/>
      <c r="F773" s="661">
        <f t="shared" ref="F773:G773" si="481">SUM(F766:F772)</f>
        <v>0</v>
      </c>
      <c r="G773" s="410">
        <f t="shared" si="481"/>
        <v>0</v>
      </c>
      <c r="H773" s="394"/>
      <c r="I773" s="409">
        <f t="shared" ref="I773:J773" si="482">SUM(I766:I772)</f>
        <v>0</v>
      </c>
      <c r="J773" s="428">
        <f t="shared" si="482"/>
        <v>0</v>
      </c>
    </row>
    <row r="774" spans="1:10" ht="24" thickBot="1" x14ac:dyDescent="0.35">
      <c r="A774" s="277"/>
      <c r="B774" s="985" t="s">
        <v>19</v>
      </c>
      <c r="C774" s="662" t="s">
        <v>255</v>
      </c>
      <c r="D774" s="668" t="s">
        <v>190</v>
      </c>
      <c r="E774" s="669">
        <v>12.2659</v>
      </c>
      <c r="F774" s="670">
        <f>IFERROR(E774*'01 Prod Physique Boites'!H769,"-")</f>
        <v>0</v>
      </c>
      <c r="G774" s="671">
        <f>IFERROR(E774*'01 Prod Physique Boites'!L769,"-")</f>
        <v>0</v>
      </c>
      <c r="H774" s="665">
        <v>14.79</v>
      </c>
      <c r="I774" s="650">
        <f t="shared" ref="I774:I776" si="483">IFERROR(H774*(F774/E774),"-")</f>
        <v>0</v>
      </c>
      <c r="J774" s="650">
        <f>IFERROR(H774*(G774/E774),"-")</f>
        <v>0</v>
      </c>
    </row>
    <row r="775" spans="1:10" ht="24" thickBot="1" x14ac:dyDescent="0.35">
      <c r="A775" s="277"/>
      <c r="B775" s="986"/>
      <c r="C775" s="663" t="s">
        <v>399</v>
      </c>
      <c r="D775" s="672"/>
      <c r="E775" s="654">
        <v>12.2659</v>
      </c>
      <c r="F775" s="670">
        <f>IFERROR(E775*'01 Prod Physique Boites'!H770,"-")</f>
        <v>0</v>
      </c>
      <c r="G775" s="645">
        <f>IFERROR(E775*'01 Prod Physique Boites'!L770,"-")</f>
        <v>103622.3232</v>
      </c>
      <c r="H775" s="666">
        <v>14.55</v>
      </c>
      <c r="I775" s="655">
        <f t="shared" si="483"/>
        <v>0</v>
      </c>
      <c r="J775" s="655">
        <f>IFERROR(H775*(G775/E775),"-")</f>
        <v>122918.40000000001</v>
      </c>
    </row>
    <row r="776" spans="1:10" ht="24" thickBot="1" x14ac:dyDescent="0.35">
      <c r="A776" s="804" t="s">
        <v>110</v>
      </c>
      <c r="B776" s="987"/>
      <c r="C776" s="664" t="s">
        <v>380</v>
      </c>
      <c r="D776" s="673"/>
      <c r="E776" s="674">
        <v>0</v>
      </c>
      <c r="F776" s="670">
        <f>IFERROR(E776*'01 Prod Physique Boites'!H771,"-")</f>
        <v>0</v>
      </c>
      <c r="G776" s="676">
        <f>IFERROR(E776*'01 Prod Physique Boites'!L771,"-")</f>
        <v>0</v>
      </c>
      <c r="H776" s="667">
        <v>0</v>
      </c>
      <c r="I776" s="429" t="str">
        <f t="shared" si="483"/>
        <v>-</v>
      </c>
      <c r="J776" s="430" t="str">
        <f t="shared" ref="J776" si="484">IFERROR(I776*(G776/F776),"-")</f>
        <v>-</v>
      </c>
    </row>
    <row r="777" spans="1:10" ht="24" thickBot="1" x14ac:dyDescent="0.35">
      <c r="A777" s="277" t="s">
        <v>110</v>
      </c>
      <c r="B777" s="967" t="s">
        <v>49</v>
      </c>
      <c r="C777" s="968"/>
      <c r="D777" s="969"/>
      <c r="E777" s="393"/>
      <c r="F777" s="409">
        <f>SUM(F774:F776)</f>
        <v>0</v>
      </c>
      <c r="G777" s="409">
        <f>SUM(G774:G776)</f>
        <v>103622.3232</v>
      </c>
      <c r="H777" s="394"/>
      <c r="I777" s="409">
        <f t="shared" ref="I777" si="485">SUM(I776)</f>
        <v>0</v>
      </c>
      <c r="J777" s="428">
        <f>SUM(J774:J776)</f>
        <v>122918.40000000001</v>
      </c>
    </row>
    <row r="778" spans="1:10" ht="23.4" x14ac:dyDescent="0.3">
      <c r="A778" s="277" t="s">
        <v>110</v>
      </c>
      <c r="B778" s="956" t="s">
        <v>20</v>
      </c>
      <c r="C778" s="294" t="s">
        <v>351</v>
      </c>
      <c r="D778" s="294" t="s">
        <v>313</v>
      </c>
      <c r="E778" s="508">
        <v>26.032900000000001</v>
      </c>
      <c r="F778" s="405">
        <f>IFERROR(E778*'01 Prod Physique Boites'!H773,"-")</f>
        <v>0</v>
      </c>
      <c r="G778" s="406">
        <f>IFERROR(E778*'01 Prod Physique Boites'!L773,"-")</f>
        <v>0</v>
      </c>
      <c r="H778" s="384">
        <v>36.44</v>
      </c>
      <c r="I778" s="422">
        <f>IFERROR(H778*(F778/E778),"-")</f>
        <v>0</v>
      </c>
      <c r="J778" s="423">
        <f t="shared" ref="J778:J780" si="486">IFERROR(H778*(G778/E778),"-")</f>
        <v>0</v>
      </c>
    </row>
    <row r="779" spans="1:10" ht="23.4" x14ac:dyDescent="0.3">
      <c r="A779" s="277" t="s">
        <v>110</v>
      </c>
      <c r="B779" s="957"/>
      <c r="C779" s="295" t="s">
        <v>121</v>
      </c>
      <c r="D779" s="295"/>
      <c r="E779" s="387">
        <v>24.2607</v>
      </c>
      <c r="F779" s="405">
        <f>IFERROR(E779*'01 Prod Physique Boites'!H774,"-")</f>
        <v>0</v>
      </c>
      <c r="G779" s="406">
        <f>IFERROR(E779*'01 Prod Physique Boites'!L774,"-")</f>
        <v>0</v>
      </c>
      <c r="H779" s="388">
        <v>37.369999999999997</v>
      </c>
      <c r="I779" s="424">
        <f>IFERROR(H779*(F779/E779),"-")</f>
        <v>0</v>
      </c>
      <c r="J779" s="425">
        <f t="shared" si="486"/>
        <v>0</v>
      </c>
    </row>
    <row r="780" spans="1:10" ht="24" thickBot="1" x14ac:dyDescent="0.35">
      <c r="A780" s="277" t="s">
        <v>110</v>
      </c>
      <c r="B780" s="958"/>
      <c r="C780" s="296" t="s">
        <v>127</v>
      </c>
      <c r="D780" s="296"/>
      <c r="E780" s="389">
        <v>26.035799999999998</v>
      </c>
      <c r="F780" s="405">
        <f>IFERROR(E780*'01 Prod Physique Boites'!H775,"-")</f>
        <v>0</v>
      </c>
      <c r="G780" s="406">
        <f>IFERROR(E780*'01 Prod Physique Boites'!L775,"-")</f>
        <v>0</v>
      </c>
      <c r="H780" s="390">
        <v>37.11</v>
      </c>
      <c r="I780" s="426">
        <f>IFERROR(H780*(F780/E780),"-")</f>
        <v>0</v>
      </c>
      <c r="J780" s="427">
        <f t="shared" si="486"/>
        <v>0</v>
      </c>
    </row>
    <row r="781" spans="1:10" ht="24" thickBot="1" x14ac:dyDescent="0.35">
      <c r="A781" s="277" t="s">
        <v>110</v>
      </c>
      <c r="B781" s="968" t="s">
        <v>50</v>
      </c>
      <c r="C781" s="968"/>
      <c r="D781" s="989"/>
      <c r="E781" s="393"/>
      <c r="F781" s="409">
        <f t="shared" ref="F781:G781" si="487">SUM(F778:F780)</f>
        <v>0</v>
      </c>
      <c r="G781" s="410">
        <f t="shared" si="487"/>
        <v>0</v>
      </c>
      <c r="H781" s="394"/>
      <c r="I781" s="409">
        <f t="shared" ref="I781:J781" si="488">SUM(I778:I780)</f>
        <v>0</v>
      </c>
      <c r="J781" s="428">
        <f t="shared" si="488"/>
        <v>0</v>
      </c>
    </row>
    <row r="782" spans="1:10" ht="24" thickBot="1" x14ac:dyDescent="0.35">
      <c r="A782" s="277" t="s">
        <v>110</v>
      </c>
      <c r="B782" s="981" t="s">
        <v>21</v>
      </c>
      <c r="C782" s="982"/>
      <c r="D782" s="983"/>
      <c r="E782" s="396"/>
      <c r="F782" s="413">
        <f>+F757+F765+F773+F777+F781</f>
        <v>1550741.0101000001</v>
      </c>
      <c r="G782" s="414">
        <f>+G757+G765+G773+G777+G781</f>
        <v>19081262.986399997</v>
      </c>
      <c r="H782" s="397"/>
      <c r="I782" s="413">
        <f>+I757+I765+I773+I777+I781</f>
        <v>2525990.34</v>
      </c>
      <c r="J782" s="431">
        <f>+J757+J765+J773+J777+J781</f>
        <v>24601773.539999995</v>
      </c>
    </row>
    <row r="783" spans="1:10" ht="23.4" x14ac:dyDescent="0.3">
      <c r="A783" s="277" t="s">
        <v>110</v>
      </c>
      <c r="B783" s="956" t="s">
        <v>481</v>
      </c>
      <c r="C783" s="272" t="s">
        <v>132</v>
      </c>
      <c r="D783" s="272"/>
      <c r="E783" s="383">
        <v>22.820599999999999</v>
      </c>
      <c r="F783" s="405">
        <f>IFERROR(E783*'01 Prod Physique Boites'!H778,"-")</f>
        <v>0</v>
      </c>
      <c r="G783" s="406">
        <f>IFERROR(E783*'01 Prod Physique Boites'!L778,"-")</f>
        <v>0</v>
      </c>
      <c r="H783" s="384">
        <v>27.5</v>
      </c>
      <c r="I783" s="422">
        <f>IFERROR(H783*(F783/E783),"-")</f>
        <v>0</v>
      </c>
      <c r="J783" s="423">
        <f t="shared" ref="J783:J786" si="489">IFERROR(H783*(G783/E783),"-")</f>
        <v>0</v>
      </c>
    </row>
    <row r="784" spans="1:10" ht="23.4" x14ac:dyDescent="0.3">
      <c r="A784" s="277" t="s">
        <v>110</v>
      </c>
      <c r="B784" s="957"/>
      <c r="C784" s="298" t="s">
        <v>283</v>
      </c>
      <c r="D784" s="298" t="s">
        <v>194</v>
      </c>
      <c r="E784" s="387">
        <v>23.570699999999999</v>
      </c>
      <c r="F784" s="405">
        <f>IFERROR(E784*'01 Prod Physique Boites'!H779,"-")</f>
        <v>0</v>
      </c>
      <c r="G784" s="406">
        <f>IFERROR(E784*'01 Prod Physique Boites'!L779,"-")</f>
        <v>0</v>
      </c>
      <c r="H784" s="388">
        <v>27.5</v>
      </c>
      <c r="I784" s="424">
        <f>IFERROR(H784*(F784/E784),"-")</f>
        <v>0</v>
      </c>
      <c r="J784" s="425">
        <f t="shared" si="489"/>
        <v>0</v>
      </c>
    </row>
    <row r="785" spans="1:10" ht="23.4" x14ac:dyDescent="0.3">
      <c r="A785" s="277" t="s">
        <v>110</v>
      </c>
      <c r="B785" s="957"/>
      <c r="C785" s="298" t="s">
        <v>405</v>
      </c>
      <c r="D785" s="298" t="s">
        <v>194</v>
      </c>
      <c r="E785" s="387">
        <v>22.820599999999999</v>
      </c>
      <c r="F785" s="405">
        <f>IFERROR(E785*'01 Prod Physique Boites'!H780,"-")</f>
        <v>45184.788</v>
      </c>
      <c r="G785" s="406">
        <f>IFERROR(E785*'01 Prod Physique Boites'!L780,"-")</f>
        <v>7591044.3839999996</v>
      </c>
      <c r="H785" s="388">
        <v>27.5</v>
      </c>
      <c r="I785" s="424">
        <f>IFERROR(H785*(F785/E785),"-")</f>
        <v>54450.000000000007</v>
      </c>
      <c r="J785" s="425">
        <f t="shared" si="489"/>
        <v>9147600</v>
      </c>
    </row>
    <row r="786" spans="1:10" ht="24" thickBot="1" x14ac:dyDescent="0.35">
      <c r="A786" s="277" t="s">
        <v>110</v>
      </c>
      <c r="B786" s="958"/>
      <c r="C786" s="282" t="s">
        <v>195</v>
      </c>
      <c r="D786" s="282" t="s">
        <v>100</v>
      </c>
      <c r="E786" s="389">
        <v>23.5685</v>
      </c>
      <c r="F786" s="405">
        <f>IFERROR(E786*'01 Prod Physique Boites'!H781,"-")</f>
        <v>0</v>
      </c>
      <c r="G786" s="406">
        <f>IFERROR(E786*'01 Prod Physique Boites'!L781,"-")</f>
        <v>0</v>
      </c>
      <c r="H786" s="390">
        <v>24</v>
      </c>
      <c r="I786" s="426">
        <f>IFERROR(H786*(F786/E786),"-")</f>
        <v>0</v>
      </c>
      <c r="J786" s="427">
        <f t="shared" si="489"/>
        <v>0</v>
      </c>
    </row>
    <row r="787" spans="1:10" ht="24" thickBot="1" x14ac:dyDescent="0.35">
      <c r="A787" s="277" t="s">
        <v>110</v>
      </c>
      <c r="B787" s="967" t="s">
        <v>51</v>
      </c>
      <c r="C787" s="968"/>
      <c r="D787" s="969"/>
      <c r="E787" s="393"/>
      <c r="F787" s="409">
        <f t="shared" ref="F787:G787" si="490">SUM(F783:F786)</f>
        <v>45184.788</v>
      </c>
      <c r="G787" s="410">
        <f t="shared" si="490"/>
        <v>7591044.3839999996</v>
      </c>
      <c r="H787" s="394"/>
      <c r="I787" s="409">
        <f t="shared" ref="I787:J787" si="491">SUM(I783:I786)</f>
        <v>54450.000000000007</v>
      </c>
      <c r="J787" s="428">
        <f t="shared" si="491"/>
        <v>9147600</v>
      </c>
    </row>
    <row r="788" spans="1:10" ht="23.4" x14ac:dyDescent="0.3">
      <c r="A788" s="277" t="s">
        <v>110</v>
      </c>
      <c r="B788" s="956" t="s">
        <v>23</v>
      </c>
      <c r="C788" s="299" t="s">
        <v>337</v>
      </c>
      <c r="D788" s="299" t="s">
        <v>258</v>
      </c>
      <c r="E788" s="383">
        <v>101.4935</v>
      </c>
      <c r="F788" s="405">
        <f>IFERROR(E788*'01 Prod Physique Boites'!H783,"-")</f>
        <v>0</v>
      </c>
      <c r="G788" s="406">
        <f>IFERROR(E788*'01 Prod Physique Boites'!L783,"-")</f>
        <v>0</v>
      </c>
      <c r="H788" s="388">
        <v>160.44999999999999</v>
      </c>
      <c r="I788" s="422">
        <f t="shared" ref="I788:I795" si="492">IFERROR(H788*(F788/E788),"-")</f>
        <v>0</v>
      </c>
      <c r="J788" s="423">
        <f t="shared" ref="J788:J795" si="493">IFERROR(H788*(G788/E788),"-")</f>
        <v>0</v>
      </c>
    </row>
    <row r="789" spans="1:10" ht="23.4" x14ac:dyDescent="0.3">
      <c r="A789" s="277" t="s">
        <v>110</v>
      </c>
      <c r="B789" s="957"/>
      <c r="C789" s="278" t="s">
        <v>24</v>
      </c>
      <c r="D789" s="278" t="s">
        <v>258</v>
      </c>
      <c r="E789" s="387">
        <v>101.4935</v>
      </c>
      <c r="F789" s="405">
        <f>IFERROR(E789*'01 Prod Physique Boites'!H784,"-")</f>
        <v>0</v>
      </c>
      <c r="G789" s="406">
        <f>IFERROR(E789*'01 Prod Physique Boites'!L784,"-")</f>
        <v>0</v>
      </c>
      <c r="H789" s="388">
        <v>160.44999999999999</v>
      </c>
      <c r="I789" s="424">
        <f t="shared" si="492"/>
        <v>0</v>
      </c>
      <c r="J789" s="425">
        <f t="shared" si="493"/>
        <v>0</v>
      </c>
    </row>
    <row r="790" spans="1:10" ht="23.4" x14ac:dyDescent="0.3">
      <c r="A790" s="277" t="s">
        <v>110</v>
      </c>
      <c r="B790" s="957"/>
      <c r="C790" s="278" t="s">
        <v>256</v>
      </c>
      <c r="D790" s="278" t="s">
        <v>258</v>
      </c>
      <c r="E790" s="387">
        <v>101.4935</v>
      </c>
      <c r="F790" s="405">
        <f>IFERROR(E790*'01 Prod Physique Boites'!H785,"-")</f>
        <v>0</v>
      </c>
      <c r="G790" s="406">
        <f>IFERROR(E790*'01 Prod Physique Boites'!L785,"-")</f>
        <v>0</v>
      </c>
      <c r="H790" s="388">
        <v>160.44999999999999</v>
      </c>
      <c r="I790" s="424">
        <f t="shared" si="492"/>
        <v>0</v>
      </c>
      <c r="J790" s="425">
        <f t="shared" si="493"/>
        <v>0</v>
      </c>
    </row>
    <row r="791" spans="1:10" ht="23.4" x14ac:dyDescent="0.3">
      <c r="A791" s="277" t="s">
        <v>110</v>
      </c>
      <c r="B791" s="957"/>
      <c r="C791" s="278" t="s">
        <v>257</v>
      </c>
      <c r="D791" s="278" t="s">
        <v>258</v>
      </c>
      <c r="E791" s="387">
        <v>101.4935</v>
      </c>
      <c r="F791" s="405">
        <f>IFERROR(E791*'01 Prod Physique Boites'!H786,"-")</f>
        <v>0</v>
      </c>
      <c r="G791" s="406">
        <f>IFERROR(E791*'01 Prod Physique Boites'!L786,"-")</f>
        <v>0</v>
      </c>
      <c r="H791" s="388">
        <v>160.44999999999999</v>
      </c>
      <c r="I791" s="424">
        <f t="shared" si="492"/>
        <v>0</v>
      </c>
      <c r="J791" s="425">
        <f t="shared" si="493"/>
        <v>0</v>
      </c>
    </row>
    <row r="792" spans="1:10" ht="23.4" x14ac:dyDescent="0.3">
      <c r="A792" s="277" t="s">
        <v>110</v>
      </c>
      <c r="B792" s="957"/>
      <c r="C792" s="298" t="s">
        <v>259</v>
      </c>
      <c r="D792" s="278" t="s">
        <v>258</v>
      </c>
      <c r="E792" s="387">
        <v>101.4935</v>
      </c>
      <c r="F792" s="405">
        <f>IFERROR(E792*'01 Prod Physique Boites'!H787,"-")</f>
        <v>976874.9375</v>
      </c>
      <c r="G792" s="406">
        <f>IFERROR(E792*'01 Prod Physique Boites'!L787,"-")</f>
        <v>976874.9375</v>
      </c>
      <c r="H792" s="388">
        <v>160.44999999999999</v>
      </c>
      <c r="I792" s="424">
        <f t="shared" si="492"/>
        <v>1544331.25</v>
      </c>
      <c r="J792" s="425">
        <f t="shared" si="493"/>
        <v>1544331.25</v>
      </c>
    </row>
    <row r="793" spans="1:10" ht="23.4" x14ac:dyDescent="0.3">
      <c r="A793" s="277" t="s">
        <v>110</v>
      </c>
      <c r="B793" s="957"/>
      <c r="C793" s="298" t="s">
        <v>260</v>
      </c>
      <c r="D793" s="278" t="s">
        <v>258</v>
      </c>
      <c r="E793" s="387">
        <v>101.4935</v>
      </c>
      <c r="F793" s="405">
        <f>IFERROR(E793*'01 Prod Physique Boites'!H788,"-")</f>
        <v>0</v>
      </c>
      <c r="G793" s="406">
        <f>IFERROR(E793*'01 Prod Physique Boites'!L788,"-")</f>
        <v>0</v>
      </c>
      <c r="H793" s="388">
        <v>160.44999999999999</v>
      </c>
      <c r="I793" s="424">
        <f t="shared" si="492"/>
        <v>0</v>
      </c>
      <c r="J793" s="425">
        <f t="shared" si="493"/>
        <v>0</v>
      </c>
    </row>
    <row r="794" spans="1:10" ht="23.4" x14ac:dyDescent="0.3">
      <c r="A794" s="277" t="s">
        <v>110</v>
      </c>
      <c r="B794" s="957"/>
      <c r="C794" s="298" t="s">
        <v>261</v>
      </c>
      <c r="D794" s="278" t="s">
        <v>263</v>
      </c>
      <c r="E794" s="387">
        <v>101.4935</v>
      </c>
      <c r="F794" s="405">
        <f>IFERROR(E794*'01 Prod Physique Boites'!H789,"-")</f>
        <v>0</v>
      </c>
      <c r="G794" s="406">
        <f>IFERROR(E794*'01 Prod Physique Boites'!L789,"-")</f>
        <v>2384082.3149999999</v>
      </c>
      <c r="H794" s="388">
        <v>160.44999999999999</v>
      </c>
      <c r="I794" s="424">
        <f t="shared" si="492"/>
        <v>0</v>
      </c>
      <c r="J794" s="425">
        <f t="shared" si="493"/>
        <v>3768970.4999999995</v>
      </c>
    </row>
    <row r="795" spans="1:10" ht="24" thickBot="1" x14ac:dyDescent="0.35">
      <c r="A795" s="277" t="s">
        <v>110</v>
      </c>
      <c r="B795" s="958"/>
      <c r="C795" s="298" t="s">
        <v>262</v>
      </c>
      <c r="D795" s="278" t="s">
        <v>258</v>
      </c>
      <c r="E795" s="389">
        <v>101.4935</v>
      </c>
      <c r="F795" s="405">
        <f>IFERROR(E795*'01 Prod Physique Boites'!H790,"-")</f>
        <v>266420.4375</v>
      </c>
      <c r="G795" s="406">
        <f>IFERROR(E795*'01 Prod Physique Boites'!L790,"-")</f>
        <v>2879878.0625</v>
      </c>
      <c r="H795" s="388">
        <v>160.44999999999999</v>
      </c>
      <c r="I795" s="426">
        <f t="shared" si="492"/>
        <v>421181.24999999994</v>
      </c>
      <c r="J795" s="427">
        <f t="shared" si="493"/>
        <v>4552768.75</v>
      </c>
    </row>
    <row r="796" spans="1:10" ht="24" thickBot="1" x14ac:dyDescent="0.35">
      <c r="A796" s="277" t="s">
        <v>110</v>
      </c>
      <c r="B796" s="967" t="s">
        <v>52</v>
      </c>
      <c r="C796" s="968"/>
      <c r="D796" s="969"/>
      <c r="E796" s="393"/>
      <c r="F796" s="409">
        <f t="shared" ref="F796" si="494">SUM(F788:F795)</f>
        <v>1243295.375</v>
      </c>
      <c r="G796" s="410">
        <f>SUM(G788:G795)</f>
        <v>6240835.3149999995</v>
      </c>
      <c r="H796" s="394"/>
      <c r="I796" s="409">
        <f t="shared" ref="I796" si="495">SUM(I788:I795)</f>
        <v>1965512.5</v>
      </c>
      <c r="J796" s="428">
        <f>SUM(J788:J795)</f>
        <v>9866070.5</v>
      </c>
    </row>
    <row r="797" spans="1:10" ht="24" thickBot="1" x14ac:dyDescent="0.35">
      <c r="A797" s="277" t="s">
        <v>110</v>
      </c>
      <c r="B797" s="981" t="s">
        <v>25</v>
      </c>
      <c r="C797" s="982"/>
      <c r="D797" s="983"/>
      <c r="E797" s="396"/>
      <c r="F797" s="413">
        <f t="shared" ref="F797" si="496">+F787+F796</f>
        <v>1288480.1629999999</v>
      </c>
      <c r="G797" s="414">
        <f>+G787+G796</f>
        <v>13831879.698999999</v>
      </c>
      <c r="H797" s="397"/>
      <c r="I797" s="413">
        <f t="shared" ref="I797:J797" si="497">+I787+I796</f>
        <v>2019962.5</v>
      </c>
      <c r="J797" s="431">
        <f t="shared" si="497"/>
        <v>19013670.5</v>
      </c>
    </row>
    <row r="798" spans="1:10" ht="24" thickBot="1" x14ac:dyDescent="0.35">
      <c r="A798" s="277" t="s">
        <v>110</v>
      </c>
      <c r="B798" s="984" t="s">
        <v>180</v>
      </c>
      <c r="C798" s="962"/>
      <c r="D798" s="963"/>
      <c r="E798" s="398"/>
      <c r="F798" s="415">
        <f t="shared" ref="F798" si="498">+F782+F797</f>
        <v>2839221.1731000002</v>
      </c>
      <c r="G798" s="416">
        <f>+G782+G797</f>
        <v>32913142.685399994</v>
      </c>
      <c r="H798" s="399"/>
      <c r="I798" s="415">
        <f t="shared" ref="I798:J798" si="499">+I782+I797</f>
        <v>4545952.84</v>
      </c>
      <c r="J798" s="432">
        <f t="shared" si="499"/>
        <v>43615444.039999992</v>
      </c>
    </row>
    <row r="799" spans="1:10" ht="23.4" x14ac:dyDescent="0.3">
      <c r="A799" s="271" t="s">
        <v>108</v>
      </c>
      <c r="B799" s="977" t="s">
        <v>26</v>
      </c>
      <c r="C799" s="300" t="s">
        <v>323</v>
      </c>
      <c r="D799" s="302" t="s">
        <v>190</v>
      </c>
      <c r="E799" s="508">
        <v>13.1272</v>
      </c>
      <c r="F799" s="405">
        <f>IFERROR(E799*'01 Prod Physique Boites'!H794,"-")</f>
        <v>0</v>
      </c>
      <c r="G799" s="406">
        <f>IFERROR(E799*'01 Prod Physique Boites'!L794,"-")</f>
        <v>0</v>
      </c>
      <c r="H799" s="384">
        <v>20.76</v>
      </c>
      <c r="I799" s="422">
        <f t="shared" ref="I799:I807" si="500">IFERROR(H799*(F799/E799),"-")</f>
        <v>0</v>
      </c>
      <c r="J799" s="644">
        <f t="shared" ref="J799:J807" si="501">IFERROR(H799*(G799/E799),"-")</f>
        <v>0</v>
      </c>
    </row>
    <row r="800" spans="1:10" ht="23.4" x14ac:dyDescent="0.3">
      <c r="A800" s="277" t="s">
        <v>108</v>
      </c>
      <c r="B800" s="977"/>
      <c r="C800" s="301" t="s">
        <v>196</v>
      </c>
      <c r="D800" s="301" t="s">
        <v>114</v>
      </c>
      <c r="E800" s="509">
        <v>14.608000000000001</v>
      </c>
      <c r="F800" s="405">
        <f>IFERROR(E800*'01 Prod Physique Boites'!H795,"-")</f>
        <v>0</v>
      </c>
      <c r="G800" s="406">
        <f>IFERROR(E800*'01 Prod Physique Boites'!L795,"-")</f>
        <v>0</v>
      </c>
      <c r="H800" s="388">
        <v>24.93</v>
      </c>
      <c r="I800" s="424">
        <f t="shared" si="500"/>
        <v>0</v>
      </c>
      <c r="J800" s="645">
        <f t="shared" si="501"/>
        <v>0</v>
      </c>
    </row>
    <row r="801" spans="1:10" ht="23.4" x14ac:dyDescent="0.3">
      <c r="A801" s="277" t="s">
        <v>108</v>
      </c>
      <c r="B801" s="977"/>
      <c r="C801" s="302" t="s">
        <v>27</v>
      </c>
      <c r="D801" s="302" t="s">
        <v>370</v>
      </c>
      <c r="E801" s="505">
        <v>17.8202</v>
      </c>
      <c r="F801" s="405">
        <f>IFERROR(E801*'01 Prod Physique Boites'!H796,"-")</f>
        <v>0</v>
      </c>
      <c r="G801" s="406">
        <f>IFERROR(E801*'01 Prod Physique Boites'!L796,"-")</f>
        <v>141777.51120000001</v>
      </c>
      <c r="H801" s="388">
        <v>21.22</v>
      </c>
      <c r="I801" s="424">
        <f t="shared" si="500"/>
        <v>0</v>
      </c>
      <c r="J801" s="645">
        <f t="shared" si="501"/>
        <v>168826.32</v>
      </c>
    </row>
    <row r="802" spans="1:10" ht="23.4" x14ac:dyDescent="0.3">
      <c r="A802" s="277" t="s">
        <v>108</v>
      </c>
      <c r="B802" s="977"/>
      <c r="C802" s="302" t="s">
        <v>27</v>
      </c>
      <c r="D802" s="302" t="s">
        <v>254</v>
      </c>
      <c r="E802" s="505">
        <v>17.8202</v>
      </c>
      <c r="F802" s="405">
        <f>IFERROR(E802*'01 Prod Physique Boites'!H797,"-")</f>
        <v>0</v>
      </c>
      <c r="G802" s="406">
        <f>IFERROR(E802*'01 Prod Physique Boites'!L797,"-")</f>
        <v>567110.04480000003</v>
      </c>
      <c r="H802" s="388">
        <v>24.93</v>
      </c>
      <c r="I802" s="424">
        <f t="shared" si="500"/>
        <v>0</v>
      </c>
      <c r="J802" s="645">
        <f t="shared" si="501"/>
        <v>793372.32000000007</v>
      </c>
    </row>
    <row r="803" spans="1:10" ht="23.4" x14ac:dyDescent="0.3">
      <c r="A803" s="277" t="s">
        <v>108</v>
      </c>
      <c r="B803" s="977"/>
      <c r="C803" s="302" t="s">
        <v>27</v>
      </c>
      <c r="D803" s="302" t="s">
        <v>302</v>
      </c>
      <c r="E803" s="505">
        <v>17.8202</v>
      </c>
      <c r="F803" s="405">
        <f>IFERROR(E803*'01 Prod Physique Boites'!H798,"-")</f>
        <v>0</v>
      </c>
      <c r="G803" s="406">
        <f>IFERROR(E803*'01 Prod Physique Boites'!L798,"-")</f>
        <v>0</v>
      </c>
      <c r="H803" s="388">
        <v>24.93</v>
      </c>
      <c r="I803" s="424">
        <f t="shared" si="500"/>
        <v>0</v>
      </c>
      <c r="J803" s="645">
        <f t="shared" si="501"/>
        <v>0</v>
      </c>
    </row>
    <row r="804" spans="1:10" ht="23.4" x14ac:dyDescent="0.3">
      <c r="A804" s="277"/>
      <c r="B804" s="977"/>
      <c r="C804" s="302" t="s">
        <v>369</v>
      </c>
      <c r="D804" s="302" t="s">
        <v>190</v>
      </c>
      <c r="E804" s="505">
        <v>17.8202</v>
      </c>
      <c r="F804" s="405">
        <f>IFERROR(E804*'01 Prod Physique Boites'!H799,"-")</f>
        <v>0</v>
      </c>
      <c r="G804" s="406">
        <f>IFERROR(E804*'01 Prod Physique Boites'!L799,"-")</f>
        <v>0</v>
      </c>
      <c r="H804" s="390">
        <v>21.22</v>
      </c>
      <c r="I804" s="424">
        <f t="shared" si="500"/>
        <v>0</v>
      </c>
      <c r="J804" s="646">
        <f t="shared" si="501"/>
        <v>0</v>
      </c>
    </row>
    <row r="805" spans="1:10" ht="23.4" x14ac:dyDescent="0.3">
      <c r="A805" s="277"/>
      <c r="B805" s="977"/>
      <c r="C805" s="302" t="s">
        <v>314</v>
      </c>
      <c r="D805" s="302" t="s">
        <v>101</v>
      </c>
      <c r="E805" s="505">
        <v>14.608000000000001</v>
      </c>
      <c r="F805" s="405">
        <f>IFERROR(E805*'01 Prod Physique Boites'!H800,"-")</f>
        <v>0</v>
      </c>
      <c r="G805" s="406">
        <f>IFERROR(E805*'01 Prod Physique Boites'!L800,"-")</f>
        <v>0</v>
      </c>
      <c r="H805" s="390">
        <v>24.93</v>
      </c>
      <c r="I805" s="426">
        <f t="shared" si="500"/>
        <v>0</v>
      </c>
      <c r="J805" s="646">
        <f t="shared" si="501"/>
        <v>0</v>
      </c>
    </row>
    <row r="806" spans="1:10" ht="23.4" x14ac:dyDescent="0.3">
      <c r="A806" s="277"/>
      <c r="B806" s="977"/>
      <c r="C806" s="302" t="s">
        <v>453</v>
      </c>
      <c r="D806" s="302" t="s">
        <v>454</v>
      </c>
      <c r="E806" s="773">
        <v>16.345199999999998</v>
      </c>
      <c r="F806" s="405">
        <f>IFERROR(E806*'01 Prod Physique Boites'!H801,"-")</f>
        <v>0</v>
      </c>
      <c r="G806" s="406">
        <f>IFERROR(E806*'01 Prod Physique Boites'!L801,"-")</f>
        <v>585190.8504</v>
      </c>
      <c r="H806" s="390">
        <v>23.78</v>
      </c>
      <c r="I806" s="426">
        <f t="shared" si="500"/>
        <v>0</v>
      </c>
      <c r="J806" s="646">
        <f t="shared" si="501"/>
        <v>851371.56</v>
      </c>
    </row>
    <row r="807" spans="1:10" ht="24" thickBot="1" x14ac:dyDescent="0.35">
      <c r="A807" s="277" t="s">
        <v>108</v>
      </c>
      <c r="B807" s="977"/>
      <c r="C807" s="303" t="s">
        <v>315</v>
      </c>
      <c r="D807" s="302" t="s">
        <v>313</v>
      </c>
      <c r="E807" s="505">
        <v>12.6997</v>
      </c>
      <c r="F807" s="405">
        <f>IFERROR(E807*'01 Prod Physique Boites'!H802,"-")</f>
        <v>0</v>
      </c>
      <c r="G807" s="406">
        <f>IFERROR(E807*'01 Prod Physique Boites'!L802,"-")</f>
        <v>101038.8132</v>
      </c>
      <c r="H807" s="390">
        <v>13.25</v>
      </c>
      <c r="I807" s="426">
        <f t="shared" si="500"/>
        <v>0</v>
      </c>
      <c r="J807" s="646">
        <f t="shared" si="501"/>
        <v>105417</v>
      </c>
    </row>
    <row r="808" spans="1:10" ht="24" thickBot="1" x14ac:dyDescent="0.35">
      <c r="A808" s="277" t="s">
        <v>108</v>
      </c>
      <c r="B808" s="990"/>
      <c r="C808" s="304"/>
      <c r="D808" s="305" t="s">
        <v>55</v>
      </c>
      <c r="E808" s="393"/>
      <c r="F808" s="409">
        <f>SUM(F799:F807)</f>
        <v>0</v>
      </c>
      <c r="G808" s="410">
        <f t="shared" ref="G808" si="502">SUM(G799:G807)</f>
        <v>1395117.2196000002</v>
      </c>
      <c r="H808" s="394"/>
      <c r="I808" s="409">
        <f t="shared" ref="I808" si="503">SUM(I799:I807)</f>
        <v>0</v>
      </c>
      <c r="J808" s="428">
        <f>SUM(J799:J807)</f>
        <v>1918987.2000000002</v>
      </c>
    </row>
    <row r="809" spans="1:10" ht="23.4" x14ac:dyDescent="0.3">
      <c r="A809" s="277" t="s">
        <v>108</v>
      </c>
      <c r="B809" s="976" t="s">
        <v>28</v>
      </c>
      <c r="C809" s="302" t="s">
        <v>27</v>
      </c>
      <c r="D809" s="300" t="s">
        <v>302</v>
      </c>
      <c r="E809" s="508">
        <v>17.8202</v>
      </c>
      <c r="F809" s="405">
        <f>IFERROR(E809*'01 Prod Physique Boites'!H804,"-")</f>
        <v>70888.755600000004</v>
      </c>
      <c r="G809" s="406">
        <f>IFERROR(E809*'01 Prod Physique Boites'!L804,"-")</f>
        <v>141777.51120000001</v>
      </c>
      <c r="H809" s="384">
        <v>24.93</v>
      </c>
      <c r="I809" s="422">
        <f>IFERROR(H809*(F809/E809),"-")</f>
        <v>99171.540000000008</v>
      </c>
      <c r="J809" s="644">
        <f t="shared" ref="J809:J813" si="504">IFERROR(H809*(G809/E809),"-")</f>
        <v>198343.08000000002</v>
      </c>
    </row>
    <row r="810" spans="1:10" ht="23.4" x14ac:dyDescent="0.3">
      <c r="A810" s="277" t="s">
        <v>108</v>
      </c>
      <c r="B810" s="977"/>
      <c r="C810" s="302" t="s">
        <v>456</v>
      </c>
      <c r="D810" s="302" t="s">
        <v>370</v>
      </c>
      <c r="E810" s="773">
        <v>16.7288</v>
      </c>
      <c r="F810" s="405">
        <f>IFERROR(E810*'01 Prod Physique Boites'!H805,"-")</f>
        <v>0</v>
      </c>
      <c r="G810" s="406">
        <f>IFERROR(E810*'01 Prod Physique Boites'!L805,"-")</f>
        <v>1525465.8144</v>
      </c>
      <c r="H810" s="770">
        <v>20.76</v>
      </c>
      <c r="I810" s="424">
        <f>IFERROR(H810*(F810/E810),"-")</f>
        <v>0</v>
      </c>
      <c r="J810" s="645">
        <f t="shared" si="504"/>
        <v>1893062.8800000001</v>
      </c>
    </row>
    <row r="811" spans="1:10" ht="23.4" x14ac:dyDescent="0.3">
      <c r="A811" s="277" t="s">
        <v>108</v>
      </c>
      <c r="B811" s="977"/>
      <c r="C811" s="302" t="s">
        <v>455</v>
      </c>
      <c r="D811" s="302" t="s">
        <v>370</v>
      </c>
      <c r="E811" s="505">
        <v>17.8202</v>
      </c>
      <c r="F811" s="405">
        <f>IFERROR(E811*'01 Prod Physique Boites'!H806,"-")</f>
        <v>0</v>
      </c>
      <c r="G811" s="406">
        <f>IFERROR(E811*'01 Prod Physique Boites'!L806,"-")</f>
        <v>1134220.0896000001</v>
      </c>
      <c r="H811" s="388">
        <v>21.22</v>
      </c>
      <c r="I811" s="424">
        <f>IFERROR(H811*(F811/E811),"-")</f>
        <v>0</v>
      </c>
      <c r="J811" s="645">
        <f t="shared" si="504"/>
        <v>1350610.56</v>
      </c>
    </row>
    <row r="812" spans="1:10" ht="23.4" x14ac:dyDescent="0.3">
      <c r="A812" s="277"/>
      <c r="B812" s="977"/>
      <c r="C812" s="302" t="s">
        <v>453</v>
      </c>
      <c r="D812" s="302" t="s">
        <v>454</v>
      </c>
      <c r="E812" s="773">
        <v>16.345199999999998</v>
      </c>
      <c r="F812" s="405">
        <f>IFERROR(E812*'01 Prod Physique Boites'!H807,"-")</f>
        <v>0</v>
      </c>
      <c r="G812" s="406">
        <f>IFERROR(E812*'01 Prod Physique Boites'!L807,"-")</f>
        <v>4031314.7471999996</v>
      </c>
      <c r="H812" s="388">
        <v>23.78</v>
      </c>
      <c r="I812" s="426">
        <f>IFERROR(H812*(F812/E812),"-")</f>
        <v>0</v>
      </c>
      <c r="J812" s="646">
        <f t="shared" si="504"/>
        <v>5865004.0800000001</v>
      </c>
    </row>
    <row r="813" spans="1:10" ht="24" thickBot="1" x14ac:dyDescent="0.35">
      <c r="A813" s="277" t="s">
        <v>108</v>
      </c>
      <c r="B813" s="977"/>
      <c r="C813" s="302" t="s">
        <v>27</v>
      </c>
      <c r="D813" s="303" t="s">
        <v>254</v>
      </c>
      <c r="E813" s="505">
        <v>17.8202</v>
      </c>
      <c r="F813" s="405">
        <f>IFERROR(E813*'01 Prod Physique Boites'!H808,"-")</f>
        <v>1417775.112</v>
      </c>
      <c r="G813" s="406">
        <f>IFERROR(E813*'01 Prod Physique Boites'!L808,"-")</f>
        <v>13468863.563999999</v>
      </c>
      <c r="H813" s="388">
        <v>24.93</v>
      </c>
      <c r="I813" s="426">
        <f>IFERROR(H813*(F813/E813),"-")</f>
        <v>1983430.8</v>
      </c>
      <c r="J813" s="646">
        <f t="shared" si="504"/>
        <v>18842592.600000001</v>
      </c>
    </row>
    <row r="814" spans="1:10" ht="24" thickBot="1" x14ac:dyDescent="0.35">
      <c r="A814" s="277" t="s">
        <v>108</v>
      </c>
      <c r="B814" s="977"/>
      <c r="C814" s="307"/>
      <c r="D814" s="308" t="s">
        <v>55</v>
      </c>
      <c r="E814" s="400"/>
      <c r="F814" s="417">
        <f t="shared" ref="F814:G814" si="505">SUM(F809:F813)</f>
        <v>1488663.8676</v>
      </c>
      <c r="G814" s="418">
        <f t="shared" si="505"/>
        <v>20301641.726399999</v>
      </c>
      <c r="H814" s="401"/>
      <c r="I814" s="417">
        <f t="shared" ref="I814:J814" si="506">SUM(I809:I813)</f>
        <v>2082602.34</v>
      </c>
      <c r="J814" s="433">
        <f t="shared" si="506"/>
        <v>28149613.200000003</v>
      </c>
    </row>
    <row r="815" spans="1:10" ht="24" thickBot="1" x14ac:dyDescent="0.35">
      <c r="A815" s="804" t="s">
        <v>108</v>
      </c>
      <c r="B815" s="978" t="s">
        <v>170</v>
      </c>
      <c r="C815" s="979"/>
      <c r="D815" s="980"/>
      <c r="E815" s="402"/>
      <c r="F815" s="419">
        <f t="shared" ref="F815:G815" si="507">+F808+F814</f>
        <v>1488663.8676</v>
      </c>
      <c r="G815" s="420">
        <f t="shared" si="507"/>
        <v>21696758.945999999</v>
      </c>
      <c r="H815" s="403"/>
      <c r="I815" s="419">
        <f t="shared" ref="I815:J815" si="508">+I808+I814</f>
        <v>2082602.34</v>
      </c>
      <c r="J815" s="434">
        <f t="shared" si="508"/>
        <v>30068600.400000002</v>
      </c>
    </row>
    <row r="816" spans="1:10" ht="23.4" x14ac:dyDescent="0.3">
      <c r="A816" s="277" t="s">
        <v>108</v>
      </c>
      <c r="B816" s="977" t="s">
        <v>30</v>
      </c>
      <c r="C816" s="306" t="s">
        <v>356</v>
      </c>
      <c r="D816" s="300" t="s">
        <v>191</v>
      </c>
      <c r="E816" s="508">
        <v>15.2788</v>
      </c>
      <c r="F816" s="405">
        <f>IFERROR(E816*'01 Prod Physique Boites'!H811,"-")</f>
        <v>0</v>
      </c>
      <c r="G816" s="406">
        <f>IFERROR(E816*'01 Prod Physique Boites'!L811,"-")</f>
        <v>0</v>
      </c>
      <c r="H816" s="384">
        <v>23.65</v>
      </c>
      <c r="I816" s="422">
        <f>IFERROR(H816*(F816/E816),"-")</f>
        <v>0</v>
      </c>
      <c r="J816" s="423">
        <f t="shared" ref="J816:J818" si="509">IFERROR(H816*(G816/E816),"-")</f>
        <v>0</v>
      </c>
    </row>
    <row r="817" spans="1:10" ht="23.4" x14ac:dyDescent="0.3">
      <c r="A817" s="277" t="s">
        <v>108</v>
      </c>
      <c r="B817" s="977"/>
      <c r="C817" s="306" t="s">
        <v>349</v>
      </c>
      <c r="D817" s="306" t="s">
        <v>313</v>
      </c>
      <c r="E817" s="509">
        <v>22.6356</v>
      </c>
      <c r="F817" s="405">
        <f>IFERROR(E817*'01 Prod Physique Boites'!H812,"-")</f>
        <v>0</v>
      </c>
      <c r="G817" s="406">
        <f>IFERROR(E817*'01 Prod Physique Boites'!L812,"-")</f>
        <v>0</v>
      </c>
      <c r="H817" s="388">
        <v>34.26</v>
      </c>
      <c r="I817" s="424">
        <f>IFERROR(H817*(F817/E817),"-")</f>
        <v>0</v>
      </c>
      <c r="J817" s="425">
        <f t="shared" si="509"/>
        <v>0</v>
      </c>
    </row>
    <row r="818" spans="1:10" ht="24" thickBot="1" x14ac:dyDescent="0.35">
      <c r="A818" s="277" t="s">
        <v>108</v>
      </c>
      <c r="B818" s="977"/>
      <c r="C818" s="303" t="s">
        <v>316</v>
      </c>
      <c r="D818" s="303"/>
      <c r="E818" s="505">
        <v>25.751300000000001</v>
      </c>
      <c r="F818" s="405">
        <f>IFERROR(E818*'01 Prod Physique Boites'!H813,"-")</f>
        <v>819509.37120000005</v>
      </c>
      <c r="G818" s="406">
        <f>IFERROR(E818*'01 Prod Physique Boites'!L813,"-")</f>
        <v>4242166.1568</v>
      </c>
      <c r="H818" s="390">
        <v>37.89</v>
      </c>
      <c r="I818" s="426">
        <f>IFERROR(H818*(F818/E818),"-")</f>
        <v>1205811.3600000001</v>
      </c>
      <c r="J818" s="427">
        <f t="shared" si="509"/>
        <v>6241847.04</v>
      </c>
    </row>
    <row r="819" spans="1:10" ht="24" thickBot="1" x14ac:dyDescent="0.35">
      <c r="A819" s="277" t="s">
        <v>108</v>
      </c>
      <c r="B819" s="977"/>
      <c r="C819" s="304"/>
      <c r="D819" s="305" t="s">
        <v>53</v>
      </c>
      <c r="E819" s="393"/>
      <c r="F819" s="409">
        <f t="shared" ref="F819:G819" si="510">SUM(F816:F818)</f>
        <v>819509.37120000005</v>
      </c>
      <c r="G819" s="410">
        <f t="shared" si="510"/>
        <v>4242166.1568</v>
      </c>
      <c r="H819" s="394"/>
      <c r="I819" s="409">
        <f t="shared" ref="I819" si="511">SUM(I816:I818)</f>
        <v>1205811.3600000001</v>
      </c>
      <c r="J819" s="428">
        <f>SUM(J816:J818)</f>
        <v>6241847.04</v>
      </c>
    </row>
    <row r="820" spans="1:10" ht="23.4" x14ac:dyDescent="0.3">
      <c r="A820" s="277" t="s">
        <v>108</v>
      </c>
      <c r="B820" s="977"/>
      <c r="C820" s="300" t="s">
        <v>339</v>
      </c>
      <c r="D820" s="300"/>
      <c r="E820" s="508">
        <v>22.094999999999999</v>
      </c>
      <c r="F820" s="405">
        <f>IFERROR(E820*'01 Prod Physique Boites'!H815,"-")</f>
        <v>0</v>
      </c>
      <c r="G820" s="406">
        <f>IFERROR(E820*'01 Prod Physique Boites'!L815,"-")</f>
        <v>0</v>
      </c>
      <c r="H820" s="384">
        <v>37.11</v>
      </c>
      <c r="I820" s="422">
        <f>IFERROR(H820*(F820/E820),"-")</f>
        <v>0</v>
      </c>
      <c r="J820" s="423">
        <f t="shared" ref="J820:J822" si="512">IFERROR(H820*(G820/E820),"-")</f>
        <v>0</v>
      </c>
    </row>
    <row r="821" spans="1:10" ht="23.4" x14ac:dyDescent="0.3">
      <c r="A821" s="277" t="s">
        <v>108</v>
      </c>
      <c r="B821" s="977"/>
      <c r="C821" s="306" t="s">
        <v>373</v>
      </c>
      <c r="D821" s="306" t="s">
        <v>254</v>
      </c>
      <c r="E821" s="509">
        <v>27.917000000000002</v>
      </c>
      <c r="F821" s="405">
        <f>IFERROR(E821*'01 Prod Physique Boites'!H816,"-")</f>
        <v>0</v>
      </c>
      <c r="G821" s="406">
        <f>IFERROR(E821*'01 Prod Physique Boites'!L816,"-")</f>
        <v>261303.12000000002</v>
      </c>
      <c r="H821" s="388">
        <v>39</v>
      </c>
      <c r="I821" s="424">
        <f>IFERROR(H821*(F821/E821),"-")</f>
        <v>0</v>
      </c>
      <c r="J821" s="425">
        <f t="shared" si="512"/>
        <v>365040</v>
      </c>
    </row>
    <row r="822" spans="1:10" ht="24" thickBot="1" x14ac:dyDescent="0.35">
      <c r="A822" s="277" t="s">
        <v>108</v>
      </c>
      <c r="B822" s="977"/>
      <c r="C822" s="303" t="s">
        <v>145</v>
      </c>
      <c r="D822" s="303"/>
      <c r="E822" s="505">
        <v>25.4041</v>
      </c>
      <c r="F822" s="405">
        <f>IFERROR(E822*'01 Prod Physique Boites'!H817,"-")</f>
        <v>0</v>
      </c>
      <c r="G822" s="406">
        <f>IFERROR(E822*'01 Prod Physique Boites'!L817,"-")</f>
        <v>0</v>
      </c>
      <c r="H822" s="390">
        <v>28.21</v>
      </c>
      <c r="I822" s="426">
        <f>IFERROR(H822*(F822/E822),"-")</f>
        <v>0</v>
      </c>
      <c r="J822" s="427">
        <f t="shared" si="512"/>
        <v>0</v>
      </c>
    </row>
    <row r="823" spans="1:10" ht="24" thickBot="1" x14ac:dyDescent="0.35">
      <c r="A823" s="277" t="s">
        <v>108</v>
      </c>
      <c r="B823" s="977"/>
      <c r="C823" s="307"/>
      <c r="D823" s="308" t="s">
        <v>54</v>
      </c>
      <c r="E823" s="400"/>
      <c r="F823" s="417">
        <f t="shared" ref="F823:G823" si="513">SUM(F820:F822)</f>
        <v>0</v>
      </c>
      <c r="G823" s="418">
        <f t="shared" si="513"/>
        <v>261303.12000000002</v>
      </c>
      <c r="H823" s="401"/>
      <c r="I823" s="417">
        <f t="shared" ref="I823" si="514">SUM(I820:I822)</f>
        <v>0</v>
      </c>
      <c r="J823" s="433">
        <f>SUM(J820:J822)</f>
        <v>365040</v>
      </c>
    </row>
    <row r="824" spans="1:10" ht="24" thickBot="1" x14ac:dyDescent="0.35">
      <c r="A824" s="277" t="s">
        <v>108</v>
      </c>
      <c r="B824" s="978" t="s">
        <v>171</v>
      </c>
      <c r="C824" s="979"/>
      <c r="D824" s="980"/>
      <c r="E824" s="402"/>
      <c r="F824" s="419">
        <f t="shared" ref="F824:G824" si="515">+F819+F823</f>
        <v>819509.37120000005</v>
      </c>
      <c r="G824" s="420">
        <f t="shared" si="515"/>
        <v>4503469.2768000001</v>
      </c>
      <c r="H824" s="403"/>
      <c r="I824" s="419">
        <f t="shared" ref="I824:J824" si="516">+I819+I823</f>
        <v>1205811.3600000001</v>
      </c>
      <c r="J824" s="434">
        <f t="shared" si="516"/>
        <v>6606887.04</v>
      </c>
    </row>
    <row r="825" spans="1:10" ht="24" thickBot="1" x14ac:dyDescent="0.35">
      <c r="A825" s="277" t="s">
        <v>108</v>
      </c>
      <c r="B825" s="609" t="s">
        <v>32</v>
      </c>
      <c r="C825" s="800"/>
      <c r="D825" s="313"/>
      <c r="E825" s="510">
        <v>12.2659</v>
      </c>
      <c r="F825" s="411">
        <f>IFERROR(E825*'01 Prod Physique Boites'!H820,"-")</f>
        <v>0</v>
      </c>
      <c r="G825" s="412">
        <f>IFERROR(E825*'01 Prod Physique Boites'!L820,"-")</f>
        <v>0</v>
      </c>
      <c r="H825" s="395"/>
      <c r="I825" s="429">
        <f>IFERROR(H825*(F825/E825),"-")</f>
        <v>0</v>
      </c>
      <c r="J825" s="430">
        <f>IFERROR(H825*(G825/E825),"-")</f>
        <v>0</v>
      </c>
    </row>
    <row r="826" spans="1:10" ht="24" thickBot="1" x14ac:dyDescent="0.35">
      <c r="A826" s="277" t="s">
        <v>108</v>
      </c>
      <c r="B826" s="981" t="s">
        <v>21</v>
      </c>
      <c r="C826" s="982"/>
      <c r="D826" s="983"/>
      <c r="E826" s="396"/>
      <c r="F826" s="413">
        <f t="shared" ref="F826" si="517">+F815+F824+F825</f>
        <v>2308173.2387999999</v>
      </c>
      <c r="G826" s="414">
        <f>+G815+G824+G825</f>
        <v>26200228.222799998</v>
      </c>
      <c r="H826" s="397"/>
      <c r="I826" s="413">
        <f t="shared" ref="I826:J826" si="518">+I815+I824+I825</f>
        <v>3288413.7</v>
      </c>
      <c r="J826" s="431">
        <f t="shared" si="518"/>
        <v>36675487.440000005</v>
      </c>
    </row>
    <row r="827" spans="1:10" ht="24" thickBot="1" x14ac:dyDescent="0.35">
      <c r="A827" s="277" t="s">
        <v>108</v>
      </c>
      <c r="B827" s="984" t="s">
        <v>179</v>
      </c>
      <c r="C827" s="962"/>
      <c r="D827" s="963"/>
      <c r="E827" s="398"/>
      <c r="F827" s="415">
        <f t="shared" ref="F827:G827" si="519">+F826</f>
        <v>2308173.2387999999</v>
      </c>
      <c r="G827" s="416">
        <f t="shared" si="519"/>
        <v>26200228.222799998</v>
      </c>
      <c r="H827" s="399"/>
      <c r="I827" s="415">
        <f t="shared" ref="I827:J827" si="520">+I826</f>
        <v>3288413.7</v>
      </c>
      <c r="J827" s="432">
        <f t="shared" si="520"/>
        <v>36675487.440000005</v>
      </c>
    </row>
    <row r="828" spans="1:10" ht="23.4" x14ac:dyDescent="0.3">
      <c r="A828" s="271" t="s">
        <v>109</v>
      </c>
      <c r="B828" s="970" t="s">
        <v>482</v>
      </c>
      <c r="C828" s="314" t="s">
        <v>120</v>
      </c>
      <c r="D828" s="314"/>
      <c r="E828" s="771">
        <v>254.89750000000001</v>
      </c>
      <c r="F828" s="405">
        <f>IFERROR(E828*'01 Prod Physique Boites'!H823,"-")</f>
        <v>0</v>
      </c>
      <c r="G828" s="406">
        <f>IFERROR(E828*'01 Prod Physique Boites'!L823,"-")</f>
        <v>0</v>
      </c>
      <c r="H828" s="384">
        <v>445.38</v>
      </c>
      <c r="I828" s="422">
        <f>IFERROR(H828*(F828/E828),"-")</f>
        <v>0</v>
      </c>
      <c r="J828" s="423">
        <f t="shared" ref="J828:J830" si="521">IFERROR(H828*(G828/E828),"-")</f>
        <v>0</v>
      </c>
    </row>
    <row r="829" spans="1:10" ht="23.4" x14ac:dyDescent="0.3">
      <c r="A829" s="277" t="s">
        <v>109</v>
      </c>
      <c r="B829" s="972"/>
      <c r="C829" s="315" t="s">
        <v>267</v>
      </c>
      <c r="D829" s="315"/>
      <c r="E829" s="507">
        <v>246.51390000000001</v>
      </c>
      <c r="F829" s="405">
        <f>IFERROR(E829*'01 Prod Physique Boites'!H824,"-")</f>
        <v>78884.448000000004</v>
      </c>
      <c r="G829" s="406">
        <f>IFERROR(E829*'01 Prod Physique Boites'!L824,"-")</f>
        <v>3076493.4720000001</v>
      </c>
      <c r="H829" s="388">
        <v>430.02</v>
      </c>
      <c r="I829" s="424">
        <f>IFERROR(H829*(F829/E829),"-")</f>
        <v>137606.39999999999</v>
      </c>
      <c r="J829" s="425">
        <f t="shared" si="521"/>
        <v>5366649.5999999996</v>
      </c>
    </row>
    <row r="830" spans="1:10" ht="24" thickBot="1" x14ac:dyDescent="0.35">
      <c r="A830" s="277" t="s">
        <v>109</v>
      </c>
      <c r="B830" s="971"/>
      <c r="C830" s="316" t="s">
        <v>34</v>
      </c>
      <c r="D830" s="316"/>
      <c r="E830" s="504">
        <v>225.7713</v>
      </c>
      <c r="F830" s="405">
        <f>IFERROR(E830*'01 Prod Physique Boites'!H825,"-")</f>
        <v>0</v>
      </c>
      <c r="G830" s="406">
        <f>IFERROR(E830*'01 Prod Physique Boites'!L825,"-")</f>
        <v>0</v>
      </c>
      <c r="H830" s="390"/>
      <c r="I830" s="426">
        <f>IFERROR(H830*(F830/E830),"-")</f>
        <v>0</v>
      </c>
      <c r="J830" s="427">
        <f t="shared" si="521"/>
        <v>0</v>
      </c>
    </row>
    <row r="831" spans="1:10" ht="24" thickBot="1" x14ac:dyDescent="0.35">
      <c r="A831" s="277" t="s">
        <v>109</v>
      </c>
      <c r="B831" s="967" t="s">
        <v>35</v>
      </c>
      <c r="C831" s="968"/>
      <c r="D831" s="969"/>
      <c r="E831" s="393"/>
      <c r="F831" s="409">
        <f t="shared" ref="F831:G831" si="522">SUM(F828:F830)</f>
        <v>78884.448000000004</v>
      </c>
      <c r="G831" s="410">
        <f t="shared" si="522"/>
        <v>3076493.4720000001</v>
      </c>
      <c r="H831" s="394"/>
      <c r="I831" s="409">
        <f t="shared" ref="I831:J831" si="523">SUM(I828:I830)</f>
        <v>137606.39999999999</v>
      </c>
      <c r="J831" s="428">
        <f t="shared" si="523"/>
        <v>5366649.5999999996</v>
      </c>
    </row>
    <row r="832" spans="1:10" ht="23.4" x14ac:dyDescent="0.3">
      <c r="A832" s="277" t="s">
        <v>109</v>
      </c>
      <c r="B832" s="970" t="s">
        <v>36</v>
      </c>
      <c r="C832" s="314" t="s">
        <v>120</v>
      </c>
      <c r="D832" s="314"/>
      <c r="E832" s="506">
        <v>254.89750000000001</v>
      </c>
      <c r="F832" s="405">
        <f>IFERROR(E832*'01 Prod Physique Boites'!H827,"-")</f>
        <v>0</v>
      </c>
      <c r="G832" s="406">
        <f>IFERROR(E832*'01 Prod Physique Boites'!L827,"-")</f>
        <v>0</v>
      </c>
      <c r="H832" s="384">
        <v>445.38</v>
      </c>
      <c r="I832" s="422">
        <f>IFERROR(H832*(F832/E832),"-")</f>
        <v>0</v>
      </c>
      <c r="J832" s="423">
        <f t="shared" ref="J832:J835" si="524">IFERROR(H832*(G832/E832),"-")</f>
        <v>0</v>
      </c>
    </row>
    <row r="833" spans="1:10" ht="23.4" x14ac:dyDescent="0.3">
      <c r="A833" s="277" t="s">
        <v>109</v>
      </c>
      <c r="B833" s="972"/>
      <c r="C833" s="315" t="s">
        <v>267</v>
      </c>
      <c r="D833" s="315"/>
      <c r="E833" s="507">
        <v>246.51390000000001</v>
      </c>
      <c r="F833" s="405">
        <f>IFERROR(E833*'01 Prod Physique Boites'!H828,"-")</f>
        <v>0</v>
      </c>
      <c r="G833" s="406">
        <f>IFERROR(E833*'01 Prod Physique Boites'!L828,"-")</f>
        <v>946613.37600000005</v>
      </c>
      <c r="H833" s="388">
        <v>430.02</v>
      </c>
      <c r="I833" s="424">
        <f>IFERROR(H833*(F833/E833),"-")</f>
        <v>0</v>
      </c>
      <c r="J833" s="425">
        <f t="shared" si="524"/>
        <v>1651276.7999999998</v>
      </c>
    </row>
    <row r="834" spans="1:10" ht="23.4" x14ac:dyDescent="0.3">
      <c r="A834" s="277" t="s">
        <v>109</v>
      </c>
      <c r="B834" s="972"/>
      <c r="C834" s="315" t="s">
        <v>198</v>
      </c>
      <c r="D834" s="315" t="s">
        <v>197</v>
      </c>
      <c r="E834" s="507">
        <v>254.89750000000001</v>
      </c>
      <c r="F834" s="405">
        <f>IFERROR(E834*'01 Prod Physique Boites'!H829,"-")</f>
        <v>0</v>
      </c>
      <c r="G834" s="406">
        <f>IFERROR(E834*'01 Prod Physique Boites'!L829,"-")</f>
        <v>0</v>
      </c>
      <c r="H834" s="388"/>
      <c r="I834" s="424">
        <f>IFERROR(H834*(F834/E834),"-")</f>
        <v>0</v>
      </c>
      <c r="J834" s="425">
        <f t="shared" si="524"/>
        <v>0</v>
      </c>
    </row>
    <row r="835" spans="1:10" ht="24" thickBot="1" x14ac:dyDescent="0.35">
      <c r="A835" s="277" t="s">
        <v>109</v>
      </c>
      <c r="B835" s="971"/>
      <c r="C835" s="316" t="s">
        <v>37</v>
      </c>
      <c r="D835" s="316"/>
      <c r="E835" s="504">
        <v>229.99359999999999</v>
      </c>
      <c r="F835" s="405">
        <f>IFERROR(E835*'01 Prod Physique Boites'!H830,"-")</f>
        <v>0</v>
      </c>
      <c r="G835" s="406">
        <f>IFERROR(E835*'01 Prod Physique Boites'!L830,"-")</f>
        <v>0</v>
      </c>
      <c r="H835" s="390"/>
      <c r="I835" s="426">
        <f>IFERROR(H835*(F835/E835),"-")</f>
        <v>0</v>
      </c>
      <c r="J835" s="427">
        <f t="shared" si="524"/>
        <v>0</v>
      </c>
    </row>
    <row r="836" spans="1:10" ht="24" thickBot="1" x14ac:dyDescent="0.35">
      <c r="A836" s="277" t="s">
        <v>109</v>
      </c>
      <c r="B836" s="967" t="s">
        <v>38</v>
      </c>
      <c r="C836" s="968"/>
      <c r="D836" s="969"/>
      <c r="E836" s="393"/>
      <c r="F836" s="409">
        <f t="shared" ref="F836:G836" si="525">SUM(F832:F835)</f>
        <v>0</v>
      </c>
      <c r="G836" s="410">
        <f t="shared" si="525"/>
        <v>946613.37600000005</v>
      </c>
      <c r="H836" s="394"/>
      <c r="I836" s="409">
        <f>SUM(I832:I835)</f>
        <v>0</v>
      </c>
      <c r="J836" s="428">
        <f>SUM(J832:J835)</f>
        <v>1651276.7999999998</v>
      </c>
    </row>
    <row r="837" spans="1:10" ht="23.4" x14ac:dyDescent="0.3">
      <c r="A837" s="277" t="s">
        <v>109</v>
      </c>
      <c r="B837" s="970" t="s">
        <v>483</v>
      </c>
      <c r="C837" s="317" t="s">
        <v>123</v>
      </c>
      <c r="D837" s="317"/>
      <c r="E837" s="506">
        <v>195.2808</v>
      </c>
      <c r="F837" s="405">
        <f>IFERROR(E837*'01 Prod Physique Boites'!H832,"-")</f>
        <v>0</v>
      </c>
      <c r="G837" s="406">
        <f>IFERROR(E837*'01 Prod Physique Boites'!L832,"-")</f>
        <v>28120.4352</v>
      </c>
      <c r="H837" s="715">
        <v>256.7</v>
      </c>
      <c r="I837" s="422">
        <f>IFERROR(H837*(F837/E837),"-")</f>
        <v>0</v>
      </c>
      <c r="J837" s="423">
        <f t="shared" ref="J837:J838" si="526">IFERROR(H837*(G837/E837),"-")</f>
        <v>36964.799999999996</v>
      </c>
    </row>
    <row r="838" spans="1:10" ht="24" thickBot="1" x14ac:dyDescent="0.35">
      <c r="A838" s="277" t="s">
        <v>109</v>
      </c>
      <c r="B838" s="971"/>
      <c r="C838" s="289" t="s">
        <v>139</v>
      </c>
      <c r="D838" s="289"/>
      <c r="E838" s="504">
        <v>189.91890000000001</v>
      </c>
      <c r="F838" s="405">
        <f>IFERROR(E838*'01 Prod Physique Boites'!H833,"-")</f>
        <v>0</v>
      </c>
      <c r="G838" s="406">
        <f>IFERROR(E838*'01 Prod Physique Boites'!L833,"-")</f>
        <v>45580.536</v>
      </c>
      <c r="H838" s="390">
        <v>320.35000000000002</v>
      </c>
      <c r="I838" s="426">
        <f>IFERROR(H838*(F838/E838),"-")</f>
        <v>0</v>
      </c>
      <c r="J838" s="427">
        <f t="shared" si="526"/>
        <v>76884</v>
      </c>
    </row>
    <row r="839" spans="1:10" ht="24" thickBot="1" x14ac:dyDescent="0.35">
      <c r="A839" s="804" t="s">
        <v>109</v>
      </c>
      <c r="B839" s="967" t="s">
        <v>40</v>
      </c>
      <c r="C839" s="968"/>
      <c r="D839" s="969"/>
      <c r="E839" s="393"/>
      <c r="F839" s="409">
        <f>SUM(F837:F838)</f>
        <v>0</v>
      </c>
      <c r="G839" s="410">
        <f t="shared" ref="G839" si="527">SUM(G837:G838)</f>
        <v>73700.9712</v>
      </c>
      <c r="H839" s="394"/>
      <c r="I839" s="409">
        <f t="shared" ref="I839:J839" si="528">SUM(I837:I838)</f>
        <v>0</v>
      </c>
      <c r="J839" s="428">
        <f t="shared" si="528"/>
        <v>113848.79999999999</v>
      </c>
    </row>
    <row r="840" spans="1:10" ht="23.4" x14ac:dyDescent="0.3">
      <c r="A840" s="277" t="s">
        <v>109</v>
      </c>
      <c r="B840" s="970" t="s">
        <v>484</v>
      </c>
      <c r="C840" s="272" t="s">
        <v>335</v>
      </c>
      <c r="D840" s="272" t="s">
        <v>258</v>
      </c>
      <c r="E840" s="508">
        <v>37.248699999999999</v>
      </c>
      <c r="F840" s="405">
        <f>IFERROR(E840*'01 Prod Physique Boites'!H835,"-")</f>
        <v>845694.48479999998</v>
      </c>
      <c r="G840" s="406">
        <f>IFERROR(E840*'01 Prod Physique Boites'!L835,"-")</f>
        <v>5784425.1204000004</v>
      </c>
      <c r="H840" s="384">
        <v>71.44</v>
      </c>
      <c r="I840" s="422">
        <f>IFERROR(H840*(F840/E840),"-")</f>
        <v>1621973.76</v>
      </c>
      <c r="J840" s="423">
        <f>IFERROR(H840*(G840/E840),"-")</f>
        <v>11094060.48</v>
      </c>
    </row>
    <row r="841" spans="1:10" ht="23.4" x14ac:dyDescent="0.3">
      <c r="A841" s="277" t="s">
        <v>109</v>
      </c>
      <c r="B841" s="972"/>
      <c r="C841" s="272" t="s">
        <v>164</v>
      </c>
      <c r="D841" s="278"/>
      <c r="E841" s="508">
        <v>37.248699999999999</v>
      </c>
      <c r="F841" s="405">
        <f>IFERROR(E841*'01 Prod Physique Boites'!H836,"-")</f>
        <v>0</v>
      </c>
      <c r="G841" s="406">
        <f>IFERROR(E841*'01 Prod Physique Boites'!L836,"-")</f>
        <v>0</v>
      </c>
      <c r="H841" s="388"/>
      <c r="I841" s="424">
        <f>IFERROR(H841*(F841/E841),"-")</f>
        <v>0</v>
      </c>
      <c r="J841" s="425">
        <f t="shared" ref="J841:J843" si="529">IFERROR(H841*(G841/E841),"-")</f>
        <v>0</v>
      </c>
    </row>
    <row r="842" spans="1:10" ht="23.4" x14ac:dyDescent="0.3">
      <c r="A842" s="277" t="s">
        <v>109</v>
      </c>
      <c r="B842" s="972"/>
      <c r="C842" s="278" t="s">
        <v>383</v>
      </c>
      <c r="D842" s="272" t="s">
        <v>258</v>
      </c>
      <c r="E842" s="508">
        <v>37.248699999999999</v>
      </c>
      <c r="F842" s="405">
        <f>IFERROR(E842*'01 Prod Physique Boites'!H837,"-")</f>
        <v>0</v>
      </c>
      <c r="G842" s="406">
        <f>IFERROR(E842*'01 Prod Physique Boites'!L837,"-")</f>
        <v>0</v>
      </c>
      <c r="H842" s="388">
        <v>71.44</v>
      </c>
      <c r="I842" s="424">
        <f>IFERROR(H842*(F842/E842),"-")</f>
        <v>0</v>
      </c>
      <c r="J842" s="425">
        <f t="shared" si="529"/>
        <v>0</v>
      </c>
    </row>
    <row r="843" spans="1:10" ht="24" thickBot="1" x14ac:dyDescent="0.35">
      <c r="A843" s="277" t="s">
        <v>109</v>
      </c>
      <c r="B843" s="972"/>
      <c r="C843" s="278" t="s">
        <v>165</v>
      </c>
      <c r="D843" s="278"/>
      <c r="E843" s="509">
        <v>38.466099999999997</v>
      </c>
      <c r="F843" s="405">
        <f>IFERROR(E843*'01 Prod Physique Boites'!H838,"-")</f>
        <v>0</v>
      </c>
      <c r="G843" s="406">
        <f>IFERROR(E843*'01 Prod Physique Boites'!L838,"-")</f>
        <v>0</v>
      </c>
      <c r="H843" s="388"/>
      <c r="I843" s="424">
        <f>IFERROR(H843*(F843/E843),"-")</f>
        <v>0</v>
      </c>
      <c r="J843" s="425">
        <f t="shared" si="529"/>
        <v>0</v>
      </c>
    </row>
    <row r="844" spans="1:10" ht="24" thickBot="1" x14ac:dyDescent="0.35">
      <c r="A844" s="277" t="s">
        <v>109</v>
      </c>
      <c r="B844" s="967" t="s">
        <v>42</v>
      </c>
      <c r="C844" s="968"/>
      <c r="D844" s="969"/>
      <c r="E844" s="393"/>
      <c r="F844" s="409">
        <f>SUM(F840:F843)</f>
        <v>845694.48479999998</v>
      </c>
      <c r="G844" s="410">
        <f>SUM(G840:G843)</f>
        <v>5784425.1204000004</v>
      </c>
      <c r="H844" s="394"/>
      <c r="I844" s="409">
        <f>SUM(I840:I843)</f>
        <v>1621973.76</v>
      </c>
      <c r="J844" s="409">
        <f>SUM(J840:J843)</f>
        <v>11094060.48</v>
      </c>
    </row>
    <row r="845" spans="1:10" ht="23.4" x14ac:dyDescent="0.3">
      <c r="A845" s="277" t="s">
        <v>109</v>
      </c>
      <c r="B845" s="970" t="s">
        <v>43</v>
      </c>
      <c r="C845" s="272" t="s">
        <v>200</v>
      </c>
      <c r="D845" s="272" t="s">
        <v>197</v>
      </c>
      <c r="E845" s="508">
        <v>30.7499</v>
      </c>
      <c r="F845" s="405">
        <f>IFERROR(E845*'01 Prod Physique Boites'!H841,"-")</f>
        <v>0</v>
      </c>
      <c r="G845" s="406">
        <f>IFERROR(E845*'01 Prod Physique Boites'!L841,"-")</f>
        <v>0</v>
      </c>
      <c r="H845" s="384"/>
      <c r="I845" s="422">
        <f>IFERROR(H845*(F845/E845),"-")</f>
        <v>0</v>
      </c>
      <c r="J845" s="423">
        <f>IFERROR(H845*(G845/E845),"-")</f>
        <v>0</v>
      </c>
    </row>
    <row r="846" spans="1:10" ht="23.4" x14ac:dyDescent="0.3">
      <c r="A846" s="277" t="s">
        <v>109</v>
      </c>
      <c r="B846" s="972"/>
      <c r="C846" s="278" t="s">
        <v>167</v>
      </c>
      <c r="D846" s="278"/>
      <c r="E846" s="727">
        <v>25.139099999999999</v>
      </c>
      <c r="F846" s="405">
        <f>IFERROR(E846*'01 Prod Physique Boites'!H842,"-")</f>
        <v>491117.45759999997</v>
      </c>
      <c r="G846" s="406">
        <f>IFERROR(E846*'01 Prod Physique Boites'!L842,"-")</f>
        <v>2228732.0496</v>
      </c>
      <c r="H846" s="388">
        <v>59.96</v>
      </c>
      <c r="I846" s="424">
        <f>IFERROR(H846*(F846/E846),"-")</f>
        <v>1171378.56</v>
      </c>
      <c r="J846" s="425">
        <f t="shared" ref="J846:J847" si="530">IFERROR(H846*(G846/E846),"-")</f>
        <v>5315813.76</v>
      </c>
    </row>
    <row r="847" spans="1:10" ht="24" thickBot="1" x14ac:dyDescent="0.35">
      <c r="A847" s="277" t="s">
        <v>109</v>
      </c>
      <c r="B847" s="971"/>
      <c r="C847" s="282" t="s">
        <v>200</v>
      </c>
      <c r="D847" s="282" t="s">
        <v>199</v>
      </c>
      <c r="E847" s="505">
        <v>30.073599999999999</v>
      </c>
      <c r="F847" s="405">
        <f>IFERROR(E847*'01 Prod Physique Boites'!H843,"-")</f>
        <v>0</v>
      </c>
      <c r="G847" s="406">
        <f>IFERROR(E847*'01 Prod Physique Boites'!L843,"-")</f>
        <v>0</v>
      </c>
      <c r="H847" s="390"/>
      <c r="I847" s="426">
        <f>IFERROR(H847*(F847/E847),"-")</f>
        <v>0</v>
      </c>
      <c r="J847" s="427">
        <f t="shared" si="530"/>
        <v>0</v>
      </c>
    </row>
    <row r="848" spans="1:10" ht="24" thickBot="1" x14ac:dyDescent="0.35">
      <c r="A848" s="277" t="s">
        <v>109</v>
      </c>
      <c r="B848" s="973" t="s">
        <v>44</v>
      </c>
      <c r="C848" s="974"/>
      <c r="D848" s="975"/>
      <c r="E848" s="393"/>
      <c r="F848" s="409">
        <f t="shared" ref="F848:G848" si="531">SUM(F845:F847)</f>
        <v>491117.45759999997</v>
      </c>
      <c r="G848" s="410">
        <f t="shared" si="531"/>
        <v>2228732.0496</v>
      </c>
      <c r="H848" s="394"/>
      <c r="I848" s="409">
        <f t="shared" ref="I848:J848" si="532">SUM(I845:I847)</f>
        <v>1171378.56</v>
      </c>
      <c r="J848" s="428">
        <f t="shared" si="532"/>
        <v>5315813.76</v>
      </c>
    </row>
    <row r="849" spans="1:15" ht="23.4" x14ac:dyDescent="0.3">
      <c r="A849" s="277" t="s">
        <v>109</v>
      </c>
      <c r="B849" s="970" t="s">
        <v>45</v>
      </c>
      <c r="C849" s="272" t="s">
        <v>168</v>
      </c>
      <c r="D849" s="272"/>
      <c r="E849" s="508">
        <v>36.684899999999999</v>
      </c>
      <c r="F849" s="405">
        <f>IFERROR(E849*'01 Prod Physique Boites'!H845,"-")</f>
        <v>0</v>
      </c>
      <c r="G849" s="406">
        <f>IFERROR(E849*'01 Prod Physique Boites'!L845,"-")</f>
        <v>0</v>
      </c>
      <c r="H849" s="384"/>
      <c r="I849" s="385" t="s">
        <v>204</v>
      </c>
      <c r="J849" s="386" t="s">
        <v>204</v>
      </c>
    </row>
    <row r="850" spans="1:15" ht="24" thickBot="1" x14ac:dyDescent="0.35">
      <c r="A850" s="277" t="s">
        <v>109</v>
      </c>
      <c r="B850" s="971"/>
      <c r="C850" s="282" t="s">
        <v>169</v>
      </c>
      <c r="D850" s="282"/>
      <c r="E850" s="505">
        <v>37.002800000000001</v>
      </c>
      <c r="F850" s="405">
        <f>IFERROR(E850*'01 Prod Physique Boites'!H846,"-")</f>
        <v>0</v>
      </c>
      <c r="G850" s="406">
        <f>IFERROR(E850*'01 Prod Physique Boites'!L846,"-")</f>
        <v>0</v>
      </c>
      <c r="H850" s="390"/>
      <c r="I850" s="391" t="s">
        <v>204</v>
      </c>
      <c r="J850" s="392" t="s">
        <v>204</v>
      </c>
    </row>
    <row r="851" spans="1:15" ht="24" thickBot="1" x14ac:dyDescent="0.35">
      <c r="A851" s="277" t="s">
        <v>109</v>
      </c>
      <c r="B851" s="973" t="s">
        <v>46</v>
      </c>
      <c r="C851" s="974"/>
      <c r="D851" s="975"/>
      <c r="E851" s="393"/>
      <c r="F851" s="405">
        <f>IFERROR(E851*'01 Prod Physique Boites'!H847,"-")</f>
        <v>0</v>
      </c>
      <c r="G851" s="410">
        <f>IFERROR(E851*'01 Prod Physique Boites'!L847,"-")</f>
        <v>0</v>
      </c>
      <c r="H851" s="394"/>
      <c r="I851" s="409">
        <f t="shared" ref="I851:J851" si="533">SUM(I849:I850)</f>
        <v>0</v>
      </c>
      <c r="J851" s="428">
        <f t="shared" si="533"/>
        <v>0</v>
      </c>
    </row>
    <row r="852" spans="1:15" ht="24" thickBot="1" x14ac:dyDescent="0.35">
      <c r="A852" s="277" t="s">
        <v>109</v>
      </c>
      <c r="B852" s="959" t="s">
        <v>25</v>
      </c>
      <c r="C852" s="960"/>
      <c r="D852" s="961"/>
      <c r="E852" s="396"/>
      <c r="F852" s="413">
        <f>+F831+F836+F839+F844+F848+F851</f>
        <v>1415696.3903999999</v>
      </c>
      <c r="G852" s="414">
        <f>+G831+G836+G839+G844+G848+G851</f>
        <v>12109964.9892</v>
      </c>
      <c r="H852" s="397"/>
      <c r="I852" s="413">
        <f>+I831+I836+I839+I844+I848+I851</f>
        <v>2930958.7199999997</v>
      </c>
      <c r="J852" s="431">
        <f>+J831+J836+J839+J844+J848+J851</f>
        <v>23541649.439999998</v>
      </c>
    </row>
    <row r="853" spans="1:15" ht="24" thickBot="1" x14ac:dyDescent="0.35">
      <c r="A853" s="321" t="s">
        <v>109</v>
      </c>
      <c r="B853" s="962" t="s">
        <v>181</v>
      </c>
      <c r="C853" s="962"/>
      <c r="D853" s="963"/>
      <c r="E853" s="398"/>
      <c r="F853" s="415">
        <f t="shared" ref="F853:G853" si="534">+F852</f>
        <v>1415696.3903999999</v>
      </c>
      <c r="G853" s="416">
        <f t="shared" si="534"/>
        <v>12109964.9892</v>
      </c>
      <c r="H853" s="399"/>
      <c r="I853" s="415">
        <f t="shared" ref="I853" si="535">+I852</f>
        <v>2930958.7199999997</v>
      </c>
      <c r="J853" s="432">
        <f>+J852</f>
        <v>23541649.439999998</v>
      </c>
    </row>
    <row r="854" spans="1:15" ht="24.6" thickBot="1" x14ac:dyDescent="0.35">
      <c r="A854" s="322"/>
      <c r="B854" s="964" t="s">
        <v>182</v>
      </c>
      <c r="C854" s="965"/>
      <c r="D854" s="966"/>
      <c r="E854" s="404"/>
      <c r="F854" s="421">
        <f>+F798+F827+F853</f>
        <v>6563090.8023000006</v>
      </c>
      <c r="G854" s="421">
        <f>+G798+G827+G853</f>
        <v>71223335.897399992</v>
      </c>
      <c r="H854" s="404"/>
      <c r="I854" s="421">
        <f>+I798+I827+I853</f>
        <v>10765325.26</v>
      </c>
      <c r="J854" s="435">
        <f>+J798+J827+J853</f>
        <v>103832580.91999999</v>
      </c>
    </row>
    <row r="855" spans="1:15" ht="23.4" x14ac:dyDescent="0.3">
      <c r="A855" s="991" t="s">
        <v>1</v>
      </c>
      <c r="B855" s="994" t="s">
        <v>2</v>
      </c>
      <c r="C855" s="997" t="s">
        <v>477</v>
      </c>
      <c r="D855" s="997" t="s">
        <v>478</v>
      </c>
      <c r="E855" s="1021" t="s">
        <v>486</v>
      </c>
      <c r="F855" s="1022"/>
      <c r="G855" s="1022"/>
      <c r="H855" s="445"/>
      <c r="I855" s="445"/>
      <c r="J855" s="446"/>
    </row>
    <row r="856" spans="1:15" ht="23.4" x14ac:dyDescent="0.3">
      <c r="A856" s="992"/>
      <c r="B856" s="995"/>
      <c r="C856" s="998"/>
      <c r="D856" s="998"/>
      <c r="E856" s="1023" t="s">
        <v>489</v>
      </c>
      <c r="F856" s="1024"/>
      <c r="G856" s="1025"/>
      <c r="H856" s="1023" t="s">
        <v>176</v>
      </c>
      <c r="I856" s="1024"/>
      <c r="J856" s="1025"/>
    </row>
    <row r="857" spans="1:15" ht="46.8" x14ac:dyDescent="0.3">
      <c r="A857" s="993"/>
      <c r="B857" s="1019"/>
      <c r="C857" s="1020"/>
      <c r="D857" s="1020"/>
      <c r="E857" s="382" t="s">
        <v>178</v>
      </c>
      <c r="F857" s="812" t="s">
        <v>488</v>
      </c>
      <c r="G857" s="813" t="s">
        <v>487</v>
      </c>
      <c r="H857" s="1026" t="s">
        <v>178</v>
      </c>
      <c r="I857" s="1028" t="s">
        <v>144</v>
      </c>
      <c r="J857" s="1030" t="s">
        <v>487</v>
      </c>
    </row>
    <row r="858" spans="1:15" ht="24" thickBot="1" x14ac:dyDescent="0.35">
      <c r="A858" s="993"/>
      <c r="B858" s="996"/>
      <c r="C858" s="999"/>
      <c r="D858" s="999"/>
      <c r="E858" s="1032">
        <v>44543</v>
      </c>
      <c r="F858" s="1033"/>
      <c r="G858" s="1034"/>
      <c r="H858" s="1027"/>
      <c r="I858" s="1029"/>
      <c r="J858" s="1031"/>
    </row>
    <row r="859" spans="1:15" ht="23.4" x14ac:dyDescent="0.3">
      <c r="A859" s="271" t="s">
        <v>110</v>
      </c>
      <c r="B859" s="956" t="s">
        <v>16</v>
      </c>
      <c r="C859" s="272" t="s">
        <v>424</v>
      </c>
      <c r="D859" s="272" t="s">
        <v>425</v>
      </c>
      <c r="E859" s="758">
        <v>81.360699999999994</v>
      </c>
      <c r="F859" s="405">
        <f>IFERROR(E859*'01 Prod Physique Boites'!H854,"-")</f>
        <v>0</v>
      </c>
      <c r="G859" s="405">
        <f>IFERROR(E859*'01 Prod Physique Boites'!L854,"-")</f>
        <v>1614196.2879999999</v>
      </c>
      <c r="H859" s="759">
        <v>143.28</v>
      </c>
      <c r="I859" s="422">
        <f>IFERROR(H859*(F859/E859),"-")</f>
        <v>0</v>
      </c>
      <c r="J859" s="423">
        <f t="shared" ref="J859:J861" si="536">IFERROR(H859*(G859/E859),"-")</f>
        <v>2842675.2000000002</v>
      </c>
    </row>
    <row r="860" spans="1:15" ht="23.4" x14ac:dyDescent="0.3">
      <c r="A860" s="784"/>
      <c r="B860" s="957"/>
      <c r="C860" s="278" t="s">
        <v>188</v>
      </c>
      <c r="D860" s="278" t="s">
        <v>101</v>
      </c>
      <c r="E860" s="509">
        <v>81.360699999999994</v>
      </c>
      <c r="F860" s="405">
        <f>IFERROR(E860*'01 Prod Physique Boites'!H855,"-")</f>
        <v>0</v>
      </c>
      <c r="G860" s="405">
        <f>IFERROR(E860*'01 Prod Physique Boites'!L855,"-")</f>
        <v>3936312.0266999998</v>
      </c>
      <c r="H860" s="770">
        <v>0</v>
      </c>
      <c r="I860" s="422">
        <f>IFERROR(H860*(F860/E860),"-")</f>
        <v>0</v>
      </c>
      <c r="J860" s="423">
        <f t="shared" si="536"/>
        <v>0</v>
      </c>
    </row>
    <row r="861" spans="1:15" ht="23.4" x14ac:dyDescent="0.3">
      <c r="A861" s="277" t="s">
        <v>110</v>
      </c>
      <c r="B861" s="957"/>
      <c r="C861" s="278" t="s">
        <v>186</v>
      </c>
      <c r="D861" s="278" t="s">
        <v>184</v>
      </c>
      <c r="E861" s="509">
        <v>55.476900000000001</v>
      </c>
      <c r="F861" s="405">
        <f>IFERROR(E861*'01 Prod Physique Boites'!H856,"-")</f>
        <v>0</v>
      </c>
      <c r="G861" s="405">
        <f>IFERROR(E861*'01 Prod Physique Boites'!L856,"-")</f>
        <v>0</v>
      </c>
      <c r="H861" s="388">
        <v>0</v>
      </c>
      <c r="I861" s="422">
        <f>IFERROR(H861*(F861/E861),"-")</f>
        <v>0</v>
      </c>
      <c r="J861" s="423">
        <f t="shared" si="536"/>
        <v>0</v>
      </c>
    </row>
    <row r="862" spans="1:15" ht="24" thickBot="1" x14ac:dyDescent="0.35">
      <c r="A862" s="277" t="s">
        <v>110</v>
      </c>
      <c r="B862" s="958"/>
      <c r="C862" s="282" t="s">
        <v>282</v>
      </c>
      <c r="D862" s="282" t="s">
        <v>251</v>
      </c>
      <c r="E862" s="505">
        <v>60.703499999999998</v>
      </c>
      <c r="F862" s="405">
        <f>IFERROR(E862*'01 Prod Physique Boites'!H857,"-")</f>
        <v>0</v>
      </c>
      <c r="G862" s="405">
        <f>IFERROR(E862*'01 Prod Physique Boites'!L857,"-")</f>
        <v>0</v>
      </c>
      <c r="H862" s="390">
        <v>111.09</v>
      </c>
      <c r="I862" s="422">
        <f>IFERROR(H862*(F862/E862),"-")</f>
        <v>0</v>
      </c>
      <c r="J862" s="423">
        <f>IFERROR(H862*(G862/E862),"-")</f>
        <v>0</v>
      </c>
    </row>
    <row r="863" spans="1:15" ht="24" thickBot="1" x14ac:dyDescent="0.35">
      <c r="A863" s="277" t="s">
        <v>110</v>
      </c>
      <c r="B863" s="967" t="s">
        <v>47</v>
      </c>
      <c r="C863" s="968"/>
      <c r="D863" s="969"/>
      <c r="E863" s="393"/>
      <c r="F863" s="409">
        <f t="shared" ref="F863" si="537">SUM(F859:F862)</f>
        <v>0</v>
      </c>
      <c r="G863" s="410">
        <f>SUM(G859:G862)</f>
        <v>5550508.3147</v>
      </c>
      <c r="H863" s="394"/>
      <c r="I863" s="409">
        <f t="shared" ref="I863:J863" si="538">SUM(I859:I862)</f>
        <v>0</v>
      </c>
      <c r="J863" s="428">
        <f t="shared" si="538"/>
        <v>2842675.2000000002</v>
      </c>
      <c r="K863" s="757"/>
      <c r="L863" s="757"/>
      <c r="M863" s="757"/>
      <c r="N863" s="757"/>
      <c r="O863" s="757"/>
    </row>
    <row r="864" spans="1:15" ht="23.4" x14ac:dyDescent="0.3">
      <c r="A864" s="277" t="s">
        <v>110</v>
      </c>
      <c r="B864" s="956" t="s">
        <v>17</v>
      </c>
      <c r="C864" s="272" t="s">
        <v>320</v>
      </c>
      <c r="D864" s="272"/>
      <c r="E864" s="508">
        <v>12.5275</v>
      </c>
      <c r="F864" s="405">
        <f>IFERROR(E864*'01 Prod Physique Boites'!H859,"-")</f>
        <v>0</v>
      </c>
      <c r="G864" s="405">
        <f>IFERROR(E864*'01 Prod Physique Boites'!L859,"-")</f>
        <v>0</v>
      </c>
      <c r="H864" s="384">
        <v>18.836400000000001</v>
      </c>
      <c r="I864" s="422">
        <f t="shared" ref="I864:I870" si="539">IFERROR(H864*(F864/E864),"-")</f>
        <v>0</v>
      </c>
      <c r="J864" s="423">
        <f t="shared" ref="J864:J869" si="540">IFERROR(H864*(G864/E864),"-")</f>
        <v>0</v>
      </c>
    </row>
    <row r="865" spans="1:15" ht="23.4" x14ac:dyDescent="0.3">
      <c r="A865" s="277" t="s">
        <v>110</v>
      </c>
      <c r="B865" s="957"/>
      <c r="C865" s="278" t="s">
        <v>382</v>
      </c>
      <c r="D865" s="278" t="s">
        <v>252</v>
      </c>
      <c r="E865" s="698">
        <v>13.002700000000001</v>
      </c>
      <c r="F865" s="405">
        <f>IFERROR(E865*'01 Prod Physique Boites'!H860,"-")</f>
        <v>79576.524000000005</v>
      </c>
      <c r="G865" s="405">
        <f>IFERROR(E865*'01 Prod Physique Boites'!L860,"-")</f>
        <v>7678133.3581000008</v>
      </c>
      <c r="H865" s="388">
        <v>21.18</v>
      </c>
      <c r="I865" s="424">
        <f t="shared" si="539"/>
        <v>129621.59999999999</v>
      </c>
      <c r="J865" s="425">
        <f t="shared" si="540"/>
        <v>12506853.539999999</v>
      </c>
    </row>
    <row r="866" spans="1:15" ht="23.4" x14ac:dyDescent="0.3">
      <c r="A866" s="277" t="s">
        <v>110</v>
      </c>
      <c r="B866" s="957"/>
      <c r="C866" s="278" t="s">
        <v>391</v>
      </c>
      <c r="D866" s="278" t="s">
        <v>201</v>
      </c>
      <c r="E866" s="698">
        <v>12.9049</v>
      </c>
      <c r="F866" s="405">
        <f>IFERROR(E866*'01 Prod Physique Boites'!H861,"-")</f>
        <v>0</v>
      </c>
      <c r="G866" s="405">
        <f>IFERROR(E866*'01 Prod Physique Boites'!L861,"-")</f>
        <v>5828575.5143999998</v>
      </c>
      <c r="H866" s="388">
        <v>20.5</v>
      </c>
      <c r="I866" s="424">
        <f t="shared" si="539"/>
        <v>0</v>
      </c>
      <c r="J866" s="425">
        <f t="shared" si="540"/>
        <v>9258948</v>
      </c>
    </row>
    <row r="867" spans="1:15" ht="23.4" x14ac:dyDescent="0.3">
      <c r="A867" s="277" t="s">
        <v>110</v>
      </c>
      <c r="B867" s="957"/>
      <c r="C867" s="278" t="s">
        <v>319</v>
      </c>
      <c r="D867" s="278" t="s">
        <v>202</v>
      </c>
      <c r="E867" s="509">
        <v>13.078200000000001</v>
      </c>
      <c r="F867" s="405">
        <f>IFERROR(E867*'01 Prod Physique Boites'!H862,"-")</f>
        <v>0</v>
      </c>
      <c r="G867" s="405">
        <f>IFERROR(E867*'01 Prod Physique Boites'!L862,"-")</f>
        <v>0</v>
      </c>
      <c r="H867" s="388">
        <v>20.6</v>
      </c>
      <c r="I867" s="424">
        <f t="shared" si="539"/>
        <v>0</v>
      </c>
      <c r="J867" s="425">
        <f t="shared" si="540"/>
        <v>0</v>
      </c>
    </row>
    <row r="868" spans="1:15" ht="23.4" x14ac:dyDescent="0.3">
      <c r="A868" s="277" t="s">
        <v>110</v>
      </c>
      <c r="B868" s="957"/>
      <c r="C868" s="278" t="s">
        <v>358</v>
      </c>
      <c r="D868" s="278" t="s">
        <v>352</v>
      </c>
      <c r="E868" s="509">
        <v>13.1958</v>
      </c>
      <c r="F868" s="405">
        <f>IFERROR(E868*'01 Prod Physique Boites'!H863,"-")</f>
        <v>1372891.0320000001</v>
      </c>
      <c r="G868" s="405">
        <f>IFERROR(E868*'01 Prod Physique Boites'!L863,"-")</f>
        <v>1372891.0320000001</v>
      </c>
      <c r="H868" s="388">
        <v>21.28</v>
      </c>
      <c r="I868" s="424">
        <f t="shared" si="539"/>
        <v>2213971.2000000007</v>
      </c>
      <c r="J868" s="425">
        <f t="shared" si="540"/>
        <v>2213971.2000000007</v>
      </c>
    </row>
    <row r="869" spans="1:15" ht="23.4" x14ac:dyDescent="0.3">
      <c r="A869" s="277">
        <v>1</v>
      </c>
      <c r="B869" s="957"/>
      <c r="C869" s="278" t="s">
        <v>392</v>
      </c>
      <c r="D869" s="278" t="s">
        <v>203</v>
      </c>
      <c r="E869" s="698">
        <v>12.9049</v>
      </c>
      <c r="F869" s="405">
        <f>IFERROR(E869*'01 Prod Physique Boites'!H864,"-")</f>
        <v>0</v>
      </c>
      <c r="G869" s="405">
        <f>IFERROR(E869*'01 Prod Physique Boites'!L864,"-")</f>
        <v>0</v>
      </c>
      <c r="H869" s="677">
        <v>20.5</v>
      </c>
      <c r="I869" s="424">
        <f t="shared" si="539"/>
        <v>0</v>
      </c>
      <c r="J869" s="425">
        <f t="shared" si="540"/>
        <v>0</v>
      </c>
    </row>
    <row r="870" spans="1:15" ht="24" thickBot="1" x14ac:dyDescent="0.35">
      <c r="A870" s="277" t="s">
        <v>110</v>
      </c>
      <c r="B870" s="958"/>
      <c r="C870" s="282" t="s">
        <v>379</v>
      </c>
      <c r="D870" s="282" t="s">
        <v>187</v>
      </c>
      <c r="E870" s="505">
        <v>13.6509</v>
      </c>
      <c r="F870" s="405">
        <f>IFERROR(E870*'01 Prod Physique Boites'!H865,"-")</f>
        <v>0</v>
      </c>
      <c r="G870" s="405">
        <f>IFERROR(E870*'01 Prod Physique Boites'!L865,"-")</f>
        <v>0</v>
      </c>
      <c r="H870" s="390">
        <v>21.18</v>
      </c>
      <c r="I870" s="426">
        <f t="shared" si="539"/>
        <v>0</v>
      </c>
      <c r="J870" s="427">
        <f>IFERROR(H870*(G870/E870),"-")</f>
        <v>0</v>
      </c>
    </row>
    <row r="871" spans="1:15" ht="24" thickBot="1" x14ac:dyDescent="0.35">
      <c r="A871" s="277" t="s">
        <v>110</v>
      </c>
      <c r="B871" s="967" t="s">
        <v>48</v>
      </c>
      <c r="C871" s="968"/>
      <c r="D871" s="969"/>
      <c r="E871" s="393"/>
      <c r="F871" s="409">
        <f t="shared" ref="F871" si="541">SUM(F864:F870)</f>
        <v>1452467.5560000001</v>
      </c>
      <c r="G871" s="410">
        <f>SUM(G864:G870)</f>
        <v>14879599.9045</v>
      </c>
      <c r="H871" s="394"/>
      <c r="I871" s="409">
        <f t="shared" ref="I871" si="542">SUM(I864:I870)</f>
        <v>2343592.8000000007</v>
      </c>
      <c r="J871" s="428">
        <f>SUM(J864:J870)</f>
        <v>23979772.739999998</v>
      </c>
      <c r="K871" s="757"/>
      <c r="L871" s="757"/>
      <c r="M871" s="757"/>
      <c r="N871" s="757"/>
      <c r="O871" s="757"/>
    </row>
    <row r="872" spans="1:15" ht="23.4" x14ac:dyDescent="0.3">
      <c r="A872" s="277" t="s">
        <v>110</v>
      </c>
      <c r="B872" s="956" t="s">
        <v>18</v>
      </c>
      <c r="C872" s="272" t="s">
        <v>344</v>
      </c>
      <c r="D872" s="272" t="s">
        <v>99</v>
      </c>
      <c r="E872" s="508">
        <v>17.8202</v>
      </c>
      <c r="F872" s="405">
        <f>IFERROR(E872*'01 Prod Physique Boites'!H867,"-")</f>
        <v>0</v>
      </c>
      <c r="G872" s="406">
        <f>IFERROR(E872*'01 Prod Physique Boites'!L867,"-")</f>
        <v>0</v>
      </c>
      <c r="H872" s="384">
        <v>24.93</v>
      </c>
      <c r="I872" s="422">
        <f t="shared" ref="I872:I878" si="543">IFERROR(H872*(F872/E872),"-")</f>
        <v>0</v>
      </c>
      <c r="J872" s="423">
        <f t="shared" ref="J872:J874" si="544">IFERROR(H872*(G872/E872),"-")</f>
        <v>0</v>
      </c>
    </row>
    <row r="873" spans="1:15" ht="23.4" x14ac:dyDescent="0.3">
      <c r="A873" s="277" t="s">
        <v>110</v>
      </c>
      <c r="B873" s="957"/>
      <c r="C873" s="278" t="s">
        <v>137</v>
      </c>
      <c r="D873" s="278"/>
      <c r="E873" s="509">
        <v>17.8202</v>
      </c>
      <c r="F873" s="405">
        <f>IFERROR(E873*'01 Prod Physique Boites'!H868,"-")</f>
        <v>0</v>
      </c>
      <c r="G873" s="406">
        <f>IFERROR(E873*'01 Prod Physique Boites'!L868,"-")</f>
        <v>0</v>
      </c>
      <c r="H873" s="388">
        <v>0</v>
      </c>
      <c r="I873" s="424">
        <f t="shared" si="543"/>
        <v>0</v>
      </c>
      <c r="J873" s="425">
        <f t="shared" si="544"/>
        <v>0</v>
      </c>
    </row>
    <row r="874" spans="1:15" ht="23.4" x14ac:dyDescent="0.3">
      <c r="A874" s="277" t="s">
        <v>110</v>
      </c>
      <c r="B874" s="957"/>
      <c r="C874" s="278" t="s">
        <v>122</v>
      </c>
      <c r="D874" s="278"/>
      <c r="E874" s="509">
        <v>16.4071</v>
      </c>
      <c r="F874" s="405">
        <f>IFERROR(E874*'01 Prod Physique Boites'!H869,"-")</f>
        <v>0</v>
      </c>
      <c r="G874" s="406">
        <f>IFERROR(E874*'01 Prod Physique Boites'!L869,"-")</f>
        <v>0</v>
      </c>
      <c r="H874" s="388">
        <v>0</v>
      </c>
      <c r="I874" s="424">
        <f t="shared" si="543"/>
        <v>0</v>
      </c>
      <c r="J874" s="425">
        <f t="shared" si="544"/>
        <v>0</v>
      </c>
    </row>
    <row r="875" spans="1:15" ht="23.4" x14ac:dyDescent="0.3">
      <c r="A875" s="277" t="s">
        <v>110</v>
      </c>
      <c r="B875" s="957"/>
      <c r="C875" s="278" t="s">
        <v>129</v>
      </c>
      <c r="D875" s="278"/>
      <c r="E875" s="509">
        <v>17.8202</v>
      </c>
      <c r="F875" s="405">
        <f>IFERROR(E875*'01 Prod Physique Boites'!H870,"-")</f>
        <v>0</v>
      </c>
      <c r="G875" s="406">
        <f>IFERROR(E875*'01 Prod Physique Boites'!L870,"-")</f>
        <v>0</v>
      </c>
      <c r="H875" s="388">
        <v>0</v>
      </c>
      <c r="I875" s="424">
        <f t="shared" si="543"/>
        <v>0</v>
      </c>
      <c r="J875" s="425">
        <f>IFERROR(H875*(G875/E875),"-")</f>
        <v>0</v>
      </c>
    </row>
    <row r="876" spans="1:15" ht="23.4" x14ac:dyDescent="0.3">
      <c r="A876" s="277" t="s">
        <v>110</v>
      </c>
      <c r="B876" s="957"/>
      <c r="C876" s="278" t="s">
        <v>189</v>
      </c>
      <c r="D876" s="278" t="s">
        <v>190</v>
      </c>
      <c r="E876" s="509">
        <v>17.8202</v>
      </c>
      <c r="F876" s="405">
        <f>IFERROR(E876*'01 Prod Physique Boites'!H871,"-")</f>
        <v>0</v>
      </c>
      <c r="G876" s="406">
        <f>IFERROR(E876*'01 Prod Physique Boites'!L871,"-")</f>
        <v>0</v>
      </c>
      <c r="H876" s="388">
        <v>0</v>
      </c>
      <c r="I876" s="424">
        <f t="shared" si="543"/>
        <v>0</v>
      </c>
      <c r="J876" s="425">
        <f t="shared" ref="J876:J878" si="545">IFERROR(H876*(G876/E876),"-")</f>
        <v>0</v>
      </c>
    </row>
    <row r="877" spans="1:15" ht="23.4" x14ac:dyDescent="0.3">
      <c r="A877" s="277" t="s">
        <v>110</v>
      </c>
      <c r="B877" s="957"/>
      <c r="C877" s="278" t="s">
        <v>192</v>
      </c>
      <c r="D877" s="278" t="s">
        <v>191</v>
      </c>
      <c r="E877" s="509">
        <v>16.7288</v>
      </c>
      <c r="F877" s="405">
        <f>IFERROR(E877*'01 Prod Physique Boites'!H872,"-")</f>
        <v>0</v>
      </c>
      <c r="G877" s="406">
        <f>IFERROR(E877*'01 Prod Physique Boites'!L872,"-")</f>
        <v>0</v>
      </c>
      <c r="H877" s="388">
        <v>0</v>
      </c>
      <c r="I877" s="424">
        <f t="shared" si="543"/>
        <v>0</v>
      </c>
      <c r="J877" s="425">
        <f t="shared" si="545"/>
        <v>0</v>
      </c>
    </row>
    <row r="878" spans="1:15" ht="24" thickBot="1" x14ac:dyDescent="0.35">
      <c r="A878" s="277" t="s">
        <v>110</v>
      </c>
      <c r="B878" s="958"/>
      <c r="C878" s="289" t="s">
        <v>193</v>
      </c>
      <c r="D878" s="289" t="s">
        <v>114</v>
      </c>
      <c r="E878" s="505">
        <v>17.8202</v>
      </c>
      <c r="F878" s="405">
        <f>IFERROR(E878*'01 Prod Physique Boites'!H873,"-")</f>
        <v>0</v>
      </c>
      <c r="G878" s="406">
        <f>IFERROR(E878*'01 Prod Physique Boites'!L873,"-")</f>
        <v>0</v>
      </c>
      <c r="H878" s="388">
        <v>0</v>
      </c>
      <c r="I878" s="426">
        <f t="shared" si="543"/>
        <v>0</v>
      </c>
      <c r="J878" s="427">
        <f t="shared" si="545"/>
        <v>0</v>
      </c>
    </row>
    <row r="879" spans="1:15" ht="24" thickBot="1" x14ac:dyDescent="0.35">
      <c r="A879" s="277" t="s">
        <v>110</v>
      </c>
      <c r="B879" s="967" t="s">
        <v>29</v>
      </c>
      <c r="C879" s="968"/>
      <c r="D879" s="969"/>
      <c r="E879" s="660"/>
      <c r="F879" s="661">
        <f t="shared" ref="F879:G879" si="546">SUM(F872:F878)</f>
        <v>0</v>
      </c>
      <c r="G879" s="410">
        <f t="shared" si="546"/>
        <v>0</v>
      </c>
      <c r="H879" s="394"/>
      <c r="I879" s="409">
        <f t="shared" ref="I879:J879" si="547">SUM(I872:I878)</f>
        <v>0</v>
      </c>
      <c r="J879" s="428">
        <f t="shared" si="547"/>
        <v>0</v>
      </c>
    </row>
    <row r="880" spans="1:15" ht="24" thickBot="1" x14ac:dyDescent="0.35">
      <c r="A880" s="277"/>
      <c r="B880" s="985" t="s">
        <v>19</v>
      </c>
      <c r="C880" s="662" t="s">
        <v>255</v>
      </c>
      <c r="D880" s="668" t="s">
        <v>190</v>
      </c>
      <c r="E880" s="669">
        <v>12.2659</v>
      </c>
      <c r="F880" s="670">
        <f>IFERROR(E880*'01 Prod Physique Boites'!H875,"-")</f>
        <v>0</v>
      </c>
      <c r="G880" s="671">
        <f>IFERROR(E880*'01 Prod Physique Boites'!L875,"-")</f>
        <v>0</v>
      </c>
      <c r="H880" s="665">
        <v>14.79</v>
      </c>
      <c r="I880" s="650">
        <f t="shared" ref="I880:I882" si="548">IFERROR(H880*(F880/E880),"-")</f>
        <v>0</v>
      </c>
      <c r="J880" s="650">
        <f>IFERROR(H880*(G880/E880),"-")</f>
        <v>0</v>
      </c>
    </row>
    <row r="881" spans="1:10" ht="24" thickBot="1" x14ac:dyDescent="0.35">
      <c r="A881" s="277"/>
      <c r="B881" s="986"/>
      <c r="C881" s="663" t="s">
        <v>399</v>
      </c>
      <c r="D881" s="672"/>
      <c r="E881" s="654">
        <v>12.2659</v>
      </c>
      <c r="F881" s="670">
        <f>IFERROR(E881*'01 Prod Physique Boites'!H876,"-")</f>
        <v>0</v>
      </c>
      <c r="G881" s="645">
        <f>IFERROR(E881*'01 Prod Physique Boites'!L876,"-")</f>
        <v>103622.3232</v>
      </c>
      <c r="H881" s="666">
        <v>14.55</v>
      </c>
      <c r="I881" s="655">
        <f t="shared" si="548"/>
        <v>0</v>
      </c>
      <c r="J881" s="655">
        <f>IFERROR(H881*(G881/E881),"-")</f>
        <v>122918.40000000001</v>
      </c>
    </row>
    <row r="882" spans="1:10" ht="24" thickBot="1" x14ac:dyDescent="0.35">
      <c r="A882" s="814" t="s">
        <v>110</v>
      </c>
      <c r="B882" s="987"/>
      <c r="C882" s="664" t="s">
        <v>380</v>
      </c>
      <c r="D882" s="673"/>
      <c r="E882" s="674">
        <v>0</v>
      </c>
      <c r="F882" s="670">
        <f>IFERROR(E882*'01 Prod Physique Boites'!H877,"-")</f>
        <v>0</v>
      </c>
      <c r="G882" s="676">
        <f>IFERROR(E882*'01 Prod Physique Boites'!L877,"-")</f>
        <v>0</v>
      </c>
      <c r="H882" s="667">
        <v>0</v>
      </c>
      <c r="I882" s="429" t="str">
        <f t="shared" si="548"/>
        <v>-</v>
      </c>
      <c r="J882" s="430" t="str">
        <f t="shared" ref="J882" si="549">IFERROR(I882*(G882/F882),"-")</f>
        <v>-</v>
      </c>
    </row>
    <row r="883" spans="1:10" ht="24" thickBot="1" x14ac:dyDescent="0.35">
      <c r="A883" s="277" t="s">
        <v>110</v>
      </c>
      <c r="B883" s="967" t="s">
        <v>49</v>
      </c>
      <c r="C883" s="968"/>
      <c r="D883" s="969"/>
      <c r="E883" s="393"/>
      <c r="F883" s="409">
        <f>SUM(F880:F882)</f>
        <v>0</v>
      </c>
      <c r="G883" s="409">
        <f>SUM(G880:G882)</f>
        <v>103622.3232</v>
      </c>
      <c r="H883" s="394"/>
      <c r="I883" s="409">
        <f t="shared" ref="I883" si="550">SUM(I882)</f>
        <v>0</v>
      </c>
      <c r="J883" s="428">
        <f>SUM(J880:J882)</f>
        <v>122918.40000000001</v>
      </c>
    </row>
    <row r="884" spans="1:10" ht="23.4" x14ac:dyDescent="0.3">
      <c r="A884" s="277" t="s">
        <v>110</v>
      </c>
      <c r="B884" s="956" t="s">
        <v>20</v>
      </c>
      <c r="C884" s="294" t="s">
        <v>351</v>
      </c>
      <c r="D884" s="294" t="s">
        <v>313</v>
      </c>
      <c r="E884" s="508">
        <v>26.032900000000001</v>
      </c>
      <c r="F884" s="405">
        <f>IFERROR(E884*'01 Prod Physique Boites'!H879,"-")</f>
        <v>0</v>
      </c>
      <c r="G884" s="406">
        <f>IFERROR(E884*'01 Prod Physique Boites'!L879,"-")</f>
        <v>0</v>
      </c>
      <c r="H884" s="384">
        <v>36.44</v>
      </c>
      <c r="I884" s="422">
        <f>IFERROR(H884*(F884/E884),"-")</f>
        <v>0</v>
      </c>
      <c r="J884" s="423">
        <f t="shared" ref="J884:J886" si="551">IFERROR(H884*(G884/E884),"-")</f>
        <v>0</v>
      </c>
    </row>
    <row r="885" spans="1:10" ht="23.4" x14ac:dyDescent="0.3">
      <c r="A885" s="277" t="s">
        <v>110</v>
      </c>
      <c r="B885" s="957"/>
      <c r="C885" s="295" t="s">
        <v>121</v>
      </c>
      <c r="D885" s="295"/>
      <c r="E885" s="387">
        <v>24.2607</v>
      </c>
      <c r="F885" s="405">
        <f>IFERROR(E885*'01 Prod Physique Boites'!H880,"-")</f>
        <v>0</v>
      </c>
      <c r="G885" s="406">
        <f>IFERROR(E885*'01 Prod Physique Boites'!L880,"-")</f>
        <v>0</v>
      </c>
      <c r="H885" s="388">
        <v>37.369999999999997</v>
      </c>
      <c r="I885" s="424">
        <f>IFERROR(H885*(F885/E885),"-")</f>
        <v>0</v>
      </c>
      <c r="J885" s="425">
        <f t="shared" si="551"/>
        <v>0</v>
      </c>
    </row>
    <row r="886" spans="1:10" ht="24" thickBot="1" x14ac:dyDescent="0.35">
      <c r="A886" s="277" t="s">
        <v>110</v>
      </c>
      <c r="B886" s="958"/>
      <c r="C886" s="296" t="s">
        <v>127</v>
      </c>
      <c r="D886" s="296"/>
      <c r="E886" s="389">
        <v>26.035799999999998</v>
      </c>
      <c r="F886" s="405">
        <f>IFERROR(E886*'01 Prod Physique Boites'!H881,"-")</f>
        <v>0</v>
      </c>
      <c r="G886" s="406">
        <f>IFERROR(E886*'01 Prod Physique Boites'!L881,"-")</f>
        <v>0</v>
      </c>
      <c r="H886" s="390">
        <v>37.11</v>
      </c>
      <c r="I886" s="426">
        <f>IFERROR(H886*(F886/E886),"-")</f>
        <v>0</v>
      </c>
      <c r="J886" s="427">
        <f t="shared" si="551"/>
        <v>0</v>
      </c>
    </row>
    <row r="887" spans="1:10" ht="24" thickBot="1" x14ac:dyDescent="0.35">
      <c r="A887" s="277" t="s">
        <v>110</v>
      </c>
      <c r="B887" s="968" t="s">
        <v>50</v>
      </c>
      <c r="C887" s="968"/>
      <c r="D887" s="989"/>
      <c r="E887" s="393"/>
      <c r="F887" s="409">
        <f t="shared" ref="F887:G887" si="552">SUM(F884:F886)</f>
        <v>0</v>
      </c>
      <c r="G887" s="410">
        <f t="shared" si="552"/>
        <v>0</v>
      </c>
      <c r="H887" s="394"/>
      <c r="I887" s="409">
        <f t="shared" ref="I887:J887" si="553">SUM(I884:I886)</f>
        <v>0</v>
      </c>
      <c r="J887" s="428">
        <f t="shared" si="553"/>
        <v>0</v>
      </c>
    </row>
    <row r="888" spans="1:10" ht="24" thickBot="1" x14ac:dyDescent="0.35">
      <c r="A888" s="277" t="s">
        <v>110</v>
      </c>
      <c r="B888" s="981" t="s">
        <v>21</v>
      </c>
      <c r="C888" s="982"/>
      <c r="D888" s="983"/>
      <c r="E888" s="396"/>
      <c r="F888" s="413">
        <f>+F863+F871+F879+F883+F887</f>
        <v>1452467.5560000001</v>
      </c>
      <c r="G888" s="414">
        <f>+G863+G871+G879+G883+G887</f>
        <v>20533730.542399999</v>
      </c>
      <c r="H888" s="397"/>
      <c r="I888" s="413">
        <f>+I863+I871+I879+I883+I887</f>
        <v>2343592.8000000007</v>
      </c>
      <c r="J888" s="431">
        <f>+J863+J871+J879+J883+J887</f>
        <v>26945366.339999996</v>
      </c>
    </row>
    <row r="889" spans="1:10" ht="23.4" x14ac:dyDescent="0.3">
      <c r="A889" s="277" t="s">
        <v>110</v>
      </c>
      <c r="B889" s="956" t="s">
        <v>481</v>
      </c>
      <c r="C889" s="272" t="s">
        <v>132</v>
      </c>
      <c r="D889" s="272"/>
      <c r="E889" s="383">
        <v>22.820599999999999</v>
      </c>
      <c r="F889" s="405">
        <f>IFERROR(E889*'01 Prod Physique Boites'!H884,"-")</f>
        <v>0</v>
      </c>
      <c r="G889" s="406">
        <f>IFERROR(E889*'01 Prod Physique Boites'!L884,"-")</f>
        <v>0</v>
      </c>
      <c r="H889" s="384">
        <v>27.5</v>
      </c>
      <c r="I889" s="422">
        <f>IFERROR(H889*(F889/E889),"-")</f>
        <v>0</v>
      </c>
      <c r="J889" s="423">
        <f t="shared" ref="J889:J892" si="554">IFERROR(H889*(G889/E889),"-")</f>
        <v>0</v>
      </c>
    </row>
    <row r="890" spans="1:10" ht="23.4" x14ac:dyDescent="0.3">
      <c r="A890" s="277" t="s">
        <v>110</v>
      </c>
      <c r="B890" s="957"/>
      <c r="C890" s="298" t="s">
        <v>283</v>
      </c>
      <c r="D890" s="298" t="s">
        <v>194</v>
      </c>
      <c r="E890" s="387">
        <v>23.570699999999999</v>
      </c>
      <c r="F890" s="405">
        <f>IFERROR(E890*'01 Prod Physique Boites'!H885,"-")</f>
        <v>0</v>
      </c>
      <c r="G890" s="406">
        <f>IFERROR(E890*'01 Prod Physique Boites'!L885,"-")</f>
        <v>0</v>
      </c>
      <c r="H890" s="388">
        <v>27.5</v>
      </c>
      <c r="I890" s="424">
        <f>IFERROR(H890*(F890/E890),"-")</f>
        <v>0</v>
      </c>
      <c r="J890" s="425">
        <f t="shared" si="554"/>
        <v>0</v>
      </c>
    </row>
    <row r="891" spans="1:10" ht="23.4" x14ac:dyDescent="0.3">
      <c r="A891" s="277" t="s">
        <v>110</v>
      </c>
      <c r="B891" s="957"/>
      <c r="C891" s="298" t="s">
        <v>405</v>
      </c>
      <c r="D891" s="298" t="s">
        <v>194</v>
      </c>
      <c r="E891" s="387">
        <v>22.820599999999999</v>
      </c>
      <c r="F891" s="405">
        <f>IFERROR(E891*'01 Prod Physique Boites'!H886,"-")</f>
        <v>90369.576000000001</v>
      </c>
      <c r="G891" s="406">
        <f>IFERROR(E891*'01 Prod Physique Boites'!L886,"-")</f>
        <v>7681413.96</v>
      </c>
      <c r="H891" s="388">
        <v>27.5</v>
      </c>
      <c r="I891" s="424">
        <f>IFERROR(H891*(F891/E891),"-")</f>
        <v>108900.00000000001</v>
      </c>
      <c r="J891" s="425">
        <f t="shared" si="554"/>
        <v>9256500</v>
      </c>
    </row>
    <row r="892" spans="1:10" ht="24" thickBot="1" x14ac:dyDescent="0.35">
      <c r="A892" s="277" t="s">
        <v>110</v>
      </c>
      <c r="B892" s="958"/>
      <c r="C892" s="282" t="s">
        <v>195</v>
      </c>
      <c r="D892" s="282" t="s">
        <v>100</v>
      </c>
      <c r="E892" s="389">
        <v>23.5685</v>
      </c>
      <c r="F892" s="405">
        <f>IFERROR(E892*'01 Prod Physique Boites'!H887,"-")</f>
        <v>0</v>
      </c>
      <c r="G892" s="406">
        <f>IFERROR(E892*'01 Prod Physique Boites'!L887,"-")</f>
        <v>0</v>
      </c>
      <c r="H892" s="390">
        <v>24</v>
      </c>
      <c r="I892" s="426">
        <f>IFERROR(H892*(F892/E892),"-")</f>
        <v>0</v>
      </c>
      <c r="J892" s="427">
        <f t="shared" si="554"/>
        <v>0</v>
      </c>
    </row>
    <row r="893" spans="1:10" ht="24" thickBot="1" x14ac:dyDescent="0.35">
      <c r="A893" s="277" t="s">
        <v>110</v>
      </c>
      <c r="B893" s="967" t="s">
        <v>51</v>
      </c>
      <c r="C893" s="968"/>
      <c r="D893" s="969"/>
      <c r="E893" s="393"/>
      <c r="F893" s="409">
        <f t="shared" ref="F893:G893" si="555">SUM(F889:F892)</f>
        <v>90369.576000000001</v>
      </c>
      <c r="G893" s="410">
        <f t="shared" si="555"/>
        <v>7681413.96</v>
      </c>
      <c r="H893" s="394"/>
      <c r="I893" s="409">
        <f t="shared" ref="I893:J893" si="556">SUM(I889:I892)</f>
        <v>108900.00000000001</v>
      </c>
      <c r="J893" s="428">
        <f t="shared" si="556"/>
        <v>9256500</v>
      </c>
    </row>
    <row r="894" spans="1:10" ht="23.4" x14ac:dyDescent="0.3">
      <c r="A894" s="277" t="s">
        <v>110</v>
      </c>
      <c r="B894" s="956" t="s">
        <v>23</v>
      </c>
      <c r="C894" s="299" t="s">
        <v>337</v>
      </c>
      <c r="D894" s="299" t="s">
        <v>258</v>
      </c>
      <c r="E894" s="383">
        <v>101.4935</v>
      </c>
      <c r="F894" s="405">
        <f>IFERROR(E894*'01 Prod Physique Boites'!H889,"-")</f>
        <v>0</v>
      </c>
      <c r="G894" s="406">
        <f>IFERROR(E894*'01 Prod Physique Boites'!L889,"-")</f>
        <v>0</v>
      </c>
      <c r="H894" s="388">
        <v>160.44999999999999</v>
      </c>
      <c r="I894" s="422">
        <f t="shared" ref="I894:I901" si="557">IFERROR(H894*(F894/E894),"-")</f>
        <v>0</v>
      </c>
      <c r="J894" s="423">
        <f t="shared" ref="J894:J901" si="558">IFERROR(H894*(G894/E894),"-")</f>
        <v>0</v>
      </c>
    </row>
    <row r="895" spans="1:10" ht="23.4" x14ac:dyDescent="0.3">
      <c r="A895" s="277" t="s">
        <v>110</v>
      </c>
      <c r="B895" s="957"/>
      <c r="C895" s="278" t="s">
        <v>24</v>
      </c>
      <c r="D895" s="278" t="s">
        <v>258</v>
      </c>
      <c r="E895" s="387">
        <v>101.4935</v>
      </c>
      <c r="F895" s="405">
        <f>IFERROR(E895*'01 Prod Physique Boites'!H890,"-")</f>
        <v>0</v>
      </c>
      <c r="G895" s="406">
        <f>IFERROR(E895*'01 Prod Physique Boites'!L890,"-")</f>
        <v>0</v>
      </c>
      <c r="H895" s="388">
        <v>160.44999999999999</v>
      </c>
      <c r="I895" s="424">
        <f t="shared" si="557"/>
        <v>0</v>
      </c>
      <c r="J895" s="425">
        <f t="shared" si="558"/>
        <v>0</v>
      </c>
    </row>
    <row r="896" spans="1:10" ht="23.4" x14ac:dyDescent="0.3">
      <c r="A896" s="277" t="s">
        <v>110</v>
      </c>
      <c r="B896" s="957"/>
      <c r="C896" s="278" t="s">
        <v>256</v>
      </c>
      <c r="D896" s="278" t="s">
        <v>258</v>
      </c>
      <c r="E896" s="387">
        <v>101.4935</v>
      </c>
      <c r="F896" s="405">
        <f>IFERROR(E896*'01 Prod Physique Boites'!H891,"-")</f>
        <v>0</v>
      </c>
      <c r="G896" s="406">
        <f>IFERROR(E896*'01 Prod Physique Boites'!L891,"-")</f>
        <v>0</v>
      </c>
      <c r="H896" s="388">
        <v>160.44999999999999</v>
      </c>
      <c r="I896" s="424">
        <f t="shared" si="557"/>
        <v>0</v>
      </c>
      <c r="J896" s="425">
        <f t="shared" si="558"/>
        <v>0</v>
      </c>
    </row>
    <row r="897" spans="1:10" ht="23.4" x14ac:dyDescent="0.3">
      <c r="A897" s="277" t="s">
        <v>110</v>
      </c>
      <c r="B897" s="957"/>
      <c r="C897" s="278" t="s">
        <v>257</v>
      </c>
      <c r="D897" s="278" t="s">
        <v>258</v>
      </c>
      <c r="E897" s="387">
        <v>101.4935</v>
      </c>
      <c r="F897" s="405">
        <f>IFERROR(E897*'01 Prod Physique Boites'!H892,"-")</f>
        <v>0</v>
      </c>
      <c r="G897" s="406">
        <f>IFERROR(E897*'01 Prod Physique Boites'!L892,"-")</f>
        <v>0</v>
      </c>
      <c r="H897" s="388">
        <v>160.44999999999999</v>
      </c>
      <c r="I897" s="424">
        <f t="shared" si="557"/>
        <v>0</v>
      </c>
      <c r="J897" s="425">
        <f t="shared" si="558"/>
        <v>0</v>
      </c>
    </row>
    <row r="898" spans="1:10" ht="23.4" x14ac:dyDescent="0.3">
      <c r="A898" s="277" t="s">
        <v>110</v>
      </c>
      <c r="B898" s="957"/>
      <c r="C898" s="298" t="s">
        <v>259</v>
      </c>
      <c r="D898" s="278" t="s">
        <v>258</v>
      </c>
      <c r="E898" s="387">
        <v>101.4935</v>
      </c>
      <c r="F898" s="405">
        <f>IFERROR(E898*'01 Prod Physique Boites'!H893,"-")</f>
        <v>272205.56699999998</v>
      </c>
      <c r="G898" s="406">
        <f>IFERROR(E898*'01 Prod Physique Boites'!L893,"-")</f>
        <v>1249080.5045</v>
      </c>
      <c r="H898" s="388">
        <v>160.44999999999999</v>
      </c>
      <c r="I898" s="424">
        <f t="shared" si="557"/>
        <v>430326.89999999997</v>
      </c>
      <c r="J898" s="425">
        <f t="shared" si="558"/>
        <v>1974658.15</v>
      </c>
    </row>
    <row r="899" spans="1:10" ht="23.4" x14ac:dyDescent="0.3">
      <c r="A899" s="277" t="s">
        <v>110</v>
      </c>
      <c r="B899" s="957"/>
      <c r="C899" s="298" t="s">
        <v>260</v>
      </c>
      <c r="D899" s="278" t="s">
        <v>258</v>
      </c>
      <c r="E899" s="387">
        <v>101.4935</v>
      </c>
      <c r="F899" s="405">
        <f>IFERROR(E899*'01 Prod Physique Boites'!H894,"-")</f>
        <v>888068.125</v>
      </c>
      <c r="G899" s="406">
        <f>IFERROR(E899*'01 Prod Physique Boites'!L894,"-")</f>
        <v>888068.125</v>
      </c>
      <c r="H899" s="388">
        <v>160.44999999999999</v>
      </c>
      <c r="I899" s="424">
        <f t="shared" si="557"/>
        <v>1403937.5</v>
      </c>
      <c r="J899" s="425">
        <f t="shared" si="558"/>
        <v>1403937.5</v>
      </c>
    </row>
    <row r="900" spans="1:10" ht="23.4" x14ac:dyDescent="0.3">
      <c r="A900" s="277" t="s">
        <v>110</v>
      </c>
      <c r="B900" s="957"/>
      <c r="C900" s="298" t="s">
        <v>261</v>
      </c>
      <c r="D900" s="278" t="s">
        <v>263</v>
      </c>
      <c r="E900" s="387">
        <v>101.4935</v>
      </c>
      <c r="F900" s="405">
        <f>IFERROR(E900*'01 Prod Physique Boites'!H895,"-")</f>
        <v>0</v>
      </c>
      <c r="G900" s="406">
        <f>IFERROR(E900*'01 Prod Physique Boites'!L895,"-")</f>
        <v>2384082.3149999999</v>
      </c>
      <c r="H900" s="388">
        <v>160.44999999999999</v>
      </c>
      <c r="I900" s="424">
        <f t="shared" si="557"/>
        <v>0</v>
      </c>
      <c r="J900" s="425">
        <f t="shared" si="558"/>
        <v>3768970.4999999995</v>
      </c>
    </row>
    <row r="901" spans="1:10" ht="24" thickBot="1" x14ac:dyDescent="0.35">
      <c r="A901" s="277" t="s">
        <v>110</v>
      </c>
      <c r="B901" s="958"/>
      <c r="C901" s="298" t="s">
        <v>262</v>
      </c>
      <c r="D901" s="278" t="s">
        <v>258</v>
      </c>
      <c r="E901" s="389">
        <v>101.4935</v>
      </c>
      <c r="F901" s="405">
        <f>IFERROR(E901*'01 Prod Physique Boites'!H896,"-")</f>
        <v>0</v>
      </c>
      <c r="G901" s="406">
        <f>IFERROR(E901*'01 Prod Physique Boites'!L896,"-")</f>
        <v>2879878.0625</v>
      </c>
      <c r="H901" s="388">
        <v>160.44999999999999</v>
      </c>
      <c r="I901" s="426">
        <f t="shared" si="557"/>
        <v>0</v>
      </c>
      <c r="J901" s="427">
        <f t="shared" si="558"/>
        <v>4552768.75</v>
      </c>
    </row>
    <row r="902" spans="1:10" ht="24" thickBot="1" x14ac:dyDescent="0.35">
      <c r="A902" s="277" t="s">
        <v>110</v>
      </c>
      <c r="B902" s="967" t="s">
        <v>52</v>
      </c>
      <c r="C902" s="968"/>
      <c r="D902" s="969"/>
      <c r="E902" s="393"/>
      <c r="F902" s="409">
        <f t="shared" ref="F902" si="559">SUM(F894:F901)</f>
        <v>1160273.692</v>
      </c>
      <c r="G902" s="410">
        <f>SUM(G894:G901)</f>
        <v>7401109.0069999993</v>
      </c>
      <c r="H902" s="394"/>
      <c r="I902" s="409">
        <f t="shared" ref="I902" si="560">SUM(I894:I901)</f>
        <v>1834264.4</v>
      </c>
      <c r="J902" s="428">
        <f>SUM(J894:J901)</f>
        <v>11700334.899999999</v>
      </c>
    </row>
    <row r="903" spans="1:10" ht="24" thickBot="1" x14ac:dyDescent="0.35">
      <c r="A903" s="277" t="s">
        <v>110</v>
      </c>
      <c r="B903" s="981" t="s">
        <v>25</v>
      </c>
      <c r="C903" s="982"/>
      <c r="D903" s="983"/>
      <c r="E903" s="396"/>
      <c r="F903" s="413">
        <f t="shared" ref="F903" si="561">+F893+F902</f>
        <v>1250643.2680000002</v>
      </c>
      <c r="G903" s="414">
        <f>+G893+G902</f>
        <v>15082522.967</v>
      </c>
      <c r="H903" s="397"/>
      <c r="I903" s="413">
        <f t="shared" ref="I903:J903" si="562">+I893+I902</f>
        <v>1943164.4</v>
      </c>
      <c r="J903" s="431">
        <f t="shared" si="562"/>
        <v>20956834.899999999</v>
      </c>
    </row>
    <row r="904" spans="1:10" ht="24" thickBot="1" x14ac:dyDescent="0.35">
      <c r="A904" s="277" t="s">
        <v>110</v>
      </c>
      <c r="B904" s="984" t="s">
        <v>180</v>
      </c>
      <c r="C904" s="962"/>
      <c r="D904" s="963"/>
      <c r="E904" s="398"/>
      <c r="F904" s="415">
        <f t="shared" ref="F904" si="563">+F888+F903</f>
        <v>2703110.824</v>
      </c>
      <c r="G904" s="416">
        <f>+G888+G903</f>
        <v>35616253.509399995</v>
      </c>
      <c r="H904" s="399"/>
      <c r="I904" s="415">
        <f t="shared" ref="I904:J904" si="564">+I888+I903</f>
        <v>4286757.2000000011</v>
      </c>
      <c r="J904" s="432">
        <f t="shared" si="564"/>
        <v>47902201.239999995</v>
      </c>
    </row>
    <row r="905" spans="1:10" ht="23.4" x14ac:dyDescent="0.3">
      <c r="A905" s="271" t="s">
        <v>108</v>
      </c>
      <c r="B905" s="977" t="s">
        <v>26</v>
      </c>
      <c r="C905" s="300" t="s">
        <v>323</v>
      </c>
      <c r="D905" s="302" t="s">
        <v>190</v>
      </c>
      <c r="E905" s="508">
        <v>13.1272</v>
      </c>
      <c r="F905" s="405">
        <f>IFERROR(E905*'01 Prod Physique Boites'!H900,"-")</f>
        <v>0</v>
      </c>
      <c r="G905" s="406">
        <f>IFERROR(E905*'01 Prod Physique Boites'!L900,"-")</f>
        <v>0</v>
      </c>
      <c r="H905" s="384">
        <v>20.76</v>
      </c>
      <c r="I905" s="422">
        <f t="shared" ref="I905:I913" si="565">IFERROR(H905*(F905/E905),"-")</f>
        <v>0</v>
      </c>
      <c r="J905" s="644">
        <f t="shared" ref="J905:J913" si="566">IFERROR(H905*(G905/E905),"-")</f>
        <v>0</v>
      </c>
    </row>
    <row r="906" spans="1:10" ht="23.4" x14ac:dyDescent="0.3">
      <c r="A906" s="277" t="s">
        <v>108</v>
      </c>
      <c r="B906" s="977"/>
      <c r="C906" s="301" t="s">
        <v>508</v>
      </c>
      <c r="D906" s="301" t="s">
        <v>507</v>
      </c>
      <c r="E906" s="509">
        <v>16.7288</v>
      </c>
      <c r="F906" s="405">
        <f>IFERROR(E906*'01 Prod Physique Boites'!H901,"-")</f>
        <v>133094.3328</v>
      </c>
      <c r="G906" s="406">
        <f>IFERROR(E906*'01 Prod Physique Boites'!L901,"-")</f>
        <v>133094.3328</v>
      </c>
      <c r="H906" s="388">
        <v>20.76</v>
      </c>
      <c r="I906" s="424">
        <f t="shared" si="565"/>
        <v>165166.56000000003</v>
      </c>
      <c r="J906" s="645">
        <f t="shared" si="566"/>
        <v>165166.56000000003</v>
      </c>
    </row>
    <row r="907" spans="1:10" ht="23.4" x14ac:dyDescent="0.3">
      <c r="A907" s="277" t="s">
        <v>108</v>
      </c>
      <c r="B907" s="977"/>
      <c r="C907" s="302" t="s">
        <v>27</v>
      </c>
      <c r="D907" s="302" t="s">
        <v>370</v>
      </c>
      <c r="E907" s="505">
        <v>17.8202</v>
      </c>
      <c r="F907" s="405">
        <f>IFERROR(E907*'01 Prod Physique Boites'!H902,"-")</f>
        <v>70888.755600000004</v>
      </c>
      <c r="G907" s="406">
        <f>IFERROR(E907*'01 Prod Physique Boites'!L902,"-")</f>
        <v>212666.26680000001</v>
      </c>
      <c r="H907" s="388">
        <v>21.22</v>
      </c>
      <c r="I907" s="424">
        <f t="shared" si="565"/>
        <v>84413.16</v>
      </c>
      <c r="J907" s="645">
        <f t="shared" si="566"/>
        <v>253239.47999999998</v>
      </c>
    </row>
    <row r="908" spans="1:10" ht="23.4" x14ac:dyDescent="0.3">
      <c r="A908" s="277" t="s">
        <v>108</v>
      </c>
      <c r="B908" s="977"/>
      <c r="C908" s="302" t="s">
        <v>27</v>
      </c>
      <c r="D908" s="302" t="s">
        <v>254</v>
      </c>
      <c r="E908" s="505">
        <v>17.8202</v>
      </c>
      <c r="F908" s="405">
        <f>IFERROR(E908*'01 Prod Physique Boites'!H903,"-")</f>
        <v>0</v>
      </c>
      <c r="G908" s="406">
        <f>IFERROR(E908*'01 Prod Physique Boites'!L903,"-")</f>
        <v>567110.04480000003</v>
      </c>
      <c r="H908" s="388">
        <v>24.93</v>
      </c>
      <c r="I908" s="424">
        <f t="shared" si="565"/>
        <v>0</v>
      </c>
      <c r="J908" s="645">
        <f t="shared" si="566"/>
        <v>793372.32000000007</v>
      </c>
    </row>
    <row r="909" spans="1:10" ht="23.4" x14ac:dyDescent="0.3">
      <c r="A909" s="277" t="s">
        <v>108</v>
      </c>
      <c r="B909" s="977"/>
      <c r="C909" s="302" t="s">
        <v>27</v>
      </c>
      <c r="D909" s="302" t="s">
        <v>302</v>
      </c>
      <c r="E909" s="505">
        <v>17.8202</v>
      </c>
      <c r="F909" s="405">
        <f>IFERROR(E909*'01 Prod Physique Boites'!H904,"-")</f>
        <v>0</v>
      </c>
      <c r="G909" s="406">
        <f>IFERROR(E909*'01 Prod Physique Boites'!L904,"-")</f>
        <v>0</v>
      </c>
      <c r="H909" s="388">
        <v>24.93</v>
      </c>
      <c r="I909" s="424">
        <f t="shared" si="565"/>
        <v>0</v>
      </c>
      <c r="J909" s="645">
        <f t="shared" si="566"/>
        <v>0</v>
      </c>
    </row>
    <row r="910" spans="1:10" ht="23.4" x14ac:dyDescent="0.3">
      <c r="A910" s="277"/>
      <c r="B910" s="977"/>
      <c r="C910" s="302" t="s">
        <v>369</v>
      </c>
      <c r="D910" s="302" t="s">
        <v>190</v>
      </c>
      <c r="E910" s="505">
        <v>17.8202</v>
      </c>
      <c r="F910" s="405">
        <f>IFERROR(E910*'01 Prod Physique Boites'!H905,"-")</f>
        <v>0</v>
      </c>
      <c r="G910" s="406">
        <f>IFERROR(E910*'01 Prod Physique Boites'!L905,"-")</f>
        <v>0</v>
      </c>
      <c r="H910" s="390">
        <v>21.22</v>
      </c>
      <c r="I910" s="424">
        <f t="shared" si="565"/>
        <v>0</v>
      </c>
      <c r="J910" s="646">
        <f t="shared" si="566"/>
        <v>0</v>
      </c>
    </row>
    <row r="911" spans="1:10" ht="23.4" x14ac:dyDescent="0.3">
      <c r="A911" s="277"/>
      <c r="B911" s="977"/>
      <c r="C911" s="302" t="s">
        <v>314</v>
      </c>
      <c r="D911" s="302" t="s">
        <v>101</v>
      </c>
      <c r="E911" s="505">
        <v>14.608000000000001</v>
      </c>
      <c r="F911" s="405">
        <f>IFERROR(E911*'01 Prod Physique Boites'!H906,"-")</f>
        <v>0</v>
      </c>
      <c r="G911" s="406">
        <f>IFERROR(E911*'01 Prod Physique Boites'!L906,"-")</f>
        <v>0</v>
      </c>
      <c r="H911" s="390">
        <v>24.93</v>
      </c>
      <c r="I911" s="426">
        <f t="shared" si="565"/>
        <v>0</v>
      </c>
      <c r="J911" s="646">
        <f t="shared" si="566"/>
        <v>0</v>
      </c>
    </row>
    <row r="912" spans="1:10" ht="23.4" x14ac:dyDescent="0.3">
      <c r="A912" s="277"/>
      <c r="B912" s="977"/>
      <c r="C912" s="302" t="s">
        <v>453</v>
      </c>
      <c r="D912" s="302" t="s">
        <v>454</v>
      </c>
      <c r="E912" s="773">
        <v>16.345199999999998</v>
      </c>
      <c r="F912" s="405">
        <f>IFERROR(E912*'01 Prod Physique Boites'!H907,"-")</f>
        <v>0</v>
      </c>
      <c r="G912" s="406">
        <f>IFERROR(E912*'01 Prod Physique Boites'!L907,"-")</f>
        <v>585190.8504</v>
      </c>
      <c r="H912" s="390">
        <v>23.78</v>
      </c>
      <c r="I912" s="426">
        <f t="shared" si="565"/>
        <v>0</v>
      </c>
      <c r="J912" s="646">
        <f t="shared" si="566"/>
        <v>851371.56</v>
      </c>
    </row>
    <row r="913" spans="1:10" ht="24" thickBot="1" x14ac:dyDescent="0.35">
      <c r="A913" s="277" t="s">
        <v>108</v>
      </c>
      <c r="B913" s="977"/>
      <c r="C913" s="303" t="s">
        <v>315</v>
      </c>
      <c r="D913" s="302" t="s">
        <v>313</v>
      </c>
      <c r="E913" s="505">
        <v>12.6997</v>
      </c>
      <c r="F913" s="405">
        <f>IFERROR(E913*'01 Prod Physique Boites'!H908,"-")</f>
        <v>0</v>
      </c>
      <c r="G913" s="406">
        <f>IFERROR(E913*'01 Prod Physique Boites'!L908,"-")</f>
        <v>101038.8132</v>
      </c>
      <c r="H913" s="390">
        <v>13.25</v>
      </c>
      <c r="I913" s="426">
        <f t="shared" si="565"/>
        <v>0</v>
      </c>
      <c r="J913" s="646">
        <f t="shared" si="566"/>
        <v>105417</v>
      </c>
    </row>
    <row r="914" spans="1:10" ht="24" thickBot="1" x14ac:dyDescent="0.35">
      <c r="A914" s="277" t="s">
        <v>108</v>
      </c>
      <c r="B914" s="990"/>
      <c r="C914" s="304"/>
      <c r="D914" s="305" t="s">
        <v>55</v>
      </c>
      <c r="E914" s="393"/>
      <c r="F914" s="409">
        <f>SUM(F905:F913)</f>
        <v>203983.08840000001</v>
      </c>
      <c r="G914" s="410">
        <f t="shared" ref="G914" si="567">SUM(G905:G913)</f>
        <v>1599100.308</v>
      </c>
      <c r="H914" s="394"/>
      <c r="I914" s="409">
        <f t="shared" ref="I914" si="568">SUM(I905:I913)</f>
        <v>249579.72000000003</v>
      </c>
      <c r="J914" s="428">
        <f>SUM(J905:J913)</f>
        <v>2168566.92</v>
      </c>
    </row>
    <row r="915" spans="1:10" ht="23.4" x14ac:dyDescent="0.3">
      <c r="A915" s="277" t="s">
        <v>108</v>
      </c>
      <c r="B915" s="976" t="s">
        <v>28</v>
      </c>
      <c r="C915" s="302" t="s">
        <v>27</v>
      </c>
      <c r="D915" s="300" t="s">
        <v>302</v>
      </c>
      <c r="E915" s="508">
        <v>17.8202</v>
      </c>
      <c r="F915" s="405">
        <f>IFERROR(E915*'01 Prod Physique Boites'!H910,"-")</f>
        <v>212666.26680000001</v>
      </c>
      <c r="G915" s="406">
        <f>IFERROR(E915*'01 Prod Physique Boites'!L910,"-")</f>
        <v>354443.77799999999</v>
      </c>
      <c r="H915" s="384">
        <v>24.93</v>
      </c>
      <c r="I915" s="422">
        <f>IFERROR(H915*(F915/E915),"-")</f>
        <v>297514.62</v>
      </c>
      <c r="J915" s="644">
        <f t="shared" ref="J915:J919" si="569">IFERROR(H915*(G915/E915),"-")</f>
        <v>495857.7</v>
      </c>
    </row>
    <row r="916" spans="1:10" ht="23.4" x14ac:dyDescent="0.3">
      <c r="A916" s="277" t="s">
        <v>108</v>
      </c>
      <c r="B916" s="977"/>
      <c r="C916" s="302" t="s">
        <v>456</v>
      </c>
      <c r="D916" s="302" t="s">
        <v>370</v>
      </c>
      <c r="E916" s="773">
        <v>16.7288</v>
      </c>
      <c r="F916" s="405">
        <f>IFERROR(E916*'01 Prod Physique Boites'!H911,"-")</f>
        <v>1863320.6591999999</v>
      </c>
      <c r="G916" s="406">
        <f>IFERROR(E916*'01 Prod Physique Boites'!L911,"-")</f>
        <v>3388786.4736000001</v>
      </c>
      <c r="H916" s="770">
        <v>20.76</v>
      </c>
      <c r="I916" s="424">
        <f>IFERROR(H916*(F916/E916),"-")</f>
        <v>2312331.8400000003</v>
      </c>
      <c r="J916" s="645">
        <f t="shared" si="569"/>
        <v>4205394.7200000007</v>
      </c>
    </row>
    <row r="917" spans="1:10" ht="23.4" x14ac:dyDescent="0.3">
      <c r="A917" s="277" t="s">
        <v>108</v>
      </c>
      <c r="B917" s="977"/>
      <c r="C917" s="302" t="s">
        <v>455</v>
      </c>
      <c r="D917" s="302" t="s">
        <v>370</v>
      </c>
      <c r="E917" s="505">
        <v>17.8202</v>
      </c>
      <c r="F917" s="405">
        <f>IFERROR(E917*'01 Prod Physique Boites'!H912,"-")</f>
        <v>0</v>
      </c>
      <c r="G917" s="406">
        <f>IFERROR(E917*'01 Prod Physique Boites'!L912,"-")</f>
        <v>1134220.0896000001</v>
      </c>
      <c r="H917" s="388">
        <v>21.22</v>
      </c>
      <c r="I917" s="424">
        <f>IFERROR(H917*(F917/E917),"-")</f>
        <v>0</v>
      </c>
      <c r="J917" s="645">
        <f t="shared" si="569"/>
        <v>1350610.56</v>
      </c>
    </row>
    <row r="918" spans="1:10" ht="23.4" x14ac:dyDescent="0.3">
      <c r="A918" s="277"/>
      <c r="B918" s="977"/>
      <c r="C918" s="302" t="s">
        <v>453</v>
      </c>
      <c r="D918" s="302" t="s">
        <v>454</v>
      </c>
      <c r="E918" s="773">
        <v>16.345199999999998</v>
      </c>
      <c r="F918" s="405">
        <f>IFERROR(E918*'01 Prod Physique Boites'!H913,"-")</f>
        <v>0</v>
      </c>
      <c r="G918" s="406">
        <f>IFERROR(E918*'01 Prod Physique Boites'!L913,"-")</f>
        <v>4031314.7471999996</v>
      </c>
      <c r="H918" s="388">
        <v>23.78</v>
      </c>
      <c r="I918" s="426">
        <f>IFERROR(H918*(F918/E918),"-")</f>
        <v>0</v>
      </c>
      <c r="J918" s="646">
        <f t="shared" si="569"/>
        <v>5865004.0800000001</v>
      </c>
    </row>
    <row r="919" spans="1:10" ht="24" thickBot="1" x14ac:dyDescent="0.35">
      <c r="A919" s="277" t="s">
        <v>108</v>
      </c>
      <c r="B919" s="977"/>
      <c r="C919" s="302" t="s">
        <v>27</v>
      </c>
      <c r="D919" s="303" t="s">
        <v>254</v>
      </c>
      <c r="E919" s="505">
        <v>17.8202</v>
      </c>
      <c r="F919" s="405">
        <f>IFERROR(E919*'01 Prod Physique Boites'!H914,"-")</f>
        <v>0</v>
      </c>
      <c r="G919" s="406">
        <f>IFERROR(E919*'01 Prod Physique Boites'!L914,"-")</f>
        <v>13468863.563999999</v>
      </c>
      <c r="H919" s="388">
        <v>24.93</v>
      </c>
      <c r="I919" s="426">
        <f>IFERROR(H919*(F919/E919),"-")</f>
        <v>0</v>
      </c>
      <c r="J919" s="646">
        <f t="shared" si="569"/>
        <v>18842592.600000001</v>
      </c>
    </row>
    <row r="920" spans="1:10" ht="24" thickBot="1" x14ac:dyDescent="0.35">
      <c r="A920" s="277" t="s">
        <v>108</v>
      </c>
      <c r="B920" s="977"/>
      <c r="C920" s="307"/>
      <c r="D920" s="308" t="s">
        <v>55</v>
      </c>
      <c r="E920" s="400"/>
      <c r="F920" s="417">
        <f t="shared" ref="F920:G920" si="570">SUM(F915:F919)</f>
        <v>2075986.926</v>
      </c>
      <c r="G920" s="418">
        <f t="shared" si="570"/>
        <v>22377628.652399998</v>
      </c>
      <c r="H920" s="401"/>
      <c r="I920" s="417">
        <f t="shared" ref="I920:J920" si="571">SUM(I915:I919)</f>
        <v>2609846.4600000004</v>
      </c>
      <c r="J920" s="433">
        <f t="shared" si="571"/>
        <v>30759459.660000004</v>
      </c>
    </row>
    <row r="921" spans="1:10" ht="24" thickBot="1" x14ac:dyDescent="0.35">
      <c r="A921" s="814" t="s">
        <v>108</v>
      </c>
      <c r="B921" s="978" t="s">
        <v>170</v>
      </c>
      <c r="C921" s="979"/>
      <c r="D921" s="980"/>
      <c r="E921" s="402"/>
      <c r="F921" s="419">
        <f t="shared" ref="F921:G921" si="572">+F914+F920</f>
        <v>2279970.0143999998</v>
      </c>
      <c r="G921" s="420">
        <f t="shared" si="572"/>
        <v>23976728.960399996</v>
      </c>
      <c r="H921" s="403"/>
      <c r="I921" s="419">
        <f t="shared" ref="I921:J921" si="573">+I914+I920</f>
        <v>2859426.1800000006</v>
      </c>
      <c r="J921" s="434">
        <f t="shared" si="573"/>
        <v>32928026.580000006</v>
      </c>
    </row>
    <row r="922" spans="1:10" ht="23.4" x14ac:dyDescent="0.3">
      <c r="A922" s="277" t="s">
        <v>108</v>
      </c>
      <c r="B922" s="977" t="s">
        <v>30</v>
      </c>
      <c r="C922" s="306" t="s">
        <v>356</v>
      </c>
      <c r="D922" s="300" t="s">
        <v>191</v>
      </c>
      <c r="E922" s="508">
        <v>15.2788</v>
      </c>
      <c r="F922" s="405">
        <f>IFERROR(E922*'01 Prod Physique Boites'!H917,"-")</f>
        <v>0</v>
      </c>
      <c r="G922" s="406">
        <f>IFERROR(E922*'01 Prod Physique Boites'!L917,"-")</f>
        <v>0</v>
      </c>
      <c r="H922" s="384">
        <v>23.65</v>
      </c>
      <c r="I922" s="422">
        <f>IFERROR(H922*(F922/E922),"-")</f>
        <v>0</v>
      </c>
      <c r="J922" s="423">
        <f t="shared" ref="J922:J924" si="574">IFERROR(H922*(G922/E922),"-")</f>
        <v>0</v>
      </c>
    </row>
    <row r="923" spans="1:10" ht="23.4" x14ac:dyDescent="0.3">
      <c r="A923" s="277" t="s">
        <v>108</v>
      </c>
      <c r="B923" s="977"/>
      <c r="C923" s="306" t="s">
        <v>349</v>
      </c>
      <c r="D923" s="306" t="s">
        <v>313</v>
      </c>
      <c r="E923" s="509">
        <v>22.6356</v>
      </c>
      <c r="F923" s="405">
        <f>IFERROR(E923*'01 Prod Physique Boites'!H918,"-")</f>
        <v>0</v>
      </c>
      <c r="G923" s="406">
        <f>IFERROR(E923*'01 Prod Physique Boites'!L918,"-")</f>
        <v>0</v>
      </c>
      <c r="H923" s="388">
        <v>34.26</v>
      </c>
      <c r="I923" s="424">
        <f>IFERROR(H923*(F923/E923),"-")</f>
        <v>0</v>
      </c>
      <c r="J923" s="425">
        <f t="shared" si="574"/>
        <v>0</v>
      </c>
    </row>
    <row r="924" spans="1:10" ht="24" thickBot="1" x14ac:dyDescent="0.35">
      <c r="A924" s="277" t="s">
        <v>108</v>
      </c>
      <c r="B924" s="977"/>
      <c r="C924" s="303" t="s">
        <v>316</v>
      </c>
      <c r="D924" s="303"/>
      <c r="E924" s="505">
        <v>25.751300000000001</v>
      </c>
      <c r="F924" s="405">
        <f>IFERROR(E924*'01 Prod Physique Boites'!H919,"-")</f>
        <v>0</v>
      </c>
      <c r="G924" s="406">
        <f>IFERROR(E924*'01 Prod Physique Boites'!L919,"-")</f>
        <v>4242166.1568</v>
      </c>
      <c r="H924" s="390">
        <v>37.89</v>
      </c>
      <c r="I924" s="426">
        <f>IFERROR(H924*(F924/E924),"-")</f>
        <v>0</v>
      </c>
      <c r="J924" s="427">
        <f t="shared" si="574"/>
        <v>6241847.04</v>
      </c>
    </row>
    <row r="925" spans="1:10" ht="24" thickBot="1" x14ac:dyDescent="0.35">
      <c r="A925" s="277" t="s">
        <v>108</v>
      </c>
      <c r="B925" s="977"/>
      <c r="C925" s="304"/>
      <c r="D925" s="305" t="s">
        <v>53</v>
      </c>
      <c r="E925" s="393"/>
      <c r="F925" s="409">
        <f t="shared" ref="F925:G925" si="575">SUM(F922:F924)</f>
        <v>0</v>
      </c>
      <c r="G925" s="410">
        <f t="shared" si="575"/>
        <v>4242166.1568</v>
      </c>
      <c r="H925" s="394"/>
      <c r="I925" s="409">
        <f t="shared" ref="I925" si="576">SUM(I922:I924)</f>
        <v>0</v>
      </c>
      <c r="J925" s="428">
        <f>SUM(J922:J924)</f>
        <v>6241847.04</v>
      </c>
    </row>
    <row r="926" spans="1:10" ht="23.4" x14ac:dyDescent="0.3">
      <c r="A926" s="277" t="s">
        <v>108</v>
      </c>
      <c r="B926" s="977"/>
      <c r="C926" s="300" t="s">
        <v>339</v>
      </c>
      <c r="D926" s="300"/>
      <c r="E926" s="508">
        <v>22.094999999999999</v>
      </c>
      <c r="F926" s="405">
        <f>IFERROR(E926*'01 Prod Physique Boites'!H921,"-")</f>
        <v>0</v>
      </c>
      <c r="G926" s="406">
        <f>IFERROR(E926*'01 Prod Physique Boites'!L921,"-")</f>
        <v>0</v>
      </c>
      <c r="H926" s="384">
        <v>37.11</v>
      </c>
      <c r="I926" s="422">
        <f>IFERROR(H926*(F926/E926),"-")</f>
        <v>0</v>
      </c>
      <c r="J926" s="423">
        <f t="shared" ref="J926:J928" si="577">IFERROR(H926*(G926/E926),"-")</f>
        <v>0</v>
      </c>
    </row>
    <row r="927" spans="1:10" ht="23.4" x14ac:dyDescent="0.3">
      <c r="A927" s="277" t="s">
        <v>108</v>
      </c>
      <c r="B927" s="977"/>
      <c r="C927" s="306" t="s">
        <v>373</v>
      </c>
      <c r="D927" s="306" t="s">
        <v>254</v>
      </c>
      <c r="E927" s="509">
        <v>27.917000000000002</v>
      </c>
      <c r="F927" s="405">
        <f>IFERROR(E927*'01 Prod Physique Boites'!H922,"-")</f>
        <v>0</v>
      </c>
      <c r="G927" s="406">
        <f>IFERROR(E927*'01 Prod Physique Boites'!L922,"-")</f>
        <v>261303.12000000002</v>
      </c>
      <c r="H927" s="388">
        <v>39</v>
      </c>
      <c r="I927" s="424">
        <f>IFERROR(H927*(F927/E927),"-")</f>
        <v>0</v>
      </c>
      <c r="J927" s="425">
        <f t="shared" si="577"/>
        <v>365040</v>
      </c>
    </row>
    <row r="928" spans="1:10" ht="24" thickBot="1" x14ac:dyDescent="0.35">
      <c r="A928" s="277" t="s">
        <v>108</v>
      </c>
      <c r="B928" s="977"/>
      <c r="C928" s="303" t="s">
        <v>145</v>
      </c>
      <c r="D928" s="303"/>
      <c r="E928" s="505">
        <v>25.4041</v>
      </c>
      <c r="F928" s="405">
        <f>IFERROR(E928*'01 Prod Physique Boites'!H923,"-")</f>
        <v>0</v>
      </c>
      <c r="G928" s="406">
        <f>IFERROR(E928*'01 Prod Physique Boites'!L923,"-")</f>
        <v>0</v>
      </c>
      <c r="H928" s="390">
        <v>28.21</v>
      </c>
      <c r="I928" s="426">
        <f>IFERROR(H928*(F928/E928),"-")</f>
        <v>0</v>
      </c>
      <c r="J928" s="427">
        <f t="shared" si="577"/>
        <v>0</v>
      </c>
    </row>
    <row r="929" spans="1:10" ht="24" thickBot="1" x14ac:dyDescent="0.35">
      <c r="A929" s="277" t="s">
        <v>108</v>
      </c>
      <c r="B929" s="977"/>
      <c r="C929" s="307"/>
      <c r="D929" s="308" t="s">
        <v>54</v>
      </c>
      <c r="E929" s="400"/>
      <c r="F929" s="417">
        <f t="shared" ref="F929:G929" si="578">SUM(F926:F928)</f>
        <v>0</v>
      </c>
      <c r="G929" s="418">
        <f t="shared" si="578"/>
        <v>261303.12000000002</v>
      </c>
      <c r="H929" s="401"/>
      <c r="I929" s="417">
        <f t="shared" ref="I929" si="579">SUM(I926:I928)</f>
        <v>0</v>
      </c>
      <c r="J929" s="433">
        <f>SUM(J926:J928)</f>
        <v>365040</v>
      </c>
    </row>
    <row r="930" spans="1:10" ht="24" thickBot="1" x14ac:dyDescent="0.35">
      <c r="A930" s="277" t="s">
        <v>108</v>
      </c>
      <c r="B930" s="978" t="s">
        <v>171</v>
      </c>
      <c r="C930" s="979"/>
      <c r="D930" s="980"/>
      <c r="E930" s="402"/>
      <c r="F930" s="419">
        <f t="shared" ref="F930:G930" si="580">+F925+F929</f>
        <v>0</v>
      </c>
      <c r="G930" s="420">
        <f t="shared" si="580"/>
        <v>4503469.2768000001</v>
      </c>
      <c r="H930" s="403"/>
      <c r="I930" s="419">
        <f t="shared" ref="I930:J930" si="581">+I925+I929</f>
        <v>0</v>
      </c>
      <c r="J930" s="434">
        <f t="shared" si="581"/>
        <v>6606887.04</v>
      </c>
    </row>
    <row r="931" spans="1:10" ht="24" thickBot="1" x14ac:dyDescent="0.35">
      <c r="A931" s="277" t="s">
        <v>108</v>
      </c>
      <c r="B931" s="609" t="s">
        <v>32</v>
      </c>
      <c r="C931" s="810"/>
      <c r="D931" s="313"/>
      <c r="E931" s="510">
        <v>12.2659</v>
      </c>
      <c r="F931" s="411">
        <f>IFERROR(E931*'01 Prod Physique Boites'!H926,"-")</f>
        <v>0</v>
      </c>
      <c r="G931" s="412">
        <f>IFERROR(E931*'01 Prod Physique Boites'!L926,"-")</f>
        <v>0</v>
      </c>
      <c r="H931" s="395"/>
      <c r="I931" s="429">
        <f>IFERROR(H931*(F931/E931),"-")</f>
        <v>0</v>
      </c>
      <c r="J931" s="430">
        <f>IFERROR(H931*(G931/E931),"-")</f>
        <v>0</v>
      </c>
    </row>
    <row r="932" spans="1:10" ht="24" thickBot="1" x14ac:dyDescent="0.35">
      <c r="A932" s="277" t="s">
        <v>108</v>
      </c>
      <c r="B932" s="981" t="s">
        <v>21</v>
      </c>
      <c r="C932" s="982"/>
      <c r="D932" s="983"/>
      <c r="E932" s="396"/>
      <c r="F932" s="413">
        <f t="shared" ref="F932" si="582">+F921+F930+F931</f>
        <v>2279970.0143999998</v>
      </c>
      <c r="G932" s="414">
        <f>+G921+G930+G931</f>
        <v>28480198.237199996</v>
      </c>
      <c r="H932" s="397"/>
      <c r="I932" s="413">
        <f t="shared" ref="I932:J932" si="583">+I921+I930+I931</f>
        <v>2859426.1800000006</v>
      </c>
      <c r="J932" s="431">
        <f t="shared" si="583"/>
        <v>39534913.620000005</v>
      </c>
    </row>
    <row r="933" spans="1:10" ht="24" thickBot="1" x14ac:dyDescent="0.35">
      <c r="A933" s="277" t="s">
        <v>108</v>
      </c>
      <c r="B933" s="984" t="s">
        <v>179</v>
      </c>
      <c r="C933" s="962"/>
      <c r="D933" s="963"/>
      <c r="E933" s="398"/>
      <c r="F933" s="415">
        <f t="shared" ref="F933:G933" si="584">+F932</f>
        <v>2279970.0143999998</v>
      </c>
      <c r="G933" s="416">
        <f t="shared" si="584"/>
        <v>28480198.237199996</v>
      </c>
      <c r="H933" s="399"/>
      <c r="I933" s="415">
        <f t="shared" ref="I933:J933" si="585">+I932</f>
        <v>2859426.1800000006</v>
      </c>
      <c r="J933" s="432">
        <f t="shared" si="585"/>
        <v>39534913.620000005</v>
      </c>
    </row>
    <row r="934" spans="1:10" ht="23.4" x14ac:dyDescent="0.3">
      <c r="A934" s="271" t="s">
        <v>109</v>
      </c>
      <c r="B934" s="970" t="s">
        <v>482</v>
      </c>
      <c r="C934" s="314" t="s">
        <v>120</v>
      </c>
      <c r="D934" s="314"/>
      <c r="E934" s="771">
        <v>254.89750000000001</v>
      </c>
      <c r="F934" s="405">
        <f>IFERROR(E934*'01 Prod Physique Boites'!H929,"-")</f>
        <v>0</v>
      </c>
      <c r="G934" s="406">
        <f>IFERROR(E934*'01 Prod Physique Boites'!L929,"-")</f>
        <v>0</v>
      </c>
      <c r="H934" s="384">
        <v>445.38</v>
      </c>
      <c r="I934" s="422">
        <f>IFERROR(H934*(F934/E934),"-")</f>
        <v>0</v>
      </c>
      <c r="J934" s="423">
        <f t="shared" ref="J934:J936" si="586">IFERROR(H934*(G934/E934),"-")</f>
        <v>0</v>
      </c>
    </row>
    <row r="935" spans="1:10" ht="23.4" x14ac:dyDescent="0.3">
      <c r="A935" s="277" t="s">
        <v>109</v>
      </c>
      <c r="B935" s="972"/>
      <c r="C935" s="315" t="s">
        <v>267</v>
      </c>
      <c r="D935" s="315"/>
      <c r="E935" s="507">
        <v>246.51390000000001</v>
      </c>
      <c r="F935" s="405">
        <f>IFERROR(E935*'01 Prod Physique Boites'!H930,"-")</f>
        <v>0</v>
      </c>
      <c r="G935" s="406">
        <f>IFERROR(E935*'01 Prod Physique Boites'!L930,"-")</f>
        <v>3076493.4720000001</v>
      </c>
      <c r="H935" s="388">
        <v>430.02</v>
      </c>
      <c r="I935" s="424">
        <f>IFERROR(H935*(F935/E935),"-")</f>
        <v>0</v>
      </c>
      <c r="J935" s="425">
        <f t="shared" si="586"/>
        <v>5366649.5999999996</v>
      </c>
    </row>
    <row r="936" spans="1:10" ht="24" thickBot="1" x14ac:dyDescent="0.35">
      <c r="A936" s="277" t="s">
        <v>109</v>
      </c>
      <c r="B936" s="971"/>
      <c r="C936" s="316" t="s">
        <v>34</v>
      </c>
      <c r="D936" s="316"/>
      <c r="E936" s="504">
        <v>225.7713</v>
      </c>
      <c r="F936" s="405">
        <f>IFERROR(E936*'01 Prod Physique Boites'!H931,"-")</f>
        <v>0</v>
      </c>
      <c r="G936" s="406">
        <f>IFERROR(E936*'01 Prod Physique Boites'!L931,"-")</f>
        <v>0</v>
      </c>
      <c r="H936" s="390"/>
      <c r="I936" s="426">
        <f>IFERROR(H936*(F936/E936),"-")</f>
        <v>0</v>
      </c>
      <c r="J936" s="427">
        <f t="shared" si="586"/>
        <v>0</v>
      </c>
    </row>
    <row r="937" spans="1:10" ht="24" thickBot="1" x14ac:dyDescent="0.35">
      <c r="A937" s="277" t="s">
        <v>109</v>
      </c>
      <c r="B937" s="967" t="s">
        <v>35</v>
      </c>
      <c r="C937" s="968"/>
      <c r="D937" s="969"/>
      <c r="E937" s="393"/>
      <c r="F937" s="409">
        <f t="shared" ref="F937:G937" si="587">SUM(F934:F936)</f>
        <v>0</v>
      </c>
      <c r="G937" s="410">
        <f t="shared" si="587"/>
        <v>3076493.4720000001</v>
      </c>
      <c r="H937" s="394"/>
      <c r="I937" s="409">
        <f t="shared" ref="I937:J937" si="588">SUM(I934:I936)</f>
        <v>0</v>
      </c>
      <c r="J937" s="428">
        <f t="shared" si="588"/>
        <v>5366649.5999999996</v>
      </c>
    </row>
    <row r="938" spans="1:10" ht="23.4" x14ac:dyDescent="0.3">
      <c r="A938" s="277" t="s">
        <v>109</v>
      </c>
      <c r="B938" s="970" t="s">
        <v>36</v>
      </c>
      <c r="C938" s="314" t="s">
        <v>120</v>
      </c>
      <c r="D938" s="314"/>
      <c r="E938" s="506">
        <v>254.89750000000001</v>
      </c>
      <c r="F938" s="405">
        <f>IFERROR(E938*'01 Prod Physique Boites'!H933,"-")</f>
        <v>0</v>
      </c>
      <c r="G938" s="406">
        <f>IFERROR(E938*'01 Prod Physique Boites'!L933,"-")</f>
        <v>0</v>
      </c>
      <c r="H938" s="384">
        <v>445.38</v>
      </c>
      <c r="I938" s="422">
        <f>IFERROR(H938*(F938/E938),"-")</f>
        <v>0</v>
      </c>
      <c r="J938" s="423">
        <f t="shared" ref="J938:J941" si="589">IFERROR(H938*(G938/E938),"-")</f>
        <v>0</v>
      </c>
    </row>
    <row r="939" spans="1:10" ht="23.4" x14ac:dyDescent="0.3">
      <c r="A939" s="277" t="s">
        <v>109</v>
      </c>
      <c r="B939" s="972"/>
      <c r="C939" s="315" t="s">
        <v>267</v>
      </c>
      <c r="D939" s="315"/>
      <c r="E939" s="507">
        <v>246.51390000000001</v>
      </c>
      <c r="F939" s="405">
        <f>IFERROR(E939*'01 Prod Physique Boites'!H934,"-")</f>
        <v>601493.91599999997</v>
      </c>
      <c r="G939" s="406">
        <f>IFERROR(E939*'01 Prod Physique Boites'!L934,"-")</f>
        <v>1548107.2920000001</v>
      </c>
      <c r="H939" s="388">
        <v>430.02</v>
      </c>
      <c r="I939" s="424">
        <f>IFERROR(H939*(F939/E939),"-")</f>
        <v>1049248.8</v>
      </c>
      <c r="J939" s="425">
        <f t="shared" si="589"/>
        <v>2700525.6</v>
      </c>
    </row>
    <row r="940" spans="1:10" ht="23.4" x14ac:dyDescent="0.3">
      <c r="A940" s="277" t="s">
        <v>109</v>
      </c>
      <c r="B940" s="972"/>
      <c r="C940" s="315" t="s">
        <v>198</v>
      </c>
      <c r="D940" s="315" t="s">
        <v>197</v>
      </c>
      <c r="E940" s="507">
        <v>254.89750000000001</v>
      </c>
      <c r="F940" s="405">
        <f>IFERROR(E940*'01 Prod Physique Boites'!H935,"-")</f>
        <v>0</v>
      </c>
      <c r="G940" s="406">
        <f>IFERROR(E940*'01 Prod Physique Boites'!L935,"-")</f>
        <v>0</v>
      </c>
      <c r="H940" s="388"/>
      <c r="I940" s="424">
        <f>IFERROR(H940*(F940/E940),"-")</f>
        <v>0</v>
      </c>
      <c r="J940" s="425">
        <f t="shared" si="589"/>
        <v>0</v>
      </c>
    </row>
    <row r="941" spans="1:10" ht="24" thickBot="1" x14ac:dyDescent="0.35">
      <c r="A941" s="277" t="s">
        <v>109</v>
      </c>
      <c r="B941" s="971"/>
      <c r="C941" s="316" t="s">
        <v>37</v>
      </c>
      <c r="D941" s="316"/>
      <c r="E941" s="504">
        <v>229.99359999999999</v>
      </c>
      <c r="F941" s="405">
        <f>IFERROR(E941*'01 Prod Physique Boites'!H936,"-")</f>
        <v>0</v>
      </c>
      <c r="G941" s="406">
        <f>IFERROR(E941*'01 Prod Physique Boites'!L936,"-")</f>
        <v>0</v>
      </c>
      <c r="H941" s="390"/>
      <c r="I941" s="426">
        <f>IFERROR(H941*(F941/E941),"-")</f>
        <v>0</v>
      </c>
      <c r="J941" s="427">
        <f t="shared" si="589"/>
        <v>0</v>
      </c>
    </row>
    <row r="942" spans="1:10" ht="24" thickBot="1" x14ac:dyDescent="0.35">
      <c r="A942" s="277" t="s">
        <v>109</v>
      </c>
      <c r="B942" s="967" t="s">
        <v>38</v>
      </c>
      <c r="C942" s="968"/>
      <c r="D942" s="969"/>
      <c r="E942" s="393"/>
      <c r="F942" s="409">
        <f t="shared" ref="F942:G942" si="590">SUM(F938:F941)</f>
        <v>601493.91599999997</v>
      </c>
      <c r="G942" s="410">
        <f t="shared" si="590"/>
        <v>1548107.2920000001</v>
      </c>
      <c r="H942" s="394"/>
      <c r="I942" s="409">
        <f>SUM(I938:I941)</f>
        <v>1049248.8</v>
      </c>
      <c r="J942" s="428">
        <f>SUM(J938:J941)</f>
        <v>2700525.6</v>
      </c>
    </row>
    <row r="943" spans="1:10" ht="23.4" x14ac:dyDescent="0.3">
      <c r="A943" s="277" t="s">
        <v>109</v>
      </c>
      <c r="B943" s="970" t="s">
        <v>483</v>
      </c>
      <c r="C943" s="317" t="s">
        <v>123</v>
      </c>
      <c r="D943" s="317"/>
      <c r="E943" s="506">
        <v>195.2808</v>
      </c>
      <c r="F943" s="405">
        <f>IFERROR(E943*'01 Prod Physique Boites'!H938,"-")</f>
        <v>0</v>
      </c>
      <c r="G943" s="406">
        <f>IFERROR(E943*'01 Prod Physique Boites'!L938,"-")</f>
        <v>28120.4352</v>
      </c>
      <c r="H943" s="715">
        <v>256.7</v>
      </c>
      <c r="I943" s="422">
        <f>IFERROR(H943*(F943/E943),"-")</f>
        <v>0</v>
      </c>
      <c r="J943" s="423">
        <f t="shared" ref="J943:J944" si="591">IFERROR(H943*(G943/E943),"-")</f>
        <v>36964.799999999996</v>
      </c>
    </row>
    <row r="944" spans="1:10" ht="24" thickBot="1" x14ac:dyDescent="0.35">
      <c r="A944" s="277" t="s">
        <v>109</v>
      </c>
      <c r="B944" s="971"/>
      <c r="C944" s="289" t="s">
        <v>139</v>
      </c>
      <c r="D944" s="289"/>
      <c r="E944" s="504">
        <v>189.91890000000001</v>
      </c>
      <c r="F944" s="405">
        <f>IFERROR(E944*'01 Prod Physique Boites'!H939,"-")</f>
        <v>0</v>
      </c>
      <c r="G944" s="406">
        <f>IFERROR(E944*'01 Prod Physique Boites'!L939,"-")</f>
        <v>45580.536</v>
      </c>
      <c r="H944" s="390">
        <v>320.35000000000002</v>
      </c>
      <c r="I944" s="426">
        <f>IFERROR(H944*(F944/E944),"-")</f>
        <v>0</v>
      </c>
      <c r="J944" s="427">
        <f t="shared" si="591"/>
        <v>76884</v>
      </c>
    </row>
    <row r="945" spans="1:10" ht="24" thickBot="1" x14ac:dyDescent="0.35">
      <c r="A945" s="814" t="s">
        <v>109</v>
      </c>
      <c r="B945" s="967" t="s">
        <v>40</v>
      </c>
      <c r="C945" s="968"/>
      <c r="D945" s="969"/>
      <c r="E945" s="393"/>
      <c r="F945" s="409">
        <f>SUM(F943:F944)</f>
        <v>0</v>
      </c>
      <c r="G945" s="410">
        <f t="shared" ref="G945" si="592">SUM(G943:G944)</f>
        <v>73700.9712</v>
      </c>
      <c r="H945" s="394"/>
      <c r="I945" s="409">
        <f t="shared" ref="I945:J945" si="593">SUM(I943:I944)</f>
        <v>0</v>
      </c>
      <c r="J945" s="428">
        <f t="shared" si="593"/>
        <v>113848.79999999999</v>
      </c>
    </row>
    <row r="946" spans="1:10" ht="23.4" x14ac:dyDescent="0.3">
      <c r="A946" s="277" t="s">
        <v>109</v>
      </c>
      <c r="B946" s="970" t="s">
        <v>484</v>
      </c>
      <c r="C946" s="272" t="s">
        <v>335</v>
      </c>
      <c r="D946" s="272" t="s">
        <v>258</v>
      </c>
      <c r="E946" s="508">
        <v>37.248699999999999</v>
      </c>
      <c r="F946" s="405">
        <f>IFERROR(E946*'01 Prod Physique Boites'!H941,"-")</f>
        <v>876089.424</v>
      </c>
      <c r="G946" s="406">
        <f>IFERROR(E946*'01 Prod Physique Boites'!L941,"-")</f>
        <v>6660514.5444</v>
      </c>
      <c r="H946" s="384">
        <v>71.44</v>
      </c>
      <c r="I946" s="422">
        <f>IFERROR(H946*(F946/E946),"-")</f>
        <v>1680268.8</v>
      </c>
      <c r="J946" s="423">
        <f>IFERROR(H946*(G946/E946),"-")</f>
        <v>12774329.279999999</v>
      </c>
    </row>
    <row r="947" spans="1:10" ht="23.4" x14ac:dyDescent="0.3">
      <c r="A947" s="277" t="s">
        <v>109</v>
      </c>
      <c r="B947" s="972"/>
      <c r="C947" s="272" t="s">
        <v>164</v>
      </c>
      <c r="D947" s="278"/>
      <c r="E947" s="508">
        <v>37.248699999999999</v>
      </c>
      <c r="F947" s="405">
        <f>IFERROR(E947*'01 Prod Physique Boites'!H942,"-")</f>
        <v>0</v>
      </c>
      <c r="G947" s="406">
        <f>IFERROR(E947*'01 Prod Physique Boites'!L942,"-")</f>
        <v>0</v>
      </c>
      <c r="H947" s="388"/>
      <c r="I947" s="424">
        <f>IFERROR(H947*(F947/E947),"-")</f>
        <v>0</v>
      </c>
      <c r="J947" s="425">
        <f t="shared" ref="J947:J949" si="594">IFERROR(H947*(G947/E947),"-")</f>
        <v>0</v>
      </c>
    </row>
    <row r="948" spans="1:10" ht="23.4" x14ac:dyDescent="0.3">
      <c r="A948" s="277" t="s">
        <v>109</v>
      </c>
      <c r="B948" s="972"/>
      <c r="C948" s="278" t="s">
        <v>383</v>
      </c>
      <c r="D948" s="272" t="s">
        <v>258</v>
      </c>
      <c r="E948" s="508">
        <v>37.248699999999999</v>
      </c>
      <c r="F948" s="405">
        <f>IFERROR(E948*'01 Prod Physique Boites'!H943,"-")</f>
        <v>0</v>
      </c>
      <c r="G948" s="406">
        <f>IFERROR(E948*'01 Prod Physique Boites'!L943,"-")</f>
        <v>0</v>
      </c>
      <c r="H948" s="388">
        <v>71.44</v>
      </c>
      <c r="I948" s="424">
        <f>IFERROR(H948*(F948/E948),"-")</f>
        <v>0</v>
      </c>
      <c r="J948" s="425">
        <f t="shared" si="594"/>
        <v>0</v>
      </c>
    </row>
    <row r="949" spans="1:10" ht="24" thickBot="1" x14ac:dyDescent="0.35">
      <c r="A949" s="277" t="s">
        <v>109</v>
      </c>
      <c r="B949" s="972"/>
      <c r="C949" s="278" t="s">
        <v>165</v>
      </c>
      <c r="D949" s="278"/>
      <c r="E949" s="509">
        <v>38.466099999999997</v>
      </c>
      <c r="F949" s="405">
        <f>IFERROR(E949*'01 Prod Physique Boites'!H944,"-")</f>
        <v>0</v>
      </c>
      <c r="G949" s="406">
        <f>IFERROR(E949*'01 Prod Physique Boites'!L944,"-")</f>
        <v>0</v>
      </c>
      <c r="H949" s="388"/>
      <c r="I949" s="424">
        <f>IFERROR(H949*(F949/E949),"-")</f>
        <v>0</v>
      </c>
      <c r="J949" s="425">
        <f t="shared" si="594"/>
        <v>0</v>
      </c>
    </row>
    <row r="950" spans="1:10" ht="24" thickBot="1" x14ac:dyDescent="0.35">
      <c r="A950" s="277" t="s">
        <v>109</v>
      </c>
      <c r="B950" s="967" t="s">
        <v>42</v>
      </c>
      <c r="C950" s="968"/>
      <c r="D950" s="969"/>
      <c r="E950" s="393"/>
      <c r="F950" s="409">
        <f>SUM(F946:F949)</f>
        <v>876089.424</v>
      </c>
      <c r="G950" s="410">
        <f>SUM(G946:G949)</f>
        <v>6660514.5444</v>
      </c>
      <c r="H950" s="394"/>
      <c r="I950" s="409">
        <f>SUM(I946:I949)</f>
        <v>1680268.8</v>
      </c>
      <c r="J950" s="409">
        <f>SUM(J946:J949)</f>
        <v>12774329.279999999</v>
      </c>
    </row>
    <row r="951" spans="1:10" ht="23.4" x14ac:dyDescent="0.3">
      <c r="A951" s="277" t="s">
        <v>109</v>
      </c>
      <c r="B951" s="970" t="s">
        <v>43</v>
      </c>
      <c r="C951" s="272" t="s">
        <v>200</v>
      </c>
      <c r="D951" s="272" t="s">
        <v>197</v>
      </c>
      <c r="E951" s="508">
        <v>30.7499</v>
      </c>
      <c r="F951" s="405">
        <f>IFERROR(E951*'01 Prod Physique Boites'!H947,"-")</f>
        <v>0</v>
      </c>
      <c r="G951" s="406">
        <f>IFERROR(E951*'01 Prod Physique Boites'!L947,"-")</f>
        <v>0</v>
      </c>
      <c r="H951" s="384"/>
      <c r="I951" s="422">
        <f>IFERROR(H951*(F951/E951),"-")</f>
        <v>0</v>
      </c>
      <c r="J951" s="423">
        <f>IFERROR(H951*(G951/E951),"-")</f>
        <v>0</v>
      </c>
    </row>
    <row r="952" spans="1:10" ht="23.4" x14ac:dyDescent="0.3">
      <c r="A952" s="277" t="s">
        <v>109</v>
      </c>
      <c r="B952" s="972"/>
      <c r="C952" s="278" t="s">
        <v>167</v>
      </c>
      <c r="D952" s="278"/>
      <c r="E952" s="727">
        <v>25.139099999999999</v>
      </c>
      <c r="F952" s="405">
        <f>IFERROR(E952*'01 Prod Physique Boites'!H948,"-")</f>
        <v>362003.04</v>
      </c>
      <c r="G952" s="406">
        <f>IFERROR(E952*'01 Prod Physique Boites'!L948,"-")</f>
        <v>2590735.0896000001</v>
      </c>
      <c r="H952" s="388">
        <v>59.96</v>
      </c>
      <c r="I952" s="424">
        <f>IFERROR(H952*(F952/E952),"-")</f>
        <v>863424</v>
      </c>
      <c r="J952" s="425">
        <f t="shared" ref="J952:J953" si="595">IFERROR(H952*(G952/E952),"-")</f>
        <v>6179237.7599999998</v>
      </c>
    </row>
    <row r="953" spans="1:10" ht="24" thickBot="1" x14ac:dyDescent="0.35">
      <c r="A953" s="277" t="s">
        <v>109</v>
      </c>
      <c r="B953" s="971"/>
      <c r="C953" s="282" t="s">
        <v>200</v>
      </c>
      <c r="D953" s="282" t="s">
        <v>199</v>
      </c>
      <c r="E953" s="505">
        <v>30.073599999999999</v>
      </c>
      <c r="F953" s="405">
        <f>IFERROR(E953*'01 Prod Physique Boites'!H949,"-")</f>
        <v>0</v>
      </c>
      <c r="G953" s="406">
        <f>IFERROR(E953*'01 Prod Physique Boites'!L949,"-")</f>
        <v>0</v>
      </c>
      <c r="H953" s="390"/>
      <c r="I953" s="426">
        <f>IFERROR(H953*(F953/E953),"-")</f>
        <v>0</v>
      </c>
      <c r="J953" s="427">
        <f t="shared" si="595"/>
        <v>0</v>
      </c>
    </row>
    <row r="954" spans="1:10" ht="24" thickBot="1" x14ac:dyDescent="0.35">
      <c r="A954" s="277" t="s">
        <v>109</v>
      </c>
      <c r="B954" s="973" t="s">
        <v>44</v>
      </c>
      <c r="C954" s="974"/>
      <c r="D954" s="975"/>
      <c r="E954" s="393"/>
      <c r="F954" s="409">
        <f t="shared" ref="F954:G954" si="596">SUM(F951:F953)</f>
        <v>362003.04</v>
      </c>
      <c r="G954" s="410">
        <f t="shared" si="596"/>
        <v>2590735.0896000001</v>
      </c>
      <c r="H954" s="394"/>
      <c r="I954" s="409">
        <f t="shared" ref="I954:J954" si="597">SUM(I951:I953)</f>
        <v>863424</v>
      </c>
      <c r="J954" s="428">
        <f t="shared" si="597"/>
        <v>6179237.7599999998</v>
      </c>
    </row>
    <row r="955" spans="1:10" ht="23.4" x14ac:dyDescent="0.3">
      <c r="A955" s="277" t="s">
        <v>109</v>
      </c>
      <c r="B955" s="970" t="s">
        <v>45</v>
      </c>
      <c r="C955" s="272" t="s">
        <v>168</v>
      </c>
      <c r="D955" s="272"/>
      <c r="E955" s="508">
        <v>36.684899999999999</v>
      </c>
      <c r="F955" s="405">
        <f>IFERROR(E955*'01 Prod Physique Boites'!H951,"-")</f>
        <v>0</v>
      </c>
      <c r="G955" s="406">
        <f>IFERROR(E955*'01 Prod Physique Boites'!L951,"-")</f>
        <v>0</v>
      </c>
      <c r="H955" s="384"/>
      <c r="I955" s="385" t="s">
        <v>204</v>
      </c>
      <c r="J955" s="386" t="s">
        <v>204</v>
      </c>
    </row>
    <row r="956" spans="1:10" ht="24" thickBot="1" x14ac:dyDescent="0.35">
      <c r="A956" s="277" t="s">
        <v>109</v>
      </c>
      <c r="B956" s="971"/>
      <c r="C956" s="282" t="s">
        <v>169</v>
      </c>
      <c r="D956" s="282"/>
      <c r="E956" s="505">
        <v>37.002800000000001</v>
      </c>
      <c r="F956" s="405">
        <f>IFERROR(E956*'01 Prod Physique Boites'!H952,"-")</f>
        <v>0</v>
      </c>
      <c r="G956" s="406">
        <f>IFERROR(E956*'01 Prod Physique Boites'!L952,"-")</f>
        <v>0</v>
      </c>
      <c r="H956" s="390"/>
      <c r="I956" s="391" t="s">
        <v>204</v>
      </c>
      <c r="J956" s="392" t="s">
        <v>204</v>
      </c>
    </row>
    <row r="957" spans="1:10" ht="24" thickBot="1" x14ac:dyDescent="0.35">
      <c r="A957" s="277" t="s">
        <v>109</v>
      </c>
      <c r="B957" s="973" t="s">
        <v>46</v>
      </c>
      <c r="C957" s="974"/>
      <c r="D957" s="975"/>
      <c r="E957" s="393"/>
      <c r="F957" s="405">
        <f>IFERROR(E957*'01 Prod Physique Boites'!H953,"-")</f>
        <v>0</v>
      </c>
      <c r="G957" s="410">
        <f>IFERROR(E957*'01 Prod Physique Boites'!L953,"-")</f>
        <v>0</v>
      </c>
      <c r="H957" s="394"/>
      <c r="I957" s="409">
        <f t="shared" ref="I957:J957" si="598">SUM(I955:I956)</f>
        <v>0</v>
      </c>
      <c r="J957" s="428">
        <f t="shared" si="598"/>
        <v>0</v>
      </c>
    </row>
    <row r="958" spans="1:10" ht="24" thickBot="1" x14ac:dyDescent="0.35">
      <c r="A958" s="277" t="s">
        <v>109</v>
      </c>
      <c r="B958" s="959" t="s">
        <v>25</v>
      </c>
      <c r="C958" s="960"/>
      <c r="D958" s="961"/>
      <c r="E958" s="396"/>
      <c r="F958" s="413">
        <f>+F937+F942+F945+F950+F954+F957</f>
        <v>1839586.38</v>
      </c>
      <c r="G958" s="414">
        <f>+G937+G942+G945+G950+G954+G957</f>
        <v>13949551.369200001</v>
      </c>
      <c r="H958" s="397"/>
      <c r="I958" s="413">
        <f>+I937+I942+I945+I950+I954+I957</f>
        <v>3592941.6</v>
      </c>
      <c r="J958" s="431">
        <f>+J937+J942+J945+J950+J954+J957</f>
        <v>27134591.039999999</v>
      </c>
    </row>
    <row r="959" spans="1:10" ht="24" thickBot="1" x14ac:dyDescent="0.35">
      <c r="A959" s="321" t="s">
        <v>109</v>
      </c>
      <c r="B959" s="962" t="s">
        <v>181</v>
      </c>
      <c r="C959" s="962"/>
      <c r="D959" s="963"/>
      <c r="E959" s="398"/>
      <c r="F959" s="415">
        <f t="shared" ref="F959:G959" si="599">+F958</f>
        <v>1839586.38</v>
      </c>
      <c r="G959" s="416">
        <f t="shared" si="599"/>
        <v>13949551.369200001</v>
      </c>
      <c r="H959" s="399"/>
      <c r="I959" s="415">
        <f t="shared" ref="I959" si="600">+I958</f>
        <v>3592941.6</v>
      </c>
      <c r="J959" s="432">
        <f>+J958</f>
        <v>27134591.039999999</v>
      </c>
    </row>
    <row r="960" spans="1:10" ht="24.6" thickBot="1" x14ac:dyDescent="0.35">
      <c r="A960" s="322"/>
      <c r="B960" s="964" t="s">
        <v>182</v>
      </c>
      <c r="C960" s="965"/>
      <c r="D960" s="966"/>
      <c r="E960" s="404"/>
      <c r="F960" s="421">
        <f>+F904+F933+F959</f>
        <v>6822667.2183999997</v>
      </c>
      <c r="G960" s="421">
        <f>+G904+G933+G959</f>
        <v>78046003.115799993</v>
      </c>
      <c r="H960" s="404"/>
      <c r="I960" s="421">
        <f>+I904+I933+I959</f>
        <v>10739124.980000002</v>
      </c>
      <c r="J960" s="435">
        <f>+J904+J933+J959</f>
        <v>114571705.90000001</v>
      </c>
    </row>
    <row r="961" spans="1:15" ht="23.4" x14ac:dyDescent="0.3">
      <c r="A961" s="991" t="s">
        <v>1</v>
      </c>
      <c r="B961" s="994" t="s">
        <v>2</v>
      </c>
      <c r="C961" s="997" t="s">
        <v>477</v>
      </c>
      <c r="D961" s="997" t="s">
        <v>478</v>
      </c>
      <c r="E961" s="1021" t="s">
        <v>486</v>
      </c>
      <c r="F961" s="1022"/>
      <c r="G961" s="1022"/>
      <c r="H961" s="445"/>
      <c r="I961" s="445"/>
      <c r="J961" s="446"/>
    </row>
    <row r="962" spans="1:15" ht="23.4" x14ac:dyDescent="0.3">
      <c r="A962" s="992"/>
      <c r="B962" s="995"/>
      <c r="C962" s="998"/>
      <c r="D962" s="998"/>
      <c r="E962" s="1023" t="s">
        <v>489</v>
      </c>
      <c r="F962" s="1024"/>
      <c r="G962" s="1025"/>
      <c r="H962" s="1023" t="s">
        <v>176</v>
      </c>
      <c r="I962" s="1024"/>
      <c r="J962" s="1025"/>
    </row>
    <row r="963" spans="1:15" ht="46.8" x14ac:dyDescent="0.3">
      <c r="A963" s="993"/>
      <c r="B963" s="1019"/>
      <c r="C963" s="1020"/>
      <c r="D963" s="1020"/>
      <c r="E963" s="382" t="s">
        <v>178</v>
      </c>
      <c r="F963" s="821" t="s">
        <v>488</v>
      </c>
      <c r="G963" s="822" t="s">
        <v>487</v>
      </c>
      <c r="H963" s="1026" t="s">
        <v>178</v>
      </c>
      <c r="I963" s="1028" t="s">
        <v>144</v>
      </c>
      <c r="J963" s="1030" t="s">
        <v>487</v>
      </c>
    </row>
    <row r="964" spans="1:15" ht="24" thickBot="1" x14ac:dyDescent="0.35">
      <c r="A964" s="993"/>
      <c r="B964" s="996"/>
      <c r="C964" s="999"/>
      <c r="D964" s="999"/>
      <c r="E964" s="1032">
        <v>44544</v>
      </c>
      <c r="F964" s="1033"/>
      <c r="G964" s="1034"/>
      <c r="H964" s="1027"/>
      <c r="I964" s="1029"/>
      <c r="J964" s="1031"/>
    </row>
    <row r="965" spans="1:15" ht="23.4" x14ac:dyDescent="0.3">
      <c r="A965" s="271" t="s">
        <v>110</v>
      </c>
      <c r="B965" s="956" t="s">
        <v>16</v>
      </c>
      <c r="C965" s="272" t="s">
        <v>424</v>
      </c>
      <c r="D965" s="272" t="s">
        <v>425</v>
      </c>
      <c r="E965" s="758">
        <v>81.360699999999994</v>
      </c>
      <c r="F965" s="405">
        <f>IFERROR(E965*'01 Prod Physique Boites'!H960,"-")</f>
        <v>0</v>
      </c>
      <c r="G965" s="405">
        <f>IFERROR(E965*'01 Prod Physique Boites'!L960,"-")</f>
        <v>1614196.2879999999</v>
      </c>
      <c r="H965" s="759">
        <v>143.28</v>
      </c>
      <c r="I965" s="422">
        <f>IFERROR(H965*(F965/E965),"-")</f>
        <v>0</v>
      </c>
      <c r="J965" s="423">
        <f t="shared" ref="J965:J967" si="601">IFERROR(H965*(G965/E965),"-")</f>
        <v>2842675.2000000002</v>
      </c>
    </row>
    <row r="966" spans="1:15" ht="23.4" x14ac:dyDescent="0.3">
      <c r="A966" s="784"/>
      <c r="B966" s="957"/>
      <c r="C966" s="278" t="s">
        <v>188</v>
      </c>
      <c r="D966" s="278" t="s">
        <v>101</v>
      </c>
      <c r="E966" s="509">
        <v>81.360699999999994</v>
      </c>
      <c r="F966" s="405">
        <f>IFERROR(E966*'01 Prod Physique Boites'!H961,"-")</f>
        <v>0</v>
      </c>
      <c r="G966" s="405">
        <f>IFERROR(E966*'01 Prod Physique Boites'!L961,"-")</f>
        <v>3936312.0266999998</v>
      </c>
      <c r="H966" s="770">
        <v>0</v>
      </c>
      <c r="I966" s="422">
        <f>IFERROR(H966*(F966/E966),"-")</f>
        <v>0</v>
      </c>
      <c r="J966" s="423">
        <f t="shared" si="601"/>
        <v>0</v>
      </c>
    </row>
    <row r="967" spans="1:15" ht="23.4" x14ac:dyDescent="0.3">
      <c r="A967" s="277" t="s">
        <v>110</v>
      </c>
      <c r="B967" s="957"/>
      <c r="C967" s="278" t="s">
        <v>186</v>
      </c>
      <c r="D967" s="278" t="s">
        <v>184</v>
      </c>
      <c r="E967" s="509">
        <v>55.476900000000001</v>
      </c>
      <c r="F967" s="405">
        <f>IFERROR(E967*'01 Prod Physique Boites'!H962,"-")</f>
        <v>0</v>
      </c>
      <c r="G967" s="405">
        <f>IFERROR(E967*'01 Prod Physique Boites'!L962,"-")</f>
        <v>0</v>
      </c>
      <c r="H967" s="388">
        <v>0</v>
      </c>
      <c r="I967" s="422">
        <f>IFERROR(H967*(F967/E967),"-")</f>
        <v>0</v>
      </c>
      <c r="J967" s="423">
        <f t="shared" si="601"/>
        <v>0</v>
      </c>
    </row>
    <row r="968" spans="1:15" ht="24" thickBot="1" x14ac:dyDescent="0.35">
      <c r="A968" s="277" t="s">
        <v>110</v>
      </c>
      <c r="B968" s="958"/>
      <c r="C968" s="282" t="s">
        <v>282</v>
      </c>
      <c r="D968" s="282" t="s">
        <v>251</v>
      </c>
      <c r="E968" s="505">
        <v>60.703499999999998</v>
      </c>
      <c r="F968" s="405">
        <f>IFERROR(E968*'01 Prod Physique Boites'!H963,"-")</f>
        <v>0</v>
      </c>
      <c r="G968" s="405">
        <f>IFERROR(E968*'01 Prod Physique Boites'!L963,"-")</f>
        <v>0</v>
      </c>
      <c r="H968" s="390">
        <v>111.09</v>
      </c>
      <c r="I968" s="422">
        <f>IFERROR(H968*(F968/E968),"-")</f>
        <v>0</v>
      </c>
      <c r="J968" s="423">
        <f>IFERROR(H968*(G968/E968),"-")</f>
        <v>0</v>
      </c>
    </row>
    <row r="969" spans="1:15" ht="24" thickBot="1" x14ac:dyDescent="0.35">
      <c r="A969" s="277" t="s">
        <v>110</v>
      </c>
      <c r="B969" s="967" t="s">
        <v>47</v>
      </c>
      <c r="C969" s="968"/>
      <c r="D969" s="969"/>
      <c r="E969" s="393"/>
      <c r="F969" s="409">
        <f t="shared" ref="F969" si="602">SUM(F965:F968)</f>
        <v>0</v>
      </c>
      <c r="G969" s="410">
        <f>SUM(G965:G968)</f>
        <v>5550508.3147</v>
      </c>
      <c r="H969" s="394"/>
      <c r="I969" s="409">
        <f t="shared" ref="I969:J969" si="603">SUM(I965:I968)</f>
        <v>0</v>
      </c>
      <c r="J969" s="428">
        <f t="shared" si="603"/>
        <v>2842675.2000000002</v>
      </c>
      <c r="K969" s="757"/>
      <c r="L969" s="757"/>
      <c r="M969" s="757"/>
      <c r="N969" s="757"/>
      <c r="O969" s="757"/>
    </row>
    <row r="970" spans="1:15" ht="23.4" x14ac:dyDescent="0.3">
      <c r="A970" s="277" t="s">
        <v>110</v>
      </c>
      <c r="B970" s="956" t="s">
        <v>17</v>
      </c>
      <c r="C970" s="272" t="s">
        <v>320</v>
      </c>
      <c r="D970" s="272"/>
      <c r="E970" s="508">
        <v>12.5275</v>
      </c>
      <c r="F970" s="405">
        <f>IFERROR(E970*'01 Prod Physique Boites'!H965,"-")</f>
        <v>0</v>
      </c>
      <c r="G970" s="405">
        <f>IFERROR(E970*'01 Prod Physique Boites'!L965,"-")</f>
        <v>0</v>
      </c>
      <c r="H970" s="384">
        <v>18.836400000000001</v>
      </c>
      <c r="I970" s="422">
        <f t="shared" ref="I970:I976" si="604">IFERROR(H970*(F970/E970),"-")</f>
        <v>0</v>
      </c>
      <c r="J970" s="423">
        <f t="shared" ref="J970:J975" si="605">IFERROR(H970*(G970/E970),"-")</f>
        <v>0</v>
      </c>
    </row>
    <row r="971" spans="1:15" ht="23.4" x14ac:dyDescent="0.3">
      <c r="A971" s="277" t="s">
        <v>110</v>
      </c>
      <c r="B971" s="957"/>
      <c r="C971" s="278" t="s">
        <v>382</v>
      </c>
      <c r="D971" s="278" t="s">
        <v>252</v>
      </c>
      <c r="E971" s="698">
        <v>13.002700000000001</v>
      </c>
      <c r="F971" s="405">
        <f>IFERROR(E971*'01 Prod Physique Boites'!H966,"-")</f>
        <v>79576.524000000005</v>
      </c>
      <c r="G971" s="405">
        <f>IFERROR(E971*'01 Prod Physique Boites'!L966,"-")</f>
        <v>7757709.8821</v>
      </c>
      <c r="H971" s="388">
        <v>21.18</v>
      </c>
      <c r="I971" s="424">
        <f t="shared" si="604"/>
        <v>129621.59999999999</v>
      </c>
      <c r="J971" s="425">
        <f t="shared" si="605"/>
        <v>12636475.140000001</v>
      </c>
    </row>
    <row r="972" spans="1:15" ht="23.4" x14ac:dyDescent="0.3">
      <c r="A972" s="277" t="s">
        <v>110</v>
      </c>
      <c r="B972" s="957"/>
      <c r="C972" s="278" t="s">
        <v>391</v>
      </c>
      <c r="D972" s="278" t="s">
        <v>201</v>
      </c>
      <c r="E972" s="698">
        <v>12.9049</v>
      </c>
      <c r="F972" s="405">
        <f>IFERROR(E972*'01 Prod Physique Boites'!H967,"-")</f>
        <v>0</v>
      </c>
      <c r="G972" s="405">
        <f>IFERROR(E972*'01 Prod Physique Boites'!L967,"-")</f>
        <v>5828575.5143999998</v>
      </c>
      <c r="H972" s="388">
        <v>20.5</v>
      </c>
      <c r="I972" s="424">
        <f t="shared" si="604"/>
        <v>0</v>
      </c>
      <c r="J972" s="425">
        <f t="shared" si="605"/>
        <v>9258948</v>
      </c>
    </row>
    <row r="973" spans="1:15" ht="23.4" x14ac:dyDescent="0.3">
      <c r="A973" s="277" t="s">
        <v>110</v>
      </c>
      <c r="B973" s="957"/>
      <c r="C973" s="278" t="s">
        <v>319</v>
      </c>
      <c r="D973" s="278" t="s">
        <v>202</v>
      </c>
      <c r="E973" s="509">
        <v>13.078200000000001</v>
      </c>
      <c r="F973" s="405">
        <f>IFERROR(E973*'01 Prod Physique Boites'!H968,"-")</f>
        <v>0</v>
      </c>
      <c r="G973" s="405">
        <f>IFERROR(E973*'01 Prod Physique Boites'!L968,"-")</f>
        <v>0</v>
      </c>
      <c r="H973" s="388">
        <v>20.6</v>
      </c>
      <c r="I973" s="424">
        <f t="shared" si="604"/>
        <v>0</v>
      </c>
      <c r="J973" s="425">
        <f t="shared" si="605"/>
        <v>0</v>
      </c>
    </row>
    <row r="974" spans="1:15" ht="23.4" x14ac:dyDescent="0.3">
      <c r="A974" s="277" t="s">
        <v>110</v>
      </c>
      <c r="B974" s="957"/>
      <c r="C974" s="278" t="s">
        <v>358</v>
      </c>
      <c r="D974" s="278" t="s">
        <v>352</v>
      </c>
      <c r="E974" s="509">
        <v>13.1958</v>
      </c>
      <c r="F974" s="405">
        <f>IFERROR(E974*'01 Prod Physique Boites'!H969,"-")</f>
        <v>1857440.808</v>
      </c>
      <c r="G974" s="405">
        <f>IFERROR(E974*'01 Prod Physique Boites'!L969,"-")</f>
        <v>3230331.84</v>
      </c>
      <c r="H974" s="388">
        <v>21.28</v>
      </c>
      <c r="I974" s="424">
        <f t="shared" si="604"/>
        <v>2995372.8000000003</v>
      </c>
      <c r="J974" s="425">
        <f t="shared" si="605"/>
        <v>5209344</v>
      </c>
    </row>
    <row r="975" spans="1:15" ht="23.4" x14ac:dyDescent="0.3">
      <c r="A975" s="277">
        <v>1</v>
      </c>
      <c r="B975" s="957"/>
      <c r="C975" s="278" t="s">
        <v>392</v>
      </c>
      <c r="D975" s="278" t="s">
        <v>203</v>
      </c>
      <c r="E975" s="698">
        <v>12.9049</v>
      </c>
      <c r="F975" s="405">
        <f>IFERROR(E975*'01 Prod Physique Boites'!H970,"-")</f>
        <v>0</v>
      </c>
      <c r="G975" s="405">
        <f>IFERROR(E975*'01 Prod Physique Boites'!L970,"-")</f>
        <v>0</v>
      </c>
      <c r="H975" s="677">
        <v>20.5</v>
      </c>
      <c r="I975" s="424">
        <f t="shared" si="604"/>
        <v>0</v>
      </c>
      <c r="J975" s="425">
        <f t="shared" si="605"/>
        <v>0</v>
      </c>
    </row>
    <row r="976" spans="1:15" ht="24" thickBot="1" x14ac:dyDescent="0.35">
      <c r="A976" s="277" t="s">
        <v>110</v>
      </c>
      <c r="B976" s="958"/>
      <c r="C976" s="282" t="s">
        <v>379</v>
      </c>
      <c r="D976" s="282" t="s">
        <v>187</v>
      </c>
      <c r="E976" s="505">
        <v>13.6509</v>
      </c>
      <c r="F976" s="405">
        <f>IFERROR(E976*'01 Prod Physique Boites'!H971,"-")</f>
        <v>0</v>
      </c>
      <c r="G976" s="405">
        <f>IFERROR(E976*'01 Prod Physique Boites'!L971,"-")</f>
        <v>0</v>
      </c>
      <c r="H976" s="390">
        <v>21.18</v>
      </c>
      <c r="I976" s="426">
        <f t="shared" si="604"/>
        <v>0</v>
      </c>
      <c r="J976" s="427">
        <f>IFERROR(H976*(G976/E976),"-")</f>
        <v>0</v>
      </c>
    </row>
    <row r="977" spans="1:15" ht="24" thickBot="1" x14ac:dyDescent="0.35">
      <c r="A977" s="277" t="s">
        <v>110</v>
      </c>
      <c r="B977" s="967" t="s">
        <v>48</v>
      </c>
      <c r="C977" s="968"/>
      <c r="D977" s="969"/>
      <c r="E977" s="393"/>
      <c r="F977" s="409">
        <f t="shared" ref="F977" si="606">SUM(F970:F976)</f>
        <v>1937017.3319999999</v>
      </c>
      <c r="G977" s="410">
        <f>SUM(G970:G976)</f>
        <v>16816617.236499999</v>
      </c>
      <c r="H977" s="394"/>
      <c r="I977" s="409">
        <f t="shared" ref="I977" si="607">SUM(I970:I976)</f>
        <v>3124994.4000000004</v>
      </c>
      <c r="J977" s="428">
        <f>SUM(J970:J976)</f>
        <v>27104767.140000001</v>
      </c>
      <c r="K977" s="757"/>
      <c r="L977" s="757"/>
      <c r="M977" s="757"/>
      <c r="N977" s="757"/>
      <c r="O977" s="757"/>
    </row>
    <row r="978" spans="1:15" ht="23.4" x14ac:dyDescent="0.3">
      <c r="A978" s="277" t="s">
        <v>110</v>
      </c>
      <c r="B978" s="956" t="s">
        <v>18</v>
      </c>
      <c r="C978" s="272" t="s">
        <v>344</v>
      </c>
      <c r="D978" s="272" t="s">
        <v>99</v>
      </c>
      <c r="E978" s="508">
        <v>17.8202</v>
      </c>
      <c r="F978" s="405">
        <f>IFERROR(E978*'01 Prod Physique Boites'!H973,"-")</f>
        <v>0</v>
      </c>
      <c r="G978" s="406">
        <f>IFERROR(E978*'01 Prod Physique Boites'!L973,"-")</f>
        <v>0</v>
      </c>
      <c r="H978" s="384">
        <v>24.93</v>
      </c>
      <c r="I978" s="422">
        <f t="shared" ref="I978:I984" si="608">IFERROR(H978*(F978/E978),"-")</f>
        <v>0</v>
      </c>
      <c r="J978" s="423">
        <f t="shared" ref="J978:J980" si="609">IFERROR(H978*(G978/E978),"-")</f>
        <v>0</v>
      </c>
    </row>
    <row r="979" spans="1:15" ht="23.4" x14ac:dyDescent="0.3">
      <c r="A979" s="277" t="s">
        <v>110</v>
      </c>
      <c r="B979" s="957"/>
      <c r="C979" s="278" t="s">
        <v>137</v>
      </c>
      <c r="D979" s="278"/>
      <c r="E979" s="509">
        <v>17.8202</v>
      </c>
      <c r="F979" s="405">
        <f>IFERROR(E979*'01 Prod Physique Boites'!H974,"-")</f>
        <v>0</v>
      </c>
      <c r="G979" s="406">
        <f>IFERROR(E979*'01 Prod Physique Boites'!L974,"-")</f>
        <v>0</v>
      </c>
      <c r="H979" s="388">
        <v>0</v>
      </c>
      <c r="I979" s="424">
        <f t="shared" si="608"/>
        <v>0</v>
      </c>
      <c r="J979" s="425">
        <f t="shared" si="609"/>
        <v>0</v>
      </c>
    </row>
    <row r="980" spans="1:15" ht="23.4" x14ac:dyDescent="0.3">
      <c r="A980" s="277" t="s">
        <v>110</v>
      </c>
      <c r="B980" s="957"/>
      <c r="C980" s="278" t="s">
        <v>122</v>
      </c>
      <c r="D980" s="278"/>
      <c r="E980" s="509">
        <v>16.4071</v>
      </c>
      <c r="F980" s="405">
        <f>IFERROR(E980*'01 Prod Physique Boites'!H975,"-")</f>
        <v>0</v>
      </c>
      <c r="G980" s="406">
        <f>IFERROR(E980*'01 Prod Physique Boites'!L975,"-")</f>
        <v>0</v>
      </c>
      <c r="H980" s="388">
        <v>0</v>
      </c>
      <c r="I980" s="424">
        <f t="shared" si="608"/>
        <v>0</v>
      </c>
      <c r="J980" s="425">
        <f t="shared" si="609"/>
        <v>0</v>
      </c>
    </row>
    <row r="981" spans="1:15" ht="23.4" x14ac:dyDescent="0.3">
      <c r="A981" s="277" t="s">
        <v>110</v>
      </c>
      <c r="B981" s="957"/>
      <c r="C981" s="278" t="s">
        <v>129</v>
      </c>
      <c r="D981" s="278"/>
      <c r="E981" s="509">
        <v>17.8202</v>
      </c>
      <c r="F981" s="405">
        <f>IFERROR(E981*'01 Prod Physique Boites'!H976,"-")</f>
        <v>0</v>
      </c>
      <c r="G981" s="406">
        <f>IFERROR(E981*'01 Prod Physique Boites'!L976,"-")</f>
        <v>0</v>
      </c>
      <c r="H981" s="388">
        <v>0</v>
      </c>
      <c r="I981" s="424">
        <f t="shared" si="608"/>
        <v>0</v>
      </c>
      <c r="J981" s="425">
        <f>IFERROR(H981*(G981/E981),"-")</f>
        <v>0</v>
      </c>
    </row>
    <row r="982" spans="1:15" ht="23.4" x14ac:dyDescent="0.3">
      <c r="A982" s="277" t="s">
        <v>110</v>
      </c>
      <c r="B982" s="957"/>
      <c r="C982" s="278" t="s">
        <v>189</v>
      </c>
      <c r="D982" s="278" t="s">
        <v>190</v>
      </c>
      <c r="E982" s="509">
        <v>17.8202</v>
      </c>
      <c r="F982" s="405">
        <f>IFERROR(E982*'01 Prod Physique Boites'!H977,"-")</f>
        <v>0</v>
      </c>
      <c r="G982" s="406">
        <f>IFERROR(E982*'01 Prod Physique Boites'!L977,"-")</f>
        <v>0</v>
      </c>
      <c r="H982" s="388">
        <v>0</v>
      </c>
      <c r="I982" s="424">
        <f t="shared" si="608"/>
        <v>0</v>
      </c>
      <c r="J982" s="425">
        <f t="shared" ref="J982:J984" si="610">IFERROR(H982*(G982/E982),"-")</f>
        <v>0</v>
      </c>
    </row>
    <row r="983" spans="1:15" ht="23.4" x14ac:dyDescent="0.3">
      <c r="A983" s="277" t="s">
        <v>110</v>
      </c>
      <c r="B983" s="957"/>
      <c r="C983" s="278" t="s">
        <v>192</v>
      </c>
      <c r="D983" s="278" t="s">
        <v>191</v>
      </c>
      <c r="E983" s="509">
        <v>16.7288</v>
      </c>
      <c r="F983" s="405">
        <f>IFERROR(E983*'01 Prod Physique Boites'!H978,"-")</f>
        <v>0</v>
      </c>
      <c r="G983" s="406">
        <f>IFERROR(E983*'01 Prod Physique Boites'!L978,"-")</f>
        <v>0</v>
      </c>
      <c r="H983" s="388">
        <v>0</v>
      </c>
      <c r="I983" s="424">
        <f t="shared" si="608"/>
        <v>0</v>
      </c>
      <c r="J983" s="425">
        <f t="shared" si="610"/>
        <v>0</v>
      </c>
    </row>
    <row r="984" spans="1:15" ht="24" thickBot="1" x14ac:dyDescent="0.35">
      <c r="A984" s="277" t="s">
        <v>110</v>
      </c>
      <c r="B984" s="958"/>
      <c r="C984" s="289" t="s">
        <v>193</v>
      </c>
      <c r="D984" s="289" t="s">
        <v>114</v>
      </c>
      <c r="E984" s="505">
        <v>17.8202</v>
      </c>
      <c r="F984" s="405">
        <f>IFERROR(E984*'01 Prod Physique Boites'!H979,"-")</f>
        <v>0</v>
      </c>
      <c r="G984" s="406">
        <f>IFERROR(E984*'01 Prod Physique Boites'!L979,"-")</f>
        <v>0</v>
      </c>
      <c r="H984" s="388">
        <v>0</v>
      </c>
      <c r="I984" s="426">
        <f t="shared" si="608"/>
        <v>0</v>
      </c>
      <c r="J984" s="427">
        <f t="shared" si="610"/>
        <v>0</v>
      </c>
    </row>
    <row r="985" spans="1:15" ht="24" thickBot="1" x14ac:dyDescent="0.35">
      <c r="A985" s="277" t="s">
        <v>110</v>
      </c>
      <c r="B985" s="967" t="s">
        <v>29</v>
      </c>
      <c r="C985" s="968"/>
      <c r="D985" s="969"/>
      <c r="E985" s="660"/>
      <c r="F985" s="661">
        <f t="shared" ref="F985:G985" si="611">SUM(F978:F984)</f>
        <v>0</v>
      </c>
      <c r="G985" s="410">
        <f t="shared" si="611"/>
        <v>0</v>
      </c>
      <c r="H985" s="394"/>
      <c r="I985" s="409">
        <f t="shared" ref="I985:J985" si="612">SUM(I978:I984)</f>
        <v>0</v>
      </c>
      <c r="J985" s="428">
        <f t="shared" si="612"/>
        <v>0</v>
      </c>
    </row>
    <row r="986" spans="1:15" ht="24" thickBot="1" x14ac:dyDescent="0.35">
      <c r="A986" s="277"/>
      <c r="B986" s="985" t="s">
        <v>19</v>
      </c>
      <c r="C986" s="662" t="s">
        <v>255</v>
      </c>
      <c r="D986" s="668" t="s">
        <v>190</v>
      </c>
      <c r="E986" s="669">
        <v>12.2659</v>
      </c>
      <c r="F986" s="670">
        <f>IFERROR(E986*'01 Prod Physique Boites'!H981,"-")</f>
        <v>0</v>
      </c>
      <c r="G986" s="671">
        <f>IFERROR(E986*'01 Prod Physique Boites'!L981,"-")</f>
        <v>0</v>
      </c>
      <c r="H986" s="665">
        <v>14.79</v>
      </c>
      <c r="I986" s="650">
        <f t="shared" ref="I986:I988" si="613">IFERROR(H986*(F986/E986),"-")</f>
        <v>0</v>
      </c>
      <c r="J986" s="650">
        <f>IFERROR(H986*(G986/E986),"-")</f>
        <v>0</v>
      </c>
    </row>
    <row r="987" spans="1:15" ht="24" thickBot="1" x14ac:dyDescent="0.35">
      <c r="A987" s="277"/>
      <c r="B987" s="986"/>
      <c r="C987" s="663" t="s">
        <v>399</v>
      </c>
      <c r="D987" s="672"/>
      <c r="E987" s="654">
        <v>12.2659</v>
      </c>
      <c r="F987" s="670">
        <f>IFERROR(E987*'01 Prod Physique Boites'!H982,"-")</f>
        <v>136004.29920000001</v>
      </c>
      <c r="G987" s="645">
        <f>IFERROR(E987*'01 Prod Physique Boites'!L982,"-")</f>
        <v>239626.62239999999</v>
      </c>
      <c r="H987" s="666">
        <v>14.55</v>
      </c>
      <c r="I987" s="655">
        <f t="shared" si="613"/>
        <v>161330.4</v>
      </c>
      <c r="J987" s="655">
        <f>IFERROR(H987*(G987/E987),"-")</f>
        <v>284248.8</v>
      </c>
    </row>
    <row r="988" spans="1:15" ht="24" thickBot="1" x14ac:dyDescent="0.35">
      <c r="A988" s="823" t="s">
        <v>110</v>
      </c>
      <c r="B988" s="987"/>
      <c r="C988" s="664" t="s">
        <v>380</v>
      </c>
      <c r="D988" s="673"/>
      <c r="E988" s="674">
        <v>0</v>
      </c>
      <c r="F988" s="670">
        <f>IFERROR(E988*'01 Prod Physique Boites'!H983,"-")</f>
        <v>0</v>
      </c>
      <c r="G988" s="676">
        <f>IFERROR(E988*'01 Prod Physique Boites'!L983,"-")</f>
        <v>0</v>
      </c>
      <c r="H988" s="667">
        <v>0</v>
      </c>
      <c r="I988" s="429" t="str">
        <f t="shared" si="613"/>
        <v>-</v>
      </c>
      <c r="J988" s="430" t="str">
        <f t="shared" ref="J988" si="614">IFERROR(I988*(G988/F988),"-")</f>
        <v>-</v>
      </c>
    </row>
    <row r="989" spans="1:15" ht="24" thickBot="1" x14ac:dyDescent="0.35">
      <c r="A989" s="277" t="s">
        <v>110</v>
      </c>
      <c r="B989" s="967" t="s">
        <v>49</v>
      </c>
      <c r="C989" s="968"/>
      <c r="D989" s="969"/>
      <c r="E989" s="393"/>
      <c r="F989" s="409">
        <f>SUM(F986:F988)</f>
        <v>136004.29920000001</v>
      </c>
      <c r="G989" s="409">
        <f>SUM(G986:G988)</f>
        <v>239626.62239999999</v>
      </c>
      <c r="H989" s="394"/>
      <c r="I989" s="409">
        <f>SUM(I986:I988)</f>
        <v>161330.4</v>
      </c>
      <c r="J989" s="428">
        <f>SUM(J986:J988)</f>
        <v>284248.8</v>
      </c>
    </row>
    <row r="990" spans="1:15" ht="23.4" x14ac:dyDescent="0.3">
      <c r="A990" s="277" t="s">
        <v>110</v>
      </c>
      <c r="B990" s="956" t="s">
        <v>20</v>
      </c>
      <c r="C990" s="294" t="s">
        <v>351</v>
      </c>
      <c r="D990" s="294" t="s">
        <v>313</v>
      </c>
      <c r="E990" s="508">
        <v>26.032900000000001</v>
      </c>
      <c r="F990" s="405">
        <f>IFERROR(E990*'01 Prod Physique Boites'!H985,"-")</f>
        <v>0</v>
      </c>
      <c r="G990" s="406">
        <f>IFERROR(E990*'01 Prod Physique Boites'!L985,"-")</f>
        <v>0</v>
      </c>
      <c r="H990" s="384">
        <v>36.44</v>
      </c>
      <c r="I990" s="422">
        <f>IFERROR(H990*(F990/E990),"-")</f>
        <v>0</v>
      </c>
      <c r="J990" s="423">
        <f t="shared" ref="J990:J992" si="615">IFERROR(H990*(G990/E990),"-")</f>
        <v>0</v>
      </c>
    </row>
    <row r="991" spans="1:15" ht="23.4" x14ac:dyDescent="0.3">
      <c r="A991" s="277" t="s">
        <v>110</v>
      </c>
      <c r="B991" s="957"/>
      <c r="C991" s="295" t="s">
        <v>121</v>
      </c>
      <c r="D991" s="295"/>
      <c r="E991" s="387">
        <v>24.2607</v>
      </c>
      <c r="F991" s="405">
        <f>IFERROR(E991*'01 Prod Physique Boites'!H986,"-")</f>
        <v>0</v>
      </c>
      <c r="G991" s="406">
        <f>IFERROR(E991*'01 Prod Physique Boites'!L986,"-")</f>
        <v>0</v>
      </c>
      <c r="H991" s="388">
        <v>37.369999999999997</v>
      </c>
      <c r="I991" s="424">
        <f>IFERROR(H991*(F991/E991),"-")</f>
        <v>0</v>
      </c>
      <c r="J991" s="425">
        <f t="shared" si="615"/>
        <v>0</v>
      </c>
    </row>
    <row r="992" spans="1:15" ht="24" thickBot="1" x14ac:dyDescent="0.35">
      <c r="A992" s="277" t="s">
        <v>110</v>
      </c>
      <c r="B992" s="958"/>
      <c r="C992" s="296" t="s">
        <v>127</v>
      </c>
      <c r="D992" s="296"/>
      <c r="E992" s="389">
        <v>26.035799999999998</v>
      </c>
      <c r="F992" s="405">
        <f>IFERROR(E992*'01 Prod Physique Boites'!H987,"-")</f>
        <v>0</v>
      </c>
      <c r="G992" s="406">
        <f>IFERROR(E992*'01 Prod Physique Boites'!L987,"-")</f>
        <v>0</v>
      </c>
      <c r="H992" s="390">
        <v>37.11</v>
      </c>
      <c r="I992" s="426">
        <f>IFERROR(H992*(F992/E992),"-")</f>
        <v>0</v>
      </c>
      <c r="J992" s="427">
        <f t="shared" si="615"/>
        <v>0</v>
      </c>
    </row>
    <row r="993" spans="1:10" ht="24" thickBot="1" x14ac:dyDescent="0.35">
      <c r="A993" s="277" t="s">
        <v>110</v>
      </c>
      <c r="B993" s="968" t="s">
        <v>50</v>
      </c>
      <c r="C993" s="968"/>
      <c r="D993" s="989"/>
      <c r="E993" s="393"/>
      <c r="F993" s="409">
        <f t="shared" ref="F993:G993" si="616">SUM(F990:F992)</f>
        <v>0</v>
      </c>
      <c r="G993" s="410">
        <f t="shared" si="616"/>
        <v>0</v>
      </c>
      <c r="H993" s="394"/>
      <c r="I993" s="409">
        <f t="shared" ref="I993:J993" si="617">SUM(I990:I992)</f>
        <v>0</v>
      </c>
      <c r="J993" s="428">
        <f t="shared" si="617"/>
        <v>0</v>
      </c>
    </row>
    <row r="994" spans="1:10" ht="24" thickBot="1" x14ac:dyDescent="0.35">
      <c r="A994" s="277" t="s">
        <v>110</v>
      </c>
      <c r="B994" s="981" t="s">
        <v>21</v>
      </c>
      <c r="C994" s="982"/>
      <c r="D994" s="983"/>
      <c r="E994" s="396"/>
      <c r="F994" s="413">
        <f>+F969+F977+F985+F989+F993</f>
        <v>2073021.6311999999</v>
      </c>
      <c r="G994" s="414">
        <f>+G969+G977+G985+G989+G993</f>
        <v>22606752.173599999</v>
      </c>
      <c r="H994" s="397"/>
      <c r="I994" s="413">
        <f>+I969+I977+I985+I989+I993</f>
        <v>3286324.8000000003</v>
      </c>
      <c r="J994" s="431">
        <f>+J969+J977+J985+J989+J993</f>
        <v>30231691.140000001</v>
      </c>
    </row>
    <row r="995" spans="1:10" ht="23.4" x14ac:dyDescent="0.3">
      <c r="A995" s="277" t="s">
        <v>110</v>
      </c>
      <c r="B995" s="956" t="s">
        <v>481</v>
      </c>
      <c r="C995" s="272" t="s">
        <v>132</v>
      </c>
      <c r="D995" s="272"/>
      <c r="E995" s="383">
        <v>22.820599999999999</v>
      </c>
      <c r="F995" s="405">
        <f>IFERROR(E995*'01 Prod Physique Boites'!H990,"-")</f>
        <v>0</v>
      </c>
      <c r="G995" s="406">
        <f>IFERROR(E995*'01 Prod Physique Boites'!L990,"-")</f>
        <v>0</v>
      </c>
      <c r="H995" s="384">
        <v>27.5</v>
      </c>
      <c r="I995" s="422">
        <f>IFERROR(H995*(F995/E995),"-")</f>
        <v>0</v>
      </c>
      <c r="J995" s="423">
        <f t="shared" ref="J995:J998" si="618">IFERROR(H995*(G995/E995),"-")</f>
        <v>0</v>
      </c>
    </row>
    <row r="996" spans="1:10" ht="23.4" x14ac:dyDescent="0.3">
      <c r="A996" s="277" t="s">
        <v>110</v>
      </c>
      <c r="B996" s="957"/>
      <c r="C996" s="298" t="s">
        <v>283</v>
      </c>
      <c r="D996" s="298" t="s">
        <v>194</v>
      </c>
      <c r="E996" s="387">
        <v>23.570699999999999</v>
      </c>
      <c r="F996" s="405">
        <f>IFERROR(E996*'01 Prod Physique Boites'!H991,"-")</f>
        <v>0</v>
      </c>
      <c r="G996" s="406">
        <f>IFERROR(E996*'01 Prod Physique Boites'!L991,"-")</f>
        <v>0</v>
      </c>
      <c r="H996" s="388">
        <v>27.5</v>
      </c>
      <c r="I996" s="424">
        <f>IFERROR(H996*(F996/E996),"-")</f>
        <v>0</v>
      </c>
      <c r="J996" s="425">
        <f t="shared" si="618"/>
        <v>0</v>
      </c>
    </row>
    <row r="997" spans="1:10" ht="23.4" x14ac:dyDescent="0.3">
      <c r="A997" s="277" t="s">
        <v>110</v>
      </c>
      <c r="B997" s="957"/>
      <c r="C997" s="298" t="s">
        <v>405</v>
      </c>
      <c r="D997" s="298" t="s">
        <v>194</v>
      </c>
      <c r="E997" s="387">
        <v>22.820599999999999</v>
      </c>
      <c r="F997" s="405">
        <f>IFERROR(E997*'01 Prod Physique Boites'!H992,"-")</f>
        <v>90369.576000000001</v>
      </c>
      <c r="G997" s="406">
        <f>IFERROR(E997*'01 Prod Physique Boites'!L992,"-")</f>
        <v>7771783.5359999994</v>
      </c>
      <c r="H997" s="388">
        <v>27.5</v>
      </c>
      <c r="I997" s="424">
        <f>IFERROR(H997*(F997/E997),"-")</f>
        <v>108900.00000000001</v>
      </c>
      <c r="J997" s="425">
        <f t="shared" si="618"/>
        <v>9365400</v>
      </c>
    </row>
    <row r="998" spans="1:10" ht="24" thickBot="1" x14ac:dyDescent="0.35">
      <c r="A998" s="277" t="s">
        <v>110</v>
      </c>
      <c r="B998" s="958"/>
      <c r="C998" s="282" t="s">
        <v>195</v>
      </c>
      <c r="D998" s="282" t="s">
        <v>100</v>
      </c>
      <c r="E998" s="389">
        <v>23.5685</v>
      </c>
      <c r="F998" s="405">
        <f>IFERROR(E998*'01 Prod Physique Boites'!H993,"-")</f>
        <v>0</v>
      </c>
      <c r="G998" s="406">
        <f>IFERROR(E998*'01 Prod Physique Boites'!L993,"-")</f>
        <v>0</v>
      </c>
      <c r="H998" s="390">
        <v>24</v>
      </c>
      <c r="I998" s="426">
        <f>IFERROR(H998*(F998/E998),"-")</f>
        <v>0</v>
      </c>
      <c r="J998" s="427">
        <f t="shared" si="618"/>
        <v>0</v>
      </c>
    </row>
    <row r="999" spans="1:10" ht="24" thickBot="1" x14ac:dyDescent="0.35">
      <c r="A999" s="277" t="s">
        <v>110</v>
      </c>
      <c r="B999" s="967" t="s">
        <v>51</v>
      </c>
      <c r="C999" s="968"/>
      <c r="D999" s="969"/>
      <c r="E999" s="393"/>
      <c r="F999" s="409">
        <f t="shared" ref="F999:G999" si="619">SUM(F995:F998)</f>
        <v>90369.576000000001</v>
      </c>
      <c r="G999" s="410">
        <f t="shared" si="619"/>
        <v>7771783.5359999994</v>
      </c>
      <c r="H999" s="394"/>
      <c r="I999" s="409">
        <f t="shared" ref="I999:J999" si="620">SUM(I995:I998)</f>
        <v>108900.00000000001</v>
      </c>
      <c r="J999" s="428">
        <f t="shared" si="620"/>
        <v>9365400</v>
      </c>
    </row>
    <row r="1000" spans="1:10" ht="23.4" x14ac:dyDescent="0.3">
      <c r="A1000" s="277" t="s">
        <v>110</v>
      </c>
      <c r="B1000" s="956" t="s">
        <v>23</v>
      </c>
      <c r="C1000" s="299" t="s">
        <v>337</v>
      </c>
      <c r="D1000" s="299" t="s">
        <v>258</v>
      </c>
      <c r="E1000" s="383">
        <v>101.4935</v>
      </c>
      <c r="F1000" s="405">
        <f>IFERROR(E1000*'01 Prod Physique Boites'!H995,"-")</f>
        <v>0</v>
      </c>
      <c r="G1000" s="406">
        <f>IFERROR(E1000*'01 Prod Physique Boites'!L995,"-")</f>
        <v>0</v>
      </c>
      <c r="H1000" s="388">
        <v>160.44999999999999</v>
      </c>
      <c r="I1000" s="422">
        <f t="shared" ref="I1000:I1007" si="621">IFERROR(H1000*(F1000/E1000),"-")</f>
        <v>0</v>
      </c>
      <c r="J1000" s="423">
        <f t="shared" ref="J1000:J1007" si="622">IFERROR(H1000*(G1000/E1000),"-")</f>
        <v>0</v>
      </c>
    </row>
    <row r="1001" spans="1:10" ht="23.4" x14ac:dyDescent="0.3">
      <c r="A1001" s="277" t="s">
        <v>110</v>
      </c>
      <c r="B1001" s="957"/>
      <c r="C1001" s="278" t="s">
        <v>24</v>
      </c>
      <c r="D1001" s="278" t="s">
        <v>258</v>
      </c>
      <c r="E1001" s="387">
        <v>101.4935</v>
      </c>
      <c r="F1001" s="405">
        <f>IFERROR(E1001*'01 Prod Physique Boites'!H996,"-")</f>
        <v>0</v>
      </c>
      <c r="G1001" s="406">
        <f>IFERROR(E1001*'01 Prod Physique Boites'!L996,"-")</f>
        <v>0</v>
      </c>
      <c r="H1001" s="388">
        <v>160.44999999999999</v>
      </c>
      <c r="I1001" s="424">
        <f t="shared" si="621"/>
        <v>0</v>
      </c>
      <c r="J1001" s="425">
        <f t="shared" si="622"/>
        <v>0</v>
      </c>
    </row>
    <row r="1002" spans="1:10" ht="23.4" x14ac:dyDescent="0.3">
      <c r="A1002" s="277" t="s">
        <v>110</v>
      </c>
      <c r="B1002" s="957"/>
      <c r="C1002" s="278" t="s">
        <v>256</v>
      </c>
      <c r="D1002" s="278" t="s">
        <v>258</v>
      </c>
      <c r="E1002" s="387">
        <v>101.4935</v>
      </c>
      <c r="F1002" s="405">
        <f>IFERROR(E1002*'01 Prod Physique Boites'!H997,"-")</f>
        <v>0</v>
      </c>
      <c r="G1002" s="406">
        <f>IFERROR(E1002*'01 Prod Physique Boites'!L997,"-")</f>
        <v>0</v>
      </c>
      <c r="H1002" s="388">
        <v>160.44999999999999</v>
      </c>
      <c r="I1002" s="424">
        <f t="shared" si="621"/>
        <v>0</v>
      </c>
      <c r="J1002" s="425">
        <f t="shared" si="622"/>
        <v>0</v>
      </c>
    </row>
    <row r="1003" spans="1:10" ht="23.4" x14ac:dyDescent="0.3">
      <c r="A1003" s="277" t="s">
        <v>110</v>
      </c>
      <c r="B1003" s="957"/>
      <c r="C1003" s="278" t="s">
        <v>257</v>
      </c>
      <c r="D1003" s="278" t="s">
        <v>258</v>
      </c>
      <c r="E1003" s="387">
        <v>101.4935</v>
      </c>
      <c r="F1003" s="405">
        <f>IFERROR(E1003*'01 Prod Physique Boites'!H998,"-")</f>
        <v>0</v>
      </c>
      <c r="G1003" s="406">
        <f>IFERROR(E1003*'01 Prod Physique Boites'!L998,"-")</f>
        <v>0</v>
      </c>
      <c r="H1003" s="388">
        <v>160.44999999999999</v>
      </c>
      <c r="I1003" s="424">
        <f t="shared" si="621"/>
        <v>0</v>
      </c>
      <c r="J1003" s="425">
        <f t="shared" si="622"/>
        <v>0</v>
      </c>
    </row>
    <row r="1004" spans="1:10" ht="23.4" x14ac:dyDescent="0.3">
      <c r="A1004" s="277" t="s">
        <v>110</v>
      </c>
      <c r="B1004" s="957"/>
      <c r="C1004" s="298" t="s">
        <v>259</v>
      </c>
      <c r="D1004" s="278" t="s">
        <v>258</v>
      </c>
      <c r="E1004" s="387">
        <v>101.4935</v>
      </c>
      <c r="F1004" s="405">
        <f>IFERROR(E1004*'01 Prod Physique Boites'!H999,"-")</f>
        <v>0</v>
      </c>
      <c r="G1004" s="406">
        <f>IFERROR(E1004*'01 Prod Physique Boites'!L999,"-")</f>
        <v>1249080.5045</v>
      </c>
      <c r="H1004" s="388">
        <v>160.44999999999999</v>
      </c>
      <c r="I1004" s="424">
        <f t="shared" si="621"/>
        <v>0</v>
      </c>
      <c r="J1004" s="425">
        <f t="shared" si="622"/>
        <v>1974658.15</v>
      </c>
    </row>
    <row r="1005" spans="1:10" ht="23.4" x14ac:dyDescent="0.3">
      <c r="A1005" s="277" t="s">
        <v>110</v>
      </c>
      <c r="B1005" s="957"/>
      <c r="C1005" s="298" t="s">
        <v>260</v>
      </c>
      <c r="D1005" s="278" t="s">
        <v>258</v>
      </c>
      <c r="E1005" s="387">
        <v>101.4935</v>
      </c>
      <c r="F1005" s="405">
        <f>IFERROR(E1005*'01 Prod Physique Boites'!H1000,"-")</f>
        <v>799261.3125</v>
      </c>
      <c r="G1005" s="406">
        <f>IFERROR(E1005*'01 Prod Physique Boites'!L1000,"-")</f>
        <v>1687329.4375</v>
      </c>
      <c r="H1005" s="388">
        <v>160.44999999999999</v>
      </c>
      <c r="I1005" s="424">
        <f t="shared" si="621"/>
        <v>1263543.75</v>
      </c>
      <c r="J1005" s="425">
        <f t="shared" si="622"/>
        <v>2667481.25</v>
      </c>
    </row>
    <row r="1006" spans="1:10" ht="23.4" x14ac:dyDescent="0.3">
      <c r="A1006" s="277" t="s">
        <v>110</v>
      </c>
      <c r="B1006" s="957"/>
      <c r="C1006" s="298" t="s">
        <v>261</v>
      </c>
      <c r="D1006" s="278" t="s">
        <v>263</v>
      </c>
      <c r="E1006" s="387">
        <v>101.4935</v>
      </c>
      <c r="F1006" s="405">
        <f>IFERROR(E1006*'01 Prod Physique Boites'!H1001,"-")</f>
        <v>0</v>
      </c>
      <c r="G1006" s="406">
        <f>IFERROR(E1006*'01 Prod Physique Boites'!L1001,"-")</f>
        <v>2384082.3149999999</v>
      </c>
      <c r="H1006" s="388">
        <v>160.44999999999999</v>
      </c>
      <c r="I1006" s="424">
        <f t="shared" si="621"/>
        <v>0</v>
      </c>
      <c r="J1006" s="425">
        <f t="shared" si="622"/>
        <v>3768970.4999999995</v>
      </c>
    </row>
    <row r="1007" spans="1:10" ht="24" thickBot="1" x14ac:dyDescent="0.35">
      <c r="A1007" s="277" t="s">
        <v>110</v>
      </c>
      <c r="B1007" s="958"/>
      <c r="C1007" s="298" t="s">
        <v>262</v>
      </c>
      <c r="D1007" s="278" t="s">
        <v>258</v>
      </c>
      <c r="E1007" s="389">
        <v>101.4935</v>
      </c>
      <c r="F1007" s="405">
        <f>IFERROR(E1007*'01 Prod Physique Boites'!H1002,"-")</f>
        <v>0</v>
      </c>
      <c r="G1007" s="406">
        <f>IFERROR(E1007*'01 Prod Physique Boites'!L1002,"-")</f>
        <v>2879878.0625</v>
      </c>
      <c r="H1007" s="388">
        <v>160.44999999999999</v>
      </c>
      <c r="I1007" s="426">
        <f t="shared" si="621"/>
        <v>0</v>
      </c>
      <c r="J1007" s="427">
        <f t="shared" si="622"/>
        <v>4552768.75</v>
      </c>
    </row>
    <row r="1008" spans="1:10" ht="24" thickBot="1" x14ac:dyDescent="0.35">
      <c r="A1008" s="277" t="s">
        <v>110</v>
      </c>
      <c r="B1008" s="967" t="s">
        <v>52</v>
      </c>
      <c r="C1008" s="968"/>
      <c r="D1008" s="969"/>
      <c r="E1008" s="393"/>
      <c r="F1008" s="409">
        <f t="shared" ref="F1008" si="623">SUM(F1000:F1007)</f>
        <v>799261.3125</v>
      </c>
      <c r="G1008" s="410">
        <f>SUM(G1000:G1007)</f>
        <v>8200370.3194999993</v>
      </c>
      <c r="H1008" s="394"/>
      <c r="I1008" s="409">
        <f t="shared" ref="I1008" si="624">SUM(I1000:I1007)</f>
        <v>1263543.75</v>
      </c>
      <c r="J1008" s="428">
        <f>SUM(J1000:J1007)</f>
        <v>12963878.65</v>
      </c>
    </row>
    <row r="1009" spans="1:10" ht="24" thickBot="1" x14ac:dyDescent="0.35">
      <c r="A1009" s="277" t="s">
        <v>110</v>
      </c>
      <c r="B1009" s="981" t="s">
        <v>25</v>
      </c>
      <c r="C1009" s="982"/>
      <c r="D1009" s="983"/>
      <c r="E1009" s="396"/>
      <c r="F1009" s="413">
        <f t="shared" ref="F1009" si="625">+F999+F1008</f>
        <v>889630.8885</v>
      </c>
      <c r="G1009" s="414">
        <f>+G999+G1008</f>
        <v>15972153.855499998</v>
      </c>
      <c r="H1009" s="397"/>
      <c r="I1009" s="413">
        <f t="shared" ref="I1009:J1009" si="626">+I999+I1008</f>
        <v>1372443.75</v>
      </c>
      <c r="J1009" s="431">
        <f t="shared" si="626"/>
        <v>22329278.649999999</v>
      </c>
    </row>
    <row r="1010" spans="1:10" ht="24" thickBot="1" x14ac:dyDescent="0.35">
      <c r="A1010" s="277" t="s">
        <v>110</v>
      </c>
      <c r="B1010" s="984" t="s">
        <v>180</v>
      </c>
      <c r="C1010" s="962"/>
      <c r="D1010" s="963"/>
      <c r="E1010" s="398"/>
      <c r="F1010" s="415">
        <f t="shared" ref="F1010" si="627">+F994+F1009</f>
        <v>2962652.5197000001</v>
      </c>
      <c r="G1010" s="416">
        <f>+G994+G1009</f>
        <v>38578906.029100001</v>
      </c>
      <c r="H1010" s="399"/>
      <c r="I1010" s="415">
        <f t="shared" ref="I1010:J1010" si="628">+I994+I1009</f>
        <v>4658768.5500000007</v>
      </c>
      <c r="J1010" s="432">
        <f t="shared" si="628"/>
        <v>52560969.789999999</v>
      </c>
    </row>
    <row r="1011" spans="1:10" ht="23.4" x14ac:dyDescent="0.3">
      <c r="A1011" s="271" t="s">
        <v>108</v>
      </c>
      <c r="B1011" s="977" t="s">
        <v>26</v>
      </c>
      <c r="C1011" s="300" t="s">
        <v>323</v>
      </c>
      <c r="D1011" s="302" t="s">
        <v>190</v>
      </c>
      <c r="E1011" s="508">
        <v>13.1272</v>
      </c>
      <c r="F1011" s="405">
        <f>IFERROR(E1011*'01 Prod Physique Boites'!H1006,"-")</f>
        <v>0</v>
      </c>
      <c r="G1011" s="406">
        <f>IFERROR(E1011*'01 Prod Physique Boites'!L1006,"-")</f>
        <v>0</v>
      </c>
      <c r="H1011" s="384">
        <v>20.76</v>
      </c>
      <c r="I1011" s="422">
        <f t="shared" ref="I1011:I1019" si="629">IFERROR(H1011*(F1011/E1011),"-")</f>
        <v>0</v>
      </c>
      <c r="J1011" s="644">
        <f t="shared" ref="J1011:J1019" si="630">IFERROR(H1011*(G1011/E1011),"-")</f>
        <v>0</v>
      </c>
    </row>
    <row r="1012" spans="1:10" ht="23.4" x14ac:dyDescent="0.3">
      <c r="A1012" s="277" t="s">
        <v>108</v>
      </c>
      <c r="B1012" s="977"/>
      <c r="C1012" s="301" t="s">
        <v>508</v>
      </c>
      <c r="D1012" s="301" t="s">
        <v>507</v>
      </c>
      <c r="E1012" s="509">
        <v>16.7288</v>
      </c>
      <c r="F1012" s="405">
        <f>IFERROR(E1012*'01 Prod Physique Boites'!H1007,"-")</f>
        <v>199641.49919999999</v>
      </c>
      <c r="G1012" s="406">
        <f>IFERROR(E1012*'01 Prod Physique Boites'!L1007,"-")</f>
        <v>332735.83199999999</v>
      </c>
      <c r="H1012" s="388">
        <v>20.76</v>
      </c>
      <c r="I1012" s="424">
        <f t="shared" si="629"/>
        <v>247749.84000000003</v>
      </c>
      <c r="J1012" s="645">
        <f t="shared" si="630"/>
        <v>412916.4</v>
      </c>
    </row>
    <row r="1013" spans="1:10" ht="23.4" x14ac:dyDescent="0.3">
      <c r="A1013" s="277" t="s">
        <v>108</v>
      </c>
      <c r="B1013" s="977"/>
      <c r="C1013" s="302" t="s">
        <v>27</v>
      </c>
      <c r="D1013" s="302" t="s">
        <v>370</v>
      </c>
      <c r="E1013" s="505">
        <v>17.8202</v>
      </c>
      <c r="F1013" s="405">
        <f>IFERROR(E1013*'01 Prod Physique Boites'!H1008,"-")</f>
        <v>0</v>
      </c>
      <c r="G1013" s="406">
        <f>IFERROR(E1013*'01 Prod Physique Boites'!L1008,"-")</f>
        <v>212666.26680000001</v>
      </c>
      <c r="H1013" s="388">
        <v>21.22</v>
      </c>
      <c r="I1013" s="424">
        <f t="shared" si="629"/>
        <v>0</v>
      </c>
      <c r="J1013" s="645">
        <f t="shared" si="630"/>
        <v>253239.47999999998</v>
      </c>
    </row>
    <row r="1014" spans="1:10" ht="23.4" x14ac:dyDescent="0.3">
      <c r="A1014" s="277" t="s">
        <v>108</v>
      </c>
      <c r="B1014" s="977"/>
      <c r="C1014" s="302" t="s">
        <v>27</v>
      </c>
      <c r="D1014" s="302" t="s">
        <v>254</v>
      </c>
      <c r="E1014" s="505">
        <v>17.8202</v>
      </c>
      <c r="F1014" s="405">
        <f>IFERROR(E1014*'01 Prod Physique Boites'!H1009,"-")</f>
        <v>0</v>
      </c>
      <c r="G1014" s="406">
        <f>IFERROR(E1014*'01 Prod Physique Boites'!L1009,"-")</f>
        <v>567110.04480000003</v>
      </c>
      <c r="H1014" s="388">
        <v>24.93</v>
      </c>
      <c r="I1014" s="424">
        <f t="shared" si="629"/>
        <v>0</v>
      </c>
      <c r="J1014" s="645">
        <f t="shared" si="630"/>
        <v>793372.32000000007</v>
      </c>
    </row>
    <row r="1015" spans="1:10" ht="23.4" x14ac:dyDescent="0.3">
      <c r="A1015" s="277" t="s">
        <v>108</v>
      </c>
      <c r="B1015" s="977"/>
      <c r="C1015" s="302" t="s">
        <v>27</v>
      </c>
      <c r="D1015" s="302" t="s">
        <v>302</v>
      </c>
      <c r="E1015" s="505">
        <v>17.8202</v>
      </c>
      <c r="F1015" s="405">
        <f>IFERROR(E1015*'01 Prod Physique Boites'!H1010,"-")</f>
        <v>0</v>
      </c>
      <c r="G1015" s="406">
        <f>IFERROR(E1015*'01 Prod Physique Boites'!L1010,"-")</f>
        <v>0</v>
      </c>
      <c r="H1015" s="388">
        <v>24.93</v>
      </c>
      <c r="I1015" s="424">
        <f t="shared" si="629"/>
        <v>0</v>
      </c>
      <c r="J1015" s="645">
        <f t="shared" si="630"/>
        <v>0</v>
      </c>
    </row>
    <row r="1016" spans="1:10" ht="23.4" x14ac:dyDescent="0.3">
      <c r="A1016" s="277"/>
      <c r="B1016" s="977"/>
      <c r="C1016" s="302" t="s">
        <v>369</v>
      </c>
      <c r="D1016" s="302" t="s">
        <v>190</v>
      </c>
      <c r="E1016" s="505">
        <v>17.8202</v>
      </c>
      <c r="F1016" s="405">
        <f>IFERROR(E1016*'01 Prod Physique Boites'!H1011,"-")</f>
        <v>0</v>
      </c>
      <c r="G1016" s="406">
        <f>IFERROR(E1016*'01 Prod Physique Boites'!L1011,"-")</f>
        <v>0</v>
      </c>
      <c r="H1016" s="390">
        <v>21.22</v>
      </c>
      <c r="I1016" s="424">
        <f t="shared" si="629"/>
        <v>0</v>
      </c>
      <c r="J1016" s="646">
        <f t="shared" si="630"/>
        <v>0</v>
      </c>
    </row>
    <row r="1017" spans="1:10" ht="23.4" x14ac:dyDescent="0.3">
      <c r="A1017" s="277"/>
      <c r="B1017" s="977"/>
      <c r="C1017" s="302" t="s">
        <v>314</v>
      </c>
      <c r="D1017" s="302" t="s">
        <v>101</v>
      </c>
      <c r="E1017" s="505">
        <v>14.608000000000001</v>
      </c>
      <c r="F1017" s="405">
        <f>IFERROR(E1017*'01 Prod Physique Boites'!H1012,"-")</f>
        <v>0</v>
      </c>
      <c r="G1017" s="406">
        <f>IFERROR(E1017*'01 Prod Physique Boites'!L1012,"-")</f>
        <v>0</v>
      </c>
      <c r="H1017" s="390">
        <v>24.93</v>
      </c>
      <c r="I1017" s="426">
        <f t="shared" si="629"/>
        <v>0</v>
      </c>
      <c r="J1017" s="646">
        <f t="shared" si="630"/>
        <v>0</v>
      </c>
    </row>
    <row r="1018" spans="1:10" ht="23.4" x14ac:dyDescent="0.3">
      <c r="A1018" s="277"/>
      <c r="B1018" s="977"/>
      <c r="C1018" s="302" t="s">
        <v>453</v>
      </c>
      <c r="D1018" s="302" t="s">
        <v>454</v>
      </c>
      <c r="E1018" s="773">
        <v>16.345199999999998</v>
      </c>
      <c r="F1018" s="405">
        <f>IFERROR(E1018*'01 Prod Physique Boites'!H1013,"-")</f>
        <v>0</v>
      </c>
      <c r="G1018" s="406">
        <f>IFERROR(E1018*'01 Prod Physique Boites'!L1013,"-")</f>
        <v>585190.8504</v>
      </c>
      <c r="H1018" s="390">
        <v>23.78</v>
      </c>
      <c r="I1018" s="426">
        <f t="shared" si="629"/>
        <v>0</v>
      </c>
      <c r="J1018" s="646">
        <f t="shared" si="630"/>
        <v>851371.56</v>
      </c>
    </row>
    <row r="1019" spans="1:10" ht="24" thickBot="1" x14ac:dyDescent="0.35">
      <c r="A1019" s="277" t="s">
        <v>108</v>
      </c>
      <c r="B1019" s="977"/>
      <c r="C1019" s="303" t="s">
        <v>315</v>
      </c>
      <c r="D1019" s="302" t="s">
        <v>313</v>
      </c>
      <c r="E1019" s="505">
        <v>12.6997</v>
      </c>
      <c r="F1019" s="405">
        <f>IFERROR(E1019*'01 Prod Physique Boites'!H1014,"-")</f>
        <v>0</v>
      </c>
      <c r="G1019" s="406">
        <f>IFERROR(E1019*'01 Prod Physique Boites'!L1014,"-")</f>
        <v>101038.8132</v>
      </c>
      <c r="H1019" s="390">
        <v>13.25</v>
      </c>
      <c r="I1019" s="426">
        <f t="shared" si="629"/>
        <v>0</v>
      </c>
      <c r="J1019" s="646">
        <f t="shared" si="630"/>
        <v>105417</v>
      </c>
    </row>
    <row r="1020" spans="1:10" ht="24" thickBot="1" x14ac:dyDescent="0.35">
      <c r="A1020" s="277" t="s">
        <v>108</v>
      </c>
      <c r="B1020" s="990"/>
      <c r="C1020" s="304"/>
      <c r="D1020" s="305" t="s">
        <v>55</v>
      </c>
      <c r="E1020" s="393"/>
      <c r="F1020" s="409">
        <f>SUM(F1011:F1019)</f>
        <v>199641.49919999999</v>
      </c>
      <c r="G1020" s="410">
        <f t="shared" ref="G1020" si="631">SUM(G1011:G1019)</f>
        <v>1798741.8071999999</v>
      </c>
      <c r="H1020" s="394"/>
      <c r="I1020" s="409">
        <f t="shared" ref="I1020" si="632">SUM(I1011:I1019)</f>
        <v>247749.84000000003</v>
      </c>
      <c r="J1020" s="428">
        <f>SUM(J1011:J1019)</f>
        <v>2416316.7600000002</v>
      </c>
    </row>
    <row r="1021" spans="1:10" ht="23.4" x14ac:dyDescent="0.3">
      <c r="A1021" s="277" t="s">
        <v>108</v>
      </c>
      <c r="B1021" s="976" t="s">
        <v>28</v>
      </c>
      <c r="C1021" s="302" t="s">
        <v>27</v>
      </c>
      <c r="D1021" s="300" t="s">
        <v>302</v>
      </c>
      <c r="E1021" s="508">
        <v>17.8202</v>
      </c>
      <c r="F1021" s="405">
        <f>IFERROR(E1021*'01 Prod Physique Boites'!H1016,"-")</f>
        <v>0</v>
      </c>
      <c r="G1021" s="406">
        <f>IFERROR(E1021*'01 Prod Physique Boites'!L1016,"-")</f>
        <v>354443.77799999999</v>
      </c>
      <c r="H1021" s="384">
        <v>24.93</v>
      </c>
      <c r="I1021" s="422">
        <f>IFERROR(H1021*(F1021/E1021),"-")</f>
        <v>0</v>
      </c>
      <c r="J1021" s="644">
        <f t="shared" ref="J1021:J1025" si="633">IFERROR(H1021*(G1021/E1021),"-")</f>
        <v>495857.7</v>
      </c>
    </row>
    <row r="1022" spans="1:10" ht="23.4" x14ac:dyDescent="0.3">
      <c r="A1022" s="277" t="s">
        <v>108</v>
      </c>
      <c r="B1022" s="977"/>
      <c r="C1022" s="302" t="s">
        <v>456</v>
      </c>
      <c r="D1022" s="302" t="s">
        <v>370</v>
      </c>
      <c r="E1022" s="773">
        <v>16.7288</v>
      </c>
      <c r="F1022" s="405">
        <f>IFERROR(E1022*'01 Prod Physique Boites'!H1017,"-")</f>
        <v>2728433.8223999999</v>
      </c>
      <c r="G1022" s="406">
        <f>IFERROR(E1022*'01 Prod Physique Boites'!L1017,"-")</f>
        <v>6117220.2960000001</v>
      </c>
      <c r="H1022" s="770">
        <v>20.76</v>
      </c>
      <c r="I1022" s="424">
        <f>IFERROR(H1022*(F1022/E1022),"-")</f>
        <v>3385914.4800000004</v>
      </c>
      <c r="J1022" s="645">
        <f t="shared" si="633"/>
        <v>7591309.2000000002</v>
      </c>
    </row>
    <row r="1023" spans="1:10" ht="23.4" x14ac:dyDescent="0.3">
      <c r="A1023" s="277" t="s">
        <v>108</v>
      </c>
      <c r="B1023" s="977"/>
      <c r="C1023" s="302" t="s">
        <v>455</v>
      </c>
      <c r="D1023" s="302" t="s">
        <v>370</v>
      </c>
      <c r="E1023" s="505">
        <v>17.8202</v>
      </c>
      <c r="F1023" s="405">
        <f>IFERROR(E1023*'01 Prod Physique Boites'!H1018,"-")</f>
        <v>0</v>
      </c>
      <c r="G1023" s="406">
        <f>IFERROR(E1023*'01 Prod Physique Boites'!L1018,"-")</f>
        <v>1134220.0896000001</v>
      </c>
      <c r="H1023" s="388">
        <v>21.22</v>
      </c>
      <c r="I1023" s="424">
        <f>IFERROR(H1023*(F1023/E1023),"-")</f>
        <v>0</v>
      </c>
      <c r="J1023" s="645">
        <f t="shared" si="633"/>
        <v>1350610.56</v>
      </c>
    </row>
    <row r="1024" spans="1:10" ht="23.4" x14ac:dyDescent="0.3">
      <c r="A1024" s="277"/>
      <c r="B1024" s="977"/>
      <c r="C1024" s="302" t="s">
        <v>453</v>
      </c>
      <c r="D1024" s="302" t="s">
        <v>454</v>
      </c>
      <c r="E1024" s="773">
        <v>16.345199999999998</v>
      </c>
      <c r="F1024" s="405">
        <f>IFERROR(E1024*'01 Prod Physique Boites'!H1019,"-")</f>
        <v>0</v>
      </c>
      <c r="G1024" s="406">
        <f>IFERROR(E1024*'01 Prod Physique Boites'!L1019,"-")</f>
        <v>4031314.7471999996</v>
      </c>
      <c r="H1024" s="388">
        <v>23.78</v>
      </c>
      <c r="I1024" s="426">
        <f>IFERROR(H1024*(F1024/E1024),"-")</f>
        <v>0</v>
      </c>
      <c r="J1024" s="646">
        <f t="shared" si="633"/>
        <v>5865004.0800000001</v>
      </c>
    </row>
    <row r="1025" spans="1:10" ht="24" thickBot="1" x14ac:dyDescent="0.35">
      <c r="A1025" s="277" t="s">
        <v>108</v>
      </c>
      <c r="B1025" s="977"/>
      <c r="C1025" s="302" t="s">
        <v>27</v>
      </c>
      <c r="D1025" s="303" t="s">
        <v>254</v>
      </c>
      <c r="E1025" s="505">
        <v>17.8202</v>
      </c>
      <c r="F1025" s="405">
        <f>IFERROR(E1025*'01 Prod Physique Boites'!H1020,"-")</f>
        <v>0</v>
      </c>
      <c r="G1025" s="406">
        <f>IFERROR(E1025*'01 Prod Physique Boites'!L1020,"-")</f>
        <v>13468863.563999999</v>
      </c>
      <c r="H1025" s="388">
        <v>24.93</v>
      </c>
      <c r="I1025" s="426">
        <f>IFERROR(H1025*(F1025/E1025),"-")</f>
        <v>0</v>
      </c>
      <c r="J1025" s="646">
        <f t="shared" si="633"/>
        <v>18842592.600000001</v>
      </c>
    </row>
    <row r="1026" spans="1:10" ht="24" thickBot="1" x14ac:dyDescent="0.35">
      <c r="A1026" s="277" t="s">
        <v>108</v>
      </c>
      <c r="B1026" s="977"/>
      <c r="C1026" s="307"/>
      <c r="D1026" s="308" t="s">
        <v>55</v>
      </c>
      <c r="E1026" s="400"/>
      <c r="F1026" s="417">
        <f t="shared" ref="F1026:G1026" si="634">SUM(F1021:F1025)</f>
        <v>2728433.8223999999</v>
      </c>
      <c r="G1026" s="418">
        <f t="shared" si="634"/>
        <v>25106062.474799998</v>
      </c>
      <c r="H1026" s="401"/>
      <c r="I1026" s="417">
        <f t="shared" ref="I1026:J1026" si="635">SUM(I1021:I1025)</f>
        <v>3385914.4800000004</v>
      </c>
      <c r="J1026" s="433">
        <f t="shared" si="635"/>
        <v>34145374.140000001</v>
      </c>
    </row>
    <row r="1027" spans="1:10" ht="24" thickBot="1" x14ac:dyDescent="0.35">
      <c r="A1027" s="823" t="s">
        <v>108</v>
      </c>
      <c r="B1027" s="978" t="s">
        <v>170</v>
      </c>
      <c r="C1027" s="979"/>
      <c r="D1027" s="980"/>
      <c r="E1027" s="402"/>
      <c r="F1027" s="419">
        <f t="shared" ref="F1027:G1027" si="636">+F1020+F1026</f>
        <v>2928075.3215999999</v>
      </c>
      <c r="G1027" s="420">
        <f t="shared" si="636"/>
        <v>26904804.281999998</v>
      </c>
      <c r="H1027" s="403"/>
      <c r="I1027" s="419">
        <f t="shared" ref="I1027:J1027" si="637">+I1020+I1026</f>
        <v>3633664.3200000003</v>
      </c>
      <c r="J1027" s="434">
        <f t="shared" si="637"/>
        <v>36561690.899999999</v>
      </c>
    </row>
    <row r="1028" spans="1:10" ht="23.4" x14ac:dyDescent="0.3">
      <c r="A1028" s="277" t="s">
        <v>108</v>
      </c>
      <c r="B1028" s="977" t="s">
        <v>30</v>
      </c>
      <c r="C1028" s="306" t="s">
        <v>356</v>
      </c>
      <c r="D1028" s="300" t="s">
        <v>191</v>
      </c>
      <c r="E1028" s="508">
        <v>15.2788</v>
      </c>
      <c r="F1028" s="405">
        <f>IFERROR(E1028*'01 Prod Physique Boites'!H1023,"-")</f>
        <v>0</v>
      </c>
      <c r="G1028" s="406">
        <f>IFERROR(E1028*'01 Prod Physique Boites'!L1023,"-")</f>
        <v>0</v>
      </c>
      <c r="H1028" s="384">
        <v>23.65</v>
      </c>
      <c r="I1028" s="422">
        <f>IFERROR(H1028*(F1028/E1028),"-")</f>
        <v>0</v>
      </c>
      <c r="J1028" s="423">
        <f t="shared" ref="J1028:J1030" si="638">IFERROR(H1028*(G1028/E1028),"-")</f>
        <v>0</v>
      </c>
    </row>
    <row r="1029" spans="1:10" ht="23.4" x14ac:dyDescent="0.3">
      <c r="A1029" s="277" t="s">
        <v>108</v>
      </c>
      <c r="B1029" s="977"/>
      <c r="C1029" s="306" t="s">
        <v>349</v>
      </c>
      <c r="D1029" s="306" t="s">
        <v>313</v>
      </c>
      <c r="E1029" s="509">
        <v>22.6356</v>
      </c>
      <c r="F1029" s="405">
        <f>IFERROR(E1029*'01 Prod Physique Boites'!H1024,"-")</f>
        <v>0</v>
      </c>
      <c r="G1029" s="406">
        <f>IFERROR(E1029*'01 Prod Physique Boites'!L1024,"-")</f>
        <v>0</v>
      </c>
      <c r="H1029" s="388">
        <v>34.26</v>
      </c>
      <c r="I1029" s="424">
        <f>IFERROR(H1029*(F1029/E1029),"-")</f>
        <v>0</v>
      </c>
      <c r="J1029" s="425">
        <f t="shared" si="638"/>
        <v>0</v>
      </c>
    </row>
    <row r="1030" spans="1:10" ht="24" thickBot="1" x14ac:dyDescent="0.35">
      <c r="A1030" s="277" t="s">
        <v>108</v>
      </c>
      <c r="B1030" s="977"/>
      <c r="C1030" s="303" t="s">
        <v>316</v>
      </c>
      <c r="D1030" s="303"/>
      <c r="E1030" s="505">
        <v>25.751300000000001</v>
      </c>
      <c r="F1030" s="405">
        <f>IFERROR(E1030*'01 Prod Physique Boites'!H1025,"-")</f>
        <v>0</v>
      </c>
      <c r="G1030" s="406">
        <f>IFERROR(E1030*'01 Prod Physique Boites'!L1025,"-")</f>
        <v>4242166.1568</v>
      </c>
      <c r="H1030" s="390">
        <v>37.89</v>
      </c>
      <c r="I1030" s="426">
        <f>IFERROR(H1030*(F1030/E1030),"-")</f>
        <v>0</v>
      </c>
      <c r="J1030" s="427">
        <f t="shared" si="638"/>
        <v>6241847.04</v>
      </c>
    </row>
    <row r="1031" spans="1:10" ht="24" thickBot="1" x14ac:dyDescent="0.35">
      <c r="A1031" s="277" t="s">
        <v>108</v>
      </c>
      <c r="B1031" s="977"/>
      <c r="C1031" s="304"/>
      <c r="D1031" s="305" t="s">
        <v>53</v>
      </c>
      <c r="E1031" s="393"/>
      <c r="F1031" s="409">
        <f t="shared" ref="F1031:G1031" si="639">SUM(F1028:F1030)</f>
        <v>0</v>
      </c>
      <c r="G1031" s="410">
        <f t="shared" si="639"/>
        <v>4242166.1568</v>
      </c>
      <c r="H1031" s="394"/>
      <c r="I1031" s="409">
        <f t="shared" ref="I1031" si="640">SUM(I1028:I1030)</f>
        <v>0</v>
      </c>
      <c r="J1031" s="428">
        <f>SUM(J1028:J1030)</f>
        <v>6241847.04</v>
      </c>
    </row>
    <row r="1032" spans="1:10" ht="23.4" x14ac:dyDescent="0.3">
      <c r="A1032" s="277" t="s">
        <v>108</v>
      </c>
      <c r="B1032" s="977"/>
      <c r="C1032" s="300" t="s">
        <v>339</v>
      </c>
      <c r="D1032" s="300"/>
      <c r="E1032" s="508">
        <v>22.094999999999999</v>
      </c>
      <c r="F1032" s="405">
        <f>IFERROR(E1032*'01 Prod Physique Boites'!H1027,"-")</f>
        <v>0</v>
      </c>
      <c r="G1032" s="406">
        <f>IFERROR(E1032*'01 Prod Physique Boites'!L1027,"-")</f>
        <v>0</v>
      </c>
      <c r="H1032" s="384">
        <v>37.11</v>
      </c>
      <c r="I1032" s="422">
        <f>IFERROR(H1032*(F1032/E1032),"-")</f>
        <v>0</v>
      </c>
      <c r="J1032" s="423">
        <f t="shared" ref="J1032:J1034" si="641">IFERROR(H1032*(G1032/E1032),"-")</f>
        <v>0</v>
      </c>
    </row>
    <row r="1033" spans="1:10" ht="23.4" x14ac:dyDescent="0.3">
      <c r="A1033" s="277" t="s">
        <v>108</v>
      </c>
      <c r="B1033" s="977"/>
      <c r="C1033" s="306" t="s">
        <v>373</v>
      </c>
      <c r="D1033" s="306" t="s">
        <v>254</v>
      </c>
      <c r="E1033" s="509">
        <v>27.917000000000002</v>
      </c>
      <c r="F1033" s="405">
        <f>IFERROR(E1033*'01 Prod Physique Boites'!H1028,"-")</f>
        <v>0</v>
      </c>
      <c r="G1033" s="406">
        <f>IFERROR(E1033*'01 Prod Physique Boites'!L1028,"-")</f>
        <v>261303.12000000002</v>
      </c>
      <c r="H1033" s="388">
        <v>39</v>
      </c>
      <c r="I1033" s="424">
        <f>IFERROR(H1033*(F1033/E1033),"-")</f>
        <v>0</v>
      </c>
      <c r="J1033" s="425">
        <f t="shared" si="641"/>
        <v>365040</v>
      </c>
    </row>
    <row r="1034" spans="1:10" ht="24" thickBot="1" x14ac:dyDescent="0.35">
      <c r="A1034" s="277" t="s">
        <v>108</v>
      </c>
      <c r="B1034" s="977"/>
      <c r="C1034" s="303" t="s">
        <v>145</v>
      </c>
      <c r="D1034" s="303"/>
      <c r="E1034" s="505">
        <v>25.4041</v>
      </c>
      <c r="F1034" s="405">
        <f>IFERROR(E1034*'01 Prod Physique Boites'!H1029,"-")</f>
        <v>0</v>
      </c>
      <c r="G1034" s="406">
        <f>IFERROR(E1034*'01 Prod Physique Boites'!L1029,"-")</f>
        <v>0</v>
      </c>
      <c r="H1034" s="390">
        <v>28.21</v>
      </c>
      <c r="I1034" s="426">
        <f>IFERROR(H1034*(F1034/E1034),"-")</f>
        <v>0</v>
      </c>
      <c r="J1034" s="427">
        <f t="shared" si="641"/>
        <v>0</v>
      </c>
    </row>
    <row r="1035" spans="1:10" ht="24" thickBot="1" x14ac:dyDescent="0.35">
      <c r="A1035" s="277" t="s">
        <v>108</v>
      </c>
      <c r="B1035" s="977"/>
      <c r="C1035" s="307"/>
      <c r="D1035" s="308" t="s">
        <v>54</v>
      </c>
      <c r="E1035" s="400"/>
      <c r="F1035" s="417">
        <f t="shared" ref="F1035:G1035" si="642">SUM(F1032:F1034)</f>
        <v>0</v>
      </c>
      <c r="G1035" s="418">
        <f t="shared" si="642"/>
        <v>261303.12000000002</v>
      </c>
      <c r="H1035" s="401"/>
      <c r="I1035" s="417">
        <f t="shared" ref="I1035" si="643">SUM(I1032:I1034)</f>
        <v>0</v>
      </c>
      <c r="J1035" s="433">
        <f>SUM(J1032:J1034)</f>
        <v>365040</v>
      </c>
    </row>
    <row r="1036" spans="1:10" ht="24" thickBot="1" x14ac:dyDescent="0.35">
      <c r="A1036" s="277" t="s">
        <v>108</v>
      </c>
      <c r="B1036" s="978" t="s">
        <v>171</v>
      </c>
      <c r="C1036" s="979"/>
      <c r="D1036" s="980"/>
      <c r="E1036" s="402"/>
      <c r="F1036" s="419">
        <f t="shared" ref="F1036:G1036" si="644">+F1031+F1035</f>
        <v>0</v>
      </c>
      <c r="G1036" s="420">
        <f t="shared" si="644"/>
        <v>4503469.2768000001</v>
      </c>
      <c r="H1036" s="403"/>
      <c r="I1036" s="419">
        <f t="shared" ref="I1036:J1036" si="645">+I1031+I1035</f>
        <v>0</v>
      </c>
      <c r="J1036" s="434">
        <f t="shared" si="645"/>
        <v>6606887.04</v>
      </c>
    </row>
    <row r="1037" spans="1:10" ht="24" thickBot="1" x14ac:dyDescent="0.35">
      <c r="A1037" s="277" t="s">
        <v>108</v>
      </c>
      <c r="B1037" s="609" t="s">
        <v>32</v>
      </c>
      <c r="C1037" s="820"/>
      <c r="D1037" s="313"/>
      <c r="E1037" s="510">
        <v>12.2659</v>
      </c>
      <c r="F1037" s="411">
        <f>IFERROR(E1037*'01 Prod Physique Boites'!H1032,"-")</f>
        <v>0</v>
      </c>
      <c r="G1037" s="412">
        <f>IFERROR(E1037*'01 Prod Physique Boites'!L1032,"-")</f>
        <v>0</v>
      </c>
      <c r="H1037" s="395"/>
      <c r="I1037" s="429">
        <f>IFERROR(H1037*(F1037/E1037),"-")</f>
        <v>0</v>
      </c>
      <c r="J1037" s="430">
        <f>IFERROR(H1037*(G1037/E1037),"-")</f>
        <v>0</v>
      </c>
    </row>
    <row r="1038" spans="1:10" ht="24" thickBot="1" x14ac:dyDescent="0.35">
      <c r="A1038" s="277" t="s">
        <v>108</v>
      </c>
      <c r="B1038" s="981" t="s">
        <v>21</v>
      </c>
      <c r="C1038" s="982"/>
      <c r="D1038" s="983"/>
      <c r="E1038" s="396"/>
      <c r="F1038" s="413">
        <f t="shared" ref="F1038" si="646">+F1027+F1036+F1037</f>
        <v>2928075.3215999999</v>
      </c>
      <c r="G1038" s="414">
        <f>+G1027+G1036+G1037</f>
        <v>31408273.558799997</v>
      </c>
      <c r="H1038" s="397"/>
      <c r="I1038" s="413">
        <f t="shared" ref="I1038:J1038" si="647">+I1027+I1036+I1037</f>
        <v>3633664.3200000003</v>
      </c>
      <c r="J1038" s="431">
        <f t="shared" si="647"/>
        <v>43168577.939999998</v>
      </c>
    </row>
    <row r="1039" spans="1:10" ht="24" thickBot="1" x14ac:dyDescent="0.35">
      <c r="A1039" s="277" t="s">
        <v>108</v>
      </c>
      <c r="B1039" s="984" t="s">
        <v>179</v>
      </c>
      <c r="C1039" s="962"/>
      <c r="D1039" s="963"/>
      <c r="E1039" s="398"/>
      <c r="F1039" s="415">
        <f t="shared" ref="F1039:G1039" si="648">+F1038</f>
        <v>2928075.3215999999</v>
      </c>
      <c r="G1039" s="416">
        <f t="shared" si="648"/>
        <v>31408273.558799997</v>
      </c>
      <c r="H1039" s="399"/>
      <c r="I1039" s="415">
        <f t="shared" ref="I1039:J1039" si="649">+I1038</f>
        <v>3633664.3200000003</v>
      </c>
      <c r="J1039" s="432">
        <f t="shared" si="649"/>
        <v>43168577.939999998</v>
      </c>
    </row>
    <row r="1040" spans="1:10" ht="23.4" x14ac:dyDescent="0.3">
      <c r="A1040" s="271" t="s">
        <v>109</v>
      </c>
      <c r="B1040" s="970" t="s">
        <v>482</v>
      </c>
      <c r="C1040" s="314" t="s">
        <v>120</v>
      </c>
      <c r="D1040" s="314"/>
      <c r="E1040" s="771">
        <v>254.89750000000001</v>
      </c>
      <c r="F1040" s="405">
        <f>IFERROR(E1040*'01 Prod Physique Boites'!H1035,"-")</f>
        <v>0</v>
      </c>
      <c r="G1040" s="406">
        <f>IFERROR(E1040*'01 Prod Physique Boites'!L1035,"-")</f>
        <v>0</v>
      </c>
      <c r="H1040" s="384">
        <v>445.38</v>
      </c>
      <c r="I1040" s="422">
        <f>IFERROR(H1040*(F1040/E1040),"-")</f>
        <v>0</v>
      </c>
      <c r="J1040" s="423">
        <f t="shared" ref="J1040:J1042" si="650">IFERROR(H1040*(G1040/E1040),"-")</f>
        <v>0</v>
      </c>
    </row>
    <row r="1041" spans="1:10" ht="23.4" x14ac:dyDescent="0.3">
      <c r="A1041" s="277" t="s">
        <v>109</v>
      </c>
      <c r="B1041" s="972"/>
      <c r="C1041" s="315" t="s">
        <v>267</v>
      </c>
      <c r="D1041" s="315"/>
      <c r="E1041" s="507">
        <v>246.51390000000001</v>
      </c>
      <c r="F1041" s="405">
        <f>IFERROR(E1041*'01 Prod Physique Boites'!H1036,"-")</f>
        <v>0</v>
      </c>
      <c r="G1041" s="406">
        <f>IFERROR(E1041*'01 Prod Physique Boites'!L1036,"-")</f>
        <v>3076493.4720000001</v>
      </c>
      <c r="H1041" s="388">
        <v>430.02</v>
      </c>
      <c r="I1041" s="424">
        <f>IFERROR(H1041*(F1041/E1041),"-")</f>
        <v>0</v>
      </c>
      <c r="J1041" s="425">
        <f t="shared" si="650"/>
        <v>5366649.5999999996</v>
      </c>
    </row>
    <row r="1042" spans="1:10" ht="24" thickBot="1" x14ac:dyDescent="0.35">
      <c r="A1042" s="277" t="s">
        <v>109</v>
      </c>
      <c r="B1042" s="971"/>
      <c r="C1042" s="316" t="s">
        <v>34</v>
      </c>
      <c r="D1042" s="316"/>
      <c r="E1042" s="504">
        <v>225.7713</v>
      </c>
      <c r="F1042" s="405">
        <f>IFERROR(E1042*'01 Prod Physique Boites'!H1037,"-")</f>
        <v>0</v>
      </c>
      <c r="G1042" s="406">
        <f>IFERROR(E1042*'01 Prod Physique Boites'!L1037,"-")</f>
        <v>0</v>
      </c>
      <c r="H1042" s="390"/>
      <c r="I1042" s="426">
        <f>IFERROR(H1042*(F1042/E1042),"-")</f>
        <v>0</v>
      </c>
      <c r="J1042" s="427">
        <f t="shared" si="650"/>
        <v>0</v>
      </c>
    </row>
    <row r="1043" spans="1:10" ht="24" thickBot="1" x14ac:dyDescent="0.35">
      <c r="A1043" s="277" t="s">
        <v>109</v>
      </c>
      <c r="B1043" s="967" t="s">
        <v>35</v>
      </c>
      <c r="C1043" s="968"/>
      <c r="D1043" s="969"/>
      <c r="E1043" s="393"/>
      <c r="F1043" s="409">
        <f t="shared" ref="F1043:G1043" si="651">SUM(F1040:F1042)</f>
        <v>0</v>
      </c>
      <c r="G1043" s="410">
        <f t="shared" si="651"/>
        <v>3076493.4720000001</v>
      </c>
      <c r="H1043" s="394"/>
      <c r="I1043" s="409">
        <f t="shared" ref="I1043:J1043" si="652">SUM(I1040:I1042)</f>
        <v>0</v>
      </c>
      <c r="J1043" s="428">
        <f t="shared" si="652"/>
        <v>5366649.5999999996</v>
      </c>
    </row>
    <row r="1044" spans="1:10" ht="23.4" x14ac:dyDescent="0.3">
      <c r="A1044" s="277" t="s">
        <v>109</v>
      </c>
      <c r="B1044" s="970" t="s">
        <v>36</v>
      </c>
      <c r="C1044" s="314" t="s">
        <v>120</v>
      </c>
      <c r="D1044" s="314"/>
      <c r="E1044" s="506">
        <v>254.89750000000001</v>
      </c>
      <c r="F1044" s="405">
        <f>IFERROR(E1044*'01 Prod Physique Boites'!H1039,"-")</f>
        <v>0</v>
      </c>
      <c r="G1044" s="406">
        <f>IFERROR(E1044*'01 Prod Physique Boites'!L1039,"-")</f>
        <v>0</v>
      </c>
      <c r="H1044" s="384">
        <v>445.38</v>
      </c>
      <c r="I1044" s="422">
        <f>IFERROR(H1044*(F1044/E1044),"-")</f>
        <v>0</v>
      </c>
      <c r="J1044" s="423">
        <f t="shared" ref="J1044:J1047" si="653">IFERROR(H1044*(G1044/E1044),"-")</f>
        <v>0</v>
      </c>
    </row>
    <row r="1045" spans="1:10" ht="23.4" x14ac:dyDescent="0.3">
      <c r="A1045" s="277" t="s">
        <v>109</v>
      </c>
      <c r="B1045" s="972"/>
      <c r="C1045" s="315" t="s">
        <v>267</v>
      </c>
      <c r="D1045" s="315"/>
      <c r="E1045" s="507">
        <v>246.51390000000001</v>
      </c>
      <c r="F1045" s="405">
        <f>IFERROR(E1045*'01 Prod Physique Boites'!H1040,"-")</f>
        <v>0</v>
      </c>
      <c r="G1045" s="406">
        <f>IFERROR(E1045*'01 Prod Physique Boites'!L1040,"-")</f>
        <v>1548107.2920000001</v>
      </c>
      <c r="H1045" s="388">
        <v>430.02</v>
      </c>
      <c r="I1045" s="424">
        <f>IFERROR(H1045*(F1045/E1045),"-")</f>
        <v>0</v>
      </c>
      <c r="J1045" s="425">
        <f t="shared" si="653"/>
        <v>2700525.6</v>
      </c>
    </row>
    <row r="1046" spans="1:10" ht="23.4" x14ac:dyDescent="0.3">
      <c r="A1046" s="277" t="s">
        <v>109</v>
      </c>
      <c r="B1046" s="972"/>
      <c r="C1046" s="315" t="s">
        <v>198</v>
      </c>
      <c r="D1046" s="315" t="s">
        <v>197</v>
      </c>
      <c r="E1046" s="507">
        <v>254.89750000000001</v>
      </c>
      <c r="F1046" s="405">
        <f>IFERROR(E1046*'01 Prod Physique Boites'!H1041,"-")</f>
        <v>0</v>
      </c>
      <c r="G1046" s="406">
        <f>IFERROR(E1046*'01 Prod Physique Boites'!L1041,"-")</f>
        <v>0</v>
      </c>
      <c r="H1046" s="388"/>
      <c r="I1046" s="424">
        <f>IFERROR(H1046*(F1046/E1046),"-")</f>
        <v>0</v>
      </c>
      <c r="J1046" s="425">
        <f t="shared" si="653"/>
        <v>0</v>
      </c>
    </row>
    <row r="1047" spans="1:10" ht="24" thickBot="1" x14ac:dyDescent="0.35">
      <c r="A1047" s="277" t="s">
        <v>109</v>
      </c>
      <c r="B1047" s="971"/>
      <c r="C1047" s="316" t="s">
        <v>37</v>
      </c>
      <c r="D1047" s="316"/>
      <c r="E1047" s="504">
        <v>229.99359999999999</v>
      </c>
      <c r="F1047" s="405">
        <f>IFERROR(E1047*'01 Prod Physique Boites'!H1042,"-")</f>
        <v>0</v>
      </c>
      <c r="G1047" s="406">
        <f>IFERROR(E1047*'01 Prod Physique Boites'!L1042,"-")</f>
        <v>0</v>
      </c>
      <c r="H1047" s="390"/>
      <c r="I1047" s="426">
        <f>IFERROR(H1047*(F1047/E1047),"-")</f>
        <v>0</v>
      </c>
      <c r="J1047" s="427">
        <f t="shared" si="653"/>
        <v>0</v>
      </c>
    </row>
    <row r="1048" spans="1:10" ht="24" thickBot="1" x14ac:dyDescent="0.35">
      <c r="A1048" s="277" t="s">
        <v>109</v>
      </c>
      <c r="B1048" s="967" t="s">
        <v>38</v>
      </c>
      <c r="C1048" s="968"/>
      <c r="D1048" s="969"/>
      <c r="E1048" s="393"/>
      <c r="F1048" s="409">
        <f t="shared" ref="F1048:G1048" si="654">SUM(F1044:F1047)</f>
        <v>0</v>
      </c>
      <c r="G1048" s="410">
        <f t="shared" si="654"/>
        <v>1548107.2920000001</v>
      </c>
      <c r="H1048" s="394"/>
      <c r="I1048" s="409">
        <f>SUM(I1044:I1047)</f>
        <v>0</v>
      </c>
      <c r="J1048" s="428">
        <f>SUM(J1044:J1047)</f>
        <v>2700525.6</v>
      </c>
    </row>
    <row r="1049" spans="1:10" ht="23.4" x14ac:dyDescent="0.3">
      <c r="A1049" s="277" t="s">
        <v>109</v>
      </c>
      <c r="B1049" s="970" t="s">
        <v>483</v>
      </c>
      <c r="C1049" s="317" t="s">
        <v>123</v>
      </c>
      <c r="D1049" s="317"/>
      <c r="E1049" s="506">
        <v>195.2808</v>
      </c>
      <c r="F1049" s="405">
        <f>IFERROR(E1049*'01 Prod Physique Boites'!H1044,"-")</f>
        <v>0</v>
      </c>
      <c r="G1049" s="406">
        <f>IFERROR(E1049*'01 Prod Physique Boites'!L1044,"-")</f>
        <v>28120.4352</v>
      </c>
      <c r="H1049" s="715">
        <v>256.7</v>
      </c>
      <c r="I1049" s="422">
        <f>IFERROR(H1049*(F1049/E1049),"-")</f>
        <v>0</v>
      </c>
      <c r="J1049" s="423">
        <f t="shared" ref="J1049:J1050" si="655">IFERROR(H1049*(G1049/E1049),"-")</f>
        <v>36964.799999999996</v>
      </c>
    </row>
    <row r="1050" spans="1:10" ht="24" thickBot="1" x14ac:dyDescent="0.35">
      <c r="A1050" s="277" t="s">
        <v>109</v>
      </c>
      <c r="B1050" s="971"/>
      <c r="C1050" s="289" t="s">
        <v>139</v>
      </c>
      <c r="D1050" s="289"/>
      <c r="E1050" s="504">
        <v>189.91890000000001</v>
      </c>
      <c r="F1050" s="405">
        <f>IFERROR(E1050*'01 Prod Physique Boites'!H1045,"-")</f>
        <v>0</v>
      </c>
      <c r="G1050" s="406">
        <f>IFERROR(E1050*'01 Prod Physique Boites'!L1045,"-")</f>
        <v>45580.536</v>
      </c>
      <c r="H1050" s="390">
        <v>320.35000000000002</v>
      </c>
      <c r="I1050" s="426">
        <f>IFERROR(H1050*(F1050/E1050),"-")</f>
        <v>0</v>
      </c>
      <c r="J1050" s="427">
        <f t="shared" si="655"/>
        <v>76884</v>
      </c>
    </row>
    <row r="1051" spans="1:10" ht="24" thickBot="1" x14ac:dyDescent="0.35">
      <c r="A1051" s="823" t="s">
        <v>109</v>
      </c>
      <c r="B1051" s="967" t="s">
        <v>40</v>
      </c>
      <c r="C1051" s="968"/>
      <c r="D1051" s="969"/>
      <c r="E1051" s="393"/>
      <c r="F1051" s="409">
        <f>SUM(F1049:F1050)</f>
        <v>0</v>
      </c>
      <c r="G1051" s="410">
        <f t="shared" ref="G1051" si="656">SUM(G1049:G1050)</f>
        <v>73700.9712</v>
      </c>
      <c r="H1051" s="394"/>
      <c r="I1051" s="409">
        <f t="shared" ref="I1051:J1051" si="657">SUM(I1049:I1050)</f>
        <v>0</v>
      </c>
      <c r="J1051" s="428">
        <f t="shared" si="657"/>
        <v>113848.79999999999</v>
      </c>
    </row>
    <row r="1052" spans="1:10" ht="23.4" x14ac:dyDescent="0.3">
      <c r="A1052" s="277" t="s">
        <v>109</v>
      </c>
      <c r="B1052" s="970" t="s">
        <v>484</v>
      </c>
      <c r="C1052" s="272" t="s">
        <v>335</v>
      </c>
      <c r="D1052" s="272" t="s">
        <v>258</v>
      </c>
      <c r="E1052" s="508">
        <v>37.248699999999999</v>
      </c>
      <c r="F1052" s="405">
        <f>IFERROR(E1052*'01 Prod Physique Boites'!H1047,"-")</f>
        <v>576609.87600000005</v>
      </c>
      <c r="G1052" s="406">
        <f>IFERROR(E1052*'01 Prod Physique Boites'!L1047,"-")</f>
        <v>7237124.4204000002</v>
      </c>
      <c r="H1052" s="384">
        <v>71.44</v>
      </c>
      <c r="I1052" s="422">
        <f>IFERROR(H1052*(F1052/E1052),"-")</f>
        <v>1105891.2000000002</v>
      </c>
      <c r="J1052" s="423">
        <f>IFERROR(H1052*(G1052/E1052),"-")</f>
        <v>13880220.48</v>
      </c>
    </row>
    <row r="1053" spans="1:10" ht="23.4" x14ac:dyDescent="0.3">
      <c r="A1053" s="277" t="s">
        <v>109</v>
      </c>
      <c r="B1053" s="972"/>
      <c r="C1053" s="272" t="s">
        <v>164</v>
      </c>
      <c r="D1053" s="278"/>
      <c r="E1053" s="508">
        <v>37.248699999999999</v>
      </c>
      <c r="F1053" s="405">
        <f>IFERROR(E1053*'01 Prod Physique Boites'!H1048,"-")</f>
        <v>0</v>
      </c>
      <c r="G1053" s="406">
        <f>IFERROR(E1053*'01 Prod Physique Boites'!L1048,"-")</f>
        <v>0</v>
      </c>
      <c r="H1053" s="388"/>
      <c r="I1053" s="424">
        <f>IFERROR(H1053*(F1053/E1053),"-")</f>
        <v>0</v>
      </c>
      <c r="J1053" s="425">
        <f t="shared" ref="J1053:J1055" si="658">IFERROR(H1053*(G1053/E1053),"-")</f>
        <v>0</v>
      </c>
    </row>
    <row r="1054" spans="1:10" ht="23.4" x14ac:dyDescent="0.3">
      <c r="A1054" s="277" t="s">
        <v>109</v>
      </c>
      <c r="B1054" s="972"/>
      <c r="C1054" s="278" t="s">
        <v>383</v>
      </c>
      <c r="D1054" s="272" t="s">
        <v>258</v>
      </c>
      <c r="E1054" s="508">
        <v>37.248699999999999</v>
      </c>
      <c r="F1054" s="405">
        <f>IFERROR(E1054*'01 Prod Physique Boites'!H1049,"-")</f>
        <v>0</v>
      </c>
      <c r="G1054" s="406">
        <f>IFERROR(E1054*'01 Prod Physique Boites'!L1049,"-")</f>
        <v>0</v>
      </c>
      <c r="H1054" s="388">
        <v>71.44</v>
      </c>
      <c r="I1054" s="424">
        <f>IFERROR(H1054*(F1054/E1054),"-")</f>
        <v>0</v>
      </c>
      <c r="J1054" s="425">
        <f t="shared" si="658"/>
        <v>0</v>
      </c>
    </row>
    <row r="1055" spans="1:10" ht="24" thickBot="1" x14ac:dyDescent="0.35">
      <c r="A1055" s="277" t="s">
        <v>109</v>
      </c>
      <c r="B1055" s="972"/>
      <c r="C1055" s="278" t="s">
        <v>165</v>
      </c>
      <c r="D1055" s="278"/>
      <c r="E1055" s="509">
        <v>38.466099999999997</v>
      </c>
      <c r="F1055" s="405">
        <f>IFERROR(E1055*'01 Prod Physique Boites'!H1050,"-")</f>
        <v>0</v>
      </c>
      <c r="G1055" s="406">
        <f>IFERROR(E1055*'01 Prod Physique Boites'!L1050,"-")</f>
        <v>0</v>
      </c>
      <c r="H1055" s="388"/>
      <c r="I1055" s="424">
        <f>IFERROR(H1055*(F1055/E1055),"-")</f>
        <v>0</v>
      </c>
      <c r="J1055" s="425">
        <f t="shared" si="658"/>
        <v>0</v>
      </c>
    </row>
    <row r="1056" spans="1:10" ht="24" thickBot="1" x14ac:dyDescent="0.35">
      <c r="A1056" s="277" t="s">
        <v>109</v>
      </c>
      <c r="B1056" s="967" t="s">
        <v>42</v>
      </c>
      <c r="C1056" s="968"/>
      <c r="D1056" s="969"/>
      <c r="E1056" s="393"/>
      <c r="F1056" s="409">
        <f>SUM(F1052:F1055)</f>
        <v>576609.87600000005</v>
      </c>
      <c r="G1056" s="410">
        <f>SUM(G1052:G1055)</f>
        <v>7237124.4204000002</v>
      </c>
      <c r="H1056" s="394"/>
      <c r="I1056" s="409">
        <f>SUM(I1052:I1055)</f>
        <v>1105891.2000000002</v>
      </c>
      <c r="J1056" s="409">
        <f>SUM(J1052:J1055)</f>
        <v>13880220.48</v>
      </c>
    </row>
    <row r="1057" spans="1:10" ht="23.4" x14ac:dyDescent="0.3">
      <c r="A1057" s="277" t="s">
        <v>109</v>
      </c>
      <c r="B1057" s="970" t="s">
        <v>43</v>
      </c>
      <c r="C1057" s="272" t="s">
        <v>200</v>
      </c>
      <c r="D1057" s="272" t="s">
        <v>197</v>
      </c>
      <c r="E1057" s="508">
        <v>30.7499</v>
      </c>
      <c r="F1057" s="405">
        <f>IFERROR(E1057*'01 Prod Physique Boites'!H1053,"-")</f>
        <v>0</v>
      </c>
      <c r="G1057" s="406">
        <f>IFERROR(E1057*'01 Prod Physique Boites'!L1053,"-")</f>
        <v>0</v>
      </c>
      <c r="H1057" s="384"/>
      <c r="I1057" s="422">
        <f>IFERROR(H1057*(F1057/E1057),"-")</f>
        <v>0</v>
      </c>
      <c r="J1057" s="423">
        <f>IFERROR(H1057*(G1057/E1057),"-")</f>
        <v>0</v>
      </c>
    </row>
    <row r="1058" spans="1:10" ht="23.4" x14ac:dyDescent="0.3">
      <c r="A1058" s="277" t="s">
        <v>109</v>
      </c>
      <c r="B1058" s="972"/>
      <c r="C1058" s="278" t="s">
        <v>167</v>
      </c>
      <c r="D1058" s="278"/>
      <c r="E1058" s="727">
        <v>25.139099999999999</v>
      </c>
      <c r="F1058" s="405">
        <f>IFERROR(E1058*'01 Prod Physique Boites'!H1054,"-")</f>
        <v>144801.21599999999</v>
      </c>
      <c r="G1058" s="406">
        <f>IFERROR(E1058*'01 Prod Physique Boites'!L1054,"-")</f>
        <v>2735536.3056000001</v>
      </c>
      <c r="H1058" s="388">
        <v>59.96</v>
      </c>
      <c r="I1058" s="424">
        <f>IFERROR(H1058*(F1058/E1058),"-")</f>
        <v>345369.59999999998</v>
      </c>
      <c r="J1058" s="425">
        <f t="shared" ref="J1058:J1059" si="659">IFERROR(H1058*(G1058/E1058),"-")</f>
        <v>6524607.3600000003</v>
      </c>
    </row>
    <row r="1059" spans="1:10" ht="24" thickBot="1" x14ac:dyDescent="0.35">
      <c r="A1059" s="277" t="s">
        <v>109</v>
      </c>
      <c r="B1059" s="971"/>
      <c r="C1059" s="282" t="s">
        <v>200</v>
      </c>
      <c r="D1059" s="282" t="s">
        <v>199</v>
      </c>
      <c r="E1059" s="505">
        <v>30.073599999999999</v>
      </c>
      <c r="F1059" s="405">
        <f>IFERROR(E1059*'01 Prod Physique Boites'!H1055,"-")</f>
        <v>0</v>
      </c>
      <c r="G1059" s="406">
        <f>IFERROR(E1059*'01 Prod Physique Boites'!L1055,"-")</f>
        <v>0</v>
      </c>
      <c r="H1059" s="390"/>
      <c r="I1059" s="426">
        <f>IFERROR(H1059*(F1059/E1059),"-")</f>
        <v>0</v>
      </c>
      <c r="J1059" s="427">
        <f t="shared" si="659"/>
        <v>0</v>
      </c>
    </row>
    <row r="1060" spans="1:10" ht="24" thickBot="1" x14ac:dyDescent="0.35">
      <c r="A1060" s="277" t="s">
        <v>109</v>
      </c>
      <c r="B1060" s="973" t="s">
        <v>44</v>
      </c>
      <c r="C1060" s="974"/>
      <c r="D1060" s="975"/>
      <c r="E1060" s="393"/>
      <c r="F1060" s="409">
        <f t="shared" ref="F1060:G1060" si="660">SUM(F1057:F1059)</f>
        <v>144801.21599999999</v>
      </c>
      <c r="G1060" s="410">
        <f t="shared" si="660"/>
        <v>2735536.3056000001</v>
      </c>
      <c r="H1060" s="394"/>
      <c r="I1060" s="409">
        <f t="shared" ref="I1060:J1060" si="661">SUM(I1057:I1059)</f>
        <v>345369.59999999998</v>
      </c>
      <c r="J1060" s="428">
        <f t="shared" si="661"/>
        <v>6524607.3600000003</v>
      </c>
    </row>
    <row r="1061" spans="1:10" ht="23.4" x14ac:dyDescent="0.3">
      <c r="A1061" s="277" t="s">
        <v>109</v>
      </c>
      <c r="B1061" s="970" t="s">
        <v>45</v>
      </c>
      <c r="C1061" s="272" t="s">
        <v>168</v>
      </c>
      <c r="D1061" s="272"/>
      <c r="E1061" s="508">
        <v>36.684899999999999</v>
      </c>
      <c r="F1061" s="405">
        <f>IFERROR(E1061*'01 Prod Physique Boites'!H1057,"-")</f>
        <v>0</v>
      </c>
      <c r="G1061" s="406">
        <f>IFERROR(E1061*'01 Prod Physique Boites'!L1057,"-")</f>
        <v>0</v>
      </c>
      <c r="H1061" s="384"/>
      <c r="I1061" s="385" t="s">
        <v>204</v>
      </c>
      <c r="J1061" s="386" t="s">
        <v>204</v>
      </c>
    </row>
    <row r="1062" spans="1:10" ht="24" thickBot="1" x14ac:dyDescent="0.35">
      <c r="A1062" s="277" t="s">
        <v>109</v>
      </c>
      <c r="B1062" s="971"/>
      <c r="C1062" s="282" t="s">
        <v>169</v>
      </c>
      <c r="D1062" s="282"/>
      <c r="E1062" s="505">
        <v>37.002800000000001</v>
      </c>
      <c r="F1062" s="405">
        <f>IFERROR(E1062*'01 Prod Physique Boites'!H1058,"-")</f>
        <v>0</v>
      </c>
      <c r="G1062" s="406">
        <f>IFERROR(E1062*'01 Prod Physique Boites'!L1058,"-")</f>
        <v>0</v>
      </c>
      <c r="H1062" s="390"/>
      <c r="I1062" s="391" t="s">
        <v>204</v>
      </c>
      <c r="J1062" s="392" t="s">
        <v>204</v>
      </c>
    </row>
    <row r="1063" spans="1:10" ht="24" thickBot="1" x14ac:dyDescent="0.35">
      <c r="A1063" s="277" t="s">
        <v>109</v>
      </c>
      <c r="B1063" s="973" t="s">
        <v>46</v>
      </c>
      <c r="C1063" s="974"/>
      <c r="D1063" s="975"/>
      <c r="E1063" s="393"/>
      <c r="F1063" s="405">
        <f>IFERROR(E1063*'01 Prod Physique Boites'!H1059,"-")</f>
        <v>0</v>
      </c>
      <c r="G1063" s="410">
        <f>IFERROR(E1063*'01 Prod Physique Boites'!L1059,"-")</f>
        <v>0</v>
      </c>
      <c r="H1063" s="394"/>
      <c r="I1063" s="409">
        <f t="shared" ref="I1063:J1063" si="662">SUM(I1061:I1062)</f>
        <v>0</v>
      </c>
      <c r="J1063" s="428">
        <f t="shared" si="662"/>
        <v>0</v>
      </c>
    </row>
    <row r="1064" spans="1:10" ht="24" thickBot="1" x14ac:dyDescent="0.35">
      <c r="A1064" s="277" t="s">
        <v>109</v>
      </c>
      <c r="B1064" s="959" t="s">
        <v>25</v>
      </c>
      <c r="C1064" s="960"/>
      <c r="D1064" s="961"/>
      <c r="E1064" s="396"/>
      <c r="F1064" s="413">
        <f>+F1043+F1048+F1051+F1056+F1060+F1063</f>
        <v>721411.09200000006</v>
      </c>
      <c r="G1064" s="414">
        <f>+G1043+G1048+G1051+G1056+G1060+G1063</f>
        <v>14670962.461200001</v>
      </c>
      <c r="H1064" s="397"/>
      <c r="I1064" s="413">
        <f>+I1043+I1048+I1051+I1056+I1060+I1063</f>
        <v>1451260.8000000003</v>
      </c>
      <c r="J1064" s="431">
        <f>+J1043+J1048+J1051+J1056+J1060+J1063</f>
        <v>28585851.84</v>
      </c>
    </row>
    <row r="1065" spans="1:10" ht="24" thickBot="1" x14ac:dyDescent="0.35">
      <c r="A1065" s="321" t="s">
        <v>109</v>
      </c>
      <c r="B1065" s="962" t="s">
        <v>181</v>
      </c>
      <c r="C1065" s="962"/>
      <c r="D1065" s="963"/>
      <c r="E1065" s="398"/>
      <c r="F1065" s="415">
        <f t="shared" ref="F1065:G1065" si="663">+F1064</f>
        <v>721411.09200000006</v>
      </c>
      <c r="G1065" s="416">
        <f t="shared" si="663"/>
        <v>14670962.461200001</v>
      </c>
      <c r="H1065" s="399"/>
      <c r="I1065" s="415">
        <f t="shared" ref="I1065" si="664">+I1064</f>
        <v>1451260.8000000003</v>
      </c>
      <c r="J1065" s="432">
        <f>+J1064</f>
        <v>28585851.84</v>
      </c>
    </row>
    <row r="1066" spans="1:10" ht="24.6" thickBot="1" x14ac:dyDescent="0.35">
      <c r="A1066" s="322"/>
      <c r="B1066" s="964" t="s">
        <v>182</v>
      </c>
      <c r="C1066" s="965"/>
      <c r="D1066" s="966"/>
      <c r="E1066" s="404"/>
      <c r="F1066" s="421">
        <f>+F1010+F1039+F1065</f>
        <v>6612138.9332999997</v>
      </c>
      <c r="G1066" s="421">
        <f>+G1010+G1039+G1065</f>
        <v>84658142.049099997</v>
      </c>
      <c r="H1066" s="404"/>
      <c r="I1066" s="421">
        <f>+I1010+I1039+I1065</f>
        <v>9743693.6700000018</v>
      </c>
      <c r="J1066" s="435">
        <f>+J1010+J1039+J1065</f>
        <v>124315399.56999999</v>
      </c>
    </row>
    <row r="1067" spans="1:10" ht="23.4" x14ac:dyDescent="0.3">
      <c r="A1067" s="991" t="s">
        <v>1</v>
      </c>
      <c r="B1067" s="994" t="s">
        <v>2</v>
      </c>
      <c r="C1067" s="997" t="s">
        <v>477</v>
      </c>
      <c r="D1067" s="997" t="s">
        <v>478</v>
      </c>
      <c r="E1067" s="1021" t="s">
        <v>486</v>
      </c>
      <c r="F1067" s="1022"/>
      <c r="G1067" s="1022"/>
      <c r="H1067" s="445"/>
      <c r="I1067" s="445"/>
      <c r="J1067" s="446"/>
    </row>
    <row r="1068" spans="1:10" ht="23.4" x14ac:dyDescent="0.3">
      <c r="A1068" s="992"/>
      <c r="B1068" s="995"/>
      <c r="C1068" s="998"/>
      <c r="D1068" s="998"/>
      <c r="E1068" s="1023" t="s">
        <v>489</v>
      </c>
      <c r="F1068" s="1024"/>
      <c r="G1068" s="1025"/>
      <c r="H1068" s="1023" t="s">
        <v>176</v>
      </c>
      <c r="I1068" s="1024"/>
      <c r="J1068" s="1025"/>
    </row>
    <row r="1069" spans="1:10" ht="46.8" x14ac:dyDescent="0.3">
      <c r="A1069" s="993"/>
      <c r="B1069" s="1019"/>
      <c r="C1069" s="1020"/>
      <c r="D1069" s="1020"/>
      <c r="E1069" s="382" t="s">
        <v>178</v>
      </c>
      <c r="F1069" s="830" t="s">
        <v>488</v>
      </c>
      <c r="G1069" s="831" t="s">
        <v>487</v>
      </c>
      <c r="H1069" s="1026" t="s">
        <v>178</v>
      </c>
      <c r="I1069" s="1028" t="s">
        <v>144</v>
      </c>
      <c r="J1069" s="1030" t="s">
        <v>487</v>
      </c>
    </row>
    <row r="1070" spans="1:10" ht="24" thickBot="1" x14ac:dyDescent="0.35">
      <c r="A1070" s="993"/>
      <c r="B1070" s="996"/>
      <c r="C1070" s="999"/>
      <c r="D1070" s="999"/>
      <c r="E1070" s="1032">
        <v>44545</v>
      </c>
      <c r="F1070" s="1033"/>
      <c r="G1070" s="1034"/>
      <c r="H1070" s="1027"/>
      <c r="I1070" s="1029"/>
      <c r="J1070" s="1031"/>
    </row>
    <row r="1071" spans="1:10" ht="23.4" x14ac:dyDescent="0.3">
      <c r="A1071" s="271" t="s">
        <v>110</v>
      </c>
      <c r="B1071" s="956" t="s">
        <v>16</v>
      </c>
      <c r="C1071" s="272" t="s">
        <v>424</v>
      </c>
      <c r="D1071" s="272" t="s">
        <v>425</v>
      </c>
      <c r="E1071" s="758">
        <v>81.360699999999994</v>
      </c>
      <c r="F1071" s="405">
        <f>IFERROR(E1071*'01 Prod Physique Boites'!H1066,"-")</f>
        <v>0</v>
      </c>
      <c r="G1071" s="405">
        <f>IFERROR(E1071*'01 Prod Physique Boites'!L1066,"-")</f>
        <v>1614196.2879999999</v>
      </c>
      <c r="H1071" s="759">
        <v>143.28</v>
      </c>
      <c r="I1071" s="422">
        <f>IFERROR(H1071*(F1071/E1071),"-")</f>
        <v>0</v>
      </c>
      <c r="J1071" s="423">
        <f t="shared" ref="J1071:J1073" si="665">IFERROR(H1071*(G1071/E1071),"-")</f>
        <v>2842675.2000000002</v>
      </c>
    </row>
    <row r="1072" spans="1:10" ht="23.4" x14ac:dyDescent="0.3">
      <c r="A1072" s="784"/>
      <c r="B1072" s="957"/>
      <c r="C1072" s="278" t="s">
        <v>188</v>
      </c>
      <c r="D1072" s="278" t="s">
        <v>101</v>
      </c>
      <c r="E1072" s="509">
        <v>81.360699999999994</v>
      </c>
      <c r="F1072" s="405">
        <f>IFERROR(E1072*'01 Prod Physique Boites'!H1067,"-")</f>
        <v>0</v>
      </c>
      <c r="G1072" s="405">
        <f>IFERROR(E1072*'01 Prod Physique Boites'!L1067,"-")</f>
        <v>3936312.0266999998</v>
      </c>
      <c r="H1072" s="770">
        <v>0</v>
      </c>
      <c r="I1072" s="422">
        <f>IFERROR(H1072*(F1072/E1072),"-")</f>
        <v>0</v>
      </c>
      <c r="J1072" s="423">
        <f t="shared" si="665"/>
        <v>0</v>
      </c>
    </row>
    <row r="1073" spans="1:15" ht="23.4" x14ac:dyDescent="0.3">
      <c r="A1073" s="277" t="s">
        <v>110</v>
      </c>
      <c r="B1073" s="957"/>
      <c r="C1073" s="278" t="s">
        <v>186</v>
      </c>
      <c r="D1073" s="278" t="s">
        <v>184</v>
      </c>
      <c r="E1073" s="509">
        <v>55.476900000000001</v>
      </c>
      <c r="F1073" s="405">
        <f>IFERROR(E1073*'01 Prod Physique Boites'!H1068,"-")</f>
        <v>0</v>
      </c>
      <c r="G1073" s="405">
        <f>IFERROR(E1073*'01 Prod Physique Boites'!L1068,"-")</f>
        <v>0</v>
      </c>
      <c r="H1073" s="388">
        <v>0</v>
      </c>
      <c r="I1073" s="422">
        <f>IFERROR(H1073*(F1073/E1073),"-")</f>
        <v>0</v>
      </c>
      <c r="J1073" s="423">
        <f t="shared" si="665"/>
        <v>0</v>
      </c>
    </row>
    <row r="1074" spans="1:15" ht="24" thickBot="1" x14ac:dyDescent="0.35">
      <c r="A1074" s="277" t="s">
        <v>110</v>
      </c>
      <c r="B1074" s="958"/>
      <c r="C1074" s="282" t="s">
        <v>282</v>
      </c>
      <c r="D1074" s="282" t="s">
        <v>251</v>
      </c>
      <c r="E1074" s="505">
        <v>60.703499999999998</v>
      </c>
      <c r="F1074" s="405">
        <f>IFERROR(E1074*'01 Prod Physique Boites'!H1069,"-")</f>
        <v>0</v>
      </c>
      <c r="G1074" s="405">
        <f>IFERROR(E1074*'01 Prod Physique Boites'!L1069,"-")</f>
        <v>0</v>
      </c>
      <c r="H1074" s="390">
        <v>111.09</v>
      </c>
      <c r="I1074" s="422">
        <f>IFERROR(H1074*(F1074/E1074),"-")</f>
        <v>0</v>
      </c>
      <c r="J1074" s="423">
        <f>IFERROR(H1074*(G1074/E1074),"-")</f>
        <v>0</v>
      </c>
    </row>
    <row r="1075" spans="1:15" ht="24" thickBot="1" x14ac:dyDescent="0.35">
      <c r="A1075" s="277" t="s">
        <v>110</v>
      </c>
      <c r="B1075" s="967" t="s">
        <v>47</v>
      </c>
      <c r="C1075" s="968"/>
      <c r="D1075" s="969"/>
      <c r="E1075" s="393"/>
      <c r="F1075" s="409">
        <f t="shared" ref="F1075" si="666">SUM(F1071:F1074)</f>
        <v>0</v>
      </c>
      <c r="G1075" s="410">
        <f>SUM(G1071:G1074)</f>
        <v>5550508.3147</v>
      </c>
      <c r="H1075" s="394"/>
      <c r="I1075" s="409">
        <f t="shared" ref="I1075:J1075" si="667">SUM(I1071:I1074)</f>
        <v>0</v>
      </c>
      <c r="J1075" s="428">
        <f t="shared" si="667"/>
        <v>2842675.2000000002</v>
      </c>
      <c r="K1075" s="757"/>
      <c r="L1075" s="757"/>
      <c r="M1075" s="757"/>
      <c r="N1075" s="757"/>
      <c r="O1075" s="757"/>
    </row>
    <row r="1076" spans="1:15" ht="23.4" x14ac:dyDescent="0.3">
      <c r="A1076" s="277" t="s">
        <v>110</v>
      </c>
      <c r="B1076" s="956" t="s">
        <v>17</v>
      </c>
      <c r="C1076" s="272" t="s">
        <v>320</v>
      </c>
      <c r="D1076" s="272"/>
      <c r="E1076" s="508">
        <v>12.5275</v>
      </c>
      <c r="F1076" s="405">
        <f>IFERROR(E1076*'01 Prod Physique Boites'!H1071,"-")</f>
        <v>0</v>
      </c>
      <c r="G1076" s="405">
        <f>IFERROR(E1076*'01 Prod Physique Boites'!L1071,"-")</f>
        <v>0</v>
      </c>
      <c r="H1076" s="384">
        <v>18.836400000000001</v>
      </c>
      <c r="I1076" s="422">
        <f t="shared" ref="I1076:I1082" si="668">IFERROR(H1076*(F1076/E1076),"-")</f>
        <v>0</v>
      </c>
      <c r="J1076" s="423">
        <f t="shared" ref="J1076:J1081" si="669">IFERROR(H1076*(G1076/E1076),"-")</f>
        <v>0</v>
      </c>
    </row>
    <row r="1077" spans="1:15" ht="23.4" x14ac:dyDescent="0.3">
      <c r="A1077" s="277" t="s">
        <v>110</v>
      </c>
      <c r="B1077" s="957"/>
      <c r="C1077" s="278" t="s">
        <v>382</v>
      </c>
      <c r="D1077" s="278" t="s">
        <v>252</v>
      </c>
      <c r="E1077" s="698">
        <v>13.002700000000001</v>
      </c>
      <c r="F1077" s="405">
        <f>IFERROR(E1077*'01 Prod Physique Boites'!H1072,"-")</f>
        <v>79576.524000000005</v>
      </c>
      <c r="G1077" s="405">
        <f>IFERROR(E1077*'01 Prod Physique Boites'!L1072,"-")</f>
        <v>7837286.4061000003</v>
      </c>
      <c r="H1077" s="388">
        <v>21.18</v>
      </c>
      <c r="I1077" s="424">
        <f t="shared" si="668"/>
        <v>129621.59999999999</v>
      </c>
      <c r="J1077" s="425">
        <f t="shared" si="669"/>
        <v>12766096.74</v>
      </c>
    </row>
    <row r="1078" spans="1:15" ht="23.4" x14ac:dyDescent="0.3">
      <c r="A1078" s="277" t="s">
        <v>110</v>
      </c>
      <c r="B1078" s="957"/>
      <c r="C1078" s="278" t="s">
        <v>391</v>
      </c>
      <c r="D1078" s="278" t="s">
        <v>201</v>
      </c>
      <c r="E1078" s="698">
        <v>12.9049</v>
      </c>
      <c r="F1078" s="405">
        <f>IFERROR(E1078*'01 Prod Physique Boites'!H1073,"-")</f>
        <v>0</v>
      </c>
      <c r="G1078" s="405">
        <f>IFERROR(E1078*'01 Prod Physique Boites'!L1073,"-")</f>
        <v>5828575.5143999998</v>
      </c>
      <c r="H1078" s="388">
        <v>20.5</v>
      </c>
      <c r="I1078" s="424">
        <f t="shared" si="668"/>
        <v>0</v>
      </c>
      <c r="J1078" s="425">
        <f t="shared" si="669"/>
        <v>9258948</v>
      </c>
    </row>
    <row r="1079" spans="1:15" ht="23.4" x14ac:dyDescent="0.3">
      <c r="A1079" s="277" t="s">
        <v>110</v>
      </c>
      <c r="B1079" s="957"/>
      <c r="C1079" s="278" t="s">
        <v>319</v>
      </c>
      <c r="D1079" s="278" t="s">
        <v>202</v>
      </c>
      <c r="E1079" s="509">
        <v>13.078200000000001</v>
      </c>
      <c r="F1079" s="405">
        <f>IFERROR(E1079*'01 Prod Physique Boites'!H1074,"-")</f>
        <v>0</v>
      </c>
      <c r="G1079" s="405">
        <f>IFERROR(E1079*'01 Prod Physique Boites'!L1074,"-")</f>
        <v>0</v>
      </c>
      <c r="H1079" s="388">
        <v>20.6</v>
      </c>
      <c r="I1079" s="424">
        <f t="shared" si="668"/>
        <v>0</v>
      </c>
      <c r="J1079" s="425">
        <f t="shared" si="669"/>
        <v>0</v>
      </c>
    </row>
    <row r="1080" spans="1:15" ht="23.4" x14ac:dyDescent="0.3">
      <c r="A1080" s="277" t="s">
        <v>110</v>
      </c>
      <c r="B1080" s="957"/>
      <c r="C1080" s="278" t="s">
        <v>358</v>
      </c>
      <c r="D1080" s="278" t="s">
        <v>352</v>
      </c>
      <c r="E1080" s="509">
        <v>13.1958</v>
      </c>
      <c r="F1080" s="405">
        <f>IFERROR(E1080*'01 Prod Physique Boites'!H1075,"-")</f>
        <v>1857440.808</v>
      </c>
      <c r="G1080" s="405">
        <f>IFERROR(E1080*'01 Prod Physique Boites'!L1075,"-")</f>
        <v>5087772.648</v>
      </c>
      <c r="H1080" s="388">
        <v>21.28</v>
      </c>
      <c r="I1080" s="424">
        <f t="shared" si="668"/>
        <v>2995372.8000000003</v>
      </c>
      <c r="J1080" s="425">
        <f t="shared" si="669"/>
        <v>8204716.8000000007</v>
      </c>
    </row>
    <row r="1081" spans="1:15" ht="23.4" x14ac:dyDescent="0.3">
      <c r="A1081" s="277">
        <v>1</v>
      </c>
      <c r="B1081" s="957"/>
      <c r="C1081" s="278" t="s">
        <v>392</v>
      </c>
      <c r="D1081" s="278" t="s">
        <v>203</v>
      </c>
      <c r="E1081" s="698">
        <v>12.9049</v>
      </c>
      <c r="F1081" s="405">
        <f>IFERROR(E1081*'01 Prod Physique Boites'!H1076,"-")</f>
        <v>0</v>
      </c>
      <c r="G1081" s="405">
        <f>IFERROR(E1081*'01 Prod Physique Boites'!L1076,"-")</f>
        <v>0</v>
      </c>
      <c r="H1081" s="677">
        <v>20.5</v>
      </c>
      <c r="I1081" s="424">
        <f t="shared" si="668"/>
        <v>0</v>
      </c>
      <c r="J1081" s="425">
        <f t="shared" si="669"/>
        <v>0</v>
      </c>
    </row>
    <row r="1082" spans="1:15" ht="24" thickBot="1" x14ac:dyDescent="0.35">
      <c r="A1082" s="277" t="s">
        <v>110</v>
      </c>
      <c r="B1082" s="958"/>
      <c r="C1082" s="282" t="s">
        <v>379</v>
      </c>
      <c r="D1082" s="282" t="s">
        <v>187</v>
      </c>
      <c r="E1082" s="505">
        <v>13.6509</v>
      </c>
      <c r="F1082" s="405">
        <f>IFERROR(E1082*'01 Prod Physique Boites'!H1077,"-")</f>
        <v>0</v>
      </c>
      <c r="G1082" s="405">
        <f>IFERROR(E1082*'01 Prod Physique Boites'!L1077,"-")</f>
        <v>0</v>
      </c>
      <c r="H1082" s="390">
        <v>21.18</v>
      </c>
      <c r="I1082" s="426">
        <f t="shared" si="668"/>
        <v>0</v>
      </c>
      <c r="J1082" s="427">
        <f>IFERROR(H1082*(G1082/E1082),"-")</f>
        <v>0</v>
      </c>
    </row>
    <row r="1083" spans="1:15" ht="24" thickBot="1" x14ac:dyDescent="0.35">
      <c r="A1083" s="277" t="s">
        <v>110</v>
      </c>
      <c r="B1083" s="967" t="s">
        <v>48</v>
      </c>
      <c r="C1083" s="968"/>
      <c r="D1083" s="969"/>
      <c r="E1083" s="393"/>
      <c r="F1083" s="409">
        <f t="shared" ref="F1083" si="670">SUM(F1076:F1082)</f>
        <v>1937017.3319999999</v>
      </c>
      <c r="G1083" s="410">
        <f>SUM(G1076:G1082)</f>
        <v>18753634.568499997</v>
      </c>
      <c r="H1083" s="394"/>
      <c r="I1083" s="409">
        <f t="shared" ref="I1083" si="671">SUM(I1076:I1082)</f>
        <v>3124994.4000000004</v>
      </c>
      <c r="J1083" s="428">
        <f>SUM(J1076:J1082)</f>
        <v>30229761.540000003</v>
      </c>
      <c r="K1083" s="757"/>
      <c r="L1083" s="757"/>
      <c r="M1083" s="757"/>
      <c r="N1083" s="757"/>
      <c r="O1083" s="757"/>
    </row>
    <row r="1084" spans="1:15" ht="23.4" x14ac:dyDescent="0.3">
      <c r="A1084" s="277" t="s">
        <v>110</v>
      </c>
      <c r="B1084" s="956" t="s">
        <v>18</v>
      </c>
      <c r="C1084" s="272" t="s">
        <v>344</v>
      </c>
      <c r="D1084" s="272" t="s">
        <v>99</v>
      </c>
      <c r="E1084" s="508">
        <v>17.8202</v>
      </c>
      <c r="F1084" s="405">
        <f>IFERROR(E1084*'01 Prod Physique Boites'!H1079,"-")</f>
        <v>0</v>
      </c>
      <c r="G1084" s="406">
        <f>IFERROR(E1084*'01 Prod Physique Boites'!L1079,"-")</f>
        <v>0</v>
      </c>
      <c r="H1084" s="384">
        <v>24.93</v>
      </c>
      <c r="I1084" s="422">
        <f t="shared" ref="I1084:I1090" si="672">IFERROR(H1084*(F1084/E1084),"-")</f>
        <v>0</v>
      </c>
      <c r="J1084" s="423">
        <f t="shared" ref="J1084:J1086" si="673">IFERROR(H1084*(G1084/E1084),"-")</f>
        <v>0</v>
      </c>
    </row>
    <row r="1085" spans="1:15" ht="23.4" x14ac:dyDescent="0.3">
      <c r="A1085" s="277" t="s">
        <v>110</v>
      </c>
      <c r="B1085" s="957"/>
      <c r="C1085" s="278" t="s">
        <v>137</v>
      </c>
      <c r="D1085" s="278"/>
      <c r="E1085" s="509">
        <v>17.8202</v>
      </c>
      <c r="F1085" s="405">
        <f>IFERROR(E1085*'01 Prod Physique Boites'!H1080,"-")</f>
        <v>0</v>
      </c>
      <c r="G1085" s="406">
        <f>IFERROR(E1085*'01 Prod Physique Boites'!L1080,"-")</f>
        <v>0</v>
      </c>
      <c r="H1085" s="388">
        <v>0</v>
      </c>
      <c r="I1085" s="424">
        <f t="shared" si="672"/>
        <v>0</v>
      </c>
      <c r="J1085" s="425">
        <f t="shared" si="673"/>
        <v>0</v>
      </c>
    </row>
    <row r="1086" spans="1:15" ht="23.4" x14ac:dyDescent="0.3">
      <c r="A1086" s="277" t="s">
        <v>110</v>
      </c>
      <c r="B1086" s="957"/>
      <c r="C1086" s="278" t="s">
        <v>122</v>
      </c>
      <c r="D1086" s="278"/>
      <c r="E1086" s="509">
        <v>16.4071</v>
      </c>
      <c r="F1086" s="405">
        <f>IFERROR(E1086*'01 Prod Physique Boites'!H1081,"-")</f>
        <v>0</v>
      </c>
      <c r="G1086" s="406">
        <f>IFERROR(E1086*'01 Prod Physique Boites'!L1081,"-")</f>
        <v>0</v>
      </c>
      <c r="H1086" s="388">
        <v>0</v>
      </c>
      <c r="I1086" s="424">
        <f t="shared" si="672"/>
        <v>0</v>
      </c>
      <c r="J1086" s="425">
        <f t="shared" si="673"/>
        <v>0</v>
      </c>
    </row>
    <row r="1087" spans="1:15" ht="23.4" x14ac:dyDescent="0.3">
      <c r="A1087" s="277" t="s">
        <v>110</v>
      </c>
      <c r="B1087" s="957"/>
      <c r="C1087" s="278" t="s">
        <v>129</v>
      </c>
      <c r="D1087" s="278"/>
      <c r="E1087" s="509">
        <v>17.8202</v>
      </c>
      <c r="F1087" s="405">
        <f>IFERROR(E1087*'01 Prod Physique Boites'!H1082,"-")</f>
        <v>0</v>
      </c>
      <c r="G1087" s="406">
        <f>IFERROR(E1087*'01 Prod Physique Boites'!L1082,"-")</f>
        <v>0</v>
      </c>
      <c r="H1087" s="388">
        <v>0</v>
      </c>
      <c r="I1087" s="424">
        <f t="shared" si="672"/>
        <v>0</v>
      </c>
      <c r="J1087" s="425">
        <f>IFERROR(H1087*(G1087/E1087),"-")</f>
        <v>0</v>
      </c>
    </row>
    <row r="1088" spans="1:15" ht="23.4" x14ac:dyDescent="0.3">
      <c r="A1088" s="277" t="s">
        <v>110</v>
      </c>
      <c r="B1088" s="957"/>
      <c r="C1088" s="278" t="s">
        <v>189</v>
      </c>
      <c r="D1088" s="278" t="s">
        <v>190</v>
      </c>
      <c r="E1088" s="509">
        <v>17.8202</v>
      </c>
      <c r="F1088" s="405">
        <f>IFERROR(E1088*'01 Prod Physique Boites'!H1083,"-")</f>
        <v>0</v>
      </c>
      <c r="G1088" s="406">
        <f>IFERROR(E1088*'01 Prod Physique Boites'!L1083,"-")</f>
        <v>0</v>
      </c>
      <c r="H1088" s="388">
        <v>0</v>
      </c>
      <c r="I1088" s="424">
        <f t="shared" si="672"/>
        <v>0</v>
      </c>
      <c r="J1088" s="425">
        <f t="shared" ref="J1088:J1090" si="674">IFERROR(H1088*(G1088/E1088),"-")</f>
        <v>0</v>
      </c>
    </row>
    <row r="1089" spans="1:10" ht="23.4" x14ac:dyDescent="0.3">
      <c r="A1089" s="277" t="s">
        <v>110</v>
      </c>
      <c r="B1089" s="957"/>
      <c r="C1089" s="278" t="s">
        <v>192</v>
      </c>
      <c r="D1089" s="278" t="s">
        <v>191</v>
      </c>
      <c r="E1089" s="509">
        <v>16.7288</v>
      </c>
      <c r="F1089" s="405">
        <f>IFERROR(E1089*'01 Prod Physique Boites'!H1084,"-")</f>
        <v>0</v>
      </c>
      <c r="G1089" s="406">
        <f>IFERROR(E1089*'01 Prod Physique Boites'!L1084,"-")</f>
        <v>0</v>
      </c>
      <c r="H1089" s="388">
        <v>0</v>
      </c>
      <c r="I1089" s="424">
        <f t="shared" si="672"/>
        <v>0</v>
      </c>
      <c r="J1089" s="425">
        <f t="shared" si="674"/>
        <v>0</v>
      </c>
    </row>
    <row r="1090" spans="1:10" ht="24" thickBot="1" x14ac:dyDescent="0.35">
      <c r="A1090" s="277" t="s">
        <v>110</v>
      </c>
      <c r="B1090" s="958"/>
      <c r="C1090" s="289" t="s">
        <v>193</v>
      </c>
      <c r="D1090" s="289" t="s">
        <v>114</v>
      </c>
      <c r="E1090" s="505">
        <v>17.8202</v>
      </c>
      <c r="F1090" s="405">
        <f>IFERROR(E1090*'01 Prod Physique Boites'!H1085,"-")</f>
        <v>0</v>
      </c>
      <c r="G1090" s="406">
        <f>IFERROR(E1090*'01 Prod Physique Boites'!L1085,"-")</f>
        <v>0</v>
      </c>
      <c r="H1090" s="388">
        <v>0</v>
      </c>
      <c r="I1090" s="426">
        <f t="shared" si="672"/>
        <v>0</v>
      </c>
      <c r="J1090" s="427">
        <f t="shared" si="674"/>
        <v>0</v>
      </c>
    </row>
    <row r="1091" spans="1:10" ht="24" thickBot="1" x14ac:dyDescent="0.35">
      <c r="A1091" s="277" t="s">
        <v>110</v>
      </c>
      <c r="B1091" s="967" t="s">
        <v>29</v>
      </c>
      <c r="C1091" s="968"/>
      <c r="D1091" s="969"/>
      <c r="E1091" s="660"/>
      <c r="F1091" s="661">
        <f t="shared" ref="F1091:G1091" si="675">SUM(F1084:F1090)</f>
        <v>0</v>
      </c>
      <c r="G1091" s="410">
        <f t="shared" si="675"/>
        <v>0</v>
      </c>
      <c r="H1091" s="394"/>
      <c r="I1091" s="409">
        <f t="shared" ref="I1091:J1091" si="676">SUM(I1084:I1090)</f>
        <v>0</v>
      </c>
      <c r="J1091" s="428">
        <f t="shared" si="676"/>
        <v>0</v>
      </c>
    </row>
    <row r="1092" spans="1:10" ht="24" thickBot="1" x14ac:dyDescent="0.35">
      <c r="A1092" s="277"/>
      <c r="B1092" s="985" t="s">
        <v>19</v>
      </c>
      <c r="C1092" s="662" t="s">
        <v>255</v>
      </c>
      <c r="D1092" s="668" t="s">
        <v>190</v>
      </c>
      <c r="E1092" s="669">
        <v>12.2659</v>
      </c>
      <c r="F1092" s="670">
        <f>IFERROR(E1092*'01 Prod Physique Boites'!H1087,"-")</f>
        <v>0</v>
      </c>
      <c r="G1092" s="671">
        <f>IFERROR(E1092*'01 Prod Physique Boites'!L1087,"-")</f>
        <v>0</v>
      </c>
      <c r="H1092" s="665">
        <v>14.79</v>
      </c>
      <c r="I1092" s="650">
        <f t="shared" ref="I1092:I1094" si="677">IFERROR(H1092*(F1092/E1092),"-")</f>
        <v>0</v>
      </c>
      <c r="J1092" s="650">
        <f>IFERROR(H1092*(G1092/E1092),"-")</f>
        <v>0</v>
      </c>
    </row>
    <row r="1093" spans="1:10" ht="24" thickBot="1" x14ac:dyDescent="0.35">
      <c r="A1093" s="277"/>
      <c r="B1093" s="986"/>
      <c r="C1093" s="663" t="s">
        <v>399</v>
      </c>
      <c r="D1093" s="672"/>
      <c r="E1093" s="654">
        <v>12.2659</v>
      </c>
      <c r="F1093" s="670">
        <f>IFERROR(E1093*'01 Prod Physique Boites'!H1088,"-")</f>
        <v>0</v>
      </c>
      <c r="G1093" s="645">
        <f>IFERROR(E1093*'01 Prod Physique Boites'!L1088,"-")</f>
        <v>239626.62239999999</v>
      </c>
      <c r="H1093" s="666">
        <v>14.55</v>
      </c>
      <c r="I1093" s="655">
        <f t="shared" si="677"/>
        <v>0</v>
      </c>
      <c r="J1093" s="655">
        <f>IFERROR(H1093*(G1093/E1093),"-")</f>
        <v>284248.8</v>
      </c>
    </row>
    <row r="1094" spans="1:10" ht="24" thickBot="1" x14ac:dyDescent="0.35">
      <c r="A1094" s="832" t="s">
        <v>110</v>
      </c>
      <c r="B1094" s="987"/>
      <c r="C1094" s="664" t="s">
        <v>380</v>
      </c>
      <c r="D1094" s="673"/>
      <c r="E1094" s="674">
        <v>0</v>
      </c>
      <c r="F1094" s="670">
        <f>IFERROR(E1094*'01 Prod Physique Boites'!H1089,"-")</f>
        <v>0</v>
      </c>
      <c r="G1094" s="676">
        <f>IFERROR(E1094*'01 Prod Physique Boites'!L1089,"-")</f>
        <v>0</v>
      </c>
      <c r="H1094" s="667">
        <v>0</v>
      </c>
      <c r="I1094" s="429" t="str">
        <f t="shared" si="677"/>
        <v>-</v>
      </c>
      <c r="J1094" s="430" t="str">
        <f t="shared" ref="J1094" si="678">IFERROR(I1094*(G1094/F1094),"-")</f>
        <v>-</v>
      </c>
    </row>
    <row r="1095" spans="1:10" ht="24" thickBot="1" x14ac:dyDescent="0.35">
      <c r="A1095" s="277" t="s">
        <v>110</v>
      </c>
      <c r="B1095" s="967" t="s">
        <v>49</v>
      </c>
      <c r="C1095" s="968"/>
      <c r="D1095" s="969"/>
      <c r="E1095" s="393"/>
      <c r="F1095" s="409">
        <f>SUM(F1092:F1094)</f>
        <v>0</v>
      </c>
      <c r="G1095" s="409">
        <f>SUM(G1092:G1094)</f>
        <v>239626.62239999999</v>
      </c>
      <c r="H1095" s="394"/>
      <c r="I1095" s="409">
        <f>SUM(I1092:I1094)</f>
        <v>0</v>
      </c>
      <c r="J1095" s="428">
        <f>SUM(J1092:J1094)</f>
        <v>284248.8</v>
      </c>
    </row>
    <row r="1096" spans="1:10" ht="23.4" x14ac:dyDescent="0.3">
      <c r="A1096" s="277" t="s">
        <v>110</v>
      </c>
      <c r="B1096" s="956" t="s">
        <v>20</v>
      </c>
      <c r="C1096" s="294" t="s">
        <v>351</v>
      </c>
      <c r="D1096" s="294" t="s">
        <v>313</v>
      </c>
      <c r="E1096" s="508">
        <v>26.032900000000001</v>
      </c>
      <c r="F1096" s="405">
        <f>IFERROR(E1096*'01 Prod Physique Boites'!H1091,"-")</f>
        <v>0</v>
      </c>
      <c r="G1096" s="406">
        <f>IFERROR(E1096*'01 Prod Physique Boites'!L1091,"-")</f>
        <v>0</v>
      </c>
      <c r="H1096" s="384">
        <v>36.44</v>
      </c>
      <c r="I1096" s="422">
        <f>IFERROR(H1096*(F1096/E1096),"-")</f>
        <v>0</v>
      </c>
      <c r="J1096" s="423">
        <f t="shared" ref="J1096:J1098" si="679">IFERROR(H1096*(G1096/E1096),"-")</f>
        <v>0</v>
      </c>
    </row>
    <row r="1097" spans="1:10" ht="23.4" x14ac:dyDescent="0.3">
      <c r="A1097" s="277" t="s">
        <v>110</v>
      </c>
      <c r="B1097" s="957"/>
      <c r="C1097" s="295" t="s">
        <v>121</v>
      </c>
      <c r="D1097" s="295"/>
      <c r="E1097" s="387">
        <v>24.2607</v>
      </c>
      <c r="F1097" s="405">
        <f>IFERROR(E1097*'01 Prod Physique Boites'!H1092,"-")</f>
        <v>0</v>
      </c>
      <c r="G1097" s="406">
        <f>IFERROR(E1097*'01 Prod Physique Boites'!L1092,"-")</f>
        <v>0</v>
      </c>
      <c r="H1097" s="388">
        <v>37.369999999999997</v>
      </c>
      <c r="I1097" s="424">
        <f>IFERROR(H1097*(F1097/E1097),"-")</f>
        <v>0</v>
      </c>
      <c r="J1097" s="425">
        <f t="shared" si="679"/>
        <v>0</v>
      </c>
    </row>
    <row r="1098" spans="1:10" ht="24" thickBot="1" x14ac:dyDescent="0.35">
      <c r="A1098" s="277" t="s">
        <v>110</v>
      </c>
      <c r="B1098" s="958"/>
      <c r="C1098" s="296" t="s">
        <v>127</v>
      </c>
      <c r="D1098" s="296"/>
      <c r="E1098" s="389">
        <v>26.035799999999998</v>
      </c>
      <c r="F1098" s="405">
        <f>IFERROR(E1098*'01 Prod Physique Boites'!H1093,"-")</f>
        <v>0</v>
      </c>
      <c r="G1098" s="406">
        <f>IFERROR(E1098*'01 Prod Physique Boites'!L1093,"-")</f>
        <v>0</v>
      </c>
      <c r="H1098" s="390">
        <v>37.11</v>
      </c>
      <c r="I1098" s="426">
        <f>IFERROR(H1098*(F1098/E1098),"-")</f>
        <v>0</v>
      </c>
      <c r="J1098" s="427">
        <f t="shared" si="679"/>
        <v>0</v>
      </c>
    </row>
    <row r="1099" spans="1:10" ht="24" thickBot="1" x14ac:dyDescent="0.35">
      <c r="A1099" s="277" t="s">
        <v>110</v>
      </c>
      <c r="B1099" s="968" t="s">
        <v>50</v>
      </c>
      <c r="C1099" s="968"/>
      <c r="D1099" s="989"/>
      <c r="E1099" s="393"/>
      <c r="F1099" s="409">
        <f t="shared" ref="F1099:G1099" si="680">SUM(F1096:F1098)</f>
        <v>0</v>
      </c>
      <c r="G1099" s="410">
        <f t="shared" si="680"/>
        <v>0</v>
      </c>
      <c r="H1099" s="394"/>
      <c r="I1099" s="409">
        <f t="shared" ref="I1099:J1099" si="681">SUM(I1096:I1098)</f>
        <v>0</v>
      </c>
      <c r="J1099" s="428">
        <f t="shared" si="681"/>
        <v>0</v>
      </c>
    </row>
    <row r="1100" spans="1:10" ht="24" thickBot="1" x14ac:dyDescent="0.35">
      <c r="A1100" s="277" t="s">
        <v>110</v>
      </c>
      <c r="B1100" s="981" t="s">
        <v>21</v>
      </c>
      <c r="C1100" s="982"/>
      <c r="D1100" s="983"/>
      <c r="E1100" s="396"/>
      <c r="F1100" s="413">
        <f>+F1075+F1083+F1091+F1095+F1099</f>
        <v>1937017.3319999999</v>
      </c>
      <c r="G1100" s="414">
        <f>+G1075+G1083+G1091+G1095+G1099</f>
        <v>24543769.505599998</v>
      </c>
      <c r="H1100" s="397"/>
      <c r="I1100" s="413">
        <f>+I1075+I1083+I1091+I1095+I1099</f>
        <v>3124994.4000000004</v>
      </c>
      <c r="J1100" s="431">
        <f>+J1075+J1083+J1091+J1095+J1099</f>
        <v>33356685.540000003</v>
      </c>
    </row>
    <row r="1101" spans="1:10" ht="23.4" x14ac:dyDescent="0.3">
      <c r="A1101" s="277" t="s">
        <v>110</v>
      </c>
      <c r="B1101" s="956" t="s">
        <v>481</v>
      </c>
      <c r="C1101" s="272" t="s">
        <v>132</v>
      </c>
      <c r="D1101" s="272"/>
      <c r="E1101" s="383">
        <v>22.820599999999999</v>
      </c>
      <c r="F1101" s="405">
        <f>IFERROR(E1101*'01 Prod Physique Boites'!H1096,"-")</f>
        <v>0</v>
      </c>
      <c r="G1101" s="406">
        <f>IFERROR(E1101*'01 Prod Physique Boites'!L1096,"-")</f>
        <v>0</v>
      </c>
      <c r="H1101" s="384">
        <v>27.5</v>
      </c>
      <c r="I1101" s="422">
        <f>IFERROR(H1101*(F1101/E1101),"-")</f>
        <v>0</v>
      </c>
      <c r="J1101" s="423">
        <f t="shared" ref="J1101:J1104" si="682">IFERROR(H1101*(G1101/E1101),"-")</f>
        <v>0</v>
      </c>
    </row>
    <row r="1102" spans="1:10" ht="23.4" x14ac:dyDescent="0.3">
      <c r="A1102" s="277" t="s">
        <v>110</v>
      </c>
      <c r="B1102" s="957"/>
      <c r="C1102" s="298" t="s">
        <v>283</v>
      </c>
      <c r="D1102" s="298" t="s">
        <v>194</v>
      </c>
      <c r="E1102" s="387">
        <v>23.570699999999999</v>
      </c>
      <c r="F1102" s="405">
        <f>IFERROR(E1102*'01 Prod Physique Boites'!H1097,"-")</f>
        <v>0</v>
      </c>
      <c r="G1102" s="406">
        <f>IFERROR(E1102*'01 Prod Physique Boites'!L1097,"-")</f>
        <v>0</v>
      </c>
      <c r="H1102" s="388">
        <v>27.5</v>
      </c>
      <c r="I1102" s="424">
        <f>IFERROR(H1102*(F1102/E1102),"-")</f>
        <v>0</v>
      </c>
      <c r="J1102" s="425">
        <f t="shared" si="682"/>
        <v>0</v>
      </c>
    </row>
    <row r="1103" spans="1:10" ht="23.4" x14ac:dyDescent="0.3">
      <c r="A1103" s="277" t="s">
        <v>110</v>
      </c>
      <c r="B1103" s="957"/>
      <c r="C1103" s="298" t="s">
        <v>405</v>
      </c>
      <c r="D1103" s="298" t="s">
        <v>194</v>
      </c>
      <c r="E1103" s="387">
        <v>22.820599999999999</v>
      </c>
      <c r="F1103" s="405">
        <f>IFERROR(E1103*'01 Prod Physique Boites'!H1098,"-")</f>
        <v>135554.364</v>
      </c>
      <c r="G1103" s="406">
        <f>IFERROR(E1103*'01 Prod Physique Boites'!L1098,"-")</f>
        <v>7907337.8999999994</v>
      </c>
      <c r="H1103" s="388">
        <v>27.5</v>
      </c>
      <c r="I1103" s="424">
        <f>IFERROR(H1103*(F1103/E1103),"-")</f>
        <v>163350</v>
      </c>
      <c r="J1103" s="425">
        <f t="shared" si="682"/>
        <v>9528750</v>
      </c>
    </row>
    <row r="1104" spans="1:10" ht="24" thickBot="1" x14ac:dyDescent="0.35">
      <c r="A1104" s="277" t="s">
        <v>110</v>
      </c>
      <c r="B1104" s="958"/>
      <c r="C1104" s="282" t="s">
        <v>195</v>
      </c>
      <c r="D1104" s="282" t="s">
        <v>100</v>
      </c>
      <c r="E1104" s="389">
        <v>23.5685</v>
      </c>
      <c r="F1104" s="405">
        <f>IFERROR(E1104*'01 Prod Physique Boites'!H1099,"-")</f>
        <v>0</v>
      </c>
      <c r="G1104" s="406">
        <f>IFERROR(E1104*'01 Prod Physique Boites'!L1099,"-")</f>
        <v>0</v>
      </c>
      <c r="H1104" s="390">
        <v>24</v>
      </c>
      <c r="I1104" s="426">
        <f>IFERROR(H1104*(F1104/E1104),"-")</f>
        <v>0</v>
      </c>
      <c r="J1104" s="427">
        <f t="shared" si="682"/>
        <v>0</v>
      </c>
    </row>
    <row r="1105" spans="1:10" ht="24" thickBot="1" x14ac:dyDescent="0.35">
      <c r="A1105" s="277" t="s">
        <v>110</v>
      </c>
      <c r="B1105" s="967" t="s">
        <v>51</v>
      </c>
      <c r="C1105" s="968"/>
      <c r="D1105" s="969"/>
      <c r="E1105" s="393"/>
      <c r="F1105" s="409">
        <f t="shared" ref="F1105:G1105" si="683">SUM(F1101:F1104)</f>
        <v>135554.364</v>
      </c>
      <c r="G1105" s="410">
        <f t="shared" si="683"/>
        <v>7907337.8999999994</v>
      </c>
      <c r="H1105" s="394"/>
      <c r="I1105" s="409">
        <f t="shared" ref="I1105:J1105" si="684">SUM(I1101:I1104)</f>
        <v>163350</v>
      </c>
      <c r="J1105" s="428">
        <f t="shared" si="684"/>
        <v>9528750</v>
      </c>
    </row>
    <row r="1106" spans="1:10" ht="23.4" x14ac:dyDescent="0.3">
      <c r="A1106" s="277" t="s">
        <v>110</v>
      </c>
      <c r="B1106" s="956" t="s">
        <v>23</v>
      </c>
      <c r="C1106" s="299" t="s">
        <v>337</v>
      </c>
      <c r="D1106" s="299" t="s">
        <v>258</v>
      </c>
      <c r="E1106" s="383">
        <v>101.4935</v>
      </c>
      <c r="F1106" s="405">
        <f>IFERROR(E1106*'01 Prod Physique Boites'!H1101,"-")</f>
        <v>0</v>
      </c>
      <c r="G1106" s="406">
        <f>IFERROR(E1106*'01 Prod Physique Boites'!L1101,"-")</f>
        <v>0</v>
      </c>
      <c r="H1106" s="388">
        <v>160.44999999999999</v>
      </c>
      <c r="I1106" s="422">
        <f t="shared" ref="I1106:I1113" si="685">IFERROR(H1106*(F1106/E1106),"-")</f>
        <v>0</v>
      </c>
      <c r="J1106" s="423">
        <f t="shared" ref="J1106:J1113" si="686">IFERROR(H1106*(G1106/E1106),"-")</f>
        <v>0</v>
      </c>
    </row>
    <row r="1107" spans="1:10" ht="23.4" x14ac:dyDescent="0.3">
      <c r="A1107" s="277" t="s">
        <v>110</v>
      </c>
      <c r="B1107" s="957"/>
      <c r="C1107" s="278" t="s">
        <v>24</v>
      </c>
      <c r="D1107" s="278" t="s">
        <v>258</v>
      </c>
      <c r="E1107" s="387">
        <v>101.4935</v>
      </c>
      <c r="F1107" s="405">
        <f>IFERROR(E1107*'01 Prod Physique Boites'!H1102,"-")</f>
        <v>0</v>
      </c>
      <c r="G1107" s="406">
        <f>IFERROR(E1107*'01 Prod Physique Boites'!L1102,"-")</f>
        <v>0</v>
      </c>
      <c r="H1107" s="388">
        <v>160.44999999999999</v>
      </c>
      <c r="I1107" s="424">
        <f t="shared" si="685"/>
        <v>0</v>
      </c>
      <c r="J1107" s="425">
        <f t="shared" si="686"/>
        <v>0</v>
      </c>
    </row>
    <row r="1108" spans="1:10" ht="23.4" x14ac:dyDescent="0.3">
      <c r="A1108" s="277" t="s">
        <v>110</v>
      </c>
      <c r="B1108" s="957"/>
      <c r="C1108" s="278" t="s">
        <v>256</v>
      </c>
      <c r="D1108" s="278" t="s">
        <v>258</v>
      </c>
      <c r="E1108" s="387">
        <v>101.4935</v>
      </c>
      <c r="F1108" s="405">
        <f>IFERROR(E1108*'01 Prod Physique Boites'!H1103,"-")</f>
        <v>355227.25</v>
      </c>
      <c r="G1108" s="406">
        <f>IFERROR(E1108*'01 Prod Physique Boites'!L1103,"-")</f>
        <v>355227.25</v>
      </c>
      <c r="H1108" s="388">
        <v>160.44999999999999</v>
      </c>
      <c r="I1108" s="424">
        <f t="shared" si="685"/>
        <v>561575</v>
      </c>
      <c r="J1108" s="425">
        <f t="shared" si="686"/>
        <v>561575</v>
      </c>
    </row>
    <row r="1109" spans="1:10" ht="23.4" x14ac:dyDescent="0.3">
      <c r="A1109" s="277" t="s">
        <v>110</v>
      </c>
      <c r="B1109" s="957"/>
      <c r="C1109" s="278" t="s">
        <v>257</v>
      </c>
      <c r="D1109" s="278" t="s">
        <v>258</v>
      </c>
      <c r="E1109" s="387">
        <v>101.4935</v>
      </c>
      <c r="F1109" s="405">
        <f>IFERROR(E1109*'01 Prod Physique Boites'!H1104,"-")</f>
        <v>0</v>
      </c>
      <c r="G1109" s="406">
        <f>IFERROR(E1109*'01 Prod Physique Boites'!L1104,"-")</f>
        <v>0</v>
      </c>
      <c r="H1109" s="388">
        <v>160.44999999999999</v>
      </c>
      <c r="I1109" s="424">
        <f t="shared" si="685"/>
        <v>0</v>
      </c>
      <c r="J1109" s="425">
        <f t="shared" si="686"/>
        <v>0</v>
      </c>
    </row>
    <row r="1110" spans="1:10" ht="23.4" x14ac:dyDescent="0.3">
      <c r="A1110" s="277" t="s">
        <v>110</v>
      </c>
      <c r="B1110" s="957"/>
      <c r="C1110" s="298" t="s">
        <v>259</v>
      </c>
      <c r="D1110" s="278" t="s">
        <v>258</v>
      </c>
      <c r="E1110" s="387">
        <v>101.4935</v>
      </c>
      <c r="F1110" s="405">
        <f>IFERROR(E1110*'01 Prod Physique Boites'!H1105,"-")</f>
        <v>0</v>
      </c>
      <c r="G1110" s="406">
        <f>IFERROR(E1110*'01 Prod Physique Boites'!L1105,"-")</f>
        <v>1249080.5045</v>
      </c>
      <c r="H1110" s="388">
        <v>160.44999999999999</v>
      </c>
      <c r="I1110" s="424">
        <f t="shared" si="685"/>
        <v>0</v>
      </c>
      <c r="J1110" s="425">
        <f t="shared" si="686"/>
        <v>1974658.15</v>
      </c>
    </row>
    <row r="1111" spans="1:10" ht="23.4" x14ac:dyDescent="0.3">
      <c r="A1111" s="277" t="s">
        <v>110</v>
      </c>
      <c r="B1111" s="957"/>
      <c r="C1111" s="298" t="s">
        <v>260</v>
      </c>
      <c r="D1111" s="278" t="s">
        <v>258</v>
      </c>
      <c r="E1111" s="387">
        <v>101.4935</v>
      </c>
      <c r="F1111" s="405">
        <f>IFERROR(E1111*'01 Prod Physique Boites'!H1106,"-")</f>
        <v>1020720.1294999999</v>
      </c>
      <c r="G1111" s="406">
        <f>IFERROR(E1111*'01 Prod Physique Boites'!L1106,"-")</f>
        <v>2708049.5669999998</v>
      </c>
      <c r="H1111" s="388">
        <v>160.44999999999999</v>
      </c>
      <c r="I1111" s="424">
        <f t="shared" si="685"/>
        <v>1613645.65</v>
      </c>
      <c r="J1111" s="425">
        <f t="shared" si="686"/>
        <v>4281126.8999999994</v>
      </c>
    </row>
    <row r="1112" spans="1:10" ht="23.4" x14ac:dyDescent="0.3">
      <c r="A1112" s="277" t="s">
        <v>110</v>
      </c>
      <c r="B1112" s="957"/>
      <c r="C1112" s="298" t="s">
        <v>261</v>
      </c>
      <c r="D1112" s="278" t="s">
        <v>263</v>
      </c>
      <c r="E1112" s="387">
        <v>101.4935</v>
      </c>
      <c r="F1112" s="405">
        <f>IFERROR(E1112*'01 Prod Physique Boites'!H1107,"-")</f>
        <v>0</v>
      </c>
      <c r="G1112" s="406">
        <f>IFERROR(E1112*'01 Prod Physique Boites'!L1107,"-")</f>
        <v>2384082.3149999999</v>
      </c>
      <c r="H1112" s="388">
        <v>160.44999999999999</v>
      </c>
      <c r="I1112" s="424">
        <f t="shared" si="685"/>
        <v>0</v>
      </c>
      <c r="J1112" s="425">
        <f t="shared" si="686"/>
        <v>3768970.4999999995</v>
      </c>
    </row>
    <row r="1113" spans="1:10" ht="24" thickBot="1" x14ac:dyDescent="0.35">
      <c r="A1113" s="277" t="s">
        <v>110</v>
      </c>
      <c r="B1113" s="958"/>
      <c r="C1113" s="298" t="s">
        <v>262</v>
      </c>
      <c r="D1113" s="278" t="s">
        <v>258</v>
      </c>
      <c r="E1113" s="389">
        <v>101.4935</v>
      </c>
      <c r="F1113" s="405">
        <f>IFERROR(E1113*'01 Prod Physique Boites'!H1108,"-")</f>
        <v>0</v>
      </c>
      <c r="G1113" s="406">
        <f>IFERROR(E1113*'01 Prod Physique Boites'!L1108,"-")</f>
        <v>2879878.0625</v>
      </c>
      <c r="H1113" s="388">
        <v>160.44999999999999</v>
      </c>
      <c r="I1113" s="426">
        <f t="shared" si="685"/>
        <v>0</v>
      </c>
      <c r="J1113" s="427">
        <f t="shared" si="686"/>
        <v>4552768.75</v>
      </c>
    </row>
    <row r="1114" spans="1:10" ht="24" thickBot="1" x14ac:dyDescent="0.35">
      <c r="A1114" s="277" t="s">
        <v>110</v>
      </c>
      <c r="B1114" s="967" t="s">
        <v>52</v>
      </c>
      <c r="C1114" s="968"/>
      <c r="D1114" s="969"/>
      <c r="E1114" s="393"/>
      <c r="F1114" s="409">
        <f t="shared" ref="F1114" si="687">SUM(F1106:F1113)</f>
        <v>1375947.3794999998</v>
      </c>
      <c r="G1114" s="410">
        <f>SUM(G1106:G1113)</f>
        <v>9576317.6989999991</v>
      </c>
      <c r="H1114" s="394"/>
      <c r="I1114" s="409">
        <f t="shared" ref="I1114" si="688">SUM(I1106:I1113)</f>
        <v>2175220.65</v>
      </c>
      <c r="J1114" s="428">
        <f>SUM(J1106:J1113)</f>
        <v>15139099.299999999</v>
      </c>
    </row>
    <row r="1115" spans="1:10" ht="24" thickBot="1" x14ac:dyDescent="0.35">
      <c r="A1115" s="277" t="s">
        <v>110</v>
      </c>
      <c r="B1115" s="981" t="s">
        <v>25</v>
      </c>
      <c r="C1115" s="982"/>
      <c r="D1115" s="983"/>
      <c r="E1115" s="396"/>
      <c r="F1115" s="413">
        <f t="shared" ref="F1115" si="689">+F1105+F1114</f>
        <v>1511501.7434999999</v>
      </c>
      <c r="G1115" s="414">
        <f>+G1105+G1114</f>
        <v>17483655.598999999</v>
      </c>
      <c r="H1115" s="397"/>
      <c r="I1115" s="413">
        <f t="shared" ref="I1115:J1115" si="690">+I1105+I1114</f>
        <v>2338570.65</v>
      </c>
      <c r="J1115" s="431">
        <f t="shared" si="690"/>
        <v>24667849.299999997</v>
      </c>
    </row>
    <row r="1116" spans="1:10" ht="24" thickBot="1" x14ac:dyDescent="0.35">
      <c r="A1116" s="277" t="s">
        <v>110</v>
      </c>
      <c r="B1116" s="984" t="s">
        <v>180</v>
      </c>
      <c r="C1116" s="962"/>
      <c r="D1116" s="963"/>
      <c r="E1116" s="398"/>
      <c r="F1116" s="415">
        <f t="shared" ref="F1116" si="691">+F1100+F1115</f>
        <v>3448519.0754999998</v>
      </c>
      <c r="G1116" s="416">
        <f>+G1100+G1115</f>
        <v>42027425.104599997</v>
      </c>
      <c r="H1116" s="399"/>
      <c r="I1116" s="415">
        <f t="shared" ref="I1116:J1116" si="692">+I1100+I1115</f>
        <v>5463565.0500000007</v>
      </c>
      <c r="J1116" s="432">
        <f t="shared" si="692"/>
        <v>58024534.840000004</v>
      </c>
    </row>
    <row r="1117" spans="1:10" ht="23.4" x14ac:dyDescent="0.3">
      <c r="A1117" s="271" t="s">
        <v>108</v>
      </c>
      <c r="B1117" s="977" t="s">
        <v>26</v>
      </c>
      <c r="C1117" s="300" t="s">
        <v>323</v>
      </c>
      <c r="D1117" s="302" t="s">
        <v>190</v>
      </c>
      <c r="E1117" s="508">
        <v>13.1272</v>
      </c>
      <c r="F1117" s="405">
        <f>IFERROR(E1117*'01 Prod Physique Boites'!H1112,"-")</f>
        <v>0</v>
      </c>
      <c r="G1117" s="406">
        <f>IFERROR(E1117*'01 Prod Physique Boites'!L1112,"-")</f>
        <v>0</v>
      </c>
      <c r="H1117" s="384">
        <v>20.76</v>
      </c>
      <c r="I1117" s="422">
        <f t="shared" ref="I1117:I1125" si="693">IFERROR(H1117*(F1117/E1117),"-")</f>
        <v>0</v>
      </c>
      <c r="J1117" s="644">
        <f t="shared" ref="J1117:J1125" si="694">IFERROR(H1117*(G1117/E1117),"-")</f>
        <v>0</v>
      </c>
    </row>
    <row r="1118" spans="1:10" ht="23.4" x14ac:dyDescent="0.3">
      <c r="A1118" s="277" t="s">
        <v>108</v>
      </c>
      <c r="B1118" s="977"/>
      <c r="C1118" s="301" t="s">
        <v>508</v>
      </c>
      <c r="D1118" s="301" t="s">
        <v>507</v>
      </c>
      <c r="E1118" s="509">
        <v>16.7288</v>
      </c>
      <c r="F1118" s="405">
        <f>IFERROR(E1118*'01 Prod Physique Boites'!H1113,"-")</f>
        <v>665471.66399999999</v>
      </c>
      <c r="G1118" s="406">
        <f>IFERROR(E1118*'01 Prod Physique Boites'!L1113,"-")</f>
        <v>998207.49599999993</v>
      </c>
      <c r="H1118" s="388">
        <v>20.76</v>
      </c>
      <c r="I1118" s="424">
        <f t="shared" si="693"/>
        <v>825832.8</v>
      </c>
      <c r="J1118" s="645">
        <f t="shared" si="694"/>
        <v>1238749.2000000002</v>
      </c>
    </row>
    <row r="1119" spans="1:10" ht="23.4" x14ac:dyDescent="0.3">
      <c r="A1119" s="277" t="s">
        <v>108</v>
      </c>
      <c r="B1119" s="977"/>
      <c r="C1119" s="302" t="s">
        <v>27</v>
      </c>
      <c r="D1119" s="302" t="s">
        <v>370</v>
      </c>
      <c r="E1119" s="505">
        <v>17.8202</v>
      </c>
      <c r="F1119" s="405">
        <f>IFERROR(E1119*'01 Prod Physique Boites'!H1114,"-")</f>
        <v>0</v>
      </c>
      <c r="G1119" s="406">
        <f>IFERROR(E1119*'01 Prod Physique Boites'!L1114,"-")</f>
        <v>212666.26680000001</v>
      </c>
      <c r="H1119" s="388">
        <v>21.22</v>
      </c>
      <c r="I1119" s="424">
        <f t="shared" si="693"/>
        <v>0</v>
      </c>
      <c r="J1119" s="645">
        <f t="shared" si="694"/>
        <v>253239.47999999998</v>
      </c>
    </row>
    <row r="1120" spans="1:10" ht="23.4" x14ac:dyDescent="0.3">
      <c r="A1120" s="277" t="s">
        <v>108</v>
      </c>
      <c r="B1120" s="977"/>
      <c r="C1120" s="302" t="s">
        <v>27</v>
      </c>
      <c r="D1120" s="302" t="s">
        <v>254</v>
      </c>
      <c r="E1120" s="505">
        <v>17.8202</v>
      </c>
      <c r="F1120" s="405">
        <f>IFERROR(E1120*'01 Prod Physique Boites'!H1115,"-")</f>
        <v>0</v>
      </c>
      <c r="G1120" s="406">
        <f>IFERROR(E1120*'01 Prod Physique Boites'!L1115,"-")</f>
        <v>567110.04480000003</v>
      </c>
      <c r="H1120" s="388">
        <v>24.93</v>
      </c>
      <c r="I1120" s="424">
        <f t="shared" si="693"/>
        <v>0</v>
      </c>
      <c r="J1120" s="645">
        <f t="shared" si="694"/>
        <v>793372.32000000007</v>
      </c>
    </row>
    <row r="1121" spans="1:10" ht="23.4" x14ac:dyDescent="0.3">
      <c r="A1121" s="277" t="s">
        <v>108</v>
      </c>
      <c r="B1121" s="977"/>
      <c r="C1121" s="302" t="s">
        <v>27</v>
      </c>
      <c r="D1121" s="302" t="s">
        <v>302</v>
      </c>
      <c r="E1121" s="505">
        <v>17.8202</v>
      </c>
      <c r="F1121" s="405">
        <f>IFERROR(E1121*'01 Prod Physique Boites'!H1116,"-")</f>
        <v>0</v>
      </c>
      <c r="G1121" s="406">
        <f>IFERROR(E1121*'01 Prod Physique Boites'!L1116,"-")</f>
        <v>0</v>
      </c>
      <c r="H1121" s="388">
        <v>24.93</v>
      </c>
      <c r="I1121" s="424">
        <f t="shared" si="693"/>
        <v>0</v>
      </c>
      <c r="J1121" s="645">
        <f t="shared" si="694"/>
        <v>0</v>
      </c>
    </row>
    <row r="1122" spans="1:10" ht="23.4" x14ac:dyDescent="0.3">
      <c r="A1122" s="277"/>
      <c r="B1122" s="977"/>
      <c r="C1122" s="302" t="s">
        <v>369</v>
      </c>
      <c r="D1122" s="302" t="s">
        <v>190</v>
      </c>
      <c r="E1122" s="505">
        <v>17.8202</v>
      </c>
      <c r="F1122" s="405">
        <f>IFERROR(E1122*'01 Prod Physique Boites'!H1117,"-")</f>
        <v>0</v>
      </c>
      <c r="G1122" s="406">
        <f>IFERROR(E1122*'01 Prod Physique Boites'!L1117,"-")</f>
        <v>0</v>
      </c>
      <c r="H1122" s="390">
        <v>21.22</v>
      </c>
      <c r="I1122" s="424">
        <f t="shared" si="693"/>
        <v>0</v>
      </c>
      <c r="J1122" s="646">
        <f t="shared" si="694"/>
        <v>0</v>
      </c>
    </row>
    <row r="1123" spans="1:10" ht="23.4" x14ac:dyDescent="0.3">
      <c r="A1123" s="277"/>
      <c r="B1123" s="977"/>
      <c r="C1123" s="302" t="s">
        <v>314</v>
      </c>
      <c r="D1123" s="302" t="s">
        <v>101</v>
      </c>
      <c r="E1123" s="505">
        <v>14.608000000000001</v>
      </c>
      <c r="F1123" s="405">
        <f>IFERROR(E1123*'01 Prod Physique Boites'!H1118,"-")</f>
        <v>0</v>
      </c>
      <c r="G1123" s="406">
        <f>IFERROR(E1123*'01 Prod Physique Boites'!L1118,"-")</f>
        <v>0</v>
      </c>
      <c r="H1123" s="390">
        <v>24.93</v>
      </c>
      <c r="I1123" s="426">
        <f t="shared" si="693"/>
        <v>0</v>
      </c>
      <c r="J1123" s="646">
        <f t="shared" si="694"/>
        <v>0</v>
      </c>
    </row>
    <row r="1124" spans="1:10" ht="23.4" x14ac:dyDescent="0.3">
      <c r="A1124" s="277"/>
      <c r="B1124" s="977"/>
      <c r="C1124" s="302" t="s">
        <v>453</v>
      </c>
      <c r="D1124" s="302" t="s">
        <v>454</v>
      </c>
      <c r="E1124" s="773">
        <v>16.345199999999998</v>
      </c>
      <c r="F1124" s="405">
        <f>IFERROR(E1124*'01 Prod Physique Boites'!H1119,"-")</f>
        <v>0</v>
      </c>
      <c r="G1124" s="406">
        <f>IFERROR(E1124*'01 Prod Physique Boites'!L1119,"-")</f>
        <v>585190.8504</v>
      </c>
      <c r="H1124" s="390">
        <v>23.78</v>
      </c>
      <c r="I1124" s="426">
        <f t="shared" si="693"/>
        <v>0</v>
      </c>
      <c r="J1124" s="646">
        <f t="shared" si="694"/>
        <v>851371.56</v>
      </c>
    </row>
    <row r="1125" spans="1:10" ht="24" thickBot="1" x14ac:dyDescent="0.35">
      <c r="A1125" s="277" t="s">
        <v>108</v>
      </c>
      <c r="B1125" s="977"/>
      <c r="C1125" s="303" t="s">
        <v>315</v>
      </c>
      <c r="D1125" s="302" t="s">
        <v>313</v>
      </c>
      <c r="E1125" s="505">
        <v>12.6997</v>
      </c>
      <c r="F1125" s="405">
        <f>IFERROR(E1125*'01 Prod Physique Boites'!H1120,"-")</f>
        <v>0</v>
      </c>
      <c r="G1125" s="406">
        <f>IFERROR(E1125*'01 Prod Physique Boites'!L1120,"-")</f>
        <v>101038.8132</v>
      </c>
      <c r="H1125" s="390">
        <v>13.25</v>
      </c>
      <c r="I1125" s="426">
        <f t="shared" si="693"/>
        <v>0</v>
      </c>
      <c r="J1125" s="646">
        <f t="shared" si="694"/>
        <v>105417</v>
      </c>
    </row>
    <row r="1126" spans="1:10" ht="24" thickBot="1" x14ac:dyDescent="0.35">
      <c r="A1126" s="277" t="s">
        <v>108</v>
      </c>
      <c r="B1126" s="990"/>
      <c r="C1126" s="304"/>
      <c r="D1126" s="305" t="s">
        <v>55</v>
      </c>
      <c r="E1126" s="393"/>
      <c r="F1126" s="409">
        <f>SUM(F1117:F1125)</f>
        <v>665471.66399999999</v>
      </c>
      <c r="G1126" s="410">
        <f t="shared" ref="G1126" si="695">SUM(G1117:G1125)</f>
        <v>2464213.4712</v>
      </c>
      <c r="H1126" s="394"/>
      <c r="I1126" s="409">
        <f t="shared" ref="I1126" si="696">SUM(I1117:I1125)</f>
        <v>825832.8</v>
      </c>
      <c r="J1126" s="428">
        <f>SUM(J1117:J1125)</f>
        <v>3242149.56</v>
      </c>
    </row>
    <row r="1127" spans="1:10" ht="23.4" x14ac:dyDescent="0.3">
      <c r="A1127" s="277" t="s">
        <v>108</v>
      </c>
      <c r="B1127" s="976" t="s">
        <v>28</v>
      </c>
      <c r="C1127" s="302" t="s">
        <v>27</v>
      </c>
      <c r="D1127" s="300" t="s">
        <v>302</v>
      </c>
      <c r="E1127" s="508">
        <v>17.8202</v>
      </c>
      <c r="F1127" s="405">
        <f>IFERROR(E1127*'01 Prod Physique Boites'!H1122,"-")</f>
        <v>0</v>
      </c>
      <c r="G1127" s="406">
        <f>IFERROR(E1127*'01 Prod Physique Boites'!L1122,"-")</f>
        <v>354443.77799999999</v>
      </c>
      <c r="H1127" s="384">
        <v>24.93</v>
      </c>
      <c r="I1127" s="422">
        <f>IFERROR(H1127*(F1127/E1127),"-")</f>
        <v>0</v>
      </c>
      <c r="J1127" s="644">
        <f t="shared" ref="J1127:J1131" si="697">IFERROR(H1127*(G1127/E1127),"-")</f>
        <v>495857.7</v>
      </c>
    </row>
    <row r="1128" spans="1:10" ht="23.4" x14ac:dyDescent="0.3">
      <c r="A1128" s="277" t="s">
        <v>108</v>
      </c>
      <c r="B1128" s="977"/>
      <c r="C1128" s="302" t="s">
        <v>456</v>
      </c>
      <c r="D1128" s="302" t="s">
        <v>370</v>
      </c>
      <c r="E1128" s="773">
        <v>16.7288</v>
      </c>
      <c r="F1128" s="405">
        <f>IFERROR(E1128*'01 Prod Physique Boites'!H1123,"-")</f>
        <v>2062962.1584000001</v>
      </c>
      <c r="G1128" s="406">
        <f>IFERROR(E1128*'01 Prod Physique Boites'!L1123,"-")</f>
        <v>8180182.4544000002</v>
      </c>
      <c r="H1128" s="770">
        <v>20.76</v>
      </c>
      <c r="I1128" s="424">
        <f>IFERROR(H1128*(F1128/E1128),"-")</f>
        <v>2560081.6800000002</v>
      </c>
      <c r="J1128" s="645">
        <f t="shared" si="697"/>
        <v>10151390.880000001</v>
      </c>
    </row>
    <row r="1129" spans="1:10" ht="23.4" x14ac:dyDescent="0.3">
      <c r="A1129" s="277" t="s">
        <v>108</v>
      </c>
      <c r="B1129" s="977"/>
      <c r="C1129" s="302" t="s">
        <v>455</v>
      </c>
      <c r="D1129" s="302" t="s">
        <v>370</v>
      </c>
      <c r="E1129" s="505">
        <v>17.8202</v>
      </c>
      <c r="F1129" s="405">
        <f>IFERROR(E1129*'01 Prod Physique Boites'!H1124,"-")</f>
        <v>0</v>
      </c>
      <c r="G1129" s="406">
        <f>IFERROR(E1129*'01 Prod Physique Boites'!L1124,"-")</f>
        <v>1134220.0896000001</v>
      </c>
      <c r="H1129" s="388">
        <v>21.22</v>
      </c>
      <c r="I1129" s="424">
        <f>IFERROR(H1129*(F1129/E1129),"-")</f>
        <v>0</v>
      </c>
      <c r="J1129" s="645">
        <f t="shared" si="697"/>
        <v>1350610.56</v>
      </c>
    </row>
    <row r="1130" spans="1:10" ht="23.4" x14ac:dyDescent="0.3">
      <c r="A1130" s="277"/>
      <c r="B1130" s="977"/>
      <c r="C1130" s="302" t="s">
        <v>453</v>
      </c>
      <c r="D1130" s="302" t="s">
        <v>454</v>
      </c>
      <c r="E1130" s="773">
        <v>16.345199999999998</v>
      </c>
      <c r="F1130" s="405">
        <f>IFERROR(E1130*'01 Prod Physique Boites'!H1125,"-")</f>
        <v>0</v>
      </c>
      <c r="G1130" s="406">
        <f>IFERROR(E1130*'01 Prod Physique Boites'!L1125,"-")</f>
        <v>4031314.7471999996</v>
      </c>
      <c r="H1130" s="388">
        <v>23.78</v>
      </c>
      <c r="I1130" s="426">
        <f>IFERROR(H1130*(F1130/E1130),"-")</f>
        <v>0</v>
      </c>
      <c r="J1130" s="646">
        <f t="shared" si="697"/>
        <v>5865004.0800000001</v>
      </c>
    </row>
    <row r="1131" spans="1:10" ht="24" thickBot="1" x14ac:dyDescent="0.35">
      <c r="A1131" s="277" t="s">
        <v>108</v>
      </c>
      <c r="B1131" s="977"/>
      <c r="C1131" s="302" t="s">
        <v>27</v>
      </c>
      <c r="D1131" s="303" t="s">
        <v>254</v>
      </c>
      <c r="E1131" s="505">
        <v>17.8202</v>
      </c>
      <c r="F1131" s="405">
        <f>IFERROR(E1131*'01 Prod Physique Boites'!H1126,"-")</f>
        <v>0</v>
      </c>
      <c r="G1131" s="406">
        <f>IFERROR(E1131*'01 Prod Physique Boites'!L1126,"-")</f>
        <v>13468863.563999999</v>
      </c>
      <c r="H1131" s="388">
        <v>24.93</v>
      </c>
      <c r="I1131" s="426">
        <f>IFERROR(H1131*(F1131/E1131),"-")</f>
        <v>0</v>
      </c>
      <c r="J1131" s="646">
        <f t="shared" si="697"/>
        <v>18842592.600000001</v>
      </c>
    </row>
    <row r="1132" spans="1:10" ht="24" thickBot="1" x14ac:dyDescent="0.35">
      <c r="A1132" s="277" t="s">
        <v>108</v>
      </c>
      <c r="B1132" s="977"/>
      <c r="C1132" s="307"/>
      <c r="D1132" s="308" t="s">
        <v>55</v>
      </c>
      <c r="E1132" s="400"/>
      <c r="F1132" s="417">
        <f t="shared" ref="F1132:G1132" si="698">SUM(F1127:F1131)</f>
        <v>2062962.1584000001</v>
      </c>
      <c r="G1132" s="418">
        <f t="shared" si="698"/>
        <v>27169024.633199997</v>
      </c>
      <c r="H1132" s="401"/>
      <c r="I1132" s="417">
        <f t="shared" ref="I1132:J1132" si="699">SUM(I1127:I1131)</f>
        <v>2560081.6800000002</v>
      </c>
      <c r="J1132" s="433">
        <f t="shared" si="699"/>
        <v>36705455.82</v>
      </c>
    </row>
    <row r="1133" spans="1:10" ht="24" thickBot="1" x14ac:dyDescent="0.35">
      <c r="A1133" s="832" t="s">
        <v>108</v>
      </c>
      <c r="B1133" s="978" t="s">
        <v>170</v>
      </c>
      <c r="C1133" s="979"/>
      <c r="D1133" s="980"/>
      <c r="E1133" s="402"/>
      <c r="F1133" s="419">
        <f t="shared" ref="F1133:G1133" si="700">+F1126+F1132</f>
        <v>2728433.8223999999</v>
      </c>
      <c r="G1133" s="420">
        <f t="shared" si="700"/>
        <v>29633238.104399998</v>
      </c>
      <c r="H1133" s="403"/>
      <c r="I1133" s="419">
        <f t="shared" ref="I1133:J1133" si="701">+I1126+I1132</f>
        <v>3385914.4800000004</v>
      </c>
      <c r="J1133" s="434">
        <f t="shared" si="701"/>
        <v>39947605.380000003</v>
      </c>
    </row>
    <row r="1134" spans="1:10" ht="23.4" x14ac:dyDescent="0.3">
      <c r="A1134" s="277" t="s">
        <v>108</v>
      </c>
      <c r="B1134" s="977" t="s">
        <v>30</v>
      </c>
      <c r="C1134" s="306" t="s">
        <v>356</v>
      </c>
      <c r="D1134" s="300" t="s">
        <v>191</v>
      </c>
      <c r="E1134" s="508">
        <v>15.2788</v>
      </c>
      <c r="F1134" s="405">
        <f>IFERROR(E1134*'01 Prod Physique Boites'!H1129,"-")</f>
        <v>0</v>
      </c>
      <c r="G1134" s="406">
        <f>IFERROR(E1134*'01 Prod Physique Boites'!L1129,"-")</f>
        <v>0</v>
      </c>
      <c r="H1134" s="384">
        <v>23.65</v>
      </c>
      <c r="I1134" s="422">
        <f>IFERROR(H1134*(F1134/E1134),"-")</f>
        <v>0</v>
      </c>
      <c r="J1134" s="423">
        <f t="shared" ref="J1134:J1136" si="702">IFERROR(H1134*(G1134/E1134),"-")</f>
        <v>0</v>
      </c>
    </row>
    <row r="1135" spans="1:10" ht="23.4" x14ac:dyDescent="0.3">
      <c r="A1135" s="277" t="s">
        <v>108</v>
      </c>
      <c r="B1135" s="977"/>
      <c r="C1135" s="306" t="s">
        <v>349</v>
      </c>
      <c r="D1135" s="306" t="s">
        <v>313</v>
      </c>
      <c r="E1135" s="509">
        <v>22.6356</v>
      </c>
      <c r="F1135" s="405">
        <f>IFERROR(E1135*'01 Prod Physique Boites'!H1130,"-")</f>
        <v>0</v>
      </c>
      <c r="G1135" s="406">
        <f>IFERROR(E1135*'01 Prod Physique Boites'!L1130,"-")</f>
        <v>0</v>
      </c>
      <c r="H1135" s="388">
        <v>34.26</v>
      </c>
      <c r="I1135" s="424">
        <f>IFERROR(H1135*(F1135/E1135),"-")</f>
        <v>0</v>
      </c>
      <c r="J1135" s="425">
        <f t="shared" si="702"/>
        <v>0</v>
      </c>
    </row>
    <row r="1136" spans="1:10" ht="24" thickBot="1" x14ac:dyDescent="0.35">
      <c r="A1136" s="277" t="s">
        <v>108</v>
      </c>
      <c r="B1136" s="977"/>
      <c r="C1136" s="303" t="s">
        <v>316</v>
      </c>
      <c r="D1136" s="303"/>
      <c r="E1136" s="505">
        <v>25.751300000000001</v>
      </c>
      <c r="F1136" s="405">
        <f>IFERROR(E1136*'01 Prod Physique Boites'!H1131,"-")</f>
        <v>0</v>
      </c>
      <c r="G1136" s="406">
        <f>IFERROR(E1136*'01 Prod Physique Boites'!L1131,"-")</f>
        <v>4242166.1568</v>
      </c>
      <c r="H1136" s="390">
        <v>37.89</v>
      </c>
      <c r="I1136" s="426">
        <f>IFERROR(H1136*(F1136/E1136),"-")</f>
        <v>0</v>
      </c>
      <c r="J1136" s="427">
        <f t="shared" si="702"/>
        <v>6241847.04</v>
      </c>
    </row>
    <row r="1137" spans="1:10" ht="24" thickBot="1" x14ac:dyDescent="0.35">
      <c r="A1137" s="277" t="s">
        <v>108</v>
      </c>
      <c r="B1137" s="977"/>
      <c r="C1137" s="304"/>
      <c r="D1137" s="305" t="s">
        <v>53</v>
      </c>
      <c r="E1137" s="393"/>
      <c r="F1137" s="409">
        <f t="shared" ref="F1137:G1137" si="703">SUM(F1134:F1136)</f>
        <v>0</v>
      </c>
      <c r="G1137" s="410">
        <f t="shared" si="703"/>
        <v>4242166.1568</v>
      </c>
      <c r="H1137" s="394"/>
      <c r="I1137" s="409">
        <f t="shared" ref="I1137" si="704">SUM(I1134:I1136)</f>
        <v>0</v>
      </c>
      <c r="J1137" s="428">
        <f>SUM(J1134:J1136)</f>
        <v>6241847.04</v>
      </c>
    </row>
    <row r="1138" spans="1:10" ht="23.4" x14ac:dyDescent="0.3">
      <c r="A1138" s="277" t="s">
        <v>108</v>
      </c>
      <c r="B1138" s="977"/>
      <c r="C1138" s="300" t="s">
        <v>339</v>
      </c>
      <c r="D1138" s="300"/>
      <c r="E1138" s="508">
        <v>22.094999999999999</v>
      </c>
      <c r="F1138" s="405">
        <f>IFERROR(E1138*'01 Prod Physique Boites'!H1133,"-")</f>
        <v>0</v>
      </c>
      <c r="G1138" s="406">
        <f>IFERROR(E1138*'01 Prod Physique Boites'!L1133,"-")</f>
        <v>0</v>
      </c>
      <c r="H1138" s="384">
        <v>37.11</v>
      </c>
      <c r="I1138" s="422">
        <f>IFERROR(H1138*(F1138/E1138),"-")</f>
        <v>0</v>
      </c>
      <c r="J1138" s="423">
        <f t="shared" ref="J1138:J1140" si="705">IFERROR(H1138*(G1138/E1138),"-")</f>
        <v>0</v>
      </c>
    </row>
    <row r="1139" spans="1:10" ht="23.4" x14ac:dyDescent="0.3">
      <c r="A1139" s="277" t="s">
        <v>108</v>
      </c>
      <c r="B1139" s="977"/>
      <c r="C1139" s="306" t="s">
        <v>373</v>
      </c>
      <c r="D1139" s="306" t="s">
        <v>254</v>
      </c>
      <c r="E1139" s="509">
        <v>27.917000000000002</v>
      </c>
      <c r="F1139" s="405">
        <f>IFERROR(E1139*'01 Prod Physique Boites'!H1134,"-")</f>
        <v>0</v>
      </c>
      <c r="G1139" s="406">
        <f>IFERROR(E1139*'01 Prod Physique Boites'!L1134,"-")</f>
        <v>261303.12000000002</v>
      </c>
      <c r="H1139" s="388">
        <v>39</v>
      </c>
      <c r="I1139" s="424">
        <f>IFERROR(H1139*(F1139/E1139),"-")</f>
        <v>0</v>
      </c>
      <c r="J1139" s="425">
        <f t="shared" si="705"/>
        <v>365040</v>
      </c>
    </row>
    <row r="1140" spans="1:10" ht="24" thickBot="1" x14ac:dyDescent="0.35">
      <c r="A1140" s="277" t="s">
        <v>108</v>
      </c>
      <c r="B1140" s="977"/>
      <c r="C1140" s="303" t="s">
        <v>145</v>
      </c>
      <c r="D1140" s="303"/>
      <c r="E1140" s="505">
        <v>25.4041</v>
      </c>
      <c r="F1140" s="405">
        <f>IFERROR(E1140*'01 Prod Physique Boites'!H1135,"-")</f>
        <v>0</v>
      </c>
      <c r="G1140" s="406">
        <f>IFERROR(E1140*'01 Prod Physique Boites'!L1135,"-")</f>
        <v>0</v>
      </c>
      <c r="H1140" s="390">
        <v>28.21</v>
      </c>
      <c r="I1140" s="426">
        <f>IFERROR(H1140*(F1140/E1140),"-")</f>
        <v>0</v>
      </c>
      <c r="J1140" s="427">
        <f t="shared" si="705"/>
        <v>0</v>
      </c>
    </row>
    <row r="1141" spans="1:10" ht="24" thickBot="1" x14ac:dyDescent="0.35">
      <c r="A1141" s="277" t="s">
        <v>108</v>
      </c>
      <c r="B1141" s="977"/>
      <c r="C1141" s="307"/>
      <c r="D1141" s="308" t="s">
        <v>54</v>
      </c>
      <c r="E1141" s="400"/>
      <c r="F1141" s="417">
        <f t="shared" ref="F1141:G1141" si="706">SUM(F1138:F1140)</f>
        <v>0</v>
      </c>
      <c r="G1141" s="418">
        <f t="shared" si="706"/>
        <v>261303.12000000002</v>
      </c>
      <c r="H1141" s="401"/>
      <c r="I1141" s="417">
        <f t="shared" ref="I1141" si="707">SUM(I1138:I1140)</f>
        <v>0</v>
      </c>
      <c r="J1141" s="433">
        <f>SUM(J1138:J1140)</f>
        <v>365040</v>
      </c>
    </row>
    <row r="1142" spans="1:10" ht="24" thickBot="1" x14ac:dyDescent="0.35">
      <c r="A1142" s="277" t="s">
        <v>108</v>
      </c>
      <c r="B1142" s="978" t="s">
        <v>171</v>
      </c>
      <c r="C1142" s="979"/>
      <c r="D1142" s="980"/>
      <c r="E1142" s="402"/>
      <c r="F1142" s="419">
        <f t="shared" ref="F1142:G1142" si="708">+F1137+F1141</f>
        <v>0</v>
      </c>
      <c r="G1142" s="420">
        <f t="shared" si="708"/>
        <v>4503469.2768000001</v>
      </c>
      <c r="H1142" s="403"/>
      <c r="I1142" s="419">
        <f t="shared" ref="I1142:J1142" si="709">+I1137+I1141</f>
        <v>0</v>
      </c>
      <c r="J1142" s="434">
        <f t="shared" si="709"/>
        <v>6606887.04</v>
      </c>
    </row>
    <row r="1143" spans="1:10" ht="24" thickBot="1" x14ac:dyDescent="0.35">
      <c r="A1143" s="277" t="s">
        <v>108</v>
      </c>
      <c r="B1143" s="609" t="s">
        <v>32</v>
      </c>
      <c r="C1143" s="828"/>
      <c r="D1143" s="313"/>
      <c r="E1143" s="510">
        <v>12.2659</v>
      </c>
      <c r="F1143" s="411">
        <f>IFERROR(E1143*'01 Prod Physique Boites'!H1138,"-")</f>
        <v>0</v>
      </c>
      <c r="G1143" s="412">
        <f>IFERROR(E1143*'01 Prod Physique Boites'!L1138,"-")</f>
        <v>0</v>
      </c>
      <c r="H1143" s="395"/>
      <c r="I1143" s="429">
        <f>IFERROR(H1143*(F1143/E1143),"-")</f>
        <v>0</v>
      </c>
      <c r="J1143" s="430">
        <f>IFERROR(H1143*(G1143/E1143),"-")</f>
        <v>0</v>
      </c>
    </row>
    <row r="1144" spans="1:10" ht="24" thickBot="1" x14ac:dyDescent="0.35">
      <c r="A1144" s="277" t="s">
        <v>108</v>
      </c>
      <c r="B1144" s="981" t="s">
        <v>21</v>
      </c>
      <c r="C1144" s="982"/>
      <c r="D1144" s="983"/>
      <c r="E1144" s="396"/>
      <c r="F1144" s="413">
        <f t="shared" ref="F1144" si="710">+F1133+F1142+F1143</f>
        <v>2728433.8223999999</v>
      </c>
      <c r="G1144" s="414">
        <f>+G1133+G1142+G1143</f>
        <v>34136707.381200001</v>
      </c>
      <c r="H1144" s="397"/>
      <c r="I1144" s="413">
        <f t="shared" ref="I1144:J1144" si="711">+I1133+I1142+I1143</f>
        <v>3385914.4800000004</v>
      </c>
      <c r="J1144" s="431">
        <f t="shared" si="711"/>
        <v>46554492.420000002</v>
      </c>
    </row>
    <row r="1145" spans="1:10" ht="24" thickBot="1" x14ac:dyDescent="0.35">
      <c r="A1145" s="277" t="s">
        <v>108</v>
      </c>
      <c r="B1145" s="984" t="s">
        <v>179</v>
      </c>
      <c r="C1145" s="962"/>
      <c r="D1145" s="963"/>
      <c r="E1145" s="398"/>
      <c r="F1145" s="415">
        <f t="shared" ref="F1145:G1145" si="712">+F1144</f>
        <v>2728433.8223999999</v>
      </c>
      <c r="G1145" s="416">
        <f t="shared" si="712"/>
        <v>34136707.381200001</v>
      </c>
      <c r="H1145" s="399"/>
      <c r="I1145" s="415">
        <f t="shared" ref="I1145:J1145" si="713">+I1144</f>
        <v>3385914.4800000004</v>
      </c>
      <c r="J1145" s="432">
        <f t="shared" si="713"/>
        <v>46554492.420000002</v>
      </c>
    </row>
    <row r="1146" spans="1:10" ht="23.4" x14ac:dyDescent="0.3">
      <c r="A1146" s="271" t="s">
        <v>109</v>
      </c>
      <c r="B1146" s="970" t="s">
        <v>482</v>
      </c>
      <c r="C1146" s="314" t="s">
        <v>120</v>
      </c>
      <c r="D1146" s="314"/>
      <c r="E1146" s="771">
        <v>254.89750000000001</v>
      </c>
      <c r="F1146" s="405">
        <f>IFERROR(E1146*'01 Prod Physique Boites'!H1141,"-")</f>
        <v>0</v>
      </c>
      <c r="G1146" s="406">
        <f>IFERROR(E1146*'01 Prod Physique Boites'!L1141,"-")</f>
        <v>0</v>
      </c>
      <c r="H1146" s="384">
        <v>445.38</v>
      </c>
      <c r="I1146" s="422">
        <f>IFERROR(H1146*(F1146/E1146),"-")</f>
        <v>0</v>
      </c>
      <c r="J1146" s="423">
        <f t="shared" ref="J1146:J1148" si="714">IFERROR(H1146*(G1146/E1146),"-")</f>
        <v>0</v>
      </c>
    </row>
    <row r="1147" spans="1:10" ht="23.4" x14ac:dyDescent="0.3">
      <c r="A1147" s="277" t="s">
        <v>109</v>
      </c>
      <c r="B1147" s="972"/>
      <c r="C1147" s="315" t="s">
        <v>267</v>
      </c>
      <c r="D1147" s="315"/>
      <c r="E1147" s="507">
        <v>246.51390000000001</v>
      </c>
      <c r="F1147" s="405">
        <f>IFERROR(E1147*'01 Prod Physique Boites'!H1142,"-")</f>
        <v>0</v>
      </c>
      <c r="G1147" s="406">
        <f>IFERROR(E1147*'01 Prod Physique Boites'!L1142,"-")</f>
        <v>3076493.4720000001</v>
      </c>
      <c r="H1147" s="388">
        <v>430.02</v>
      </c>
      <c r="I1147" s="424">
        <f>IFERROR(H1147*(F1147/E1147),"-")</f>
        <v>0</v>
      </c>
      <c r="J1147" s="425">
        <f t="shared" si="714"/>
        <v>5366649.5999999996</v>
      </c>
    </row>
    <row r="1148" spans="1:10" ht="24" thickBot="1" x14ac:dyDescent="0.35">
      <c r="A1148" s="277" t="s">
        <v>109</v>
      </c>
      <c r="B1148" s="971"/>
      <c r="C1148" s="316" t="s">
        <v>34</v>
      </c>
      <c r="D1148" s="316"/>
      <c r="E1148" s="504">
        <v>225.7713</v>
      </c>
      <c r="F1148" s="405">
        <f>IFERROR(E1148*'01 Prod Physique Boites'!H1143,"-")</f>
        <v>0</v>
      </c>
      <c r="G1148" s="406">
        <f>IFERROR(E1148*'01 Prod Physique Boites'!L1143,"-")</f>
        <v>0</v>
      </c>
      <c r="H1148" s="390"/>
      <c r="I1148" s="426">
        <f>IFERROR(H1148*(F1148/E1148),"-")</f>
        <v>0</v>
      </c>
      <c r="J1148" s="427">
        <f t="shared" si="714"/>
        <v>0</v>
      </c>
    </row>
    <row r="1149" spans="1:10" ht="24" thickBot="1" x14ac:dyDescent="0.35">
      <c r="A1149" s="277" t="s">
        <v>109</v>
      </c>
      <c r="B1149" s="967" t="s">
        <v>35</v>
      </c>
      <c r="C1149" s="968"/>
      <c r="D1149" s="969"/>
      <c r="E1149" s="393"/>
      <c r="F1149" s="409">
        <f t="shared" ref="F1149:G1149" si="715">SUM(F1146:F1148)</f>
        <v>0</v>
      </c>
      <c r="G1149" s="410">
        <f t="shared" si="715"/>
        <v>3076493.4720000001</v>
      </c>
      <c r="H1149" s="394"/>
      <c r="I1149" s="409">
        <f t="shared" ref="I1149:J1149" si="716">SUM(I1146:I1148)</f>
        <v>0</v>
      </c>
      <c r="J1149" s="428">
        <f t="shared" si="716"/>
        <v>5366649.5999999996</v>
      </c>
    </row>
    <row r="1150" spans="1:10" ht="23.4" x14ac:dyDescent="0.3">
      <c r="A1150" s="277" t="s">
        <v>109</v>
      </c>
      <c r="B1150" s="970" t="s">
        <v>36</v>
      </c>
      <c r="C1150" s="314" t="s">
        <v>120</v>
      </c>
      <c r="D1150" s="314"/>
      <c r="E1150" s="506">
        <v>254.89750000000001</v>
      </c>
      <c r="F1150" s="405">
        <f>IFERROR(E1150*'01 Prod Physique Boites'!H1145,"-")</f>
        <v>0</v>
      </c>
      <c r="G1150" s="406">
        <f>IFERROR(E1150*'01 Prod Physique Boites'!L1145,"-")</f>
        <v>0</v>
      </c>
      <c r="H1150" s="384">
        <v>445.38</v>
      </c>
      <c r="I1150" s="422">
        <f>IFERROR(H1150*(F1150/E1150),"-")</f>
        <v>0</v>
      </c>
      <c r="J1150" s="423">
        <f t="shared" ref="J1150:J1153" si="717">IFERROR(H1150*(G1150/E1150),"-")</f>
        <v>0</v>
      </c>
    </row>
    <row r="1151" spans="1:10" ht="23.4" x14ac:dyDescent="0.3">
      <c r="A1151" s="277" t="s">
        <v>109</v>
      </c>
      <c r="B1151" s="972"/>
      <c r="C1151" s="315" t="s">
        <v>267</v>
      </c>
      <c r="D1151" s="315"/>
      <c r="E1151" s="507">
        <v>246.51390000000001</v>
      </c>
      <c r="F1151" s="405">
        <f>IFERROR(E1151*'01 Prod Physique Boites'!H1146,"-")</f>
        <v>1498804.5120000001</v>
      </c>
      <c r="G1151" s="406">
        <f>IFERROR(E1151*'01 Prod Physique Boites'!L1146,"-")</f>
        <v>3046911.804</v>
      </c>
      <c r="H1151" s="388">
        <v>430.02</v>
      </c>
      <c r="I1151" s="424">
        <f>IFERROR(H1151*(F1151/E1151),"-")</f>
        <v>2614521.6</v>
      </c>
      <c r="J1151" s="425">
        <f t="shared" si="717"/>
        <v>5315047.2</v>
      </c>
    </row>
    <row r="1152" spans="1:10" ht="23.4" x14ac:dyDescent="0.3">
      <c r="A1152" s="277" t="s">
        <v>109</v>
      </c>
      <c r="B1152" s="972"/>
      <c r="C1152" s="315" t="s">
        <v>198</v>
      </c>
      <c r="D1152" s="315" t="s">
        <v>197</v>
      </c>
      <c r="E1152" s="507">
        <v>254.89750000000001</v>
      </c>
      <c r="F1152" s="405">
        <f>IFERROR(E1152*'01 Prod Physique Boites'!H1147,"-")</f>
        <v>0</v>
      </c>
      <c r="G1152" s="406">
        <f>IFERROR(E1152*'01 Prod Physique Boites'!L1147,"-")</f>
        <v>0</v>
      </c>
      <c r="H1152" s="388"/>
      <c r="I1152" s="424">
        <f>IFERROR(H1152*(F1152/E1152),"-")</f>
        <v>0</v>
      </c>
      <c r="J1152" s="425">
        <f t="shared" si="717"/>
        <v>0</v>
      </c>
    </row>
    <row r="1153" spans="1:10" ht="24" thickBot="1" x14ac:dyDescent="0.35">
      <c r="A1153" s="277" t="s">
        <v>109</v>
      </c>
      <c r="B1153" s="971"/>
      <c r="C1153" s="316" t="s">
        <v>37</v>
      </c>
      <c r="D1153" s="316"/>
      <c r="E1153" s="504">
        <v>229.99359999999999</v>
      </c>
      <c r="F1153" s="405">
        <f>IFERROR(E1153*'01 Prod Physique Boites'!H1148,"-")</f>
        <v>0</v>
      </c>
      <c r="G1153" s="406">
        <f>IFERROR(E1153*'01 Prod Physique Boites'!L1148,"-")</f>
        <v>0</v>
      </c>
      <c r="H1153" s="390"/>
      <c r="I1153" s="426">
        <f>IFERROR(H1153*(F1153/E1153),"-")</f>
        <v>0</v>
      </c>
      <c r="J1153" s="427">
        <f t="shared" si="717"/>
        <v>0</v>
      </c>
    </row>
    <row r="1154" spans="1:10" ht="24" thickBot="1" x14ac:dyDescent="0.35">
      <c r="A1154" s="277" t="s">
        <v>109</v>
      </c>
      <c r="B1154" s="967" t="s">
        <v>38</v>
      </c>
      <c r="C1154" s="968"/>
      <c r="D1154" s="969"/>
      <c r="E1154" s="393"/>
      <c r="F1154" s="409">
        <f t="shared" ref="F1154:G1154" si="718">SUM(F1150:F1153)</f>
        <v>1498804.5120000001</v>
      </c>
      <c r="G1154" s="410">
        <f t="shared" si="718"/>
        <v>3046911.804</v>
      </c>
      <c r="H1154" s="394"/>
      <c r="I1154" s="409">
        <f>SUM(I1150:I1153)</f>
        <v>2614521.6</v>
      </c>
      <c r="J1154" s="428">
        <f>SUM(J1150:J1153)</f>
        <v>5315047.2</v>
      </c>
    </row>
    <row r="1155" spans="1:10" ht="23.4" x14ac:dyDescent="0.3">
      <c r="A1155" s="277" t="s">
        <v>109</v>
      </c>
      <c r="B1155" s="970" t="s">
        <v>483</v>
      </c>
      <c r="C1155" s="317" t="s">
        <v>123</v>
      </c>
      <c r="D1155" s="317"/>
      <c r="E1155" s="506">
        <v>195.2808</v>
      </c>
      <c r="F1155" s="405">
        <f>IFERROR(E1155*'01 Prod Physique Boites'!H1150,"-")</f>
        <v>0</v>
      </c>
      <c r="G1155" s="406">
        <f>IFERROR(E1155*'01 Prod Physique Boites'!L1150,"-")</f>
        <v>28120.4352</v>
      </c>
      <c r="H1155" s="715">
        <v>256.7</v>
      </c>
      <c r="I1155" s="422">
        <f>IFERROR(H1155*(F1155/E1155),"-")</f>
        <v>0</v>
      </c>
      <c r="J1155" s="423">
        <f t="shared" ref="J1155:J1156" si="719">IFERROR(H1155*(G1155/E1155),"-")</f>
        <v>36964.799999999996</v>
      </c>
    </row>
    <row r="1156" spans="1:10" ht="24" thickBot="1" x14ac:dyDescent="0.35">
      <c r="A1156" s="277" t="s">
        <v>109</v>
      </c>
      <c r="B1156" s="971"/>
      <c r="C1156" s="289" t="s">
        <v>139</v>
      </c>
      <c r="D1156" s="289"/>
      <c r="E1156" s="504">
        <v>189.91890000000001</v>
      </c>
      <c r="F1156" s="405">
        <f>IFERROR(E1156*'01 Prod Physique Boites'!H1151,"-")</f>
        <v>0</v>
      </c>
      <c r="G1156" s="406">
        <f>IFERROR(E1156*'01 Prod Physique Boites'!L1151,"-")</f>
        <v>45580.536</v>
      </c>
      <c r="H1156" s="390">
        <v>320.35000000000002</v>
      </c>
      <c r="I1156" s="426">
        <f>IFERROR(H1156*(F1156/E1156),"-")</f>
        <v>0</v>
      </c>
      <c r="J1156" s="427">
        <f t="shared" si="719"/>
        <v>76884</v>
      </c>
    </row>
    <row r="1157" spans="1:10" ht="24" thickBot="1" x14ac:dyDescent="0.35">
      <c r="A1157" s="832" t="s">
        <v>109</v>
      </c>
      <c r="B1157" s="967" t="s">
        <v>40</v>
      </c>
      <c r="C1157" s="968"/>
      <c r="D1157" s="969"/>
      <c r="E1157" s="393"/>
      <c r="F1157" s="409">
        <f>SUM(F1155:F1156)</f>
        <v>0</v>
      </c>
      <c r="G1157" s="410">
        <f t="shared" ref="G1157" si="720">SUM(G1155:G1156)</f>
        <v>73700.9712</v>
      </c>
      <c r="H1157" s="394"/>
      <c r="I1157" s="409">
        <f t="shared" ref="I1157:J1157" si="721">SUM(I1155:I1156)</f>
        <v>0</v>
      </c>
      <c r="J1157" s="428">
        <f t="shared" si="721"/>
        <v>113848.79999999999</v>
      </c>
    </row>
    <row r="1158" spans="1:10" ht="23.4" x14ac:dyDescent="0.3">
      <c r="A1158" s="277" t="s">
        <v>109</v>
      </c>
      <c r="B1158" s="970" t="s">
        <v>484</v>
      </c>
      <c r="C1158" s="272" t="s">
        <v>335</v>
      </c>
      <c r="D1158" s="272" t="s">
        <v>258</v>
      </c>
      <c r="E1158" s="508">
        <v>37.248699999999999</v>
      </c>
      <c r="F1158" s="405">
        <f>IFERROR(E1158*'01 Prod Physique Boites'!H1153,"-")</f>
        <v>1028511.1044</v>
      </c>
      <c r="G1158" s="406">
        <f>IFERROR(E1158*'01 Prod Physique Boites'!L1153,"-")</f>
        <v>8265635.5247999998</v>
      </c>
      <c r="H1158" s="384">
        <v>71.44</v>
      </c>
      <c r="I1158" s="422">
        <f>IFERROR(H1158*(F1158/E1158),"-")</f>
        <v>1972601.28</v>
      </c>
      <c r="J1158" s="423">
        <f>IFERROR(H1158*(G1158/E1158),"-")</f>
        <v>15852821.76</v>
      </c>
    </row>
    <row r="1159" spans="1:10" ht="23.4" x14ac:dyDescent="0.3">
      <c r="A1159" s="277" t="s">
        <v>109</v>
      </c>
      <c r="B1159" s="972"/>
      <c r="C1159" s="272" t="s">
        <v>164</v>
      </c>
      <c r="D1159" s="278"/>
      <c r="E1159" s="508">
        <v>37.248699999999999</v>
      </c>
      <c r="F1159" s="405">
        <f>IFERROR(E1159*'01 Prod Physique Boites'!H1154,"-")</f>
        <v>0</v>
      </c>
      <c r="G1159" s="406">
        <f>IFERROR(E1159*'01 Prod Physique Boites'!L1154,"-")</f>
        <v>0</v>
      </c>
      <c r="H1159" s="388"/>
      <c r="I1159" s="424">
        <f>IFERROR(H1159*(F1159/E1159),"-")</f>
        <v>0</v>
      </c>
      <c r="J1159" s="425">
        <f t="shared" ref="J1159:J1161" si="722">IFERROR(H1159*(G1159/E1159),"-")</f>
        <v>0</v>
      </c>
    </row>
    <row r="1160" spans="1:10" ht="23.4" x14ac:dyDescent="0.3">
      <c r="A1160" s="277" t="s">
        <v>109</v>
      </c>
      <c r="B1160" s="972"/>
      <c r="C1160" s="278" t="s">
        <v>383</v>
      </c>
      <c r="D1160" s="272" t="s">
        <v>258</v>
      </c>
      <c r="E1160" s="508">
        <v>37.248699999999999</v>
      </c>
      <c r="F1160" s="405">
        <f>IFERROR(E1160*'01 Prod Physique Boites'!H1155,"-")</f>
        <v>0</v>
      </c>
      <c r="G1160" s="406">
        <f>IFERROR(E1160*'01 Prod Physique Boites'!L1155,"-")</f>
        <v>0</v>
      </c>
      <c r="H1160" s="388">
        <v>71.44</v>
      </c>
      <c r="I1160" s="424">
        <f>IFERROR(H1160*(F1160/E1160),"-")</f>
        <v>0</v>
      </c>
      <c r="J1160" s="425">
        <f t="shared" si="722"/>
        <v>0</v>
      </c>
    </row>
    <row r="1161" spans="1:10" ht="24" thickBot="1" x14ac:dyDescent="0.35">
      <c r="A1161" s="277" t="s">
        <v>109</v>
      </c>
      <c r="B1161" s="972"/>
      <c r="C1161" s="278" t="s">
        <v>165</v>
      </c>
      <c r="D1161" s="278"/>
      <c r="E1161" s="509">
        <v>38.466099999999997</v>
      </c>
      <c r="F1161" s="405">
        <f>IFERROR(E1161*'01 Prod Physique Boites'!H1156,"-")</f>
        <v>0</v>
      </c>
      <c r="G1161" s="406">
        <f>IFERROR(E1161*'01 Prod Physique Boites'!L1156,"-")</f>
        <v>0</v>
      </c>
      <c r="H1161" s="388"/>
      <c r="I1161" s="424">
        <f>IFERROR(H1161*(F1161/E1161),"-")</f>
        <v>0</v>
      </c>
      <c r="J1161" s="425">
        <f t="shared" si="722"/>
        <v>0</v>
      </c>
    </row>
    <row r="1162" spans="1:10" ht="24" thickBot="1" x14ac:dyDescent="0.35">
      <c r="A1162" s="277" t="s">
        <v>109</v>
      </c>
      <c r="B1162" s="967" t="s">
        <v>42</v>
      </c>
      <c r="C1162" s="968"/>
      <c r="D1162" s="969"/>
      <c r="E1162" s="393"/>
      <c r="F1162" s="409">
        <f>SUM(F1158:F1161)</f>
        <v>1028511.1044</v>
      </c>
      <c r="G1162" s="410">
        <f>SUM(G1158:G1161)</f>
        <v>8265635.5247999998</v>
      </c>
      <c r="H1162" s="394"/>
      <c r="I1162" s="409">
        <f>SUM(I1158:I1161)</f>
        <v>1972601.28</v>
      </c>
      <c r="J1162" s="409">
        <f>SUM(J1158:J1161)</f>
        <v>15852821.76</v>
      </c>
    </row>
    <row r="1163" spans="1:10" ht="23.4" x14ac:dyDescent="0.3">
      <c r="A1163" s="277" t="s">
        <v>109</v>
      </c>
      <c r="B1163" s="970" t="s">
        <v>43</v>
      </c>
      <c r="C1163" s="272" t="s">
        <v>200</v>
      </c>
      <c r="D1163" s="272" t="s">
        <v>197</v>
      </c>
      <c r="E1163" s="508">
        <v>30.7499</v>
      </c>
      <c r="F1163" s="405">
        <f>IFERROR(E1163*'01 Prod Physique Boites'!H1159,"-")</f>
        <v>0</v>
      </c>
      <c r="G1163" s="406">
        <f>IFERROR(E1163*'01 Prod Physique Boites'!L1159,"-")</f>
        <v>0</v>
      </c>
      <c r="H1163" s="384"/>
      <c r="I1163" s="422">
        <f>IFERROR(H1163*(F1163/E1163),"-")</f>
        <v>0</v>
      </c>
      <c r="J1163" s="423">
        <f>IFERROR(H1163*(G1163/E1163),"-")</f>
        <v>0</v>
      </c>
    </row>
    <row r="1164" spans="1:10" ht="23.4" x14ac:dyDescent="0.3">
      <c r="A1164" s="277" t="s">
        <v>109</v>
      </c>
      <c r="B1164" s="972"/>
      <c r="C1164" s="278" t="s">
        <v>167</v>
      </c>
      <c r="D1164" s="278"/>
      <c r="E1164" s="727">
        <v>25.139099999999999</v>
      </c>
      <c r="F1164" s="405">
        <f>IFERROR(E1164*'01 Prod Physique Boites'!H1160,"-")</f>
        <v>144801.21599999999</v>
      </c>
      <c r="G1164" s="406">
        <f>IFERROR(E1164*'01 Prod Physique Boites'!L1160,"-")</f>
        <v>2880337.5216000001</v>
      </c>
      <c r="H1164" s="388">
        <v>59.96</v>
      </c>
      <c r="I1164" s="424">
        <f>IFERROR(H1164*(F1164/E1164),"-")</f>
        <v>345369.59999999998</v>
      </c>
      <c r="J1164" s="425">
        <f t="shared" ref="J1164:J1165" si="723">IFERROR(H1164*(G1164/E1164),"-")</f>
        <v>6869976.9600000009</v>
      </c>
    </row>
    <row r="1165" spans="1:10" ht="24" thickBot="1" x14ac:dyDescent="0.35">
      <c r="A1165" s="277" t="s">
        <v>109</v>
      </c>
      <c r="B1165" s="971"/>
      <c r="C1165" s="282" t="s">
        <v>200</v>
      </c>
      <c r="D1165" s="282" t="s">
        <v>199</v>
      </c>
      <c r="E1165" s="505">
        <v>30.073599999999999</v>
      </c>
      <c r="F1165" s="405">
        <f>IFERROR(E1165*'01 Prod Physique Boites'!H1161,"-")</f>
        <v>0</v>
      </c>
      <c r="G1165" s="406">
        <f>IFERROR(E1165*'01 Prod Physique Boites'!L1161,"-")</f>
        <v>0</v>
      </c>
      <c r="H1165" s="390"/>
      <c r="I1165" s="426">
        <f>IFERROR(H1165*(F1165/E1165),"-")</f>
        <v>0</v>
      </c>
      <c r="J1165" s="427">
        <f t="shared" si="723"/>
        <v>0</v>
      </c>
    </row>
    <row r="1166" spans="1:10" ht="24" thickBot="1" x14ac:dyDescent="0.35">
      <c r="A1166" s="277" t="s">
        <v>109</v>
      </c>
      <c r="B1166" s="973" t="s">
        <v>44</v>
      </c>
      <c r="C1166" s="974"/>
      <c r="D1166" s="975"/>
      <c r="E1166" s="393"/>
      <c r="F1166" s="409">
        <f t="shared" ref="F1166:G1166" si="724">SUM(F1163:F1165)</f>
        <v>144801.21599999999</v>
      </c>
      <c r="G1166" s="410">
        <f t="shared" si="724"/>
        <v>2880337.5216000001</v>
      </c>
      <c r="H1166" s="394"/>
      <c r="I1166" s="409">
        <f t="shared" ref="I1166:J1166" si="725">SUM(I1163:I1165)</f>
        <v>345369.59999999998</v>
      </c>
      <c r="J1166" s="428">
        <f t="shared" si="725"/>
        <v>6869976.9600000009</v>
      </c>
    </row>
    <row r="1167" spans="1:10" ht="23.4" x14ac:dyDescent="0.3">
      <c r="A1167" s="277" t="s">
        <v>109</v>
      </c>
      <c r="B1167" s="970" t="s">
        <v>45</v>
      </c>
      <c r="C1167" s="272" t="s">
        <v>168</v>
      </c>
      <c r="D1167" s="272"/>
      <c r="E1167" s="508">
        <v>36.684899999999999</v>
      </c>
      <c r="F1167" s="405">
        <f>IFERROR(E1167*'01 Prod Physique Boites'!H1163,"-")</f>
        <v>0</v>
      </c>
      <c r="G1167" s="406">
        <f>IFERROR(E1167*'01 Prod Physique Boites'!L1163,"-")</f>
        <v>0</v>
      </c>
      <c r="H1167" s="384"/>
      <c r="I1167" s="385" t="s">
        <v>204</v>
      </c>
      <c r="J1167" s="386" t="s">
        <v>204</v>
      </c>
    </row>
    <row r="1168" spans="1:10" ht="24" thickBot="1" x14ac:dyDescent="0.35">
      <c r="A1168" s="277" t="s">
        <v>109</v>
      </c>
      <c r="B1168" s="971"/>
      <c r="C1168" s="282" t="s">
        <v>169</v>
      </c>
      <c r="D1168" s="282"/>
      <c r="E1168" s="505">
        <v>37.002800000000001</v>
      </c>
      <c r="F1168" s="405">
        <f>IFERROR(E1168*'01 Prod Physique Boites'!H1164,"-")</f>
        <v>0</v>
      </c>
      <c r="G1168" s="406">
        <f>IFERROR(E1168*'01 Prod Physique Boites'!L1164,"-")</f>
        <v>0</v>
      </c>
      <c r="H1168" s="390"/>
      <c r="I1168" s="391" t="s">
        <v>204</v>
      </c>
      <c r="J1168" s="392" t="s">
        <v>204</v>
      </c>
    </row>
    <row r="1169" spans="1:15" ht="24" thickBot="1" x14ac:dyDescent="0.35">
      <c r="A1169" s="277" t="s">
        <v>109</v>
      </c>
      <c r="B1169" s="973" t="s">
        <v>46</v>
      </c>
      <c r="C1169" s="974"/>
      <c r="D1169" s="975"/>
      <c r="E1169" s="393"/>
      <c r="F1169" s="405">
        <f>IFERROR(E1169*'01 Prod Physique Boites'!H1165,"-")</f>
        <v>0</v>
      </c>
      <c r="G1169" s="410">
        <f>IFERROR(E1169*'01 Prod Physique Boites'!L1165,"-")</f>
        <v>0</v>
      </c>
      <c r="H1169" s="394"/>
      <c r="I1169" s="409">
        <f t="shared" ref="I1169:J1169" si="726">SUM(I1167:I1168)</f>
        <v>0</v>
      </c>
      <c r="J1169" s="428">
        <f t="shared" si="726"/>
        <v>0</v>
      </c>
    </row>
    <row r="1170" spans="1:15" ht="24" thickBot="1" x14ac:dyDescent="0.35">
      <c r="A1170" s="277" t="s">
        <v>109</v>
      </c>
      <c r="B1170" s="959" t="s">
        <v>25</v>
      </c>
      <c r="C1170" s="960"/>
      <c r="D1170" s="961"/>
      <c r="E1170" s="396"/>
      <c r="F1170" s="413">
        <f>+F1149+F1154+F1157+F1162+F1166+F1169</f>
        <v>2672116.8324000002</v>
      </c>
      <c r="G1170" s="414">
        <f>+G1149+G1154+G1157+G1162+G1166+G1169</f>
        <v>17343079.2936</v>
      </c>
      <c r="H1170" s="397"/>
      <c r="I1170" s="413">
        <f>+I1149+I1154+I1157+I1162+I1166+I1169</f>
        <v>4932492.4799999995</v>
      </c>
      <c r="J1170" s="431">
        <f>+J1149+J1154+J1157+J1162+J1166+J1169</f>
        <v>33518344.32</v>
      </c>
    </row>
    <row r="1171" spans="1:15" ht="24" thickBot="1" x14ac:dyDescent="0.35">
      <c r="A1171" s="321" t="s">
        <v>109</v>
      </c>
      <c r="B1171" s="962" t="s">
        <v>181</v>
      </c>
      <c r="C1171" s="962"/>
      <c r="D1171" s="963"/>
      <c r="E1171" s="398"/>
      <c r="F1171" s="415">
        <f t="shared" ref="F1171:G1171" si="727">+F1170</f>
        <v>2672116.8324000002</v>
      </c>
      <c r="G1171" s="416">
        <f t="shared" si="727"/>
        <v>17343079.2936</v>
      </c>
      <c r="H1171" s="399"/>
      <c r="I1171" s="415">
        <f t="shared" ref="I1171" si="728">+I1170</f>
        <v>4932492.4799999995</v>
      </c>
      <c r="J1171" s="432">
        <f>+J1170</f>
        <v>33518344.32</v>
      </c>
    </row>
    <row r="1172" spans="1:15" ht="24.6" thickBot="1" x14ac:dyDescent="0.35">
      <c r="A1172" s="322"/>
      <c r="B1172" s="964" t="s">
        <v>182</v>
      </c>
      <c r="C1172" s="965"/>
      <c r="D1172" s="966"/>
      <c r="E1172" s="404"/>
      <c r="F1172" s="421">
        <f>+F1116+F1145+F1171</f>
        <v>8849069.7302999999</v>
      </c>
      <c r="G1172" s="421">
        <f>+G1116+G1145+G1171</f>
        <v>93507211.779399991</v>
      </c>
      <c r="H1172" s="404"/>
      <c r="I1172" s="421">
        <f>+I1116+I1145+I1171</f>
        <v>13781972.010000002</v>
      </c>
      <c r="J1172" s="435">
        <f>+J1116+J1145+J1171</f>
        <v>138097371.58000001</v>
      </c>
    </row>
    <row r="1173" spans="1:15" ht="23.4" x14ac:dyDescent="0.3">
      <c r="A1173" s="991" t="s">
        <v>1</v>
      </c>
      <c r="B1173" s="994" t="s">
        <v>2</v>
      </c>
      <c r="C1173" s="997" t="s">
        <v>477</v>
      </c>
      <c r="D1173" s="997" t="s">
        <v>478</v>
      </c>
      <c r="E1173" s="1021" t="s">
        <v>486</v>
      </c>
      <c r="F1173" s="1022"/>
      <c r="G1173" s="1022"/>
      <c r="H1173" s="445"/>
      <c r="I1173" s="445"/>
      <c r="J1173" s="446"/>
    </row>
    <row r="1174" spans="1:15" ht="23.4" x14ac:dyDescent="0.3">
      <c r="A1174" s="992"/>
      <c r="B1174" s="995"/>
      <c r="C1174" s="998"/>
      <c r="D1174" s="998"/>
      <c r="E1174" s="1023" t="s">
        <v>489</v>
      </c>
      <c r="F1174" s="1024"/>
      <c r="G1174" s="1025"/>
      <c r="H1174" s="1023" t="s">
        <v>176</v>
      </c>
      <c r="I1174" s="1024"/>
      <c r="J1174" s="1025"/>
    </row>
    <row r="1175" spans="1:15" ht="46.8" x14ac:dyDescent="0.3">
      <c r="A1175" s="993"/>
      <c r="B1175" s="1019"/>
      <c r="C1175" s="1020"/>
      <c r="D1175" s="1020"/>
      <c r="E1175" s="382" t="s">
        <v>178</v>
      </c>
      <c r="F1175" s="839" t="s">
        <v>488</v>
      </c>
      <c r="G1175" s="840" t="s">
        <v>487</v>
      </c>
      <c r="H1175" s="1026" t="s">
        <v>178</v>
      </c>
      <c r="I1175" s="1028" t="s">
        <v>144</v>
      </c>
      <c r="J1175" s="1030" t="s">
        <v>487</v>
      </c>
    </row>
    <row r="1176" spans="1:15" ht="24" thickBot="1" x14ac:dyDescent="0.35">
      <c r="A1176" s="993"/>
      <c r="B1176" s="996"/>
      <c r="C1176" s="999"/>
      <c r="D1176" s="999"/>
      <c r="E1176" s="1032">
        <v>44548</v>
      </c>
      <c r="F1176" s="1033"/>
      <c r="G1176" s="1034"/>
      <c r="H1176" s="1027"/>
      <c r="I1176" s="1029"/>
      <c r="J1176" s="1031"/>
    </row>
    <row r="1177" spans="1:15" ht="23.4" x14ac:dyDescent="0.3">
      <c r="A1177" s="271" t="s">
        <v>110</v>
      </c>
      <c r="B1177" s="956" t="s">
        <v>16</v>
      </c>
      <c r="C1177" s="272" t="s">
        <v>424</v>
      </c>
      <c r="D1177" s="272" t="s">
        <v>425</v>
      </c>
      <c r="E1177" s="758">
        <v>81.360699999999994</v>
      </c>
      <c r="F1177" s="405">
        <f>IFERROR(E1177*'01 Prod Physique Boites'!H1172,"-")</f>
        <v>0</v>
      </c>
      <c r="G1177" s="405">
        <f>IFERROR(E1177*'01 Prod Physique Boites'!L1172,"-")</f>
        <v>1614196.2879999999</v>
      </c>
      <c r="H1177" s="759">
        <v>143.28</v>
      </c>
      <c r="I1177" s="422">
        <f>IFERROR(H1177*(F1177/E1177),"-")</f>
        <v>0</v>
      </c>
      <c r="J1177" s="423">
        <f t="shared" ref="J1177:J1179" si="729">IFERROR(H1177*(G1177/E1177),"-")</f>
        <v>2842675.2000000002</v>
      </c>
    </row>
    <row r="1178" spans="1:15" ht="23.4" x14ac:dyDescent="0.3">
      <c r="A1178" s="784"/>
      <c r="B1178" s="957"/>
      <c r="C1178" s="278" t="s">
        <v>188</v>
      </c>
      <c r="D1178" s="278" t="s">
        <v>101</v>
      </c>
      <c r="E1178" s="509">
        <v>81.360699999999994</v>
      </c>
      <c r="F1178" s="405">
        <f>IFERROR(E1178*'01 Prod Physique Boites'!H1173,"-")</f>
        <v>0</v>
      </c>
      <c r="G1178" s="405">
        <f>IFERROR(E1178*'01 Prod Physique Boites'!L1173,"-")</f>
        <v>3936312.0266999998</v>
      </c>
      <c r="H1178" s="770">
        <v>0</v>
      </c>
      <c r="I1178" s="422">
        <f>IFERROR(H1178*(F1178/E1178),"-")</f>
        <v>0</v>
      </c>
      <c r="J1178" s="423">
        <f t="shared" si="729"/>
        <v>0</v>
      </c>
    </row>
    <row r="1179" spans="1:15" ht="23.4" x14ac:dyDescent="0.3">
      <c r="A1179" s="277" t="s">
        <v>110</v>
      </c>
      <c r="B1179" s="957"/>
      <c r="C1179" s="278" t="s">
        <v>186</v>
      </c>
      <c r="D1179" s="278" t="s">
        <v>184</v>
      </c>
      <c r="E1179" s="509">
        <v>55.476900000000001</v>
      </c>
      <c r="F1179" s="405">
        <f>IFERROR(E1179*'01 Prod Physique Boites'!H1174,"-")</f>
        <v>0</v>
      </c>
      <c r="G1179" s="405">
        <f>IFERROR(E1179*'01 Prod Physique Boites'!L1174,"-")</f>
        <v>0</v>
      </c>
      <c r="H1179" s="388">
        <v>0</v>
      </c>
      <c r="I1179" s="422">
        <f>IFERROR(H1179*(F1179/E1179),"-")</f>
        <v>0</v>
      </c>
      <c r="J1179" s="423">
        <f t="shared" si="729"/>
        <v>0</v>
      </c>
    </row>
    <row r="1180" spans="1:15" ht="24" thickBot="1" x14ac:dyDescent="0.35">
      <c r="A1180" s="277" t="s">
        <v>110</v>
      </c>
      <c r="B1180" s="958"/>
      <c r="C1180" s="282" t="s">
        <v>282</v>
      </c>
      <c r="D1180" s="282" t="s">
        <v>251</v>
      </c>
      <c r="E1180" s="505">
        <v>60.703499999999998</v>
      </c>
      <c r="F1180" s="405">
        <f>IFERROR(E1180*'01 Prod Physique Boites'!H1175,"-")</f>
        <v>745924.60800000001</v>
      </c>
      <c r="G1180" s="405">
        <f>IFERROR(E1180*'01 Prod Physique Boites'!L1175,"-")</f>
        <v>745924.60800000001</v>
      </c>
      <c r="H1180" s="390">
        <v>111.09</v>
      </c>
      <c r="I1180" s="422">
        <f>IFERROR(H1180*(F1180/E1180),"-")</f>
        <v>1365073.9199999999</v>
      </c>
      <c r="J1180" s="423">
        <f>IFERROR(H1180*(G1180/E1180),"-")</f>
        <v>1365073.9199999999</v>
      </c>
    </row>
    <row r="1181" spans="1:15" ht="24" thickBot="1" x14ac:dyDescent="0.35">
      <c r="A1181" s="277" t="s">
        <v>110</v>
      </c>
      <c r="B1181" s="967" t="s">
        <v>47</v>
      </c>
      <c r="C1181" s="968"/>
      <c r="D1181" s="969"/>
      <c r="E1181" s="393"/>
      <c r="F1181" s="409">
        <f t="shared" ref="F1181" si="730">SUM(F1177:F1180)</f>
        <v>745924.60800000001</v>
      </c>
      <c r="G1181" s="410">
        <f>SUM(G1177:G1180)</f>
        <v>6296432.9227</v>
      </c>
      <c r="H1181" s="394"/>
      <c r="I1181" s="409">
        <f t="shared" ref="I1181:J1181" si="731">SUM(I1177:I1180)</f>
        <v>1365073.9199999999</v>
      </c>
      <c r="J1181" s="428">
        <f t="shared" si="731"/>
        <v>4207749.1200000001</v>
      </c>
      <c r="K1181" s="757"/>
      <c r="L1181" s="757"/>
      <c r="M1181" s="757"/>
      <c r="N1181" s="757"/>
      <c r="O1181" s="757"/>
    </row>
    <row r="1182" spans="1:15" ht="23.4" x14ac:dyDescent="0.3">
      <c r="A1182" s="277" t="s">
        <v>110</v>
      </c>
      <c r="B1182" s="956" t="s">
        <v>17</v>
      </c>
      <c r="C1182" s="272" t="s">
        <v>320</v>
      </c>
      <c r="D1182" s="272"/>
      <c r="E1182" s="508">
        <v>12.5275</v>
      </c>
      <c r="F1182" s="405">
        <f>IFERROR(E1182*'01 Prod Physique Boites'!H1177,"-")</f>
        <v>230004.9</v>
      </c>
      <c r="G1182" s="405">
        <f>IFERROR(E1182*'01 Prod Physique Boites'!L1177,"-")</f>
        <v>230004.9</v>
      </c>
      <c r="H1182" s="715">
        <v>18.836400000000001</v>
      </c>
      <c r="I1182" s="422">
        <f t="shared" ref="I1182:I1188" si="732">IFERROR(H1182*(F1182/E1182),"-")</f>
        <v>345836.304</v>
      </c>
      <c r="J1182" s="423">
        <f t="shared" ref="J1182:J1187" si="733">IFERROR(H1182*(G1182/E1182),"-")</f>
        <v>345836.304</v>
      </c>
    </row>
    <row r="1183" spans="1:15" ht="23.4" x14ac:dyDescent="0.3">
      <c r="A1183" s="277" t="s">
        <v>110</v>
      </c>
      <c r="B1183" s="957"/>
      <c r="C1183" s="278" t="s">
        <v>382</v>
      </c>
      <c r="D1183" s="278" t="s">
        <v>252</v>
      </c>
      <c r="E1183" s="698">
        <v>13.002700000000001</v>
      </c>
      <c r="F1183" s="405">
        <f>IFERROR(E1183*'01 Prod Physique Boites'!H1178,"-")</f>
        <v>0</v>
      </c>
      <c r="G1183" s="405">
        <f>IFERROR(E1183*'01 Prod Physique Boites'!L1178,"-")</f>
        <v>7837286.4061000003</v>
      </c>
      <c r="H1183" s="388">
        <v>21.18</v>
      </c>
      <c r="I1183" s="424">
        <f t="shared" si="732"/>
        <v>0</v>
      </c>
      <c r="J1183" s="425">
        <f t="shared" si="733"/>
        <v>12766096.74</v>
      </c>
    </row>
    <row r="1184" spans="1:15" ht="23.4" x14ac:dyDescent="0.3">
      <c r="A1184" s="277" t="s">
        <v>110</v>
      </c>
      <c r="B1184" s="957"/>
      <c r="C1184" s="278" t="s">
        <v>391</v>
      </c>
      <c r="D1184" s="278" t="s">
        <v>201</v>
      </c>
      <c r="E1184" s="698">
        <v>12.9049</v>
      </c>
      <c r="F1184" s="405">
        <f>IFERROR(E1184*'01 Prod Physique Boites'!H1179,"-")</f>
        <v>39488.993999999999</v>
      </c>
      <c r="G1184" s="405">
        <f>IFERROR(E1184*'01 Prod Physique Boites'!L1179,"-")</f>
        <v>5868064.5083999997</v>
      </c>
      <c r="H1184" s="388">
        <v>20.5</v>
      </c>
      <c r="I1184" s="424">
        <f t="shared" si="732"/>
        <v>62730</v>
      </c>
      <c r="J1184" s="425">
        <f t="shared" si="733"/>
        <v>9321678</v>
      </c>
    </row>
    <row r="1185" spans="1:15" ht="23.4" x14ac:dyDescent="0.3">
      <c r="A1185" s="277" t="s">
        <v>110</v>
      </c>
      <c r="B1185" s="957"/>
      <c r="C1185" s="278" t="s">
        <v>319</v>
      </c>
      <c r="D1185" s="278" t="s">
        <v>202</v>
      </c>
      <c r="E1185" s="509">
        <v>13.078200000000001</v>
      </c>
      <c r="F1185" s="405">
        <f>IFERROR(E1185*'01 Prod Physique Boites'!H1180,"-")</f>
        <v>0</v>
      </c>
      <c r="G1185" s="405">
        <f>IFERROR(E1185*'01 Prod Physique Boites'!L1180,"-")</f>
        <v>0</v>
      </c>
      <c r="H1185" s="388">
        <v>20.6</v>
      </c>
      <c r="I1185" s="424">
        <f t="shared" si="732"/>
        <v>0</v>
      </c>
      <c r="J1185" s="425">
        <f t="shared" si="733"/>
        <v>0</v>
      </c>
    </row>
    <row r="1186" spans="1:15" ht="23.4" x14ac:dyDescent="0.3">
      <c r="A1186" s="277" t="s">
        <v>110</v>
      </c>
      <c r="B1186" s="957"/>
      <c r="C1186" s="278" t="s">
        <v>358</v>
      </c>
      <c r="D1186" s="278" t="s">
        <v>352</v>
      </c>
      <c r="E1186" s="509">
        <v>13.1958</v>
      </c>
      <c r="F1186" s="405">
        <f>IFERROR(E1186*'01 Prod Physique Boites'!H1181,"-")</f>
        <v>1477876.8167999999</v>
      </c>
      <c r="G1186" s="405">
        <f>IFERROR(E1186*'01 Prod Physique Boites'!L1181,"-")</f>
        <v>6565649.4648000002</v>
      </c>
      <c r="H1186" s="388">
        <v>21.28</v>
      </c>
      <c r="I1186" s="424">
        <f t="shared" si="732"/>
        <v>2383274.88</v>
      </c>
      <c r="J1186" s="425">
        <f t="shared" si="733"/>
        <v>10587991.68</v>
      </c>
    </row>
    <row r="1187" spans="1:15" ht="23.4" x14ac:dyDescent="0.3">
      <c r="A1187" s="277">
        <v>1</v>
      </c>
      <c r="B1187" s="957"/>
      <c r="C1187" s="278" t="s">
        <v>392</v>
      </c>
      <c r="D1187" s="278" t="s">
        <v>203</v>
      </c>
      <c r="E1187" s="698">
        <v>12.9049</v>
      </c>
      <c r="F1187" s="405">
        <f>IFERROR(E1187*'01 Prod Physique Boites'!H1182,"-")</f>
        <v>0</v>
      </c>
      <c r="G1187" s="405">
        <f>IFERROR(E1187*'01 Prod Physique Boites'!L1182,"-")</f>
        <v>0</v>
      </c>
      <c r="H1187" s="677">
        <v>20.5</v>
      </c>
      <c r="I1187" s="424">
        <f t="shared" si="732"/>
        <v>0</v>
      </c>
      <c r="J1187" s="425">
        <f t="shared" si="733"/>
        <v>0</v>
      </c>
    </row>
    <row r="1188" spans="1:15" ht="24" thickBot="1" x14ac:dyDescent="0.35">
      <c r="A1188" s="277" t="s">
        <v>110</v>
      </c>
      <c r="B1188" s="958"/>
      <c r="C1188" s="282" t="s">
        <v>379</v>
      </c>
      <c r="D1188" s="282" t="s">
        <v>187</v>
      </c>
      <c r="E1188" s="505">
        <v>13.6509</v>
      </c>
      <c r="F1188" s="405">
        <f>IFERROR(E1188*'01 Prod Physique Boites'!H1183,"-")</f>
        <v>0</v>
      </c>
      <c r="G1188" s="405">
        <f>IFERROR(E1188*'01 Prod Physique Boites'!L1183,"-")</f>
        <v>0</v>
      </c>
      <c r="H1188" s="390">
        <v>21.18</v>
      </c>
      <c r="I1188" s="426">
        <f t="shared" si="732"/>
        <v>0</v>
      </c>
      <c r="J1188" s="427">
        <f>IFERROR(H1188*(G1188/E1188),"-")</f>
        <v>0</v>
      </c>
    </row>
    <row r="1189" spans="1:15" ht="24" thickBot="1" x14ac:dyDescent="0.35">
      <c r="A1189" s="277" t="s">
        <v>110</v>
      </c>
      <c r="B1189" s="967" t="s">
        <v>48</v>
      </c>
      <c r="C1189" s="968"/>
      <c r="D1189" s="969"/>
      <c r="E1189" s="393"/>
      <c r="F1189" s="409">
        <f t="shared" ref="F1189" si="734">SUM(F1182:F1188)</f>
        <v>1747370.7108</v>
      </c>
      <c r="G1189" s="410">
        <f>SUM(G1182:G1188)</f>
        <v>20501005.279300001</v>
      </c>
      <c r="H1189" s="394"/>
      <c r="I1189" s="409">
        <f t="shared" ref="I1189" si="735">SUM(I1182:I1188)</f>
        <v>2791841.1839999999</v>
      </c>
      <c r="J1189" s="428">
        <f>SUM(J1182:J1188)</f>
        <v>33021602.723999999</v>
      </c>
      <c r="K1189" s="757"/>
      <c r="L1189" s="757"/>
      <c r="M1189" s="757"/>
      <c r="N1189" s="757"/>
      <c r="O1189" s="757"/>
    </row>
    <row r="1190" spans="1:15" ht="23.4" x14ac:dyDescent="0.3">
      <c r="A1190" s="277" t="s">
        <v>110</v>
      </c>
      <c r="B1190" s="956" t="s">
        <v>18</v>
      </c>
      <c r="C1190" s="272" t="s">
        <v>344</v>
      </c>
      <c r="D1190" s="272" t="s">
        <v>99</v>
      </c>
      <c r="E1190" s="508">
        <v>17.8202</v>
      </c>
      <c r="F1190" s="405">
        <f>IFERROR(E1190*'01 Prod Physique Boites'!H1185,"-")</f>
        <v>0</v>
      </c>
      <c r="G1190" s="406">
        <f>IFERROR(E1190*'01 Prod Physique Boites'!L1185,"-")</f>
        <v>0</v>
      </c>
      <c r="H1190" s="384">
        <v>24.93</v>
      </c>
      <c r="I1190" s="422">
        <f t="shared" ref="I1190:I1196" si="736">IFERROR(H1190*(F1190/E1190),"-")</f>
        <v>0</v>
      </c>
      <c r="J1190" s="423">
        <f t="shared" ref="J1190:J1192" si="737">IFERROR(H1190*(G1190/E1190),"-")</f>
        <v>0</v>
      </c>
    </row>
    <row r="1191" spans="1:15" ht="23.4" x14ac:dyDescent="0.3">
      <c r="A1191" s="277" t="s">
        <v>110</v>
      </c>
      <c r="B1191" s="957"/>
      <c r="C1191" s="278" t="s">
        <v>137</v>
      </c>
      <c r="D1191" s="278"/>
      <c r="E1191" s="509">
        <v>17.8202</v>
      </c>
      <c r="F1191" s="405">
        <f>IFERROR(E1191*'01 Prod Physique Boites'!H1186,"-")</f>
        <v>0</v>
      </c>
      <c r="G1191" s="406">
        <f>IFERROR(E1191*'01 Prod Physique Boites'!L1186,"-")</f>
        <v>0</v>
      </c>
      <c r="H1191" s="388">
        <v>0</v>
      </c>
      <c r="I1191" s="424">
        <f t="shared" si="736"/>
        <v>0</v>
      </c>
      <c r="J1191" s="425">
        <f t="shared" si="737"/>
        <v>0</v>
      </c>
    </row>
    <row r="1192" spans="1:15" ht="23.4" x14ac:dyDescent="0.3">
      <c r="A1192" s="277" t="s">
        <v>110</v>
      </c>
      <c r="B1192" s="957"/>
      <c r="C1192" s="278" t="s">
        <v>122</v>
      </c>
      <c r="D1192" s="278"/>
      <c r="E1192" s="509">
        <v>16.4071</v>
      </c>
      <c r="F1192" s="405">
        <f>IFERROR(E1192*'01 Prod Physique Boites'!H1187,"-")</f>
        <v>0</v>
      </c>
      <c r="G1192" s="406">
        <f>IFERROR(E1192*'01 Prod Physique Boites'!L1187,"-")</f>
        <v>0</v>
      </c>
      <c r="H1192" s="388">
        <v>0</v>
      </c>
      <c r="I1192" s="424">
        <f t="shared" si="736"/>
        <v>0</v>
      </c>
      <c r="J1192" s="425">
        <f t="shared" si="737"/>
        <v>0</v>
      </c>
    </row>
    <row r="1193" spans="1:15" ht="23.4" x14ac:dyDescent="0.3">
      <c r="A1193" s="277" t="s">
        <v>110</v>
      </c>
      <c r="B1193" s="957"/>
      <c r="C1193" s="278" t="s">
        <v>129</v>
      </c>
      <c r="D1193" s="278"/>
      <c r="E1193" s="509">
        <v>17.8202</v>
      </c>
      <c r="F1193" s="405">
        <f>IFERROR(E1193*'01 Prod Physique Boites'!H1188,"-")</f>
        <v>0</v>
      </c>
      <c r="G1193" s="406">
        <f>IFERROR(E1193*'01 Prod Physique Boites'!L1188,"-")</f>
        <v>0</v>
      </c>
      <c r="H1193" s="388">
        <v>0</v>
      </c>
      <c r="I1193" s="424">
        <f t="shared" si="736"/>
        <v>0</v>
      </c>
      <c r="J1193" s="425">
        <f>IFERROR(H1193*(G1193/E1193),"-")</f>
        <v>0</v>
      </c>
    </row>
    <row r="1194" spans="1:15" ht="23.4" x14ac:dyDescent="0.3">
      <c r="A1194" s="277" t="s">
        <v>110</v>
      </c>
      <c r="B1194" s="957"/>
      <c r="C1194" s="278" t="s">
        <v>189</v>
      </c>
      <c r="D1194" s="278" t="s">
        <v>190</v>
      </c>
      <c r="E1194" s="509">
        <v>17.8202</v>
      </c>
      <c r="F1194" s="405">
        <f>IFERROR(E1194*'01 Prod Physique Boites'!H1189,"-")</f>
        <v>0</v>
      </c>
      <c r="G1194" s="406">
        <f>IFERROR(E1194*'01 Prod Physique Boites'!L1189,"-")</f>
        <v>0</v>
      </c>
      <c r="H1194" s="388">
        <v>0</v>
      </c>
      <c r="I1194" s="424">
        <f t="shared" si="736"/>
        <v>0</v>
      </c>
      <c r="J1194" s="425">
        <f t="shared" ref="J1194:J1196" si="738">IFERROR(H1194*(G1194/E1194),"-")</f>
        <v>0</v>
      </c>
    </row>
    <row r="1195" spans="1:15" ht="23.4" x14ac:dyDescent="0.3">
      <c r="A1195" s="277" t="s">
        <v>110</v>
      </c>
      <c r="B1195" s="957"/>
      <c r="C1195" s="278" t="s">
        <v>192</v>
      </c>
      <c r="D1195" s="278" t="s">
        <v>191</v>
      </c>
      <c r="E1195" s="509">
        <v>16.7288</v>
      </c>
      <c r="F1195" s="405">
        <f>IFERROR(E1195*'01 Prod Physique Boites'!H1190,"-")</f>
        <v>0</v>
      </c>
      <c r="G1195" s="406">
        <f>IFERROR(E1195*'01 Prod Physique Boites'!L1190,"-")</f>
        <v>0</v>
      </c>
      <c r="H1195" s="388">
        <v>0</v>
      </c>
      <c r="I1195" s="424">
        <f t="shared" si="736"/>
        <v>0</v>
      </c>
      <c r="J1195" s="425">
        <f t="shared" si="738"/>
        <v>0</v>
      </c>
    </row>
    <row r="1196" spans="1:15" ht="24" thickBot="1" x14ac:dyDescent="0.35">
      <c r="A1196" s="277" t="s">
        <v>110</v>
      </c>
      <c r="B1196" s="958"/>
      <c r="C1196" s="289" t="s">
        <v>193</v>
      </c>
      <c r="D1196" s="289" t="s">
        <v>114</v>
      </c>
      <c r="E1196" s="505">
        <v>17.8202</v>
      </c>
      <c r="F1196" s="405">
        <f>IFERROR(E1196*'01 Prod Physique Boites'!H1191,"-")</f>
        <v>0</v>
      </c>
      <c r="G1196" s="406">
        <f>IFERROR(E1196*'01 Prod Physique Boites'!L1191,"-")</f>
        <v>0</v>
      </c>
      <c r="H1196" s="388">
        <v>0</v>
      </c>
      <c r="I1196" s="426">
        <f t="shared" si="736"/>
        <v>0</v>
      </c>
      <c r="J1196" s="427">
        <f t="shared" si="738"/>
        <v>0</v>
      </c>
    </row>
    <row r="1197" spans="1:15" ht="24" thickBot="1" x14ac:dyDescent="0.35">
      <c r="A1197" s="277" t="s">
        <v>110</v>
      </c>
      <c r="B1197" s="967" t="s">
        <v>29</v>
      </c>
      <c r="C1197" s="968"/>
      <c r="D1197" s="969"/>
      <c r="E1197" s="660"/>
      <c r="F1197" s="661">
        <f t="shared" ref="F1197:G1197" si="739">SUM(F1190:F1196)</f>
        <v>0</v>
      </c>
      <c r="G1197" s="410">
        <f t="shared" si="739"/>
        <v>0</v>
      </c>
      <c r="H1197" s="394"/>
      <c r="I1197" s="409">
        <f t="shared" ref="I1197:J1197" si="740">SUM(I1190:I1196)</f>
        <v>0</v>
      </c>
      <c r="J1197" s="428">
        <f t="shared" si="740"/>
        <v>0</v>
      </c>
    </row>
    <row r="1198" spans="1:15" ht="24" thickBot="1" x14ac:dyDescent="0.35">
      <c r="A1198" s="277"/>
      <c r="B1198" s="985" t="s">
        <v>19</v>
      </c>
      <c r="C1198" s="662" t="s">
        <v>255</v>
      </c>
      <c r="D1198" s="668" t="s">
        <v>190</v>
      </c>
      <c r="E1198" s="669">
        <v>12.2659</v>
      </c>
      <c r="F1198" s="670">
        <f>IFERROR(E1198*'01 Prod Physique Boites'!H1193,"-")</f>
        <v>0</v>
      </c>
      <c r="G1198" s="671">
        <f>IFERROR(E1198*'01 Prod Physique Boites'!L1193,"-")</f>
        <v>0</v>
      </c>
      <c r="H1198" s="665">
        <v>14.79</v>
      </c>
      <c r="I1198" s="650">
        <f t="shared" ref="I1198:I1200" si="741">IFERROR(H1198*(F1198/E1198),"-")</f>
        <v>0</v>
      </c>
      <c r="J1198" s="650">
        <f>IFERROR(H1198*(G1198/E1198),"-")</f>
        <v>0</v>
      </c>
    </row>
    <row r="1199" spans="1:15" ht="24" thickBot="1" x14ac:dyDescent="0.35">
      <c r="A1199" s="277"/>
      <c r="B1199" s="986"/>
      <c r="C1199" s="663" t="s">
        <v>399</v>
      </c>
      <c r="D1199" s="672"/>
      <c r="E1199" s="654">
        <v>12.2659</v>
      </c>
      <c r="F1199" s="670">
        <f>IFERROR(E1199*'01 Prod Physique Boites'!H1194,"-")</f>
        <v>0</v>
      </c>
      <c r="G1199" s="645">
        <f>IFERROR(E1199*'01 Prod Physique Boites'!L1194,"-")</f>
        <v>239626.62239999999</v>
      </c>
      <c r="H1199" s="666">
        <v>14.55</v>
      </c>
      <c r="I1199" s="655">
        <f t="shared" si="741"/>
        <v>0</v>
      </c>
      <c r="J1199" s="655">
        <f>IFERROR(H1199*(G1199/E1199),"-")</f>
        <v>284248.8</v>
      </c>
    </row>
    <row r="1200" spans="1:15" ht="24" thickBot="1" x14ac:dyDescent="0.35">
      <c r="A1200" s="841" t="s">
        <v>110</v>
      </c>
      <c r="B1200" s="987"/>
      <c r="C1200" s="664" t="s">
        <v>380</v>
      </c>
      <c r="D1200" s="673"/>
      <c r="E1200" s="674">
        <v>0</v>
      </c>
      <c r="F1200" s="670">
        <f>IFERROR(E1200*'01 Prod Physique Boites'!H1195,"-")</f>
        <v>0</v>
      </c>
      <c r="G1200" s="676">
        <f>IFERROR(E1200*'01 Prod Physique Boites'!L1195,"-")</f>
        <v>0</v>
      </c>
      <c r="H1200" s="667">
        <v>0</v>
      </c>
      <c r="I1200" s="429" t="str">
        <f t="shared" si="741"/>
        <v>-</v>
      </c>
      <c r="J1200" s="430" t="str">
        <f t="shared" ref="J1200" si="742">IFERROR(I1200*(G1200/F1200),"-")</f>
        <v>-</v>
      </c>
    </row>
    <row r="1201" spans="1:10" ht="24" thickBot="1" x14ac:dyDescent="0.35">
      <c r="A1201" s="277" t="s">
        <v>110</v>
      </c>
      <c r="B1201" s="967" t="s">
        <v>49</v>
      </c>
      <c r="C1201" s="968"/>
      <c r="D1201" s="969"/>
      <c r="E1201" s="393"/>
      <c r="F1201" s="409">
        <f>SUM(F1198:F1200)</f>
        <v>0</v>
      </c>
      <c r="G1201" s="409">
        <f>SUM(G1198:G1200)</f>
        <v>239626.62239999999</v>
      </c>
      <c r="H1201" s="394"/>
      <c r="I1201" s="409">
        <f>SUM(I1198:I1200)</f>
        <v>0</v>
      </c>
      <c r="J1201" s="428">
        <f>SUM(J1198:J1200)</f>
        <v>284248.8</v>
      </c>
    </row>
    <row r="1202" spans="1:10" ht="23.4" x14ac:dyDescent="0.3">
      <c r="A1202" s="277" t="s">
        <v>110</v>
      </c>
      <c r="B1202" s="956" t="s">
        <v>20</v>
      </c>
      <c r="C1202" s="294" t="s">
        <v>351</v>
      </c>
      <c r="D1202" s="294" t="s">
        <v>313</v>
      </c>
      <c r="E1202" s="508">
        <v>26.032900000000001</v>
      </c>
      <c r="F1202" s="405">
        <f>IFERROR(E1202*'01 Prod Physique Boites'!H1197,"-")</f>
        <v>0</v>
      </c>
      <c r="G1202" s="406">
        <f>IFERROR(E1202*'01 Prod Physique Boites'!L1197,"-")</f>
        <v>0</v>
      </c>
      <c r="H1202" s="384">
        <v>36.44</v>
      </c>
      <c r="I1202" s="422">
        <f>IFERROR(H1202*(F1202/E1202),"-")</f>
        <v>0</v>
      </c>
      <c r="J1202" s="423">
        <f t="shared" ref="J1202:J1204" si="743">IFERROR(H1202*(G1202/E1202),"-")</f>
        <v>0</v>
      </c>
    </row>
    <row r="1203" spans="1:10" ht="23.4" x14ac:dyDescent="0.3">
      <c r="A1203" s="277" t="s">
        <v>110</v>
      </c>
      <c r="B1203" s="957"/>
      <c r="C1203" s="295" t="s">
        <v>121</v>
      </c>
      <c r="D1203" s="295"/>
      <c r="E1203" s="387">
        <v>24.2607</v>
      </c>
      <c r="F1203" s="405">
        <f>IFERROR(E1203*'01 Prod Physique Boites'!H1198,"-")</f>
        <v>0</v>
      </c>
      <c r="G1203" s="406">
        <f>IFERROR(E1203*'01 Prod Physique Boites'!L1198,"-")</f>
        <v>0</v>
      </c>
      <c r="H1203" s="388">
        <v>37.369999999999997</v>
      </c>
      <c r="I1203" s="424">
        <f>IFERROR(H1203*(F1203/E1203),"-")</f>
        <v>0</v>
      </c>
      <c r="J1203" s="425">
        <f t="shared" si="743"/>
        <v>0</v>
      </c>
    </row>
    <row r="1204" spans="1:10" ht="24" thickBot="1" x14ac:dyDescent="0.35">
      <c r="A1204" s="277" t="s">
        <v>110</v>
      </c>
      <c r="B1204" s="958"/>
      <c r="C1204" s="296" t="s">
        <v>127</v>
      </c>
      <c r="D1204" s="296"/>
      <c r="E1204" s="389">
        <v>26.035799999999998</v>
      </c>
      <c r="F1204" s="405">
        <f>IFERROR(E1204*'01 Prod Physique Boites'!H1199,"-")</f>
        <v>0</v>
      </c>
      <c r="G1204" s="406">
        <f>IFERROR(E1204*'01 Prod Physique Boites'!L1199,"-")</f>
        <v>0</v>
      </c>
      <c r="H1204" s="390">
        <v>37.11</v>
      </c>
      <c r="I1204" s="426">
        <f>IFERROR(H1204*(F1204/E1204),"-")</f>
        <v>0</v>
      </c>
      <c r="J1204" s="427">
        <f t="shared" si="743"/>
        <v>0</v>
      </c>
    </row>
    <row r="1205" spans="1:10" ht="24" thickBot="1" x14ac:dyDescent="0.35">
      <c r="A1205" s="277" t="s">
        <v>110</v>
      </c>
      <c r="B1205" s="968" t="s">
        <v>50</v>
      </c>
      <c r="C1205" s="968"/>
      <c r="D1205" s="989"/>
      <c r="E1205" s="393"/>
      <c r="F1205" s="409">
        <f t="shared" ref="F1205:G1205" si="744">SUM(F1202:F1204)</f>
        <v>0</v>
      </c>
      <c r="G1205" s="410">
        <f t="shared" si="744"/>
        <v>0</v>
      </c>
      <c r="H1205" s="394"/>
      <c r="I1205" s="409">
        <f t="shared" ref="I1205:J1205" si="745">SUM(I1202:I1204)</f>
        <v>0</v>
      </c>
      <c r="J1205" s="428">
        <f t="shared" si="745"/>
        <v>0</v>
      </c>
    </row>
    <row r="1206" spans="1:10" ht="24" thickBot="1" x14ac:dyDescent="0.35">
      <c r="A1206" s="277" t="s">
        <v>110</v>
      </c>
      <c r="B1206" s="981" t="s">
        <v>21</v>
      </c>
      <c r="C1206" s="982"/>
      <c r="D1206" s="983"/>
      <c r="E1206" s="396"/>
      <c r="F1206" s="413">
        <f>+F1181+F1189+F1197+F1201+F1205</f>
        <v>2493295.3188</v>
      </c>
      <c r="G1206" s="414">
        <f>+G1181+G1189+G1197+G1201+G1205</f>
        <v>27037064.8244</v>
      </c>
      <c r="H1206" s="397"/>
      <c r="I1206" s="413">
        <f>+I1181+I1189+I1197+I1201+I1205</f>
        <v>4156915.1039999998</v>
      </c>
      <c r="J1206" s="431">
        <f>+J1181+J1189+J1197+J1201+J1205</f>
        <v>37513600.643999994</v>
      </c>
    </row>
    <row r="1207" spans="1:10" ht="23.4" x14ac:dyDescent="0.3">
      <c r="A1207" s="277" t="s">
        <v>110</v>
      </c>
      <c r="B1207" s="956" t="s">
        <v>481</v>
      </c>
      <c r="C1207" s="272" t="s">
        <v>132</v>
      </c>
      <c r="D1207" s="272"/>
      <c r="E1207" s="383">
        <v>22.820599999999999</v>
      </c>
      <c r="F1207" s="405">
        <f>IFERROR(E1207*'01 Prod Physique Boites'!H1202,"-")</f>
        <v>0</v>
      </c>
      <c r="G1207" s="406">
        <f>IFERROR(E1207*'01 Prod Physique Boites'!L1202,"-")</f>
        <v>0</v>
      </c>
      <c r="H1207" s="384">
        <v>27.5</v>
      </c>
      <c r="I1207" s="422">
        <f>IFERROR(H1207*(F1207/E1207),"-")</f>
        <v>0</v>
      </c>
      <c r="J1207" s="423">
        <f t="shared" ref="J1207:J1210" si="746">IFERROR(H1207*(G1207/E1207),"-")</f>
        <v>0</v>
      </c>
    </row>
    <row r="1208" spans="1:10" ht="23.4" x14ac:dyDescent="0.3">
      <c r="A1208" s="277" t="s">
        <v>110</v>
      </c>
      <c r="B1208" s="957"/>
      <c r="C1208" s="298" t="s">
        <v>283</v>
      </c>
      <c r="D1208" s="298" t="s">
        <v>194</v>
      </c>
      <c r="E1208" s="387">
        <v>23.570699999999999</v>
      </c>
      <c r="F1208" s="405">
        <f>IFERROR(E1208*'01 Prod Physique Boites'!H1203,"-")</f>
        <v>0</v>
      </c>
      <c r="G1208" s="406">
        <f>IFERROR(E1208*'01 Prod Physique Boites'!L1203,"-")</f>
        <v>0</v>
      </c>
      <c r="H1208" s="388">
        <v>27.5</v>
      </c>
      <c r="I1208" s="424">
        <f>IFERROR(H1208*(F1208/E1208),"-")</f>
        <v>0</v>
      </c>
      <c r="J1208" s="425">
        <f t="shared" si="746"/>
        <v>0</v>
      </c>
    </row>
    <row r="1209" spans="1:10" ht="23.4" x14ac:dyDescent="0.3">
      <c r="A1209" s="277" t="s">
        <v>110</v>
      </c>
      <c r="B1209" s="957"/>
      <c r="C1209" s="298" t="s">
        <v>405</v>
      </c>
      <c r="D1209" s="298" t="s">
        <v>194</v>
      </c>
      <c r="E1209" s="387">
        <v>22.820599999999999</v>
      </c>
      <c r="F1209" s="405">
        <f>IFERROR(E1209*'01 Prod Physique Boites'!H1204,"-")</f>
        <v>45184.788</v>
      </c>
      <c r="G1209" s="406">
        <f>IFERROR(E1209*'01 Prod Physique Boites'!L1204,"-")</f>
        <v>7952522.6879999992</v>
      </c>
      <c r="H1209" s="388">
        <v>27.5</v>
      </c>
      <c r="I1209" s="424">
        <f>IFERROR(H1209*(F1209/E1209),"-")</f>
        <v>54450.000000000007</v>
      </c>
      <c r="J1209" s="425">
        <f t="shared" si="746"/>
        <v>9583200</v>
      </c>
    </row>
    <row r="1210" spans="1:10" ht="24" thickBot="1" x14ac:dyDescent="0.35">
      <c r="A1210" s="277" t="s">
        <v>110</v>
      </c>
      <c r="B1210" s="958"/>
      <c r="C1210" s="282" t="s">
        <v>195</v>
      </c>
      <c r="D1210" s="282" t="s">
        <v>100</v>
      </c>
      <c r="E1210" s="389">
        <v>23.5685</v>
      </c>
      <c r="F1210" s="405">
        <f>IFERROR(E1210*'01 Prod Physique Boites'!H1205,"-")</f>
        <v>0</v>
      </c>
      <c r="G1210" s="406">
        <f>IFERROR(E1210*'01 Prod Physique Boites'!L1205,"-")</f>
        <v>0</v>
      </c>
      <c r="H1210" s="390">
        <v>24</v>
      </c>
      <c r="I1210" s="426">
        <f>IFERROR(H1210*(F1210/E1210),"-")</f>
        <v>0</v>
      </c>
      <c r="J1210" s="427">
        <f t="shared" si="746"/>
        <v>0</v>
      </c>
    </row>
    <row r="1211" spans="1:10" ht="24" thickBot="1" x14ac:dyDescent="0.35">
      <c r="A1211" s="277" t="s">
        <v>110</v>
      </c>
      <c r="B1211" s="967" t="s">
        <v>51</v>
      </c>
      <c r="C1211" s="968"/>
      <c r="D1211" s="969"/>
      <c r="E1211" s="393"/>
      <c r="F1211" s="409">
        <f t="shared" ref="F1211:G1211" si="747">SUM(F1207:F1210)</f>
        <v>45184.788</v>
      </c>
      <c r="G1211" s="410">
        <f t="shared" si="747"/>
        <v>7952522.6879999992</v>
      </c>
      <c r="H1211" s="394"/>
      <c r="I1211" s="409">
        <f t="shared" ref="I1211:J1211" si="748">SUM(I1207:I1210)</f>
        <v>54450.000000000007</v>
      </c>
      <c r="J1211" s="428">
        <f t="shared" si="748"/>
        <v>9583200</v>
      </c>
    </row>
    <row r="1212" spans="1:10" ht="23.4" x14ac:dyDescent="0.3">
      <c r="A1212" s="277" t="s">
        <v>110</v>
      </c>
      <c r="B1212" s="956" t="s">
        <v>23</v>
      </c>
      <c r="C1212" s="299" t="s">
        <v>337</v>
      </c>
      <c r="D1212" s="299" t="s">
        <v>258</v>
      </c>
      <c r="E1212" s="383">
        <v>101.4935</v>
      </c>
      <c r="F1212" s="405">
        <f>IFERROR(E1212*'01 Prod Physique Boites'!H1207,"-")</f>
        <v>0</v>
      </c>
      <c r="G1212" s="406">
        <f>IFERROR(E1212*'01 Prod Physique Boites'!L1207,"-")</f>
        <v>0</v>
      </c>
      <c r="H1212" s="388">
        <v>160.44999999999999</v>
      </c>
      <c r="I1212" s="422">
        <f t="shared" ref="I1212:I1219" si="749">IFERROR(H1212*(F1212/E1212),"-")</f>
        <v>0</v>
      </c>
      <c r="J1212" s="423">
        <f t="shared" ref="J1212:J1219" si="750">IFERROR(H1212*(G1212/E1212),"-")</f>
        <v>0</v>
      </c>
    </row>
    <row r="1213" spans="1:10" ht="23.4" x14ac:dyDescent="0.3">
      <c r="A1213" s="277" t="s">
        <v>110</v>
      </c>
      <c r="B1213" s="957"/>
      <c r="C1213" s="278" t="s">
        <v>24</v>
      </c>
      <c r="D1213" s="278" t="s">
        <v>258</v>
      </c>
      <c r="E1213" s="387">
        <v>101.4935</v>
      </c>
      <c r="F1213" s="405">
        <f>IFERROR(E1213*'01 Prod Physique Boites'!H1208,"-")</f>
        <v>0</v>
      </c>
      <c r="G1213" s="406">
        <f>IFERROR(E1213*'01 Prod Physique Boites'!L1208,"-")</f>
        <v>0</v>
      </c>
      <c r="H1213" s="388">
        <v>160.44999999999999</v>
      </c>
      <c r="I1213" s="424">
        <f t="shared" si="749"/>
        <v>0</v>
      </c>
      <c r="J1213" s="425">
        <f t="shared" si="750"/>
        <v>0</v>
      </c>
    </row>
    <row r="1214" spans="1:10" ht="23.4" x14ac:dyDescent="0.3">
      <c r="A1214" s="277" t="s">
        <v>110</v>
      </c>
      <c r="B1214" s="957"/>
      <c r="C1214" s="278" t="s">
        <v>256</v>
      </c>
      <c r="D1214" s="278" t="s">
        <v>258</v>
      </c>
      <c r="E1214" s="387">
        <v>101.4935</v>
      </c>
      <c r="F1214" s="405">
        <f>IFERROR(E1214*'01 Prod Physique Boites'!H1209,"-")</f>
        <v>1243295.375</v>
      </c>
      <c r="G1214" s="406">
        <f>IFERROR(E1214*'01 Prod Physique Boites'!L1209,"-")</f>
        <v>1598522.625</v>
      </c>
      <c r="H1214" s="388">
        <v>160.44999999999999</v>
      </c>
      <c r="I1214" s="424">
        <f t="shared" si="749"/>
        <v>1965512.4999999998</v>
      </c>
      <c r="J1214" s="425">
        <f t="shared" si="750"/>
        <v>2527087.5</v>
      </c>
    </row>
    <row r="1215" spans="1:10" ht="23.4" x14ac:dyDescent="0.3">
      <c r="A1215" s="277" t="s">
        <v>110</v>
      </c>
      <c r="B1215" s="957"/>
      <c r="C1215" s="278" t="s">
        <v>257</v>
      </c>
      <c r="D1215" s="278" t="s">
        <v>258</v>
      </c>
      <c r="E1215" s="387">
        <v>101.4935</v>
      </c>
      <c r="F1215" s="405">
        <f>IFERROR(E1215*'01 Prod Physique Boites'!H1210,"-")</f>
        <v>0</v>
      </c>
      <c r="G1215" s="406">
        <f>IFERROR(E1215*'01 Prod Physique Boites'!L1210,"-")</f>
        <v>0</v>
      </c>
      <c r="H1215" s="388">
        <v>160.44999999999999</v>
      </c>
      <c r="I1215" s="424">
        <f t="shared" si="749"/>
        <v>0</v>
      </c>
      <c r="J1215" s="425">
        <f t="shared" si="750"/>
        <v>0</v>
      </c>
    </row>
    <row r="1216" spans="1:10" ht="23.4" x14ac:dyDescent="0.3">
      <c r="A1216" s="277" t="s">
        <v>110</v>
      </c>
      <c r="B1216" s="957"/>
      <c r="C1216" s="298" t="s">
        <v>259</v>
      </c>
      <c r="D1216" s="278" t="s">
        <v>258</v>
      </c>
      <c r="E1216" s="387">
        <v>101.4935</v>
      </c>
      <c r="F1216" s="405">
        <f>IFERROR(E1216*'01 Prod Physique Boites'!H1211,"-")</f>
        <v>0</v>
      </c>
      <c r="G1216" s="406">
        <f>IFERROR(E1216*'01 Prod Physique Boites'!L1211,"-")</f>
        <v>1249080.5045</v>
      </c>
      <c r="H1216" s="388">
        <v>160.44999999999999</v>
      </c>
      <c r="I1216" s="424">
        <f t="shared" si="749"/>
        <v>0</v>
      </c>
      <c r="J1216" s="425">
        <f t="shared" si="750"/>
        <v>1974658.15</v>
      </c>
    </row>
    <row r="1217" spans="1:10" ht="23.4" x14ac:dyDescent="0.3">
      <c r="A1217" s="277" t="s">
        <v>110</v>
      </c>
      <c r="B1217" s="957"/>
      <c r="C1217" s="298" t="s">
        <v>260</v>
      </c>
      <c r="D1217" s="278" t="s">
        <v>258</v>
      </c>
      <c r="E1217" s="387">
        <v>101.4935</v>
      </c>
      <c r="F1217" s="405">
        <f>IFERROR(E1217*'01 Prod Physique Boites'!H1212,"-")</f>
        <v>0</v>
      </c>
      <c r="G1217" s="406">
        <f>IFERROR(E1217*'01 Prod Physique Boites'!L1212,"-")</f>
        <v>2708049.5669999998</v>
      </c>
      <c r="H1217" s="388">
        <v>160.44999999999999</v>
      </c>
      <c r="I1217" s="424">
        <f t="shared" si="749"/>
        <v>0</v>
      </c>
      <c r="J1217" s="425">
        <f t="shared" si="750"/>
        <v>4281126.8999999994</v>
      </c>
    </row>
    <row r="1218" spans="1:10" ht="23.4" x14ac:dyDescent="0.3">
      <c r="A1218" s="277" t="s">
        <v>110</v>
      </c>
      <c r="B1218" s="957"/>
      <c r="C1218" s="298" t="s">
        <v>261</v>
      </c>
      <c r="D1218" s="278" t="s">
        <v>263</v>
      </c>
      <c r="E1218" s="387">
        <v>101.4935</v>
      </c>
      <c r="F1218" s="405">
        <f>IFERROR(E1218*'01 Prod Physique Boites'!H1213,"-")</f>
        <v>0</v>
      </c>
      <c r="G1218" s="406">
        <f>IFERROR(E1218*'01 Prod Physique Boites'!L1213,"-")</f>
        <v>2384082.3149999999</v>
      </c>
      <c r="H1218" s="388">
        <v>160.44999999999999</v>
      </c>
      <c r="I1218" s="424">
        <f t="shared" si="749"/>
        <v>0</v>
      </c>
      <c r="J1218" s="425">
        <f t="shared" si="750"/>
        <v>3768970.4999999995</v>
      </c>
    </row>
    <row r="1219" spans="1:10" ht="24" thickBot="1" x14ac:dyDescent="0.35">
      <c r="A1219" s="277" t="s">
        <v>110</v>
      </c>
      <c r="B1219" s="958"/>
      <c r="C1219" s="298" t="s">
        <v>262</v>
      </c>
      <c r="D1219" s="278" t="s">
        <v>258</v>
      </c>
      <c r="E1219" s="389">
        <v>101.4935</v>
      </c>
      <c r="F1219" s="405">
        <f>IFERROR(E1219*'01 Prod Physique Boites'!H1214,"-")</f>
        <v>0</v>
      </c>
      <c r="G1219" s="406">
        <f>IFERROR(E1219*'01 Prod Physique Boites'!L1214,"-")</f>
        <v>2879878.0625</v>
      </c>
      <c r="H1219" s="388">
        <v>160.44999999999999</v>
      </c>
      <c r="I1219" s="426">
        <f t="shared" si="749"/>
        <v>0</v>
      </c>
      <c r="J1219" s="427">
        <f t="shared" si="750"/>
        <v>4552768.75</v>
      </c>
    </row>
    <row r="1220" spans="1:10" ht="24" thickBot="1" x14ac:dyDescent="0.35">
      <c r="A1220" s="277" t="s">
        <v>110</v>
      </c>
      <c r="B1220" s="967" t="s">
        <v>52</v>
      </c>
      <c r="C1220" s="968"/>
      <c r="D1220" s="969"/>
      <c r="E1220" s="393"/>
      <c r="F1220" s="409">
        <f t="shared" ref="F1220" si="751">SUM(F1212:F1219)</f>
        <v>1243295.375</v>
      </c>
      <c r="G1220" s="410">
        <f>SUM(G1212:G1219)</f>
        <v>10819613.073999999</v>
      </c>
      <c r="H1220" s="394"/>
      <c r="I1220" s="409">
        <f t="shared" ref="I1220" si="752">SUM(I1212:I1219)</f>
        <v>1965512.4999999998</v>
      </c>
      <c r="J1220" s="428">
        <f>SUM(J1212:J1219)</f>
        <v>17104611.800000001</v>
      </c>
    </row>
    <row r="1221" spans="1:10" ht="24" thickBot="1" x14ac:dyDescent="0.35">
      <c r="A1221" s="277" t="s">
        <v>110</v>
      </c>
      <c r="B1221" s="981" t="s">
        <v>25</v>
      </c>
      <c r="C1221" s="982"/>
      <c r="D1221" s="983"/>
      <c r="E1221" s="396"/>
      <c r="F1221" s="413">
        <f t="shared" ref="F1221" si="753">+F1211+F1220</f>
        <v>1288480.1629999999</v>
      </c>
      <c r="G1221" s="414">
        <f>+G1211+G1220</f>
        <v>18772135.761999998</v>
      </c>
      <c r="H1221" s="397"/>
      <c r="I1221" s="413">
        <f t="shared" ref="I1221:J1221" si="754">+I1211+I1220</f>
        <v>2019962.4999999998</v>
      </c>
      <c r="J1221" s="431">
        <f t="shared" si="754"/>
        <v>26687811.800000001</v>
      </c>
    </row>
    <row r="1222" spans="1:10" ht="24" thickBot="1" x14ac:dyDescent="0.35">
      <c r="A1222" s="277" t="s">
        <v>110</v>
      </c>
      <c r="B1222" s="984" t="s">
        <v>180</v>
      </c>
      <c r="C1222" s="962"/>
      <c r="D1222" s="963"/>
      <c r="E1222" s="398"/>
      <c r="F1222" s="415">
        <f t="shared" ref="F1222" si="755">+F1206+F1221</f>
        <v>3781775.4818000002</v>
      </c>
      <c r="G1222" s="416">
        <f>+G1206+G1221</f>
        <v>45809200.586400002</v>
      </c>
      <c r="H1222" s="399"/>
      <c r="I1222" s="415">
        <f t="shared" ref="I1222:J1222" si="756">+I1206+I1221</f>
        <v>6176877.6039999994</v>
      </c>
      <c r="J1222" s="432">
        <f t="shared" si="756"/>
        <v>64201412.443999991</v>
      </c>
    </row>
    <row r="1223" spans="1:10" ht="23.4" x14ac:dyDescent="0.3">
      <c r="A1223" s="271" t="s">
        <v>108</v>
      </c>
      <c r="B1223" s="977" t="s">
        <v>26</v>
      </c>
      <c r="C1223" s="300" t="s">
        <v>323</v>
      </c>
      <c r="D1223" s="302" t="s">
        <v>190</v>
      </c>
      <c r="E1223" s="508">
        <v>13.1272</v>
      </c>
      <c r="F1223" s="405">
        <f>IFERROR(E1223*'01 Prod Physique Boites'!H1218,"-")</f>
        <v>0</v>
      </c>
      <c r="G1223" s="406">
        <f>IFERROR(E1223*'01 Prod Physique Boites'!L1218,"-")</f>
        <v>0</v>
      </c>
      <c r="H1223" s="384">
        <v>20.76</v>
      </c>
      <c r="I1223" s="422">
        <f t="shared" ref="I1223:I1231" si="757">IFERROR(H1223*(F1223/E1223),"-")</f>
        <v>0</v>
      </c>
      <c r="J1223" s="644">
        <f t="shared" ref="J1223:J1231" si="758">IFERROR(H1223*(G1223/E1223),"-")</f>
        <v>0</v>
      </c>
    </row>
    <row r="1224" spans="1:10" ht="23.4" x14ac:dyDescent="0.3">
      <c r="A1224" s="277" t="s">
        <v>108</v>
      </c>
      <c r="B1224" s="977"/>
      <c r="C1224" s="301" t="s">
        <v>508</v>
      </c>
      <c r="D1224" s="301" t="s">
        <v>507</v>
      </c>
      <c r="E1224" s="509">
        <v>16.7288</v>
      </c>
      <c r="F1224" s="405">
        <f>IFERROR(E1224*'01 Prod Physique Boites'!H1219,"-")</f>
        <v>1264396.1616</v>
      </c>
      <c r="G1224" s="406">
        <f>IFERROR(E1224*'01 Prod Physique Boites'!L1219,"-")</f>
        <v>2262603.6576</v>
      </c>
      <c r="H1224" s="388">
        <v>20.76</v>
      </c>
      <c r="I1224" s="424">
        <f t="shared" si="757"/>
        <v>1569082.32</v>
      </c>
      <c r="J1224" s="645">
        <f t="shared" si="758"/>
        <v>2807831.52</v>
      </c>
    </row>
    <row r="1225" spans="1:10" ht="23.4" x14ac:dyDescent="0.3">
      <c r="A1225" s="277" t="s">
        <v>108</v>
      </c>
      <c r="B1225" s="977"/>
      <c r="C1225" s="302" t="s">
        <v>27</v>
      </c>
      <c r="D1225" s="302" t="s">
        <v>370</v>
      </c>
      <c r="E1225" s="505">
        <v>17.8202</v>
      </c>
      <c r="F1225" s="405">
        <f>IFERROR(E1225*'01 Prod Physique Boites'!H1220,"-")</f>
        <v>0</v>
      </c>
      <c r="G1225" s="406">
        <f>IFERROR(E1225*'01 Prod Physique Boites'!L1220,"-")</f>
        <v>212666.26680000001</v>
      </c>
      <c r="H1225" s="388">
        <v>21.22</v>
      </c>
      <c r="I1225" s="424">
        <f t="shared" si="757"/>
        <v>0</v>
      </c>
      <c r="J1225" s="645">
        <f t="shared" si="758"/>
        <v>253239.47999999998</v>
      </c>
    </row>
    <row r="1226" spans="1:10" ht="23.4" x14ac:dyDescent="0.3">
      <c r="A1226" s="277" t="s">
        <v>108</v>
      </c>
      <c r="B1226" s="977"/>
      <c r="C1226" s="302" t="s">
        <v>27</v>
      </c>
      <c r="D1226" s="302" t="s">
        <v>254</v>
      </c>
      <c r="E1226" s="505">
        <v>17.8202</v>
      </c>
      <c r="F1226" s="405">
        <f>IFERROR(E1226*'01 Prod Physique Boites'!H1221,"-")</f>
        <v>0</v>
      </c>
      <c r="G1226" s="406">
        <f>IFERROR(E1226*'01 Prod Physique Boites'!L1221,"-")</f>
        <v>567110.04480000003</v>
      </c>
      <c r="H1226" s="388">
        <v>24.93</v>
      </c>
      <c r="I1226" s="424">
        <f t="shared" si="757"/>
        <v>0</v>
      </c>
      <c r="J1226" s="645">
        <f t="shared" si="758"/>
        <v>793372.32000000007</v>
      </c>
    </row>
    <row r="1227" spans="1:10" ht="23.4" x14ac:dyDescent="0.3">
      <c r="A1227" s="277" t="s">
        <v>108</v>
      </c>
      <c r="B1227" s="977"/>
      <c r="C1227" s="302" t="s">
        <v>27</v>
      </c>
      <c r="D1227" s="302" t="s">
        <v>302</v>
      </c>
      <c r="E1227" s="505">
        <v>17.8202</v>
      </c>
      <c r="F1227" s="405">
        <f>IFERROR(E1227*'01 Prod Physique Boites'!H1222,"-")</f>
        <v>0</v>
      </c>
      <c r="G1227" s="406">
        <f>IFERROR(E1227*'01 Prod Physique Boites'!L1222,"-")</f>
        <v>0</v>
      </c>
      <c r="H1227" s="388">
        <v>24.93</v>
      </c>
      <c r="I1227" s="424">
        <f t="shared" si="757"/>
        <v>0</v>
      </c>
      <c r="J1227" s="645">
        <f t="shared" si="758"/>
        <v>0</v>
      </c>
    </row>
    <row r="1228" spans="1:10" ht="23.4" x14ac:dyDescent="0.3">
      <c r="A1228" s="277"/>
      <c r="B1228" s="977"/>
      <c r="C1228" s="302" t="s">
        <v>369</v>
      </c>
      <c r="D1228" s="302" t="s">
        <v>190</v>
      </c>
      <c r="E1228" s="505">
        <v>17.8202</v>
      </c>
      <c r="F1228" s="405">
        <f>IFERROR(E1228*'01 Prod Physique Boites'!H1223,"-")</f>
        <v>0</v>
      </c>
      <c r="G1228" s="406">
        <f>IFERROR(E1228*'01 Prod Physique Boites'!L1223,"-")</f>
        <v>0</v>
      </c>
      <c r="H1228" s="390">
        <v>21.22</v>
      </c>
      <c r="I1228" s="424">
        <f t="shared" si="757"/>
        <v>0</v>
      </c>
      <c r="J1228" s="646">
        <f t="shared" si="758"/>
        <v>0</v>
      </c>
    </row>
    <row r="1229" spans="1:10" ht="23.4" x14ac:dyDescent="0.3">
      <c r="A1229" s="277"/>
      <c r="B1229" s="977"/>
      <c r="C1229" s="302" t="s">
        <v>314</v>
      </c>
      <c r="D1229" s="302" t="s">
        <v>101</v>
      </c>
      <c r="E1229" s="505">
        <v>14.608000000000001</v>
      </c>
      <c r="F1229" s="405">
        <f>IFERROR(E1229*'01 Prod Physique Boites'!H1224,"-")</f>
        <v>0</v>
      </c>
      <c r="G1229" s="406">
        <f>IFERROR(E1229*'01 Prod Physique Boites'!L1224,"-")</f>
        <v>0</v>
      </c>
      <c r="H1229" s="390">
        <v>24.93</v>
      </c>
      <c r="I1229" s="426">
        <f t="shared" si="757"/>
        <v>0</v>
      </c>
      <c r="J1229" s="646">
        <f t="shared" si="758"/>
        <v>0</v>
      </c>
    </row>
    <row r="1230" spans="1:10" ht="23.4" x14ac:dyDescent="0.3">
      <c r="A1230" s="277"/>
      <c r="B1230" s="977"/>
      <c r="C1230" s="302" t="s">
        <v>453</v>
      </c>
      <c r="D1230" s="302" t="s">
        <v>454</v>
      </c>
      <c r="E1230" s="773">
        <v>16.345199999999998</v>
      </c>
      <c r="F1230" s="405">
        <f>IFERROR(E1230*'01 Prod Physique Boites'!H1225,"-")</f>
        <v>0</v>
      </c>
      <c r="G1230" s="406">
        <f>IFERROR(E1230*'01 Prod Physique Boites'!L1225,"-")</f>
        <v>585190.8504</v>
      </c>
      <c r="H1230" s="390">
        <v>23.78</v>
      </c>
      <c r="I1230" s="426">
        <f t="shared" si="757"/>
        <v>0</v>
      </c>
      <c r="J1230" s="646">
        <f t="shared" si="758"/>
        <v>851371.56</v>
      </c>
    </row>
    <row r="1231" spans="1:10" ht="24" thickBot="1" x14ac:dyDescent="0.35">
      <c r="A1231" s="277" t="s">
        <v>108</v>
      </c>
      <c r="B1231" s="977"/>
      <c r="C1231" s="303" t="s">
        <v>315</v>
      </c>
      <c r="D1231" s="302" t="s">
        <v>313</v>
      </c>
      <c r="E1231" s="505">
        <v>12.6997</v>
      </c>
      <c r="F1231" s="405">
        <f>IFERROR(E1231*'01 Prod Physique Boites'!H1226,"-")</f>
        <v>50519.406600000002</v>
      </c>
      <c r="G1231" s="406">
        <f>IFERROR(E1231*'01 Prod Physique Boites'!L1226,"-")</f>
        <v>151558.21979999999</v>
      </c>
      <c r="H1231" s="390">
        <v>13.25</v>
      </c>
      <c r="I1231" s="426">
        <f t="shared" si="757"/>
        <v>52708.5</v>
      </c>
      <c r="J1231" s="646">
        <f t="shared" si="758"/>
        <v>158125.5</v>
      </c>
    </row>
    <row r="1232" spans="1:10" ht="24" thickBot="1" x14ac:dyDescent="0.35">
      <c r="A1232" s="277" t="s">
        <v>108</v>
      </c>
      <c r="B1232" s="990"/>
      <c r="C1232" s="304"/>
      <c r="D1232" s="305" t="s">
        <v>55</v>
      </c>
      <c r="E1232" s="393"/>
      <c r="F1232" s="409">
        <f>SUM(F1223:F1231)</f>
        <v>1314915.5682000001</v>
      </c>
      <c r="G1232" s="410">
        <f t="shared" ref="G1232" si="759">SUM(G1223:G1231)</f>
        <v>3779129.0394000001</v>
      </c>
      <c r="H1232" s="394"/>
      <c r="I1232" s="409">
        <f t="shared" ref="I1232" si="760">SUM(I1223:I1231)</f>
        <v>1621790.82</v>
      </c>
      <c r="J1232" s="428">
        <f>SUM(J1223:J1231)</f>
        <v>4863940.3800000008</v>
      </c>
    </row>
    <row r="1233" spans="1:10" ht="23.4" x14ac:dyDescent="0.3">
      <c r="A1233" s="277" t="s">
        <v>108</v>
      </c>
      <c r="B1233" s="976" t="s">
        <v>28</v>
      </c>
      <c r="C1233" s="302" t="s">
        <v>27</v>
      </c>
      <c r="D1233" s="300" t="s">
        <v>302</v>
      </c>
      <c r="E1233" s="508">
        <v>17.8202</v>
      </c>
      <c r="F1233" s="405">
        <f>IFERROR(E1233*'01 Prod Physique Boites'!H1228,"-")</f>
        <v>0</v>
      </c>
      <c r="G1233" s="406">
        <f>IFERROR(E1233*'01 Prod Physique Boites'!L1228,"-")</f>
        <v>354443.77799999999</v>
      </c>
      <c r="H1233" s="384">
        <v>24.93</v>
      </c>
      <c r="I1233" s="422">
        <f>IFERROR(H1233*(F1233/E1233),"-")</f>
        <v>0</v>
      </c>
      <c r="J1233" s="644">
        <f t="shared" ref="J1233:J1237" si="761">IFERROR(H1233*(G1233/E1233),"-")</f>
        <v>495857.7</v>
      </c>
    </row>
    <row r="1234" spans="1:10" ht="23.4" x14ac:dyDescent="0.3">
      <c r="A1234" s="277" t="s">
        <v>108</v>
      </c>
      <c r="B1234" s="977"/>
      <c r="C1234" s="302" t="s">
        <v>456</v>
      </c>
      <c r="D1234" s="302" t="s">
        <v>370</v>
      </c>
      <c r="E1234" s="773">
        <v>16.7288</v>
      </c>
      <c r="F1234" s="405">
        <f>IFERROR(E1234*'01 Prod Physique Boites'!H1229,"-")</f>
        <v>2062962.1584000001</v>
      </c>
      <c r="G1234" s="406">
        <f>IFERROR(E1234*'01 Prod Physique Boites'!L1229,"-")</f>
        <v>10243144.6128</v>
      </c>
      <c r="H1234" s="770">
        <v>20.76</v>
      </c>
      <c r="I1234" s="424">
        <f>IFERROR(H1234*(F1234/E1234),"-")</f>
        <v>2560081.6800000002</v>
      </c>
      <c r="J1234" s="645">
        <f t="shared" si="761"/>
        <v>12711472.560000001</v>
      </c>
    </row>
    <row r="1235" spans="1:10" ht="23.4" x14ac:dyDescent="0.3">
      <c r="A1235" s="277" t="s">
        <v>108</v>
      </c>
      <c r="B1235" s="977"/>
      <c r="C1235" s="302" t="s">
        <v>455</v>
      </c>
      <c r="D1235" s="302" t="s">
        <v>370</v>
      </c>
      <c r="E1235" s="505">
        <v>17.8202</v>
      </c>
      <c r="F1235" s="405">
        <f>IFERROR(E1235*'01 Prod Physique Boites'!H1230,"-")</f>
        <v>0</v>
      </c>
      <c r="G1235" s="406">
        <f>IFERROR(E1235*'01 Prod Physique Boites'!L1230,"-")</f>
        <v>1134220.0896000001</v>
      </c>
      <c r="H1235" s="388">
        <v>21.22</v>
      </c>
      <c r="I1235" s="424">
        <f>IFERROR(H1235*(F1235/E1235),"-")</f>
        <v>0</v>
      </c>
      <c r="J1235" s="645">
        <f t="shared" si="761"/>
        <v>1350610.56</v>
      </c>
    </row>
    <row r="1236" spans="1:10" ht="23.4" x14ac:dyDescent="0.3">
      <c r="A1236" s="277"/>
      <c r="B1236" s="977"/>
      <c r="C1236" s="302" t="s">
        <v>453</v>
      </c>
      <c r="D1236" s="302" t="s">
        <v>454</v>
      </c>
      <c r="E1236" s="773">
        <v>16.345199999999998</v>
      </c>
      <c r="F1236" s="405">
        <f>IFERROR(E1236*'01 Prod Physique Boites'!H1231,"-")</f>
        <v>0</v>
      </c>
      <c r="G1236" s="406">
        <f>IFERROR(E1236*'01 Prod Physique Boites'!L1231,"-")</f>
        <v>4031314.7471999996</v>
      </c>
      <c r="H1236" s="388">
        <v>23.78</v>
      </c>
      <c r="I1236" s="426">
        <f>IFERROR(H1236*(F1236/E1236),"-")</f>
        <v>0</v>
      </c>
      <c r="J1236" s="646">
        <f t="shared" si="761"/>
        <v>5865004.0800000001</v>
      </c>
    </row>
    <row r="1237" spans="1:10" ht="24" thickBot="1" x14ac:dyDescent="0.35">
      <c r="A1237" s="277" t="s">
        <v>108</v>
      </c>
      <c r="B1237" s="977"/>
      <c r="C1237" s="302" t="s">
        <v>27</v>
      </c>
      <c r="D1237" s="303" t="s">
        <v>254</v>
      </c>
      <c r="E1237" s="505">
        <v>17.8202</v>
      </c>
      <c r="F1237" s="405">
        <f>IFERROR(E1237*'01 Prod Physique Boites'!H1232,"-")</f>
        <v>0</v>
      </c>
      <c r="G1237" s="406">
        <f>IFERROR(E1237*'01 Prod Physique Boites'!L1232,"-")</f>
        <v>13468863.563999999</v>
      </c>
      <c r="H1237" s="388">
        <v>24.93</v>
      </c>
      <c r="I1237" s="426">
        <f>IFERROR(H1237*(F1237/E1237),"-")</f>
        <v>0</v>
      </c>
      <c r="J1237" s="646">
        <f t="shared" si="761"/>
        <v>18842592.600000001</v>
      </c>
    </row>
    <row r="1238" spans="1:10" ht="24" thickBot="1" x14ac:dyDescent="0.35">
      <c r="A1238" s="277" t="s">
        <v>108</v>
      </c>
      <c r="B1238" s="977"/>
      <c r="C1238" s="307"/>
      <c r="D1238" s="308" t="s">
        <v>55</v>
      </c>
      <c r="E1238" s="400"/>
      <c r="F1238" s="417">
        <f t="shared" ref="F1238:G1238" si="762">SUM(F1233:F1237)</f>
        <v>2062962.1584000001</v>
      </c>
      <c r="G1238" s="418">
        <f t="shared" si="762"/>
        <v>29231986.7916</v>
      </c>
      <c r="H1238" s="401"/>
      <c r="I1238" s="417">
        <f t="shared" ref="I1238:J1238" si="763">SUM(I1233:I1237)</f>
        <v>2560081.6800000002</v>
      </c>
      <c r="J1238" s="433">
        <f t="shared" si="763"/>
        <v>39265537.5</v>
      </c>
    </row>
    <row r="1239" spans="1:10" ht="24" thickBot="1" x14ac:dyDescent="0.35">
      <c r="A1239" s="841" t="s">
        <v>108</v>
      </c>
      <c r="B1239" s="978" t="s">
        <v>170</v>
      </c>
      <c r="C1239" s="979"/>
      <c r="D1239" s="980"/>
      <c r="E1239" s="402"/>
      <c r="F1239" s="419">
        <f t="shared" ref="F1239:G1239" si="764">+F1232+F1238</f>
        <v>3377877.7266000002</v>
      </c>
      <c r="G1239" s="420">
        <f t="shared" si="764"/>
        <v>33011115.831</v>
      </c>
      <c r="H1239" s="403"/>
      <c r="I1239" s="419">
        <f t="shared" ref="I1239:J1239" si="765">+I1232+I1238</f>
        <v>4181872.5</v>
      </c>
      <c r="J1239" s="434">
        <f t="shared" si="765"/>
        <v>44129477.880000003</v>
      </c>
    </row>
    <row r="1240" spans="1:10" ht="23.4" x14ac:dyDescent="0.3">
      <c r="A1240" s="277" t="s">
        <v>108</v>
      </c>
      <c r="B1240" s="977" t="s">
        <v>30</v>
      </c>
      <c r="C1240" s="306" t="s">
        <v>356</v>
      </c>
      <c r="D1240" s="300" t="s">
        <v>191</v>
      </c>
      <c r="E1240" s="508">
        <v>15.2788</v>
      </c>
      <c r="F1240" s="405">
        <f>IFERROR(E1240*'01 Prod Physique Boites'!H1235,"-")</f>
        <v>0</v>
      </c>
      <c r="G1240" s="406">
        <f>IFERROR(E1240*'01 Prod Physique Boites'!L1235,"-")</f>
        <v>0</v>
      </c>
      <c r="H1240" s="384">
        <v>23.65</v>
      </c>
      <c r="I1240" s="422">
        <f>IFERROR(H1240*(F1240/E1240),"-")</f>
        <v>0</v>
      </c>
      <c r="J1240" s="423">
        <f t="shared" ref="J1240:J1242" si="766">IFERROR(H1240*(G1240/E1240),"-")</f>
        <v>0</v>
      </c>
    </row>
    <row r="1241" spans="1:10" ht="23.4" x14ac:dyDescent="0.3">
      <c r="A1241" s="277" t="s">
        <v>108</v>
      </c>
      <c r="B1241" s="977"/>
      <c r="C1241" s="306" t="s">
        <v>349</v>
      </c>
      <c r="D1241" s="306" t="s">
        <v>313</v>
      </c>
      <c r="E1241" s="509">
        <v>22.6356</v>
      </c>
      <c r="F1241" s="405">
        <f>IFERROR(E1241*'01 Prod Physique Boites'!H1236,"-")</f>
        <v>0</v>
      </c>
      <c r="G1241" s="406">
        <f>IFERROR(E1241*'01 Prod Physique Boites'!L1236,"-")</f>
        <v>0</v>
      </c>
      <c r="H1241" s="388">
        <v>34.26</v>
      </c>
      <c r="I1241" s="424">
        <f>IFERROR(H1241*(F1241/E1241),"-")</f>
        <v>0</v>
      </c>
      <c r="J1241" s="425">
        <f t="shared" si="766"/>
        <v>0</v>
      </c>
    </row>
    <row r="1242" spans="1:10" ht="24" thickBot="1" x14ac:dyDescent="0.35">
      <c r="A1242" s="277" t="s">
        <v>108</v>
      </c>
      <c r="B1242" s="977"/>
      <c r="C1242" s="303" t="s">
        <v>316</v>
      </c>
      <c r="D1242" s="303"/>
      <c r="E1242" s="505">
        <v>25.751300000000001</v>
      </c>
      <c r="F1242" s="405">
        <f>IFERROR(E1242*'01 Prod Physique Boites'!H1237,"-")</f>
        <v>0</v>
      </c>
      <c r="G1242" s="406">
        <f>IFERROR(E1242*'01 Prod Physique Boites'!L1237,"-")</f>
        <v>4242166.1568</v>
      </c>
      <c r="H1242" s="390">
        <v>37.89</v>
      </c>
      <c r="I1242" s="426">
        <f>IFERROR(H1242*(F1242/E1242),"-")</f>
        <v>0</v>
      </c>
      <c r="J1242" s="427">
        <f t="shared" si="766"/>
        <v>6241847.04</v>
      </c>
    </row>
    <row r="1243" spans="1:10" ht="24" thickBot="1" x14ac:dyDescent="0.35">
      <c r="A1243" s="277" t="s">
        <v>108</v>
      </c>
      <c r="B1243" s="977"/>
      <c r="C1243" s="304"/>
      <c r="D1243" s="305" t="s">
        <v>53</v>
      </c>
      <c r="E1243" s="393"/>
      <c r="F1243" s="409">
        <f t="shared" ref="F1243:G1243" si="767">SUM(F1240:F1242)</f>
        <v>0</v>
      </c>
      <c r="G1243" s="410">
        <f t="shared" si="767"/>
        <v>4242166.1568</v>
      </c>
      <c r="H1243" s="394"/>
      <c r="I1243" s="409">
        <f t="shared" ref="I1243" si="768">SUM(I1240:I1242)</f>
        <v>0</v>
      </c>
      <c r="J1243" s="428">
        <f>SUM(J1240:J1242)</f>
        <v>6241847.04</v>
      </c>
    </row>
    <row r="1244" spans="1:10" ht="23.4" x14ac:dyDescent="0.3">
      <c r="A1244" s="277" t="s">
        <v>108</v>
      </c>
      <c r="B1244" s="977"/>
      <c r="C1244" s="300" t="s">
        <v>339</v>
      </c>
      <c r="D1244" s="300"/>
      <c r="E1244" s="508">
        <v>22.094999999999999</v>
      </c>
      <c r="F1244" s="405">
        <f>IFERROR(E1244*'01 Prod Physique Boites'!H1239,"-")</f>
        <v>0</v>
      </c>
      <c r="G1244" s="406">
        <f>IFERROR(E1244*'01 Prod Physique Boites'!L1239,"-")</f>
        <v>0</v>
      </c>
      <c r="H1244" s="384">
        <v>37.11</v>
      </c>
      <c r="I1244" s="422">
        <f>IFERROR(H1244*(F1244/E1244),"-")</f>
        <v>0</v>
      </c>
      <c r="J1244" s="423">
        <f t="shared" ref="J1244:J1246" si="769">IFERROR(H1244*(G1244/E1244),"-")</f>
        <v>0</v>
      </c>
    </row>
    <row r="1245" spans="1:10" ht="23.4" x14ac:dyDescent="0.3">
      <c r="A1245" s="277" t="s">
        <v>108</v>
      </c>
      <c r="B1245" s="977"/>
      <c r="C1245" s="306" t="s">
        <v>373</v>
      </c>
      <c r="D1245" s="306" t="s">
        <v>254</v>
      </c>
      <c r="E1245" s="509">
        <v>27.917000000000002</v>
      </c>
      <c r="F1245" s="405">
        <f>IFERROR(E1245*'01 Prod Physique Boites'!H1240,"-")</f>
        <v>0</v>
      </c>
      <c r="G1245" s="406">
        <f>IFERROR(E1245*'01 Prod Physique Boites'!L1240,"-")</f>
        <v>261303.12000000002</v>
      </c>
      <c r="H1245" s="388">
        <v>39</v>
      </c>
      <c r="I1245" s="424">
        <f>IFERROR(H1245*(F1245/E1245),"-")</f>
        <v>0</v>
      </c>
      <c r="J1245" s="425">
        <f t="shared" si="769"/>
        <v>365040</v>
      </c>
    </row>
    <row r="1246" spans="1:10" ht="24" thickBot="1" x14ac:dyDescent="0.35">
      <c r="A1246" s="277" t="s">
        <v>108</v>
      </c>
      <c r="B1246" s="977"/>
      <c r="C1246" s="303" t="s">
        <v>145</v>
      </c>
      <c r="D1246" s="303"/>
      <c r="E1246" s="505">
        <v>25.4041</v>
      </c>
      <c r="F1246" s="405">
        <f>IFERROR(E1246*'01 Prod Physique Boites'!H1241,"-")</f>
        <v>0</v>
      </c>
      <c r="G1246" s="406">
        <f>IFERROR(E1246*'01 Prod Physique Boites'!L1241,"-")</f>
        <v>0</v>
      </c>
      <c r="H1246" s="390">
        <v>28.21</v>
      </c>
      <c r="I1246" s="426">
        <f>IFERROR(H1246*(F1246/E1246),"-")</f>
        <v>0</v>
      </c>
      <c r="J1246" s="427">
        <f t="shared" si="769"/>
        <v>0</v>
      </c>
    </row>
    <row r="1247" spans="1:10" ht="24" thickBot="1" x14ac:dyDescent="0.35">
      <c r="A1247" s="277" t="s">
        <v>108</v>
      </c>
      <c r="B1247" s="977"/>
      <c r="C1247" s="307"/>
      <c r="D1247" s="308" t="s">
        <v>54</v>
      </c>
      <c r="E1247" s="400"/>
      <c r="F1247" s="417">
        <f t="shared" ref="F1247:G1247" si="770">SUM(F1244:F1246)</f>
        <v>0</v>
      </c>
      <c r="G1247" s="418">
        <f t="shared" si="770"/>
        <v>261303.12000000002</v>
      </c>
      <c r="H1247" s="401"/>
      <c r="I1247" s="417">
        <f t="shared" ref="I1247" si="771">SUM(I1244:I1246)</f>
        <v>0</v>
      </c>
      <c r="J1247" s="433">
        <f>SUM(J1244:J1246)</f>
        <v>365040</v>
      </c>
    </row>
    <row r="1248" spans="1:10" ht="24" thickBot="1" x14ac:dyDescent="0.35">
      <c r="A1248" s="277" t="s">
        <v>108</v>
      </c>
      <c r="B1248" s="978" t="s">
        <v>171</v>
      </c>
      <c r="C1248" s="979"/>
      <c r="D1248" s="980"/>
      <c r="E1248" s="402"/>
      <c r="F1248" s="419">
        <f t="shared" ref="F1248:G1248" si="772">+F1243+F1247</f>
        <v>0</v>
      </c>
      <c r="G1248" s="420">
        <f t="shared" si="772"/>
        <v>4503469.2768000001</v>
      </c>
      <c r="H1248" s="403"/>
      <c r="I1248" s="419">
        <f t="shared" ref="I1248:J1248" si="773">+I1243+I1247</f>
        <v>0</v>
      </c>
      <c r="J1248" s="434">
        <f t="shared" si="773"/>
        <v>6606887.04</v>
      </c>
    </row>
    <row r="1249" spans="1:10" ht="24" thickBot="1" x14ac:dyDescent="0.35">
      <c r="A1249" s="277" t="s">
        <v>108</v>
      </c>
      <c r="B1249" s="609" t="s">
        <v>32</v>
      </c>
      <c r="C1249" s="837"/>
      <c r="D1249" s="313"/>
      <c r="E1249" s="510">
        <v>12.2659</v>
      </c>
      <c r="F1249" s="411">
        <f>IFERROR(E1249*'01 Prod Physique Boites'!H1244,"-")</f>
        <v>0</v>
      </c>
      <c r="G1249" s="412">
        <f>IFERROR(E1249*'01 Prod Physique Boites'!L1244,"-")</f>
        <v>0</v>
      </c>
      <c r="H1249" s="395"/>
      <c r="I1249" s="429">
        <f>IFERROR(H1249*(F1249/E1249),"-")</f>
        <v>0</v>
      </c>
      <c r="J1249" s="430">
        <f>IFERROR(H1249*(G1249/E1249),"-")</f>
        <v>0</v>
      </c>
    </row>
    <row r="1250" spans="1:10" ht="24" thickBot="1" x14ac:dyDescent="0.35">
      <c r="A1250" s="277" t="s">
        <v>108</v>
      </c>
      <c r="B1250" s="981" t="s">
        <v>21</v>
      </c>
      <c r="C1250" s="982"/>
      <c r="D1250" s="983"/>
      <c r="E1250" s="396"/>
      <c r="F1250" s="413">
        <f t="shared" ref="F1250" si="774">+F1239+F1248+F1249</f>
        <v>3377877.7266000002</v>
      </c>
      <c r="G1250" s="414">
        <f>+G1239+G1248+G1249</f>
        <v>37514585.107799999</v>
      </c>
      <c r="H1250" s="397"/>
      <c r="I1250" s="413">
        <f t="shared" ref="I1250:J1250" si="775">+I1239+I1248+I1249</f>
        <v>4181872.5</v>
      </c>
      <c r="J1250" s="431">
        <f t="shared" si="775"/>
        <v>50736364.920000002</v>
      </c>
    </row>
    <row r="1251" spans="1:10" ht="24" thickBot="1" x14ac:dyDescent="0.35">
      <c r="A1251" s="277" t="s">
        <v>108</v>
      </c>
      <c r="B1251" s="984" t="s">
        <v>179</v>
      </c>
      <c r="C1251" s="962"/>
      <c r="D1251" s="963"/>
      <c r="E1251" s="398"/>
      <c r="F1251" s="415">
        <f t="shared" ref="F1251:G1251" si="776">+F1250</f>
        <v>3377877.7266000002</v>
      </c>
      <c r="G1251" s="416">
        <f t="shared" si="776"/>
        <v>37514585.107799999</v>
      </c>
      <c r="H1251" s="399"/>
      <c r="I1251" s="415">
        <f t="shared" ref="I1251:J1251" si="777">+I1250</f>
        <v>4181872.5</v>
      </c>
      <c r="J1251" s="432">
        <f t="shared" si="777"/>
        <v>50736364.920000002</v>
      </c>
    </row>
    <row r="1252" spans="1:10" ht="23.4" x14ac:dyDescent="0.3">
      <c r="A1252" s="271" t="s">
        <v>109</v>
      </c>
      <c r="B1252" s="970" t="s">
        <v>482</v>
      </c>
      <c r="C1252" s="314" t="s">
        <v>120</v>
      </c>
      <c r="D1252" s="314"/>
      <c r="E1252" s="771">
        <v>254.89750000000001</v>
      </c>
      <c r="F1252" s="405">
        <f>IFERROR(E1252*'01 Prod Physique Boites'!H1247,"-")</f>
        <v>0</v>
      </c>
      <c r="G1252" s="406">
        <f>IFERROR(E1252*'01 Prod Physique Boites'!L1247,"-")</f>
        <v>0</v>
      </c>
      <c r="H1252" s="384">
        <v>445.38</v>
      </c>
      <c r="I1252" s="422">
        <f>IFERROR(H1252*(F1252/E1252),"-")</f>
        <v>0</v>
      </c>
      <c r="J1252" s="423">
        <f t="shared" ref="J1252:J1254" si="778">IFERROR(H1252*(G1252/E1252),"-")</f>
        <v>0</v>
      </c>
    </row>
    <row r="1253" spans="1:10" ht="23.4" x14ac:dyDescent="0.3">
      <c r="A1253" s="277" t="s">
        <v>109</v>
      </c>
      <c r="B1253" s="972"/>
      <c r="C1253" s="315" t="s">
        <v>267</v>
      </c>
      <c r="D1253" s="315"/>
      <c r="E1253" s="507">
        <v>246.51390000000001</v>
      </c>
      <c r="F1253" s="405">
        <f>IFERROR(E1253*'01 Prod Physique Boites'!H1248,"-")</f>
        <v>1025497.824</v>
      </c>
      <c r="G1253" s="406">
        <f>IFERROR(E1253*'01 Prod Physique Boites'!L1248,"-")</f>
        <v>4101991.2960000001</v>
      </c>
      <c r="H1253" s="388">
        <v>430.02</v>
      </c>
      <c r="I1253" s="424">
        <f>IFERROR(H1253*(F1253/E1253),"-")</f>
        <v>1788883.2</v>
      </c>
      <c r="J1253" s="425">
        <f t="shared" si="778"/>
        <v>7155532.7999999998</v>
      </c>
    </row>
    <row r="1254" spans="1:10" ht="24" thickBot="1" x14ac:dyDescent="0.35">
      <c r="A1254" s="277" t="s">
        <v>109</v>
      </c>
      <c r="B1254" s="971"/>
      <c r="C1254" s="316" t="s">
        <v>34</v>
      </c>
      <c r="D1254" s="316"/>
      <c r="E1254" s="504">
        <v>225.7713</v>
      </c>
      <c r="F1254" s="405">
        <f>IFERROR(E1254*'01 Prod Physique Boites'!H1249,"-")</f>
        <v>0</v>
      </c>
      <c r="G1254" s="406">
        <f>IFERROR(E1254*'01 Prod Physique Boites'!L1249,"-")</f>
        <v>0</v>
      </c>
      <c r="H1254" s="390"/>
      <c r="I1254" s="426">
        <f>IFERROR(H1254*(F1254/E1254),"-")</f>
        <v>0</v>
      </c>
      <c r="J1254" s="427">
        <f t="shared" si="778"/>
        <v>0</v>
      </c>
    </row>
    <row r="1255" spans="1:10" ht="24" thickBot="1" x14ac:dyDescent="0.35">
      <c r="A1255" s="277" t="s">
        <v>109</v>
      </c>
      <c r="B1255" s="967" t="s">
        <v>35</v>
      </c>
      <c r="C1255" s="968"/>
      <c r="D1255" s="969"/>
      <c r="E1255" s="393"/>
      <c r="F1255" s="409">
        <f t="shared" ref="F1255:G1255" si="779">SUM(F1252:F1254)</f>
        <v>1025497.824</v>
      </c>
      <c r="G1255" s="410">
        <f t="shared" si="779"/>
        <v>4101991.2960000001</v>
      </c>
      <c r="H1255" s="394"/>
      <c r="I1255" s="409">
        <f t="shared" ref="I1255:J1255" si="780">SUM(I1252:I1254)</f>
        <v>1788883.2</v>
      </c>
      <c r="J1255" s="428">
        <f t="shared" si="780"/>
        <v>7155532.7999999998</v>
      </c>
    </row>
    <row r="1256" spans="1:10" ht="23.4" x14ac:dyDescent="0.3">
      <c r="A1256" s="277" t="s">
        <v>109</v>
      </c>
      <c r="B1256" s="970" t="s">
        <v>36</v>
      </c>
      <c r="C1256" s="314" t="s">
        <v>120</v>
      </c>
      <c r="D1256" s="314"/>
      <c r="E1256" s="506">
        <v>254.89750000000001</v>
      </c>
      <c r="F1256" s="405">
        <f>IFERROR(E1256*'01 Prod Physique Boites'!H1251,"-")</f>
        <v>0</v>
      </c>
      <c r="G1256" s="406">
        <f>IFERROR(E1256*'01 Prod Physique Boites'!L1251,"-")</f>
        <v>0</v>
      </c>
      <c r="H1256" s="384">
        <v>445.38</v>
      </c>
      <c r="I1256" s="422">
        <f>IFERROR(H1256*(F1256/E1256),"-")</f>
        <v>0</v>
      </c>
      <c r="J1256" s="423">
        <f t="shared" ref="J1256:J1259" si="781">IFERROR(H1256*(G1256/E1256),"-")</f>
        <v>0</v>
      </c>
    </row>
    <row r="1257" spans="1:10" ht="23.4" x14ac:dyDescent="0.3">
      <c r="A1257" s="277" t="s">
        <v>109</v>
      </c>
      <c r="B1257" s="972"/>
      <c r="C1257" s="315" t="s">
        <v>267</v>
      </c>
      <c r="D1257" s="315"/>
      <c r="E1257" s="507">
        <v>246.51390000000001</v>
      </c>
      <c r="F1257" s="405">
        <f>IFERROR(E1257*'01 Prod Physique Boites'!H1252,"-")</f>
        <v>3234262.3680000002</v>
      </c>
      <c r="G1257" s="406">
        <f>IFERROR(E1257*'01 Prod Physique Boites'!L1252,"-")</f>
        <v>6281174.1720000003</v>
      </c>
      <c r="H1257" s="388">
        <v>430.02</v>
      </c>
      <c r="I1257" s="424">
        <f>IFERROR(H1257*(F1257/E1257),"-")</f>
        <v>5641862.3999999994</v>
      </c>
      <c r="J1257" s="425">
        <f t="shared" si="781"/>
        <v>10956909.6</v>
      </c>
    </row>
    <row r="1258" spans="1:10" ht="23.4" x14ac:dyDescent="0.3">
      <c r="A1258" s="277" t="s">
        <v>109</v>
      </c>
      <c r="B1258" s="972"/>
      <c r="C1258" s="315" t="s">
        <v>198</v>
      </c>
      <c r="D1258" s="315" t="s">
        <v>197</v>
      </c>
      <c r="E1258" s="507">
        <v>254.89750000000001</v>
      </c>
      <c r="F1258" s="405">
        <f>IFERROR(E1258*'01 Prod Physique Boites'!H1253,"-")</f>
        <v>0</v>
      </c>
      <c r="G1258" s="406">
        <f>IFERROR(E1258*'01 Prod Physique Boites'!L1253,"-")</f>
        <v>0</v>
      </c>
      <c r="H1258" s="388"/>
      <c r="I1258" s="424">
        <f>IFERROR(H1258*(F1258/E1258),"-")</f>
        <v>0</v>
      </c>
      <c r="J1258" s="425">
        <f t="shared" si="781"/>
        <v>0</v>
      </c>
    </row>
    <row r="1259" spans="1:10" ht="24" thickBot="1" x14ac:dyDescent="0.35">
      <c r="A1259" s="277" t="s">
        <v>109</v>
      </c>
      <c r="B1259" s="971"/>
      <c r="C1259" s="316" t="s">
        <v>37</v>
      </c>
      <c r="D1259" s="316"/>
      <c r="E1259" s="504">
        <v>229.99359999999999</v>
      </c>
      <c r="F1259" s="405">
        <f>IFERROR(E1259*'01 Prod Physique Boites'!H1254,"-")</f>
        <v>0</v>
      </c>
      <c r="G1259" s="406">
        <f>IFERROR(E1259*'01 Prod Physique Boites'!L1254,"-")</f>
        <v>0</v>
      </c>
      <c r="H1259" s="390"/>
      <c r="I1259" s="426">
        <f>IFERROR(H1259*(F1259/E1259),"-")</f>
        <v>0</v>
      </c>
      <c r="J1259" s="427">
        <f t="shared" si="781"/>
        <v>0</v>
      </c>
    </row>
    <row r="1260" spans="1:10" ht="24" thickBot="1" x14ac:dyDescent="0.35">
      <c r="A1260" s="277" t="s">
        <v>109</v>
      </c>
      <c r="B1260" s="967" t="s">
        <v>38</v>
      </c>
      <c r="C1260" s="968"/>
      <c r="D1260" s="969"/>
      <c r="E1260" s="393"/>
      <c r="F1260" s="409">
        <f t="shared" ref="F1260:G1260" si="782">SUM(F1256:F1259)</f>
        <v>3234262.3680000002</v>
      </c>
      <c r="G1260" s="410">
        <f t="shared" si="782"/>
        <v>6281174.1720000003</v>
      </c>
      <c r="H1260" s="394"/>
      <c r="I1260" s="409">
        <f>SUM(I1256:I1259)</f>
        <v>5641862.3999999994</v>
      </c>
      <c r="J1260" s="428">
        <f>SUM(J1256:J1259)</f>
        <v>10956909.6</v>
      </c>
    </row>
    <row r="1261" spans="1:10" ht="23.4" x14ac:dyDescent="0.3">
      <c r="A1261" s="277" t="s">
        <v>109</v>
      </c>
      <c r="B1261" s="970" t="s">
        <v>483</v>
      </c>
      <c r="C1261" s="317" t="s">
        <v>123</v>
      </c>
      <c r="D1261" s="317"/>
      <c r="E1261" s="506">
        <v>195.2808</v>
      </c>
      <c r="F1261" s="405">
        <f>IFERROR(E1261*'01 Prod Physique Boites'!H1256,"-")</f>
        <v>0</v>
      </c>
      <c r="G1261" s="406">
        <f>IFERROR(E1261*'01 Prod Physique Boites'!L1256,"-")</f>
        <v>28120.4352</v>
      </c>
      <c r="H1261" s="715">
        <v>256.7</v>
      </c>
      <c r="I1261" s="422">
        <f>IFERROR(H1261*(F1261/E1261),"-")</f>
        <v>0</v>
      </c>
      <c r="J1261" s="423">
        <f t="shared" ref="J1261:J1262" si="783">IFERROR(H1261*(G1261/E1261),"-")</f>
        <v>36964.799999999996</v>
      </c>
    </row>
    <row r="1262" spans="1:10" ht="24" thickBot="1" x14ac:dyDescent="0.35">
      <c r="A1262" s="277" t="s">
        <v>109</v>
      </c>
      <c r="B1262" s="971"/>
      <c r="C1262" s="289" t="s">
        <v>139</v>
      </c>
      <c r="D1262" s="289"/>
      <c r="E1262" s="504">
        <v>189.91890000000001</v>
      </c>
      <c r="F1262" s="405">
        <f>IFERROR(E1262*'01 Prod Physique Boites'!H1257,"-")</f>
        <v>0</v>
      </c>
      <c r="G1262" s="406">
        <f>IFERROR(E1262*'01 Prod Physique Boites'!L1257,"-")</f>
        <v>45580.536</v>
      </c>
      <c r="H1262" s="390">
        <v>320.35000000000002</v>
      </c>
      <c r="I1262" s="426">
        <f>IFERROR(H1262*(F1262/E1262),"-")</f>
        <v>0</v>
      </c>
      <c r="J1262" s="427">
        <f t="shared" si="783"/>
        <v>76884</v>
      </c>
    </row>
    <row r="1263" spans="1:10" ht="24" thickBot="1" x14ac:dyDescent="0.35">
      <c r="A1263" s="841" t="s">
        <v>109</v>
      </c>
      <c r="B1263" s="967" t="s">
        <v>40</v>
      </c>
      <c r="C1263" s="968"/>
      <c r="D1263" s="969"/>
      <c r="E1263" s="393"/>
      <c r="F1263" s="409">
        <f>SUM(F1261:F1262)</f>
        <v>0</v>
      </c>
      <c r="G1263" s="410">
        <f t="shared" ref="G1263" si="784">SUM(G1261:G1262)</f>
        <v>73700.9712</v>
      </c>
      <c r="H1263" s="394"/>
      <c r="I1263" s="409">
        <f t="shared" ref="I1263:J1263" si="785">SUM(I1261:I1262)</f>
        <v>0</v>
      </c>
      <c r="J1263" s="428">
        <f t="shared" si="785"/>
        <v>113848.79999999999</v>
      </c>
    </row>
    <row r="1264" spans="1:10" ht="23.4" x14ac:dyDescent="0.3">
      <c r="A1264" s="277" t="s">
        <v>109</v>
      </c>
      <c r="B1264" s="970" t="s">
        <v>484</v>
      </c>
      <c r="C1264" s="272" t="s">
        <v>335</v>
      </c>
      <c r="D1264" s="272" t="s">
        <v>258</v>
      </c>
      <c r="E1264" s="508">
        <v>37.248699999999999</v>
      </c>
      <c r="F1264" s="405">
        <f>IFERROR(E1264*'01 Prod Physique Boites'!H1259,"-")</f>
        <v>2489703.108</v>
      </c>
      <c r="G1264" s="406">
        <f>IFERROR(E1264*'01 Prod Physique Boites'!L1259,"-")</f>
        <v>10755338.6328</v>
      </c>
      <c r="H1264" s="384">
        <v>71.44</v>
      </c>
      <c r="I1264" s="422">
        <f>IFERROR(H1264*(F1264/E1264),"-")</f>
        <v>4775049.5999999996</v>
      </c>
      <c r="J1264" s="423">
        <f>IFERROR(H1264*(G1264/E1264),"-")</f>
        <v>20627871.359999999</v>
      </c>
    </row>
    <row r="1265" spans="1:10" ht="23.4" x14ac:dyDescent="0.3">
      <c r="A1265" s="277" t="s">
        <v>109</v>
      </c>
      <c r="B1265" s="972"/>
      <c r="C1265" s="272" t="s">
        <v>164</v>
      </c>
      <c r="D1265" s="278"/>
      <c r="E1265" s="508">
        <v>37.248699999999999</v>
      </c>
      <c r="F1265" s="405">
        <f>IFERROR(E1265*'01 Prod Physique Boites'!H1260,"-")</f>
        <v>0</v>
      </c>
      <c r="G1265" s="406">
        <f>IFERROR(E1265*'01 Prod Physique Boites'!L1260,"-")</f>
        <v>0</v>
      </c>
      <c r="H1265" s="388"/>
      <c r="I1265" s="424">
        <f>IFERROR(H1265*(F1265/E1265),"-")</f>
        <v>0</v>
      </c>
      <c r="J1265" s="425">
        <f t="shared" ref="J1265:J1267" si="786">IFERROR(H1265*(G1265/E1265),"-")</f>
        <v>0</v>
      </c>
    </row>
    <row r="1266" spans="1:10" ht="23.4" x14ac:dyDescent="0.3">
      <c r="A1266" s="277" t="s">
        <v>109</v>
      </c>
      <c r="B1266" s="972"/>
      <c r="C1266" s="278" t="s">
        <v>383</v>
      </c>
      <c r="D1266" s="272" t="s">
        <v>258</v>
      </c>
      <c r="E1266" s="508">
        <v>37.248699999999999</v>
      </c>
      <c r="F1266" s="405">
        <f>IFERROR(E1266*'01 Prod Physique Boites'!H1261,"-")</f>
        <v>0</v>
      </c>
      <c r="G1266" s="406">
        <f>IFERROR(E1266*'01 Prod Physique Boites'!L1261,"-")</f>
        <v>0</v>
      </c>
      <c r="H1266" s="388">
        <v>71.44</v>
      </c>
      <c r="I1266" s="424">
        <f>IFERROR(H1266*(F1266/E1266),"-")</f>
        <v>0</v>
      </c>
      <c r="J1266" s="425">
        <f t="shared" si="786"/>
        <v>0</v>
      </c>
    </row>
    <row r="1267" spans="1:10" ht="24" thickBot="1" x14ac:dyDescent="0.35">
      <c r="A1267" s="277" t="s">
        <v>109</v>
      </c>
      <c r="B1267" s="972"/>
      <c r="C1267" s="278" t="s">
        <v>165</v>
      </c>
      <c r="D1267" s="278"/>
      <c r="E1267" s="509">
        <v>38.466099999999997</v>
      </c>
      <c r="F1267" s="405">
        <f>IFERROR(E1267*'01 Prod Physique Boites'!H1262,"-")</f>
        <v>0</v>
      </c>
      <c r="G1267" s="406">
        <f>IFERROR(E1267*'01 Prod Physique Boites'!L1262,"-")</f>
        <v>0</v>
      </c>
      <c r="H1267" s="388"/>
      <c r="I1267" s="424">
        <f>IFERROR(H1267*(F1267/E1267),"-")</f>
        <v>0</v>
      </c>
      <c r="J1267" s="425">
        <f t="shared" si="786"/>
        <v>0</v>
      </c>
    </row>
    <row r="1268" spans="1:10" ht="24" thickBot="1" x14ac:dyDescent="0.35">
      <c r="A1268" s="277" t="s">
        <v>109</v>
      </c>
      <c r="B1268" s="967" t="s">
        <v>42</v>
      </c>
      <c r="C1268" s="968"/>
      <c r="D1268" s="969"/>
      <c r="E1268" s="393"/>
      <c r="F1268" s="409">
        <f>SUM(F1264:F1267)</f>
        <v>2489703.108</v>
      </c>
      <c r="G1268" s="410">
        <f>SUM(G1264:G1267)</f>
        <v>10755338.6328</v>
      </c>
      <c r="H1268" s="394"/>
      <c r="I1268" s="409">
        <f>SUM(I1264:I1267)</f>
        <v>4775049.5999999996</v>
      </c>
      <c r="J1268" s="409">
        <f>SUM(J1264:J1267)</f>
        <v>20627871.359999999</v>
      </c>
    </row>
    <row r="1269" spans="1:10" ht="23.4" x14ac:dyDescent="0.3">
      <c r="A1269" s="277" t="s">
        <v>109</v>
      </c>
      <c r="B1269" s="970" t="s">
        <v>43</v>
      </c>
      <c r="C1269" s="272" t="s">
        <v>200</v>
      </c>
      <c r="D1269" s="272" t="s">
        <v>197</v>
      </c>
      <c r="E1269" s="508">
        <v>30.7499</v>
      </c>
      <c r="F1269" s="405">
        <f>IFERROR(E1269*'01 Prod Physique Boites'!H1265,"-")</f>
        <v>0</v>
      </c>
      <c r="G1269" s="406">
        <f>IFERROR(E1269*'01 Prod Physique Boites'!L1265,"-")</f>
        <v>0</v>
      </c>
      <c r="H1269" s="384"/>
      <c r="I1269" s="422">
        <f>IFERROR(H1269*(F1269/E1269),"-")</f>
        <v>0</v>
      </c>
      <c r="J1269" s="423">
        <f>IFERROR(H1269*(G1269/E1269),"-")</f>
        <v>0</v>
      </c>
    </row>
    <row r="1270" spans="1:10" ht="23.4" x14ac:dyDescent="0.3">
      <c r="A1270" s="277" t="s">
        <v>109</v>
      </c>
      <c r="B1270" s="972"/>
      <c r="C1270" s="278" t="s">
        <v>167</v>
      </c>
      <c r="D1270" s="278"/>
      <c r="E1270" s="727">
        <v>25.139099999999999</v>
      </c>
      <c r="F1270" s="405">
        <f>IFERROR(E1270*'01 Prod Physique Boites'!H1266,"-")</f>
        <v>579204.86399999994</v>
      </c>
      <c r="G1270" s="406">
        <f>IFERROR(E1270*'01 Prod Physique Boites'!L1266,"-")</f>
        <v>3459542.3855999997</v>
      </c>
      <c r="H1270" s="388">
        <v>59.96</v>
      </c>
      <c r="I1270" s="424">
        <f>IFERROR(H1270*(F1270/E1270),"-")</f>
        <v>1381478.3999999999</v>
      </c>
      <c r="J1270" s="425">
        <f t="shared" ref="J1270:J1271" si="787">IFERROR(H1270*(G1270/E1270),"-")</f>
        <v>8251455.3600000003</v>
      </c>
    </row>
    <row r="1271" spans="1:10" ht="24" thickBot="1" x14ac:dyDescent="0.35">
      <c r="A1271" s="277" t="s">
        <v>109</v>
      </c>
      <c r="B1271" s="971"/>
      <c r="C1271" s="282" t="s">
        <v>200</v>
      </c>
      <c r="D1271" s="282" t="s">
        <v>199</v>
      </c>
      <c r="E1271" s="505">
        <v>30.073599999999999</v>
      </c>
      <c r="F1271" s="405">
        <f>IFERROR(E1271*'01 Prod Physique Boites'!H1267,"-")</f>
        <v>0</v>
      </c>
      <c r="G1271" s="406">
        <f>IFERROR(E1271*'01 Prod Physique Boites'!L1267,"-")</f>
        <v>0</v>
      </c>
      <c r="H1271" s="390"/>
      <c r="I1271" s="426">
        <f>IFERROR(H1271*(F1271/E1271),"-")</f>
        <v>0</v>
      </c>
      <c r="J1271" s="427">
        <f t="shared" si="787"/>
        <v>0</v>
      </c>
    </row>
    <row r="1272" spans="1:10" ht="24" thickBot="1" x14ac:dyDescent="0.35">
      <c r="A1272" s="277" t="s">
        <v>109</v>
      </c>
      <c r="B1272" s="973" t="s">
        <v>44</v>
      </c>
      <c r="C1272" s="974"/>
      <c r="D1272" s="975"/>
      <c r="E1272" s="393"/>
      <c r="F1272" s="409">
        <f t="shared" ref="F1272:G1272" si="788">SUM(F1269:F1271)</f>
        <v>579204.86399999994</v>
      </c>
      <c r="G1272" s="410">
        <f t="shared" si="788"/>
        <v>3459542.3855999997</v>
      </c>
      <c r="H1272" s="394"/>
      <c r="I1272" s="409">
        <f t="shared" ref="I1272:J1272" si="789">SUM(I1269:I1271)</f>
        <v>1381478.3999999999</v>
      </c>
      <c r="J1272" s="428">
        <f t="shared" si="789"/>
        <v>8251455.3600000003</v>
      </c>
    </row>
    <row r="1273" spans="1:10" ht="23.4" x14ac:dyDescent="0.3">
      <c r="A1273" s="277" t="s">
        <v>109</v>
      </c>
      <c r="B1273" s="970" t="s">
        <v>45</v>
      </c>
      <c r="C1273" s="272" t="s">
        <v>168</v>
      </c>
      <c r="D1273" s="272"/>
      <c r="E1273" s="508">
        <v>36.684899999999999</v>
      </c>
      <c r="F1273" s="405">
        <f>IFERROR(E1273*'01 Prod Physique Boites'!H1269,"-")</f>
        <v>0</v>
      </c>
      <c r="G1273" s="406">
        <f>IFERROR(E1273*'01 Prod Physique Boites'!L1269,"-")</f>
        <v>0</v>
      </c>
      <c r="H1273" s="384"/>
      <c r="I1273" s="385" t="s">
        <v>204</v>
      </c>
      <c r="J1273" s="386" t="s">
        <v>204</v>
      </c>
    </row>
    <row r="1274" spans="1:10" ht="24" thickBot="1" x14ac:dyDescent="0.35">
      <c r="A1274" s="277" t="s">
        <v>109</v>
      </c>
      <c r="B1274" s="971"/>
      <c r="C1274" s="282" t="s">
        <v>169</v>
      </c>
      <c r="D1274" s="282"/>
      <c r="E1274" s="505">
        <v>37.002800000000001</v>
      </c>
      <c r="F1274" s="405">
        <f>IFERROR(E1274*'01 Prod Physique Boites'!H1270,"-")</f>
        <v>0</v>
      </c>
      <c r="G1274" s="406">
        <f>IFERROR(E1274*'01 Prod Physique Boites'!L1270,"-")</f>
        <v>0</v>
      </c>
      <c r="H1274" s="390"/>
      <c r="I1274" s="391" t="s">
        <v>204</v>
      </c>
      <c r="J1274" s="392" t="s">
        <v>204</v>
      </c>
    </row>
    <row r="1275" spans="1:10" ht="24" thickBot="1" x14ac:dyDescent="0.35">
      <c r="A1275" s="277" t="s">
        <v>109</v>
      </c>
      <c r="B1275" s="973" t="s">
        <v>46</v>
      </c>
      <c r="C1275" s="974"/>
      <c r="D1275" s="975"/>
      <c r="E1275" s="393"/>
      <c r="F1275" s="405">
        <f>IFERROR(E1275*'01 Prod Physique Boites'!H1271,"-")</f>
        <v>0</v>
      </c>
      <c r="G1275" s="410">
        <f>IFERROR(E1275*'01 Prod Physique Boites'!L1271,"-")</f>
        <v>0</v>
      </c>
      <c r="H1275" s="394"/>
      <c r="I1275" s="409">
        <f t="shared" ref="I1275:J1275" si="790">SUM(I1273:I1274)</f>
        <v>0</v>
      </c>
      <c r="J1275" s="428">
        <f t="shared" si="790"/>
        <v>0</v>
      </c>
    </row>
    <row r="1276" spans="1:10" ht="24" thickBot="1" x14ac:dyDescent="0.35">
      <c r="A1276" s="277" t="s">
        <v>109</v>
      </c>
      <c r="B1276" s="959" t="s">
        <v>25</v>
      </c>
      <c r="C1276" s="960"/>
      <c r="D1276" s="961"/>
      <c r="E1276" s="396"/>
      <c r="F1276" s="413">
        <f>+F1255+F1260+F1263+F1268+F1272+F1275</f>
        <v>7328668.1639999999</v>
      </c>
      <c r="G1276" s="414">
        <f>+G1255+G1260+G1263+G1268+G1272+G1275</f>
        <v>24671747.457600001</v>
      </c>
      <c r="H1276" s="397"/>
      <c r="I1276" s="413">
        <f>+I1255+I1260+I1263+I1268+I1272+I1275</f>
        <v>13587273.6</v>
      </c>
      <c r="J1276" s="431">
        <f>+J1255+J1260+J1263+J1268+J1272+J1275</f>
        <v>47105617.920000002</v>
      </c>
    </row>
    <row r="1277" spans="1:10" ht="24" thickBot="1" x14ac:dyDescent="0.35">
      <c r="A1277" s="321" t="s">
        <v>109</v>
      </c>
      <c r="B1277" s="962" t="s">
        <v>181</v>
      </c>
      <c r="C1277" s="962"/>
      <c r="D1277" s="963"/>
      <c r="E1277" s="398"/>
      <c r="F1277" s="415">
        <f t="shared" ref="F1277:G1277" si="791">+F1276</f>
        <v>7328668.1639999999</v>
      </c>
      <c r="G1277" s="416">
        <f t="shared" si="791"/>
        <v>24671747.457600001</v>
      </c>
      <c r="H1277" s="399"/>
      <c r="I1277" s="415">
        <f t="shared" ref="I1277" si="792">+I1276</f>
        <v>13587273.6</v>
      </c>
      <c r="J1277" s="432">
        <f>+J1276</f>
        <v>47105617.920000002</v>
      </c>
    </row>
    <row r="1278" spans="1:10" ht="24.6" thickBot="1" x14ac:dyDescent="0.35">
      <c r="A1278" s="322"/>
      <c r="B1278" s="964" t="s">
        <v>182</v>
      </c>
      <c r="C1278" s="965"/>
      <c r="D1278" s="966"/>
      <c r="E1278" s="404"/>
      <c r="F1278" s="421">
        <f>+F1222+F1251+F1277</f>
        <v>14488321.372400001</v>
      </c>
      <c r="G1278" s="421">
        <f>+G1222+G1251+G1277</f>
        <v>107995533.15180001</v>
      </c>
      <c r="H1278" s="404"/>
      <c r="I1278" s="421">
        <f>+I1222+I1251+I1277</f>
        <v>23946023.703999996</v>
      </c>
      <c r="J1278" s="435">
        <f>+J1222+J1251+J1277</f>
        <v>162043395.28399998</v>
      </c>
    </row>
    <row r="1279" spans="1:10" ht="23.4" x14ac:dyDescent="0.3">
      <c r="A1279" s="991" t="s">
        <v>1</v>
      </c>
      <c r="B1279" s="994" t="s">
        <v>2</v>
      </c>
      <c r="C1279" s="997" t="s">
        <v>477</v>
      </c>
      <c r="D1279" s="997" t="s">
        <v>478</v>
      </c>
      <c r="E1279" s="1021" t="s">
        <v>486</v>
      </c>
      <c r="F1279" s="1022"/>
      <c r="G1279" s="1022"/>
      <c r="H1279" s="445"/>
      <c r="I1279" s="445"/>
      <c r="J1279" s="446"/>
    </row>
    <row r="1280" spans="1:10" ht="23.4" x14ac:dyDescent="0.3">
      <c r="A1280" s="992"/>
      <c r="B1280" s="995"/>
      <c r="C1280" s="998"/>
      <c r="D1280" s="998"/>
      <c r="E1280" s="1023" t="s">
        <v>489</v>
      </c>
      <c r="F1280" s="1024"/>
      <c r="G1280" s="1025"/>
      <c r="H1280" s="1023" t="s">
        <v>176</v>
      </c>
      <c r="I1280" s="1024"/>
      <c r="J1280" s="1025"/>
    </row>
    <row r="1281" spans="1:15" ht="46.8" x14ac:dyDescent="0.3">
      <c r="A1281" s="993"/>
      <c r="B1281" s="1019"/>
      <c r="C1281" s="1020"/>
      <c r="D1281" s="1020"/>
      <c r="E1281" s="382" t="s">
        <v>178</v>
      </c>
      <c r="F1281" s="847" t="s">
        <v>488</v>
      </c>
      <c r="G1281" s="848" t="s">
        <v>487</v>
      </c>
      <c r="H1281" s="1026" t="s">
        <v>178</v>
      </c>
      <c r="I1281" s="1028" t="s">
        <v>144</v>
      </c>
      <c r="J1281" s="1030" t="s">
        <v>487</v>
      </c>
    </row>
    <row r="1282" spans="1:15" ht="24" thickBot="1" x14ac:dyDescent="0.35">
      <c r="A1282" s="993"/>
      <c r="B1282" s="996"/>
      <c r="C1282" s="999"/>
      <c r="D1282" s="999"/>
      <c r="E1282" s="1032">
        <v>44549</v>
      </c>
      <c r="F1282" s="1033"/>
      <c r="G1282" s="1034"/>
      <c r="H1282" s="1027"/>
      <c r="I1282" s="1029"/>
      <c r="J1282" s="1031"/>
    </row>
    <row r="1283" spans="1:15" ht="23.4" x14ac:dyDescent="0.3">
      <c r="A1283" s="271" t="s">
        <v>110</v>
      </c>
      <c r="B1283" s="956" t="s">
        <v>16</v>
      </c>
      <c r="C1283" s="272" t="s">
        <v>424</v>
      </c>
      <c r="D1283" s="272" t="s">
        <v>425</v>
      </c>
      <c r="E1283" s="758">
        <v>81.360699999999994</v>
      </c>
      <c r="F1283" s="405">
        <f>IFERROR(E1283*'01 Prod Physique Boites'!H1278,"-")</f>
        <v>0</v>
      </c>
      <c r="G1283" s="405">
        <f>IFERROR(E1283*'01 Prod Physique Boites'!L1278,"-")</f>
        <v>1614196.2879999999</v>
      </c>
      <c r="H1283" s="759">
        <v>143.28</v>
      </c>
      <c r="I1283" s="422">
        <f>IFERROR(H1283*(F1283/E1283),"-")</f>
        <v>0</v>
      </c>
      <c r="J1283" s="423">
        <f t="shared" ref="J1283:J1285" si="793">IFERROR(H1283*(G1283/E1283),"-")</f>
        <v>2842675.2000000002</v>
      </c>
    </row>
    <row r="1284" spans="1:15" ht="23.4" x14ac:dyDescent="0.3">
      <c r="A1284" s="784"/>
      <c r="B1284" s="957"/>
      <c r="C1284" s="278" t="s">
        <v>188</v>
      </c>
      <c r="D1284" s="278" t="s">
        <v>101</v>
      </c>
      <c r="E1284" s="509">
        <v>81.360699999999994</v>
      </c>
      <c r="F1284" s="405">
        <f>IFERROR(E1284*'01 Prod Physique Boites'!H1279,"-")</f>
        <v>0</v>
      </c>
      <c r="G1284" s="405">
        <f>IFERROR(E1284*'01 Prod Physique Boites'!L1279,"-")</f>
        <v>3936312.0266999998</v>
      </c>
      <c r="H1284" s="770">
        <v>0</v>
      </c>
      <c r="I1284" s="422">
        <f>IFERROR(H1284*(F1284/E1284),"-")</f>
        <v>0</v>
      </c>
      <c r="J1284" s="423">
        <f t="shared" si="793"/>
        <v>0</v>
      </c>
    </row>
    <row r="1285" spans="1:15" ht="23.4" x14ac:dyDescent="0.3">
      <c r="A1285" s="277" t="s">
        <v>110</v>
      </c>
      <c r="B1285" s="957"/>
      <c r="C1285" s="278" t="s">
        <v>533</v>
      </c>
      <c r="D1285" s="278" t="s">
        <v>454</v>
      </c>
      <c r="E1285" s="727">
        <v>77.170400000000001</v>
      </c>
      <c r="F1285" s="405">
        <f>IFERROR(E1285*'01 Prod Physique Boites'!H1280,"-")</f>
        <v>1071125.152</v>
      </c>
      <c r="G1285" s="728">
        <f>IFERROR(E1285*'01 Prod Physique Boites'!L1280,"-")</f>
        <v>1071125.152</v>
      </c>
      <c r="H1285" s="388">
        <v>0</v>
      </c>
      <c r="I1285" s="422">
        <f>IFERROR(H1285*(F1285/E1285),"-")</f>
        <v>0</v>
      </c>
      <c r="J1285" s="423">
        <f t="shared" si="793"/>
        <v>0</v>
      </c>
    </row>
    <row r="1286" spans="1:15" ht="24" thickBot="1" x14ac:dyDescent="0.35">
      <c r="A1286" s="277" t="s">
        <v>110</v>
      </c>
      <c r="B1286" s="958"/>
      <c r="C1286" s="282" t="s">
        <v>282</v>
      </c>
      <c r="D1286" s="282" t="s">
        <v>251</v>
      </c>
      <c r="E1286" s="505">
        <v>60.703499999999998</v>
      </c>
      <c r="F1286" s="405">
        <f>IFERROR(E1286*'01 Prod Physique Boites'!H1281,"-")</f>
        <v>310801.91999999998</v>
      </c>
      <c r="G1286" s="405">
        <f>IFERROR(E1286*'01 Prod Physique Boites'!L1281,"-")</f>
        <v>1056726.5279999999</v>
      </c>
      <c r="H1286" s="390">
        <v>111.09</v>
      </c>
      <c r="I1286" s="422">
        <f>IFERROR(H1286*(F1286/E1286),"-")</f>
        <v>568780.80000000005</v>
      </c>
      <c r="J1286" s="423">
        <f>IFERROR(H1286*(G1286/E1286),"-")</f>
        <v>1933854.72</v>
      </c>
    </row>
    <row r="1287" spans="1:15" ht="24" thickBot="1" x14ac:dyDescent="0.35">
      <c r="A1287" s="277" t="s">
        <v>110</v>
      </c>
      <c r="B1287" s="967" t="s">
        <v>47</v>
      </c>
      <c r="C1287" s="968"/>
      <c r="D1287" s="969"/>
      <c r="E1287" s="393"/>
      <c r="F1287" s="409">
        <f t="shared" ref="F1287" si="794">SUM(F1283:F1286)</f>
        <v>1381927.0719999999</v>
      </c>
      <c r="G1287" s="410">
        <f>SUM(G1283:G1286)</f>
        <v>7678359.9946999997</v>
      </c>
      <c r="H1287" s="394"/>
      <c r="I1287" s="409">
        <f t="shared" ref="I1287:J1287" si="795">SUM(I1283:I1286)</f>
        <v>568780.80000000005</v>
      </c>
      <c r="J1287" s="428">
        <f t="shared" si="795"/>
        <v>4776529.9199999999</v>
      </c>
      <c r="K1287" s="757"/>
      <c r="L1287" s="757"/>
      <c r="M1287" s="757"/>
      <c r="N1287" s="757"/>
      <c r="O1287" s="757"/>
    </row>
    <row r="1288" spans="1:15" ht="23.4" x14ac:dyDescent="0.3">
      <c r="A1288" s="277" t="s">
        <v>110</v>
      </c>
      <c r="B1288" s="956" t="s">
        <v>17</v>
      </c>
      <c r="C1288" s="272" t="s">
        <v>320</v>
      </c>
      <c r="D1288" s="272"/>
      <c r="E1288" s="508">
        <v>12.5275</v>
      </c>
      <c r="F1288" s="405">
        <f>IFERROR(E1288*'01 Prod Physique Boites'!H1283,"-")</f>
        <v>1840039.2</v>
      </c>
      <c r="G1288" s="405">
        <f>IFERROR(E1288*'01 Prod Physique Boites'!L1283,"-")</f>
        <v>2070044.0999999999</v>
      </c>
      <c r="H1288" s="715">
        <v>18.836400000000001</v>
      </c>
      <c r="I1288" s="422">
        <f t="shared" ref="I1288:I1294" si="796">IFERROR(H1288*(F1288/E1288),"-")</f>
        <v>2766690.432</v>
      </c>
      <c r="J1288" s="423">
        <f t="shared" ref="J1288:J1293" si="797">IFERROR(H1288*(G1288/E1288),"-")</f>
        <v>3112526.736</v>
      </c>
    </row>
    <row r="1289" spans="1:15" ht="23.4" x14ac:dyDescent="0.3">
      <c r="A1289" s="277" t="s">
        <v>110</v>
      </c>
      <c r="B1289" s="957"/>
      <c r="C1289" s="278" t="s">
        <v>382</v>
      </c>
      <c r="D1289" s="278" t="s">
        <v>252</v>
      </c>
      <c r="E1289" s="698">
        <v>13.002700000000001</v>
      </c>
      <c r="F1289" s="405">
        <f>IFERROR(E1289*'01 Prod Physique Boites'!H1284,"-")</f>
        <v>0</v>
      </c>
      <c r="G1289" s="405">
        <f>IFERROR(E1289*'01 Prod Physique Boites'!L1284,"-")</f>
        <v>7837286.4061000003</v>
      </c>
      <c r="H1289" s="388">
        <v>21.18</v>
      </c>
      <c r="I1289" s="424">
        <f t="shared" si="796"/>
        <v>0</v>
      </c>
      <c r="J1289" s="425">
        <f t="shared" si="797"/>
        <v>12766096.74</v>
      </c>
    </row>
    <row r="1290" spans="1:15" ht="23.4" x14ac:dyDescent="0.3">
      <c r="A1290" s="277" t="s">
        <v>110</v>
      </c>
      <c r="B1290" s="957"/>
      <c r="C1290" s="278" t="s">
        <v>391</v>
      </c>
      <c r="D1290" s="278" t="s">
        <v>201</v>
      </c>
      <c r="E1290" s="698">
        <v>12.9049</v>
      </c>
      <c r="F1290" s="405">
        <f>IFERROR(E1290*'01 Prod Physique Boites'!H1285,"-")</f>
        <v>0</v>
      </c>
      <c r="G1290" s="405">
        <f>IFERROR(E1290*'01 Prod Physique Boites'!L1285,"-")</f>
        <v>5868064.5083999997</v>
      </c>
      <c r="H1290" s="388">
        <v>20.5</v>
      </c>
      <c r="I1290" s="424">
        <f t="shared" si="796"/>
        <v>0</v>
      </c>
      <c r="J1290" s="425">
        <f t="shared" si="797"/>
        <v>9321678</v>
      </c>
    </row>
    <row r="1291" spans="1:15" ht="23.4" x14ac:dyDescent="0.3">
      <c r="A1291" s="277" t="s">
        <v>110</v>
      </c>
      <c r="B1291" s="957"/>
      <c r="C1291" s="278" t="s">
        <v>319</v>
      </c>
      <c r="D1291" s="278" t="s">
        <v>202</v>
      </c>
      <c r="E1291" s="509">
        <v>13.078200000000001</v>
      </c>
      <c r="F1291" s="405">
        <f>IFERROR(E1291*'01 Prod Physique Boites'!H1286,"-")</f>
        <v>0</v>
      </c>
      <c r="G1291" s="405">
        <f>IFERROR(E1291*'01 Prod Physique Boites'!L1286,"-")</f>
        <v>0</v>
      </c>
      <c r="H1291" s="388">
        <v>20.6</v>
      </c>
      <c r="I1291" s="424">
        <f t="shared" si="796"/>
        <v>0</v>
      </c>
      <c r="J1291" s="425">
        <f t="shared" si="797"/>
        <v>0</v>
      </c>
    </row>
    <row r="1292" spans="1:15" ht="23.4" x14ac:dyDescent="0.3">
      <c r="A1292" s="277" t="s">
        <v>110</v>
      </c>
      <c r="B1292" s="957"/>
      <c r="C1292" s="278" t="s">
        <v>358</v>
      </c>
      <c r="D1292" s="278" t="s">
        <v>352</v>
      </c>
      <c r="E1292" s="509">
        <v>13.1958</v>
      </c>
      <c r="F1292" s="405">
        <f>IFERROR(E1292*'01 Prod Physique Boites'!H1287,"-")</f>
        <v>43889.230799999998</v>
      </c>
      <c r="G1292" s="405">
        <f>IFERROR(E1292*'01 Prod Physique Boites'!L1287,"-")</f>
        <v>6609538.6956000002</v>
      </c>
      <c r="H1292" s="388">
        <v>21.28</v>
      </c>
      <c r="I1292" s="424">
        <f t="shared" si="796"/>
        <v>70777.279999999999</v>
      </c>
      <c r="J1292" s="425">
        <f t="shared" si="797"/>
        <v>10658768.960000001</v>
      </c>
    </row>
    <row r="1293" spans="1:15" ht="23.4" x14ac:dyDescent="0.3">
      <c r="A1293" s="277">
        <v>1</v>
      </c>
      <c r="B1293" s="957"/>
      <c r="C1293" s="278" t="s">
        <v>392</v>
      </c>
      <c r="D1293" s="278" t="s">
        <v>203</v>
      </c>
      <c r="E1293" s="698">
        <v>12.9049</v>
      </c>
      <c r="F1293" s="405">
        <f>IFERROR(E1293*'01 Prod Physique Boites'!H1288,"-")</f>
        <v>0</v>
      </c>
      <c r="G1293" s="405">
        <f>IFERROR(E1293*'01 Prod Physique Boites'!L1288,"-")</f>
        <v>0</v>
      </c>
      <c r="H1293" s="677">
        <v>20.5</v>
      </c>
      <c r="I1293" s="424">
        <f t="shared" si="796"/>
        <v>0</v>
      </c>
      <c r="J1293" s="425">
        <f t="shared" si="797"/>
        <v>0</v>
      </c>
    </row>
    <row r="1294" spans="1:15" ht="24" thickBot="1" x14ac:dyDescent="0.35">
      <c r="A1294" s="277" t="s">
        <v>110</v>
      </c>
      <c r="B1294" s="958"/>
      <c r="C1294" s="282" t="s">
        <v>379</v>
      </c>
      <c r="D1294" s="282" t="s">
        <v>187</v>
      </c>
      <c r="E1294" s="505">
        <v>13.6509</v>
      </c>
      <c r="F1294" s="405">
        <f>IFERROR(E1294*'01 Prod Physique Boites'!H1289,"-")</f>
        <v>0</v>
      </c>
      <c r="G1294" s="405">
        <f>IFERROR(E1294*'01 Prod Physique Boites'!L1289,"-")</f>
        <v>0</v>
      </c>
      <c r="H1294" s="390">
        <v>21.18</v>
      </c>
      <c r="I1294" s="426">
        <f t="shared" si="796"/>
        <v>0</v>
      </c>
      <c r="J1294" s="427">
        <f>IFERROR(H1294*(G1294/E1294),"-")</f>
        <v>0</v>
      </c>
    </row>
    <row r="1295" spans="1:15" ht="24" thickBot="1" x14ac:dyDescent="0.35">
      <c r="A1295" s="277" t="s">
        <v>110</v>
      </c>
      <c r="B1295" s="967" t="s">
        <v>48</v>
      </c>
      <c r="C1295" s="968"/>
      <c r="D1295" s="969"/>
      <c r="E1295" s="393"/>
      <c r="F1295" s="409">
        <f t="shared" ref="F1295" si="798">SUM(F1288:F1294)</f>
        <v>1883928.4308</v>
      </c>
      <c r="G1295" s="410">
        <f>SUM(G1288:G1294)</f>
        <v>22384933.710099999</v>
      </c>
      <c r="H1295" s="394"/>
      <c r="I1295" s="409">
        <f t="shared" ref="I1295" si="799">SUM(I1288:I1294)</f>
        <v>2837467.7119999998</v>
      </c>
      <c r="J1295" s="428">
        <f>SUM(J1288:J1294)</f>
        <v>35859070.436000004</v>
      </c>
      <c r="K1295" s="757"/>
      <c r="L1295" s="757"/>
      <c r="M1295" s="757"/>
      <c r="N1295" s="757"/>
      <c r="O1295" s="757"/>
    </row>
    <row r="1296" spans="1:15" ht="23.4" x14ac:dyDescent="0.3">
      <c r="A1296" s="277" t="s">
        <v>110</v>
      </c>
      <c r="B1296" s="956" t="s">
        <v>18</v>
      </c>
      <c r="C1296" s="272" t="s">
        <v>344</v>
      </c>
      <c r="D1296" s="272" t="s">
        <v>99</v>
      </c>
      <c r="E1296" s="508">
        <v>17.8202</v>
      </c>
      <c r="F1296" s="405">
        <f>IFERROR(E1296*'01 Prod Physique Boites'!H1291,"-")</f>
        <v>0</v>
      </c>
      <c r="G1296" s="406">
        <f>IFERROR(E1296*'01 Prod Physique Boites'!L1291,"-")</f>
        <v>0</v>
      </c>
      <c r="H1296" s="384">
        <v>24.93</v>
      </c>
      <c r="I1296" s="422">
        <f t="shared" ref="I1296:I1302" si="800">IFERROR(H1296*(F1296/E1296),"-")</f>
        <v>0</v>
      </c>
      <c r="J1296" s="423">
        <f t="shared" ref="J1296:J1298" si="801">IFERROR(H1296*(G1296/E1296),"-")</f>
        <v>0</v>
      </c>
    </row>
    <row r="1297" spans="1:10" ht="23.4" x14ac:dyDescent="0.3">
      <c r="A1297" s="277" t="s">
        <v>110</v>
      </c>
      <c r="B1297" s="957"/>
      <c r="C1297" s="278" t="s">
        <v>137</v>
      </c>
      <c r="D1297" s="278"/>
      <c r="E1297" s="509">
        <v>17.8202</v>
      </c>
      <c r="F1297" s="405">
        <f>IFERROR(E1297*'01 Prod Physique Boites'!H1292,"-")</f>
        <v>0</v>
      </c>
      <c r="G1297" s="406">
        <f>IFERROR(E1297*'01 Prod Physique Boites'!L1292,"-")</f>
        <v>0</v>
      </c>
      <c r="H1297" s="388">
        <v>0</v>
      </c>
      <c r="I1297" s="424">
        <f t="shared" si="800"/>
        <v>0</v>
      </c>
      <c r="J1297" s="425">
        <f t="shared" si="801"/>
        <v>0</v>
      </c>
    </row>
    <row r="1298" spans="1:10" ht="23.4" x14ac:dyDescent="0.3">
      <c r="A1298" s="277" t="s">
        <v>110</v>
      </c>
      <c r="B1298" s="957"/>
      <c r="C1298" s="278" t="s">
        <v>122</v>
      </c>
      <c r="D1298" s="278"/>
      <c r="E1298" s="509">
        <v>16.4071</v>
      </c>
      <c r="F1298" s="405">
        <f>IFERROR(E1298*'01 Prod Physique Boites'!H1293,"-")</f>
        <v>0</v>
      </c>
      <c r="G1298" s="406">
        <f>IFERROR(E1298*'01 Prod Physique Boites'!L1293,"-")</f>
        <v>0</v>
      </c>
      <c r="H1298" s="388">
        <v>0</v>
      </c>
      <c r="I1298" s="424">
        <f t="shared" si="800"/>
        <v>0</v>
      </c>
      <c r="J1298" s="425">
        <f t="shared" si="801"/>
        <v>0</v>
      </c>
    </row>
    <row r="1299" spans="1:10" ht="23.4" x14ac:dyDescent="0.3">
      <c r="A1299" s="277" t="s">
        <v>110</v>
      </c>
      <c r="B1299" s="957"/>
      <c r="C1299" s="278" t="s">
        <v>129</v>
      </c>
      <c r="D1299" s="278"/>
      <c r="E1299" s="509">
        <v>17.8202</v>
      </c>
      <c r="F1299" s="405">
        <f>IFERROR(E1299*'01 Prod Physique Boites'!H1294,"-")</f>
        <v>0</v>
      </c>
      <c r="G1299" s="406">
        <f>IFERROR(E1299*'01 Prod Physique Boites'!L1294,"-")</f>
        <v>0</v>
      </c>
      <c r="H1299" s="388">
        <v>0</v>
      </c>
      <c r="I1299" s="424">
        <f t="shared" si="800"/>
        <v>0</v>
      </c>
      <c r="J1299" s="425">
        <f>IFERROR(H1299*(G1299/E1299),"-")</f>
        <v>0</v>
      </c>
    </row>
    <row r="1300" spans="1:10" ht="23.4" x14ac:dyDescent="0.3">
      <c r="A1300" s="277" t="s">
        <v>110</v>
      </c>
      <c r="B1300" s="957"/>
      <c r="C1300" s="278" t="s">
        <v>189</v>
      </c>
      <c r="D1300" s="278" t="s">
        <v>190</v>
      </c>
      <c r="E1300" s="509">
        <v>17.8202</v>
      </c>
      <c r="F1300" s="405">
        <f>IFERROR(E1300*'01 Prod Physique Boites'!H1295,"-")</f>
        <v>0</v>
      </c>
      <c r="G1300" s="406">
        <f>IFERROR(E1300*'01 Prod Physique Boites'!L1295,"-")</f>
        <v>0</v>
      </c>
      <c r="H1300" s="388">
        <v>0</v>
      </c>
      <c r="I1300" s="424">
        <f t="shared" si="800"/>
        <v>0</v>
      </c>
      <c r="J1300" s="425">
        <f t="shared" ref="J1300:J1302" si="802">IFERROR(H1300*(G1300/E1300),"-")</f>
        <v>0</v>
      </c>
    </row>
    <row r="1301" spans="1:10" ht="23.4" x14ac:dyDescent="0.3">
      <c r="A1301" s="277" t="s">
        <v>110</v>
      </c>
      <c r="B1301" s="957"/>
      <c r="C1301" s="278" t="s">
        <v>192</v>
      </c>
      <c r="D1301" s="278" t="s">
        <v>191</v>
      </c>
      <c r="E1301" s="509">
        <v>16.7288</v>
      </c>
      <c r="F1301" s="405">
        <f>IFERROR(E1301*'01 Prod Physique Boites'!H1296,"-")</f>
        <v>0</v>
      </c>
      <c r="G1301" s="406">
        <f>IFERROR(E1301*'01 Prod Physique Boites'!L1296,"-")</f>
        <v>0</v>
      </c>
      <c r="H1301" s="388">
        <v>0</v>
      </c>
      <c r="I1301" s="424">
        <f t="shared" si="800"/>
        <v>0</v>
      </c>
      <c r="J1301" s="425">
        <f t="shared" si="802"/>
        <v>0</v>
      </c>
    </row>
    <row r="1302" spans="1:10" ht="24" thickBot="1" x14ac:dyDescent="0.35">
      <c r="A1302" s="277" t="s">
        <v>110</v>
      </c>
      <c r="B1302" s="958"/>
      <c r="C1302" s="289" t="s">
        <v>193</v>
      </c>
      <c r="D1302" s="289" t="s">
        <v>114</v>
      </c>
      <c r="E1302" s="505">
        <v>17.8202</v>
      </c>
      <c r="F1302" s="405">
        <f>IFERROR(E1302*'01 Prod Physique Boites'!H1297,"-")</f>
        <v>0</v>
      </c>
      <c r="G1302" s="406">
        <f>IFERROR(E1302*'01 Prod Physique Boites'!L1297,"-")</f>
        <v>0</v>
      </c>
      <c r="H1302" s="388">
        <v>0</v>
      </c>
      <c r="I1302" s="426">
        <f t="shared" si="800"/>
        <v>0</v>
      </c>
      <c r="J1302" s="427">
        <f t="shared" si="802"/>
        <v>0</v>
      </c>
    </row>
    <row r="1303" spans="1:10" ht="24" thickBot="1" x14ac:dyDescent="0.35">
      <c r="A1303" s="277" t="s">
        <v>110</v>
      </c>
      <c r="B1303" s="967" t="s">
        <v>29</v>
      </c>
      <c r="C1303" s="968"/>
      <c r="D1303" s="969"/>
      <c r="E1303" s="660"/>
      <c r="F1303" s="661">
        <f t="shared" ref="F1303:G1303" si="803">SUM(F1296:F1302)</f>
        <v>0</v>
      </c>
      <c r="G1303" s="410">
        <f t="shared" si="803"/>
        <v>0</v>
      </c>
      <c r="H1303" s="394"/>
      <c r="I1303" s="409">
        <f t="shared" ref="I1303:J1303" si="804">SUM(I1296:I1302)</f>
        <v>0</v>
      </c>
      <c r="J1303" s="428">
        <f t="shared" si="804"/>
        <v>0</v>
      </c>
    </row>
    <row r="1304" spans="1:10" ht="24" thickBot="1" x14ac:dyDescent="0.35">
      <c r="A1304" s="277"/>
      <c r="B1304" s="985" t="s">
        <v>19</v>
      </c>
      <c r="C1304" s="662" t="s">
        <v>255</v>
      </c>
      <c r="D1304" s="668" t="s">
        <v>190</v>
      </c>
      <c r="E1304" s="669">
        <v>12.2659</v>
      </c>
      <c r="F1304" s="670">
        <f>IFERROR(E1304*'01 Prod Physique Boites'!H1299,"-")</f>
        <v>0</v>
      </c>
      <c r="G1304" s="671">
        <f>IFERROR(E1304*'01 Prod Physique Boites'!L1299,"-")</f>
        <v>0</v>
      </c>
      <c r="H1304" s="665">
        <v>14.79</v>
      </c>
      <c r="I1304" s="650">
        <f t="shared" ref="I1304:I1306" si="805">IFERROR(H1304*(F1304/E1304),"-")</f>
        <v>0</v>
      </c>
      <c r="J1304" s="650">
        <f>IFERROR(H1304*(G1304/E1304),"-")</f>
        <v>0</v>
      </c>
    </row>
    <row r="1305" spans="1:10" ht="24" thickBot="1" x14ac:dyDescent="0.35">
      <c r="A1305" s="277"/>
      <c r="B1305" s="986"/>
      <c r="C1305" s="663" t="s">
        <v>399</v>
      </c>
      <c r="D1305" s="672"/>
      <c r="E1305" s="654">
        <v>12.2659</v>
      </c>
      <c r="F1305" s="670">
        <f>IFERROR(E1305*'01 Prod Physique Boites'!H1300,"-")</f>
        <v>0</v>
      </c>
      <c r="G1305" s="645">
        <f>IFERROR(E1305*'01 Prod Physique Boites'!L1300,"-")</f>
        <v>239626.62239999999</v>
      </c>
      <c r="H1305" s="666">
        <v>14.55</v>
      </c>
      <c r="I1305" s="655">
        <f t="shared" si="805"/>
        <v>0</v>
      </c>
      <c r="J1305" s="655">
        <f>IFERROR(H1305*(G1305/E1305),"-")</f>
        <v>284248.8</v>
      </c>
    </row>
    <row r="1306" spans="1:10" ht="24" thickBot="1" x14ac:dyDescent="0.35">
      <c r="A1306" s="849" t="s">
        <v>110</v>
      </c>
      <c r="B1306" s="987"/>
      <c r="C1306" s="664" t="s">
        <v>380</v>
      </c>
      <c r="D1306" s="673"/>
      <c r="E1306" s="674">
        <v>0</v>
      </c>
      <c r="F1306" s="670">
        <f>IFERROR(E1306*'01 Prod Physique Boites'!H1301,"-")</f>
        <v>0</v>
      </c>
      <c r="G1306" s="676">
        <f>IFERROR(E1306*'01 Prod Physique Boites'!L1301,"-")</f>
        <v>0</v>
      </c>
      <c r="H1306" s="667">
        <v>0</v>
      </c>
      <c r="I1306" s="429" t="str">
        <f t="shared" si="805"/>
        <v>-</v>
      </c>
      <c r="J1306" s="430" t="str">
        <f t="shared" ref="J1306" si="806">IFERROR(I1306*(G1306/F1306),"-")</f>
        <v>-</v>
      </c>
    </row>
    <row r="1307" spans="1:10" ht="24" thickBot="1" x14ac:dyDescent="0.35">
      <c r="A1307" s="277" t="s">
        <v>110</v>
      </c>
      <c r="B1307" s="967" t="s">
        <v>49</v>
      </c>
      <c r="C1307" s="968"/>
      <c r="D1307" s="969"/>
      <c r="E1307" s="393"/>
      <c r="F1307" s="409">
        <f>SUM(F1304:F1306)</f>
        <v>0</v>
      </c>
      <c r="G1307" s="409">
        <f>SUM(G1304:G1306)</f>
        <v>239626.62239999999</v>
      </c>
      <c r="H1307" s="394"/>
      <c r="I1307" s="409">
        <f>SUM(I1304:I1306)</f>
        <v>0</v>
      </c>
      <c r="J1307" s="428">
        <f>SUM(J1304:J1306)</f>
        <v>284248.8</v>
      </c>
    </row>
    <row r="1308" spans="1:10" ht="23.4" x14ac:dyDescent="0.3">
      <c r="A1308" s="277" t="s">
        <v>110</v>
      </c>
      <c r="B1308" s="956" t="s">
        <v>20</v>
      </c>
      <c r="C1308" s="294" t="s">
        <v>351</v>
      </c>
      <c r="D1308" s="294" t="s">
        <v>313</v>
      </c>
      <c r="E1308" s="508">
        <v>26.032900000000001</v>
      </c>
      <c r="F1308" s="405">
        <f>IFERROR(E1308*'01 Prod Physique Boites'!H1303,"-")</f>
        <v>0</v>
      </c>
      <c r="G1308" s="406">
        <f>IFERROR(E1308*'01 Prod Physique Boites'!L1303,"-")</f>
        <v>0</v>
      </c>
      <c r="H1308" s="384">
        <v>36.44</v>
      </c>
      <c r="I1308" s="422">
        <f>IFERROR(H1308*(F1308/E1308),"-")</f>
        <v>0</v>
      </c>
      <c r="J1308" s="423">
        <f t="shared" ref="J1308:J1310" si="807">IFERROR(H1308*(G1308/E1308),"-")</f>
        <v>0</v>
      </c>
    </row>
    <row r="1309" spans="1:10" ht="23.4" x14ac:dyDescent="0.3">
      <c r="A1309" s="277" t="s">
        <v>110</v>
      </c>
      <c r="B1309" s="957"/>
      <c r="C1309" s="295" t="s">
        <v>121</v>
      </c>
      <c r="D1309" s="295"/>
      <c r="E1309" s="387">
        <v>24.2607</v>
      </c>
      <c r="F1309" s="405">
        <f>IFERROR(E1309*'01 Prod Physique Boites'!H1304,"-")</f>
        <v>0</v>
      </c>
      <c r="G1309" s="406">
        <f>IFERROR(E1309*'01 Prod Physique Boites'!L1304,"-")</f>
        <v>0</v>
      </c>
      <c r="H1309" s="388">
        <v>37.369999999999997</v>
      </c>
      <c r="I1309" s="424">
        <f>IFERROR(H1309*(F1309/E1309),"-")</f>
        <v>0</v>
      </c>
      <c r="J1309" s="425">
        <f t="shared" si="807"/>
        <v>0</v>
      </c>
    </row>
    <row r="1310" spans="1:10" ht="24" thickBot="1" x14ac:dyDescent="0.35">
      <c r="A1310" s="277" t="s">
        <v>110</v>
      </c>
      <c r="B1310" s="958"/>
      <c r="C1310" s="296" t="s">
        <v>127</v>
      </c>
      <c r="D1310" s="296"/>
      <c r="E1310" s="389">
        <v>26.035799999999998</v>
      </c>
      <c r="F1310" s="405">
        <f>IFERROR(E1310*'01 Prod Physique Boites'!H1305,"-")</f>
        <v>0</v>
      </c>
      <c r="G1310" s="406">
        <f>IFERROR(E1310*'01 Prod Physique Boites'!L1305,"-")</f>
        <v>0</v>
      </c>
      <c r="H1310" s="390">
        <v>37.11</v>
      </c>
      <c r="I1310" s="426">
        <f>IFERROR(H1310*(F1310/E1310),"-")</f>
        <v>0</v>
      </c>
      <c r="J1310" s="427">
        <f t="shared" si="807"/>
        <v>0</v>
      </c>
    </row>
    <row r="1311" spans="1:10" ht="24" thickBot="1" x14ac:dyDescent="0.35">
      <c r="A1311" s="277" t="s">
        <v>110</v>
      </c>
      <c r="B1311" s="968" t="s">
        <v>50</v>
      </c>
      <c r="C1311" s="968"/>
      <c r="D1311" s="989"/>
      <c r="E1311" s="393"/>
      <c r="F1311" s="409">
        <f t="shared" ref="F1311:G1311" si="808">SUM(F1308:F1310)</f>
        <v>0</v>
      </c>
      <c r="G1311" s="410">
        <f t="shared" si="808"/>
        <v>0</v>
      </c>
      <c r="H1311" s="394"/>
      <c r="I1311" s="409">
        <f t="shared" ref="I1311:J1311" si="809">SUM(I1308:I1310)</f>
        <v>0</v>
      </c>
      <c r="J1311" s="428">
        <f t="shared" si="809"/>
        <v>0</v>
      </c>
    </row>
    <row r="1312" spans="1:10" ht="24" thickBot="1" x14ac:dyDescent="0.35">
      <c r="A1312" s="277" t="s">
        <v>110</v>
      </c>
      <c r="B1312" s="981" t="s">
        <v>21</v>
      </c>
      <c r="C1312" s="982"/>
      <c r="D1312" s="983"/>
      <c r="E1312" s="396"/>
      <c r="F1312" s="413">
        <f>+F1287+F1295+F1303+F1307+F1311</f>
        <v>3265855.5027999999</v>
      </c>
      <c r="G1312" s="414">
        <f>+G1287+G1295+G1303+G1307+G1311</f>
        <v>30302920.327199999</v>
      </c>
      <c r="H1312" s="397"/>
      <c r="I1312" s="413">
        <f>+I1287+I1295+I1303+I1307+I1311</f>
        <v>3406248.5120000001</v>
      </c>
      <c r="J1312" s="431">
        <f>+J1287+J1295+J1303+J1307+J1311</f>
        <v>40919849.156000003</v>
      </c>
    </row>
    <row r="1313" spans="1:10" ht="23.4" x14ac:dyDescent="0.3">
      <c r="A1313" s="277" t="s">
        <v>110</v>
      </c>
      <c r="B1313" s="956" t="s">
        <v>481</v>
      </c>
      <c r="C1313" s="272" t="s">
        <v>132</v>
      </c>
      <c r="D1313" s="272"/>
      <c r="E1313" s="383">
        <v>22.820599999999999</v>
      </c>
      <c r="F1313" s="405">
        <f>IFERROR(E1313*'01 Prod Physique Boites'!H1308,"-")</f>
        <v>0</v>
      </c>
      <c r="G1313" s="406">
        <f>IFERROR(E1313*'01 Prod Physique Boites'!L1308,"-")</f>
        <v>0</v>
      </c>
      <c r="H1313" s="384">
        <v>27.5</v>
      </c>
      <c r="I1313" s="422">
        <f>IFERROR(H1313*(F1313/E1313),"-")</f>
        <v>0</v>
      </c>
      <c r="J1313" s="423">
        <f t="shared" ref="J1313:J1316" si="810">IFERROR(H1313*(G1313/E1313),"-")</f>
        <v>0</v>
      </c>
    </row>
    <row r="1314" spans="1:10" ht="23.4" x14ac:dyDescent="0.3">
      <c r="A1314" s="277" t="s">
        <v>110</v>
      </c>
      <c r="B1314" s="957"/>
      <c r="C1314" s="298" t="s">
        <v>283</v>
      </c>
      <c r="D1314" s="298" t="s">
        <v>194</v>
      </c>
      <c r="E1314" s="387">
        <v>23.570699999999999</v>
      </c>
      <c r="F1314" s="405">
        <f>IFERROR(E1314*'01 Prod Physique Boites'!H1309,"-")</f>
        <v>0</v>
      </c>
      <c r="G1314" s="406">
        <f>IFERROR(E1314*'01 Prod Physique Boites'!L1309,"-")</f>
        <v>0</v>
      </c>
      <c r="H1314" s="388">
        <v>27.5</v>
      </c>
      <c r="I1314" s="424">
        <f>IFERROR(H1314*(F1314/E1314),"-")</f>
        <v>0</v>
      </c>
      <c r="J1314" s="425">
        <f t="shared" si="810"/>
        <v>0</v>
      </c>
    </row>
    <row r="1315" spans="1:10" ht="23.4" x14ac:dyDescent="0.3">
      <c r="A1315" s="277" t="s">
        <v>110</v>
      </c>
      <c r="B1315" s="957"/>
      <c r="C1315" s="298" t="s">
        <v>405</v>
      </c>
      <c r="D1315" s="298" t="s">
        <v>194</v>
      </c>
      <c r="E1315" s="387">
        <v>22.820599999999999</v>
      </c>
      <c r="F1315" s="405">
        <f>IFERROR(E1315*'01 Prod Physique Boites'!H1310,"-")</f>
        <v>90369.576000000001</v>
      </c>
      <c r="G1315" s="406">
        <f>IFERROR(E1315*'01 Prod Physique Boites'!L1310,"-")</f>
        <v>8042892.2639999995</v>
      </c>
      <c r="H1315" s="388">
        <v>27.5</v>
      </c>
      <c r="I1315" s="424">
        <f>IFERROR(H1315*(F1315/E1315),"-")</f>
        <v>108900.00000000001</v>
      </c>
      <c r="J1315" s="425">
        <f t="shared" si="810"/>
        <v>9692100</v>
      </c>
    </row>
    <row r="1316" spans="1:10" ht="24" thickBot="1" x14ac:dyDescent="0.35">
      <c r="A1316" s="277" t="s">
        <v>110</v>
      </c>
      <c r="B1316" s="958"/>
      <c r="C1316" s="282" t="s">
        <v>195</v>
      </c>
      <c r="D1316" s="282" t="s">
        <v>100</v>
      </c>
      <c r="E1316" s="389">
        <v>23.5685</v>
      </c>
      <c r="F1316" s="405">
        <f>IFERROR(E1316*'01 Prod Physique Boites'!H1311,"-")</f>
        <v>0</v>
      </c>
      <c r="G1316" s="406">
        <f>IFERROR(E1316*'01 Prod Physique Boites'!L1311,"-")</f>
        <v>0</v>
      </c>
      <c r="H1316" s="390">
        <v>24</v>
      </c>
      <c r="I1316" s="426">
        <f>IFERROR(H1316*(F1316/E1316),"-")</f>
        <v>0</v>
      </c>
      <c r="J1316" s="427">
        <f t="shared" si="810"/>
        <v>0</v>
      </c>
    </row>
    <row r="1317" spans="1:10" ht="24" thickBot="1" x14ac:dyDescent="0.35">
      <c r="A1317" s="277" t="s">
        <v>110</v>
      </c>
      <c r="B1317" s="967" t="s">
        <v>51</v>
      </c>
      <c r="C1317" s="968"/>
      <c r="D1317" s="969"/>
      <c r="E1317" s="393"/>
      <c r="F1317" s="409">
        <f t="shared" ref="F1317:G1317" si="811">SUM(F1313:F1316)</f>
        <v>90369.576000000001</v>
      </c>
      <c r="G1317" s="410">
        <f t="shared" si="811"/>
        <v>8042892.2639999995</v>
      </c>
      <c r="H1317" s="394"/>
      <c r="I1317" s="409">
        <f t="shared" ref="I1317:J1317" si="812">SUM(I1313:I1316)</f>
        <v>108900.00000000001</v>
      </c>
      <c r="J1317" s="428">
        <f t="shared" si="812"/>
        <v>9692100</v>
      </c>
    </row>
    <row r="1318" spans="1:10" ht="23.4" x14ac:dyDescent="0.3">
      <c r="A1318" s="277" t="s">
        <v>110</v>
      </c>
      <c r="B1318" s="956" t="s">
        <v>23</v>
      </c>
      <c r="C1318" s="299" t="s">
        <v>337</v>
      </c>
      <c r="D1318" s="299" t="s">
        <v>258</v>
      </c>
      <c r="E1318" s="383">
        <v>101.4935</v>
      </c>
      <c r="F1318" s="405">
        <f>IFERROR(E1318*'01 Prod Physique Boites'!H1313,"-")</f>
        <v>0</v>
      </c>
      <c r="G1318" s="406">
        <f>IFERROR(E1318*'01 Prod Physique Boites'!L1313,"-")</f>
        <v>0</v>
      </c>
      <c r="H1318" s="388">
        <v>160.44999999999999</v>
      </c>
      <c r="I1318" s="422">
        <f t="shared" ref="I1318:I1325" si="813">IFERROR(H1318*(F1318/E1318),"-")</f>
        <v>0</v>
      </c>
      <c r="J1318" s="423">
        <f t="shared" ref="J1318:J1325" si="814">IFERROR(H1318*(G1318/E1318),"-")</f>
        <v>0</v>
      </c>
    </row>
    <row r="1319" spans="1:10" ht="23.4" x14ac:dyDescent="0.3">
      <c r="A1319" s="277" t="s">
        <v>110</v>
      </c>
      <c r="B1319" s="957"/>
      <c r="C1319" s="278" t="s">
        <v>24</v>
      </c>
      <c r="D1319" s="278" t="s">
        <v>258</v>
      </c>
      <c r="E1319" s="387">
        <v>101.4935</v>
      </c>
      <c r="F1319" s="405">
        <f>IFERROR(E1319*'01 Prod Physique Boites'!H1314,"-")</f>
        <v>0</v>
      </c>
      <c r="G1319" s="406">
        <f>IFERROR(E1319*'01 Prod Physique Boites'!L1314,"-")</f>
        <v>0</v>
      </c>
      <c r="H1319" s="388">
        <v>160.44999999999999</v>
      </c>
      <c r="I1319" s="424">
        <f t="shared" si="813"/>
        <v>0</v>
      </c>
      <c r="J1319" s="425">
        <f t="shared" si="814"/>
        <v>0</v>
      </c>
    </row>
    <row r="1320" spans="1:10" ht="23.4" x14ac:dyDescent="0.3">
      <c r="A1320" s="277" t="s">
        <v>110</v>
      </c>
      <c r="B1320" s="957"/>
      <c r="C1320" s="278" t="s">
        <v>256</v>
      </c>
      <c r="D1320" s="278" t="s">
        <v>258</v>
      </c>
      <c r="E1320" s="387">
        <v>101.4935</v>
      </c>
      <c r="F1320" s="405">
        <f>IFERROR(E1320*'01 Prod Physique Boites'!H1315,"-")</f>
        <v>385167.83250000002</v>
      </c>
      <c r="G1320" s="406">
        <f>IFERROR(E1320*'01 Prod Physique Boites'!L1315,"-")</f>
        <v>1983690.4575</v>
      </c>
      <c r="H1320" s="388">
        <v>160.44999999999999</v>
      </c>
      <c r="I1320" s="424">
        <f t="shared" si="813"/>
        <v>608907.75</v>
      </c>
      <c r="J1320" s="425">
        <f t="shared" si="814"/>
        <v>3135995.25</v>
      </c>
    </row>
    <row r="1321" spans="1:10" ht="23.4" x14ac:dyDescent="0.3">
      <c r="A1321" s="277" t="s">
        <v>110</v>
      </c>
      <c r="B1321" s="957"/>
      <c r="C1321" s="278" t="s">
        <v>257</v>
      </c>
      <c r="D1321" s="278" t="s">
        <v>258</v>
      </c>
      <c r="E1321" s="387">
        <v>101.4935</v>
      </c>
      <c r="F1321" s="405">
        <f>IFERROR(E1321*'01 Prod Physique Boites'!H1316,"-")</f>
        <v>177613.625</v>
      </c>
      <c r="G1321" s="406">
        <f>IFERROR(E1321*'01 Prod Physique Boites'!L1316,"-")</f>
        <v>177613.625</v>
      </c>
      <c r="H1321" s="388">
        <v>160.44999999999999</v>
      </c>
      <c r="I1321" s="424">
        <f t="shared" si="813"/>
        <v>280787.5</v>
      </c>
      <c r="J1321" s="425">
        <f t="shared" si="814"/>
        <v>280787.5</v>
      </c>
    </row>
    <row r="1322" spans="1:10" ht="23.4" x14ac:dyDescent="0.3">
      <c r="A1322" s="277" t="s">
        <v>110</v>
      </c>
      <c r="B1322" s="957"/>
      <c r="C1322" s="298" t="s">
        <v>259</v>
      </c>
      <c r="D1322" s="278" t="s">
        <v>258</v>
      </c>
      <c r="E1322" s="387">
        <v>101.4935</v>
      </c>
      <c r="F1322" s="405">
        <f>IFERROR(E1322*'01 Prod Physique Boites'!H1317,"-")</f>
        <v>0</v>
      </c>
      <c r="G1322" s="406">
        <f>IFERROR(E1322*'01 Prod Physique Boites'!L1317,"-")</f>
        <v>1249080.5045</v>
      </c>
      <c r="H1322" s="388">
        <v>160.44999999999999</v>
      </c>
      <c r="I1322" s="424">
        <f t="shared" si="813"/>
        <v>0</v>
      </c>
      <c r="J1322" s="425">
        <f t="shared" si="814"/>
        <v>1974658.15</v>
      </c>
    </row>
    <row r="1323" spans="1:10" ht="23.4" x14ac:dyDescent="0.3">
      <c r="A1323" s="277" t="s">
        <v>110</v>
      </c>
      <c r="B1323" s="957"/>
      <c r="C1323" s="298" t="s">
        <v>260</v>
      </c>
      <c r="D1323" s="278" t="s">
        <v>258</v>
      </c>
      <c r="E1323" s="387">
        <v>101.4935</v>
      </c>
      <c r="F1323" s="405">
        <f>IFERROR(E1323*'01 Prod Physique Boites'!H1318,"-")</f>
        <v>0</v>
      </c>
      <c r="G1323" s="406">
        <f>IFERROR(E1323*'01 Prod Physique Boites'!L1318,"-")</f>
        <v>2708049.5669999998</v>
      </c>
      <c r="H1323" s="388">
        <v>160.44999999999999</v>
      </c>
      <c r="I1323" s="424">
        <f t="shared" si="813"/>
        <v>0</v>
      </c>
      <c r="J1323" s="425">
        <f t="shared" si="814"/>
        <v>4281126.8999999994</v>
      </c>
    </row>
    <row r="1324" spans="1:10" ht="23.4" x14ac:dyDescent="0.3">
      <c r="A1324" s="277" t="s">
        <v>110</v>
      </c>
      <c r="B1324" s="957"/>
      <c r="C1324" s="298" t="s">
        <v>261</v>
      </c>
      <c r="D1324" s="278" t="s">
        <v>263</v>
      </c>
      <c r="E1324" s="387">
        <v>101.4935</v>
      </c>
      <c r="F1324" s="405">
        <f>IFERROR(E1324*'01 Prod Physique Boites'!H1319,"-")</f>
        <v>0</v>
      </c>
      <c r="G1324" s="406">
        <f>IFERROR(E1324*'01 Prod Physique Boites'!L1319,"-")</f>
        <v>2384082.3149999999</v>
      </c>
      <c r="H1324" s="388">
        <v>160.44999999999999</v>
      </c>
      <c r="I1324" s="424">
        <f t="shared" si="813"/>
        <v>0</v>
      </c>
      <c r="J1324" s="425">
        <f t="shared" si="814"/>
        <v>3768970.4999999995</v>
      </c>
    </row>
    <row r="1325" spans="1:10" ht="24" thickBot="1" x14ac:dyDescent="0.35">
      <c r="A1325" s="277" t="s">
        <v>110</v>
      </c>
      <c r="B1325" s="958"/>
      <c r="C1325" s="298" t="s">
        <v>262</v>
      </c>
      <c r="D1325" s="278" t="s">
        <v>258</v>
      </c>
      <c r="E1325" s="389">
        <v>101.4935</v>
      </c>
      <c r="F1325" s="405">
        <f>IFERROR(E1325*'01 Prod Physique Boites'!H1320,"-")</f>
        <v>38060.0625</v>
      </c>
      <c r="G1325" s="406">
        <f>IFERROR(E1325*'01 Prod Physique Boites'!L1320,"-")</f>
        <v>2917938.125</v>
      </c>
      <c r="H1325" s="388">
        <v>160.44999999999999</v>
      </c>
      <c r="I1325" s="426">
        <f t="shared" si="813"/>
        <v>60168.749999999993</v>
      </c>
      <c r="J1325" s="427">
        <f t="shared" si="814"/>
        <v>4612937.5</v>
      </c>
    </row>
    <row r="1326" spans="1:10" ht="24" thickBot="1" x14ac:dyDescent="0.35">
      <c r="A1326" s="277" t="s">
        <v>110</v>
      </c>
      <c r="B1326" s="967" t="s">
        <v>52</v>
      </c>
      <c r="C1326" s="968"/>
      <c r="D1326" s="969"/>
      <c r="E1326" s="393"/>
      <c r="F1326" s="409">
        <f t="shared" ref="F1326" si="815">SUM(F1318:F1325)</f>
        <v>600841.52</v>
      </c>
      <c r="G1326" s="410">
        <f>SUM(G1318:G1325)</f>
        <v>11420454.594000001</v>
      </c>
      <c r="H1326" s="394"/>
      <c r="I1326" s="409">
        <f t="shared" ref="I1326" si="816">SUM(I1318:I1325)</f>
        <v>949864</v>
      </c>
      <c r="J1326" s="428">
        <f>SUM(J1318:J1325)</f>
        <v>18054475.800000001</v>
      </c>
    </row>
    <row r="1327" spans="1:10" ht="24" thickBot="1" x14ac:dyDescent="0.35">
      <c r="A1327" s="277" t="s">
        <v>110</v>
      </c>
      <c r="B1327" s="981" t="s">
        <v>25</v>
      </c>
      <c r="C1327" s="982"/>
      <c r="D1327" s="983"/>
      <c r="E1327" s="396"/>
      <c r="F1327" s="413">
        <f t="shared" ref="F1327" si="817">+F1317+F1326</f>
        <v>691211.09600000002</v>
      </c>
      <c r="G1327" s="414">
        <f>+G1317+G1326</f>
        <v>19463346.857999999</v>
      </c>
      <c r="H1327" s="397"/>
      <c r="I1327" s="413">
        <f t="shared" ref="I1327:J1327" si="818">+I1317+I1326</f>
        <v>1058764</v>
      </c>
      <c r="J1327" s="431">
        <f t="shared" si="818"/>
        <v>27746575.800000001</v>
      </c>
    </row>
    <row r="1328" spans="1:10" ht="24" thickBot="1" x14ac:dyDescent="0.35">
      <c r="A1328" s="277" t="s">
        <v>110</v>
      </c>
      <c r="B1328" s="984" t="s">
        <v>180</v>
      </c>
      <c r="C1328" s="962"/>
      <c r="D1328" s="963"/>
      <c r="E1328" s="398"/>
      <c r="F1328" s="415">
        <f t="shared" ref="F1328" si="819">+F1312+F1327</f>
        <v>3957066.5987999998</v>
      </c>
      <c r="G1328" s="416">
        <f>+G1312+G1327</f>
        <v>49766267.185199998</v>
      </c>
      <c r="H1328" s="399"/>
      <c r="I1328" s="415">
        <f t="shared" ref="I1328:J1328" si="820">+I1312+I1327</f>
        <v>4465012.5120000001</v>
      </c>
      <c r="J1328" s="432">
        <f t="shared" si="820"/>
        <v>68666424.956</v>
      </c>
    </row>
    <row r="1329" spans="1:10" ht="23.4" x14ac:dyDescent="0.3">
      <c r="A1329" s="271" t="s">
        <v>108</v>
      </c>
      <c r="B1329" s="977" t="s">
        <v>26</v>
      </c>
      <c r="C1329" s="300" t="s">
        <v>323</v>
      </c>
      <c r="D1329" s="302" t="s">
        <v>190</v>
      </c>
      <c r="E1329" s="508">
        <v>13.1272</v>
      </c>
      <c r="F1329" s="405">
        <f>IFERROR(E1329*'01 Prod Physique Boites'!H1324,"-")</f>
        <v>0</v>
      </c>
      <c r="G1329" s="406">
        <f>IFERROR(E1329*'01 Prod Physique Boites'!L1324,"-")</f>
        <v>0</v>
      </c>
      <c r="H1329" s="384">
        <v>20.76</v>
      </c>
      <c r="I1329" s="422">
        <f t="shared" ref="I1329:I1337" si="821">IFERROR(H1329*(F1329/E1329),"-")</f>
        <v>0</v>
      </c>
      <c r="J1329" s="644">
        <f t="shared" ref="J1329:J1337" si="822">IFERROR(H1329*(G1329/E1329),"-")</f>
        <v>0</v>
      </c>
    </row>
    <row r="1330" spans="1:10" ht="23.4" x14ac:dyDescent="0.3">
      <c r="A1330" s="277" t="s">
        <v>108</v>
      </c>
      <c r="B1330" s="977"/>
      <c r="C1330" s="301" t="s">
        <v>508</v>
      </c>
      <c r="D1330" s="301" t="s">
        <v>507</v>
      </c>
      <c r="E1330" s="509">
        <v>16.7288</v>
      </c>
      <c r="F1330" s="405">
        <f>IFERROR(E1330*'01 Prod Physique Boites'!H1325,"-")</f>
        <v>0</v>
      </c>
      <c r="G1330" s="406">
        <f>IFERROR(E1330*'01 Prod Physique Boites'!L1325,"-")</f>
        <v>2262603.6576</v>
      </c>
      <c r="H1330" s="388">
        <v>20.76</v>
      </c>
      <c r="I1330" s="424">
        <f t="shared" si="821"/>
        <v>0</v>
      </c>
      <c r="J1330" s="645">
        <f t="shared" si="822"/>
        <v>2807831.52</v>
      </c>
    </row>
    <row r="1331" spans="1:10" ht="23.4" x14ac:dyDescent="0.3">
      <c r="A1331" s="277" t="s">
        <v>108</v>
      </c>
      <c r="B1331" s="977"/>
      <c r="C1331" s="302" t="s">
        <v>27</v>
      </c>
      <c r="D1331" s="302" t="s">
        <v>370</v>
      </c>
      <c r="E1331" s="505">
        <v>17.8202</v>
      </c>
      <c r="F1331" s="405">
        <f>IFERROR(E1331*'01 Prod Physique Boites'!H1326,"-")</f>
        <v>0</v>
      </c>
      <c r="G1331" s="406">
        <f>IFERROR(E1331*'01 Prod Physique Boites'!L1326,"-")</f>
        <v>212666.26680000001</v>
      </c>
      <c r="H1331" s="388">
        <v>21.22</v>
      </c>
      <c r="I1331" s="424">
        <f t="shared" si="821"/>
        <v>0</v>
      </c>
      <c r="J1331" s="645">
        <f t="shared" si="822"/>
        <v>253239.47999999998</v>
      </c>
    </row>
    <row r="1332" spans="1:10" ht="23.4" x14ac:dyDescent="0.3">
      <c r="A1332" s="277" t="s">
        <v>108</v>
      </c>
      <c r="B1332" s="977"/>
      <c r="C1332" s="302" t="s">
        <v>27</v>
      </c>
      <c r="D1332" s="302" t="s">
        <v>254</v>
      </c>
      <c r="E1332" s="505">
        <v>17.8202</v>
      </c>
      <c r="F1332" s="405">
        <f>IFERROR(E1332*'01 Prod Physique Boites'!H1327,"-")</f>
        <v>0</v>
      </c>
      <c r="G1332" s="406">
        <f>IFERROR(E1332*'01 Prod Physique Boites'!L1327,"-")</f>
        <v>567110.04480000003</v>
      </c>
      <c r="H1332" s="388">
        <v>24.93</v>
      </c>
      <c r="I1332" s="424">
        <f t="shared" si="821"/>
        <v>0</v>
      </c>
      <c r="J1332" s="645">
        <f t="shared" si="822"/>
        <v>793372.32000000007</v>
      </c>
    </row>
    <row r="1333" spans="1:10" ht="23.4" x14ac:dyDescent="0.3">
      <c r="A1333" s="277" t="s">
        <v>108</v>
      </c>
      <c r="B1333" s="977"/>
      <c r="C1333" s="302" t="s">
        <v>27</v>
      </c>
      <c r="D1333" s="302" t="s">
        <v>302</v>
      </c>
      <c r="E1333" s="505">
        <v>17.8202</v>
      </c>
      <c r="F1333" s="405">
        <f>IFERROR(E1333*'01 Prod Physique Boites'!H1328,"-")</f>
        <v>0</v>
      </c>
      <c r="G1333" s="406">
        <f>IFERROR(E1333*'01 Prod Physique Boites'!L1328,"-")</f>
        <v>0</v>
      </c>
      <c r="H1333" s="388">
        <v>24.93</v>
      </c>
      <c r="I1333" s="424">
        <f t="shared" si="821"/>
        <v>0</v>
      </c>
      <c r="J1333" s="645">
        <f t="shared" si="822"/>
        <v>0</v>
      </c>
    </row>
    <row r="1334" spans="1:10" ht="23.4" x14ac:dyDescent="0.3">
      <c r="A1334" s="277"/>
      <c r="B1334" s="977"/>
      <c r="C1334" s="302" t="s">
        <v>369</v>
      </c>
      <c r="D1334" s="302" t="s">
        <v>190</v>
      </c>
      <c r="E1334" s="505">
        <v>17.8202</v>
      </c>
      <c r="F1334" s="405">
        <f>IFERROR(E1334*'01 Prod Physique Boites'!H1329,"-")</f>
        <v>0</v>
      </c>
      <c r="G1334" s="406">
        <f>IFERROR(E1334*'01 Prod Physique Boites'!L1329,"-")</f>
        <v>0</v>
      </c>
      <c r="H1334" s="390">
        <v>21.22</v>
      </c>
      <c r="I1334" s="424">
        <f t="shared" si="821"/>
        <v>0</v>
      </c>
      <c r="J1334" s="646">
        <f t="shared" si="822"/>
        <v>0</v>
      </c>
    </row>
    <row r="1335" spans="1:10" ht="23.4" x14ac:dyDescent="0.3">
      <c r="A1335" s="277"/>
      <c r="B1335" s="977"/>
      <c r="C1335" s="302" t="s">
        <v>314</v>
      </c>
      <c r="D1335" s="302" t="s">
        <v>101</v>
      </c>
      <c r="E1335" s="505">
        <v>14.608000000000001</v>
      </c>
      <c r="F1335" s="405">
        <f>IFERROR(E1335*'01 Prod Physique Boites'!H1330,"-")</f>
        <v>0</v>
      </c>
      <c r="G1335" s="406">
        <f>IFERROR(E1335*'01 Prod Physique Boites'!L1330,"-")</f>
        <v>0</v>
      </c>
      <c r="H1335" s="390">
        <v>24.93</v>
      </c>
      <c r="I1335" s="426">
        <f t="shared" si="821"/>
        <v>0</v>
      </c>
      <c r="J1335" s="646">
        <f t="shared" si="822"/>
        <v>0</v>
      </c>
    </row>
    <row r="1336" spans="1:10" ht="23.4" x14ac:dyDescent="0.3">
      <c r="A1336" s="277"/>
      <c r="B1336" s="977"/>
      <c r="C1336" s="302" t="s">
        <v>453</v>
      </c>
      <c r="D1336" s="302" t="s">
        <v>454</v>
      </c>
      <c r="E1336" s="773">
        <v>16.345199999999998</v>
      </c>
      <c r="F1336" s="405">
        <f>IFERROR(E1336*'01 Prod Physique Boites'!H1331,"-")</f>
        <v>0</v>
      </c>
      <c r="G1336" s="406">
        <f>IFERROR(E1336*'01 Prod Physique Boites'!L1331,"-")</f>
        <v>585190.8504</v>
      </c>
      <c r="H1336" s="390">
        <v>23.78</v>
      </c>
      <c r="I1336" s="426">
        <f t="shared" si="821"/>
        <v>0</v>
      </c>
      <c r="J1336" s="646">
        <f t="shared" si="822"/>
        <v>851371.56</v>
      </c>
    </row>
    <row r="1337" spans="1:10" ht="24" thickBot="1" x14ac:dyDescent="0.35">
      <c r="A1337" s="277" t="s">
        <v>108</v>
      </c>
      <c r="B1337" s="977"/>
      <c r="C1337" s="303" t="s">
        <v>315</v>
      </c>
      <c r="D1337" s="302" t="s">
        <v>313</v>
      </c>
      <c r="E1337" s="505">
        <v>12.6997</v>
      </c>
      <c r="F1337" s="405">
        <f>IFERROR(E1337*'01 Prod Physique Boites'!H1332,"-")</f>
        <v>0</v>
      </c>
      <c r="G1337" s="406">
        <f>IFERROR(E1337*'01 Prod Physique Boites'!L1332,"-")</f>
        <v>151558.21979999999</v>
      </c>
      <c r="H1337" s="390">
        <v>13.25</v>
      </c>
      <c r="I1337" s="426">
        <f t="shared" si="821"/>
        <v>0</v>
      </c>
      <c r="J1337" s="646">
        <f t="shared" si="822"/>
        <v>158125.5</v>
      </c>
    </row>
    <row r="1338" spans="1:10" ht="24" thickBot="1" x14ac:dyDescent="0.35">
      <c r="A1338" s="277" t="s">
        <v>108</v>
      </c>
      <c r="B1338" s="990"/>
      <c r="C1338" s="304"/>
      <c r="D1338" s="305" t="s">
        <v>55</v>
      </c>
      <c r="E1338" s="393"/>
      <c r="F1338" s="409">
        <f>SUM(F1329:F1337)</f>
        <v>0</v>
      </c>
      <c r="G1338" s="410">
        <f t="shared" ref="G1338" si="823">SUM(G1329:G1337)</f>
        <v>3779129.0394000001</v>
      </c>
      <c r="H1338" s="394"/>
      <c r="I1338" s="409">
        <f t="shared" ref="I1338" si="824">SUM(I1329:I1337)</f>
        <v>0</v>
      </c>
      <c r="J1338" s="428">
        <f>SUM(J1329:J1337)</f>
        <v>4863940.3800000008</v>
      </c>
    </row>
    <row r="1339" spans="1:10" ht="23.4" x14ac:dyDescent="0.3">
      <c r="A1339" s="277" t="s">
        <v>108</v>
      </c>
      <c r="B1339" s="976" t="s">
        <v>28</v>
      </c>
      <c r="C1339" s="302" t="s">
        <v>27</v>
      </c>
      <c r="D1339" s="300" t="s">
        <v>302</v>
      </c>
      <c r="E1339" s="508">
        <v>17.8202</v>
      </c>
      <c r="F1339" s="405">
        <f>IFERROR(E1339*'01 Prod Physique Boites'!H1334,"-")</f>
        <v>0</v>
      </c>
      <c r="G1339" s="406">
        <f>IFERROR(E1339*'01 Prod Physique Boites'!L1334,"-")</f>
        <v>354443.77799999999</v>
      </c>
      <c r="H1339" s="384">
        <v>24.93</v>
      </c>
      <c r="I1339" s="422">
        <f>IFERROR(H1339*(F1339/E1339),"-")</f>
        <v>0</v>
      </c>
      <c r="J1339" s="644">
        <f t="shared" ref="J1339:J1343" si="825">IFERROR(H1339*(G1339/E1339),"-")</f>
        <v>495857.7</v>
      </c>
    </row>
    <row r="1340" spans="1:10" ht="23.4" x14ac:dyDescent="0.3">
      <c r="A1340" s="277" t="s">
        <v>108</v>
      </c>
      <c r="B1340" s="977"/>
      <c r="C1340" s="302" t="s">
        <v>456</v>
      </c>
      <c r="D1340" s="302" t="s">
        <v>370</v>
      </c>
      <c r="E1340" s="773">
        <v>16.7288</v>
      </c>
      <c r="F1340" s="405">
        <f>IFERROR(E1340*'01 Prod Physique Boites'!H1335,"-")</f>
        <v>1663679.16</v>
      </c>
      <c r="G1340" s="406">
        <f>IFERROR(E1340*'01 Prod Physique Boites'!L1335,"-")</f>
        <v>11906823.7728</v>
      </c>
      <c r="H1340" s="770">
        <v>20.76</v>
      </c>
      <c r="I1340" s="424">
        <f>IFERROR(H1340*(F1340/E1340),"-")</f>
        <v>2064582.0000000002</v>
      </c>
      <c r="J1340" s="645">
        <f t="shared" si="825"/>
        <v>14776054.560000001</v>
      </c>
    </row>
    <row r="1341" spans="1:10" ht="23.4" x14ac:dyDescent="0.3">
      <c r="A1341" s="277" t="s">
        <v>108</v>
      </c>
      <c r="B1341" s="977"/>
      <c r="C1341" s="302" t="s">
        <v>455</v>
      </c>
      <c r="D1341" s="302" t="s">
        <v>370</v>
      </c>
      <c r="E1341" s="505">
        <v>17.8202</v>
      </c>
      <c r="F1341" s="405">
        <f>IFERROR(E1341*'01 Prod Physique Boites'!H1336,"-")</f>
        <v>0</v>
      </c>
      <c r="G1341" s="406">
        <f>IFERROR(E1341*'01 Prod Physique Boites'!L1336,"-")</f>
        <v>1134220.0896000001</v>
      </c>
      <c r="H1341" s="388">
        <v>21.22</v>
      </c>
      <c r="I1341" s="424">
        <f>IFERROR(H1341*(F1341/E1341),"-")</f>
        <v>0</v>
      </c>
      <c r="J1341" s="645">
        <f t="shared" si="825"/>
        <v>1350610.56</v>
      </c>
    </row>
    <row r="1342" spans="1:10" ht="23.4" x14ac:dyDescent="0.3">
      <c r="A1342" s="277"/>
      <c r="B1342" s="977"/>
      <c r="C1342" s="302" t="s">
        <v>453</v>
      </c>
      <c r="D1342" s="302" t="s">
        <v>454</v>
      </c>
      <c r="E1342" s="773">
        <v>16.345199999999998</v>
      </c>
      <c r="F1342" s="405">
        <f>IFERROR(E1342*'01 Prod Physique Boites'!H1337,"-")</f>
        <v>0</v>
      </c>
      <c r="G1342" s="406">
        <f>IFERROR(E1342*'01 Prod Physique Boites'!L1337,"-")</f>
        <v>4031314.7471999996</v>
      </c>
      <c r="H1342" s="388">
        <v>23.78</v>
      </c>
      <c r="I1342" s="426">
        <f>IFERROR(H1342*(F1342/E1342),"-")</f>
        <v>0</v>
      </c>
      <c r="J1342" s="646">
        <f t="shared" si="825"/>
        <v>5865004.0800000001</v>
      </c>
    </row>
    <row r="1343" spans="1:10" ht="24" thickBot="1" x14ac:dyDescent="0.35">
      <c r="A1343" s="277" t="s">
        <v>108</v>
      </c>
      <c r="B1343" s="977"/>
      <c r="C1343" s="302" t="s">
        <v>27</v>
      </c>
      <c r="D1343" s="303" t="s">
        <v>254</v>
      </c>
      <c r="E1343" s="505">
        <v>17.8202</v>
      </c>
      <c r="F1343" s="405">
        <f>IFERROR(E1343*'01 Prod Physique Boites'!H1338,"-")</f>
        <v>0</v>
      </c>
      <c r="G1343" s="406">
        <f>IFERROR(E1343*'01 Prod Physique Boites'!L1338,"-")</f>
        <v>13468863.563999999</v>
      </c>
      <c r="H1343" s="388">
        <v>24.93</v>
      </c>
      <c r="I1343" s="426">
        <f>IFERROR(H1343*(F1343/E1343),"-")</f>
        <v>0</v>
      </c>
      <c r="J1343" s="646">
        <f t="shared" si="825"/>
        <v>18842592.600000001</v>
      </c>
    </row>
    <row r="1344" spans="1:10" ht="24" thickBot="1" x14ac:dyDescent="0.35">
      <c r="A1344" s="277" t="s">
        <v>108</v>
      </c>
      <c r="B1344" s="977"/>
      <c r="C1344" s="307"/>
      <c r="D1344" s="308" t="s">
        <v>55</v>
      </c>
      <c r="E1344" s="400"/>
      <c r="F1344" s="417">
        <f t="shared" ref="F1344:G1344" si="826">SUM(F1339:F1343)</f>
        <v>1663679.16</v>
      </c>
      <c r="G1344" s="418">
        <f t="shared" si="826"/>
        <v>30895665.9516</v>
      </c>
      <c r="H1344" s="401"/>
      <c r="I1344" s="417">
        <f t="shared" ref="I1344:J1344" si="827">SUM(I1339:I1343)</f>
        <v>2064582.0000000002</v>
      </c>
      <c r="J1344" s="433">
        <f t="shared" si="827"/>
        <v>41330119.5</v>
      </c>
    </row>
    <row r="1345" spans="1:10" ht="24" thickBot="1" x14ac:dyDescent="0.35">
      <c r="A1345" s="849" t="s">
        <v>108</v>
      </c>
      <c r="B1345" s="978" t="s">
        <v>170</v>
      </c>
      <c r="C1345" s="979"/>
      <c r="D1345" s="980"/>
      <c r="E1345" s="402"/>
      <c r="F1345" s="419">
        <f t="shared" ref="F1345:G1345" si="828">+F1338+F1344</f>
        <v>1663679.16</v>
      </c>
      <c r="G1345" s="420">
        <f t="shared" si="828"/>
        <v>34674794.990999997</v>
      </c>
      <c r="H1345" s="403"/>
      <c r="I1345" s="419">
        <f t="shared" ref="I1345:J1345" si="829">+I1338+I1344</f>
        <v>2064582.0000000002</v>
      </c>
      <c r="J1345" s="434">
        <f t="shared" si="829"/>
        <v>46194059.880000003</v>
      </c>
    </row>
    <row r="1346" spans="1:10" ht="23.4" x14ac:dyDescent="0.3">
      <c r="A1346" s="277" t="s">
        <v>108</v>
      </c>
      <c r="B1346" s="977" t="s">
        <v>30</v>
      </c>
      <c r="C1346" s="306" t="s">
        <v>356</v>
      </c>
      <c r="D1346" s="300" t="s">
        <v>191</v>
      </c>
      <c r="E1346" s="508">
        <v>15.2788</v>
      </c>
      <c r="F1346" s="405">
        <f>IFERROR(E1346*'01 Prod Physique Boites'!H1341,"-")</f>
        <v>0</v>
      </c>
      <c r="G1346" s="406">
        <f>IFERROR(E1346*'01 Prod Physique Boites'!L1341,"-")</f>
        <v>0</v>
      </c>
      <c r="H1346" s="384">
        <v>23.65</v>
      </c>
      <c r="I1346" s="422">
        <f>IFERROR(H1346*(F1346/E1346),"-")</f>
        <v>0</v>
      </c>
      <c r="J1346" s="423">
        <f t="shared" ref="J1346:J1348" si="830">IFERROR(H1346*(G1346/E1346),"-")</f>
        <v>0</v>
      </c>
    </row>
    <row r="1347" spans="1:10" ht="23.4" x14ac:dyDescent="0.3">
      <c r="A1347" s="277" t="s">
        <v>108</v>
      </c>
      <c r="B1347" s="977"/>
      <c r="C1347" s="303" t="s">
        <v>316</v>
      </c>
      <c r="D1347" s="306" t="s">
        <v>454</v>
      </c>
      <c r="E1347" s="727">
        <v>25.751300000000001</v>
      </c>
      <c r="F1347" s="405">
        <f>IFERROR(E1347*'01 Prod Physique Boites'!H1342,"-")</f>
        <v>915922.23840000003</v>
      </c>
      <c r="G1347" s="406">
        <f>IFERROR(E1347*'01 Prod Physique Boites'!L1342,"-")</f>
        <v>915922.23840000003</v>
      </c>
      <c r="H1347" s="770">
        <v>37.89</v>
      </c>
      <c r="I1347" s="424">
        <f>IFERROR(H1347*(F1347/E1347),"-")</f>
        <v>1347671.52</v>
      </c>
      <c r="J1347" s="425">
        <f t="shared" si="830"/>
        <v>1347671.52</v>
      </c>
    </row>
    <row r="1348" spans="1:10" ht="24" thickBot="1" x14ac:dyDescent="0.35">
      <c r="A1348" s="277" t="s">
        <v>108</v>
      </c>
      <c r="B1348" s="977"/>
      <c r="C1348" s="303" t="s">
        <v>316</v>
      </c>
      <c r="D1348" s="303"/>
      <c r="E1348" s="505">
        <v>25.751300000000001</v>
      </c>
      <c r="F1348" s="405">
        <f>IFERROR(E1348*'01 Prod Physique Boites'!H1343,"-")</f>
        <v>0</v>
      </c>
      <c r="G1348" s="406">
        <f>IFERROR(E1348*'01 Prod Physique Boites'!L1343,"-")</f>
        <v>4242166.1568</v>
      </c>
      <c r="H1348" s="390">
        <v>37.89</v>
      </c>
      <c r="I1348" s="426">
        <f>IFERROR(H1348*(F1348/E1348),"-")</f>
        <v>0</v>
      </c>
      <c r="J1348" s="427">
        <f t="shared" si="830"/>
        <v>6241847.04</v>
      </c>
    </row>
    <row r="1349" spans="1:10" ht="24" thickBot="1" x14ac:dyDescent="0.35">
      <c r="A1349" s="277" t="s">
        <v>108</v>
      </c>
      <c r="B1349" s="977"/>
      <c r="C1349" s="304"/>
      <c r="D1349" s="305" t="s">
        <v>53</v>
      </c>
      <c r="E1349" s="393"/>
      <c r="F1349" s="409">
        <f t="shared" ref="F1349:G1349" si="831">SUM(F1346:F1348)</f>
        <v>915922.23840000003</v>
      </c>
      <c r="G1349" s="410">
        <f t="shared" si="831"/>
        <v>5158088.3952000001</v>
      </c>
      <c r="H1349" s="394"/>
      <c r="I1349" s="409">
        <f t="shared" ref="I1349" si="832">SUM(I1346:I1348)</f>
        <v>1347671.52</v>
      </c>
      <c r="J1349" s="428">
        <f>SUM(J1346:J1348)</f>
        <v>7589518.5600000005</v>
      </c>
    </row>
    <row r="1350" spans="1:10" ht="23.4" x14ac:dyDescent="0.3">
      <c r="A1350" s="277" t="s">
        <v>108</v>
      </c>
      <c r="B1350" s="977"/>
      <c r="C1350" s="300" t="s">
        <v>339</v>
      </c>
      <c r="D1350" s="300"/>
      <c r="E1350" s="508">
        <v>22.094999999999999</v>
      </c>
      <c r="F1350" s="405">
        <f>IFERROR(E1350*'01 Prod Physique Boites'!H1345,"-")</f>
        <v>0</v>
      </c>
      <c r="G1350" s="406">
        <f>IFERROR(E1350*'01 Prod Physique Boites'!L1345,"-")</f>
        <v>0</v>
      </c>
      <c r="H1350" s="384">
        <v>37.11</v>
      </c>
      <c r="I1350" s="422">
        <f>IFERROR(H1350*(F1350/E1350),"-")</f>
        <v>0</v>
      </c>
      <c r="J1350" s="423">
        <f t="shared" ref="J1350:J1352" si="833">IFERROR(H1350*(G1350/E1350),"-")</f>
        <v>0</v>
      </c>
    </row>
    <row r="1351" spans="1:10" ht="23.4" x14ac:dyDescent="0.3">
      <c r="A1351" s="277" t="s">
        <v>108</v>
      </c>
      <c r="B1351" s="977"/>
      <c r="C1351" s="306" t="s">
        <v>373</v>
      </c>
      <c r="D1351" s="306" t="s">
        <v>254</v>
      </c>
      <c r="E1351" s="509">
        <v>27.917000000000002</v>
      </c>
      <c r="F1351" s="405">
        <f>IFERROR(E1351*'01 Prod Physique Boites'!H1346,"-")</f>
        <v>0</v>
      </c>
      <c r="G1351" s="406">
        <f>IFERROR(E1351*'01 Prod Physique Boites'!L1346,"-")</f>
        <v>261303.12000000002</v>
      </c>
      <c r="H1351" s="388">
        <v>39</v>
      </c>
      <c r="I1351" s="424">
        <f>IFERROR(H1351*(F1351/E1351),"-")</f>
        <v>0</v>
      </c>
      <c r="J1351" s="425">
        <f t="shared" si="833"/>
        <v>365040</v>
      </c>
    </row>
    <row r="1352" spans="1:10" ht="24" thickBot="1" x14ac:dyDescent="0.35">
      <c r="A1352" s="277" t="s">
        <v>108</v>
      </c>
      <c r="B1352" s="977"/>
      <c r="C1352" s="303" t="s">
        <v>145</v>
      </c>
      <c r="D1352" s="303"/>
      <c r="E1352" s="505">
        <v>25.4041</v>
      </c>
      <c r="F1352" s="405">
        <f>IFERROR(E1352*'01 Prod Physique Boites'!H1347,"-")</f>
        <v>0</v>
      </c>
      <c r="G1352" s="406">
        <f>IFERROR(E1352*'01 Prod Physique Boites'!L1347,"-")</f>
        <v>0</v>
      </c>
      <c r="H1352" s="390">
        <v>28.21</v>
      </c>
      <c r="I1352" s="426">
        <f>IFERROR(H1352*(F1352/E1352),"-")</f>
        <v>0</v>
      </c>
      <c r="J1352" s="427">
        <f t="shared" si="833"/>
        <v>0</v>
      </c>
    </row>
    <row r="1353" spans="1:10" ht="24" thickBot="1" x14ac:dyDescent="0.35">
      <c r="A1353" s="277" t="s">
        <v>108</v>
      </c>
      <c r="B1353" s="977"/>
      <c r="C1353" s="307"/>
      <c r="D1353" s="308" t="s">
        <v>54</v>
      </c>
      <c r="E1353" s="400"/>
      <c r="F1353" s="417">
        <f t="shared" ref="F1353:G1353" si="834">SUM(F1350:F1352)</f>
        <v>0</v>
      </c>
      <c r="G1353" s="418">
        <f t="shared" si="834"/>
        <v>261303.12000000002</v>
      </c>
      <c r="H1353" s="401"/>
      <c r="I1353" s="417">
        <f t="shared" ref="I1353" si="835">SUM(I1350:I1352)</f>
        <v>0</v>
      </c>
      <c r="J1353" s="433">
        <f>SUM(J1350:J1352)</f>
        <v>365040</v>
      </c>
    </row>
    <row r="1354" spans="1:10" ht="24" thickBot="1" x14ac:dyDescent="0.35">
      <c r="A1354" s="277" t="s">
        <v>108</v>
      </c>
      <c r="B1354" s="978" t="s">
        <v>171</v>
      </c>
      <c r="C1354" s="979"/>
      <c r="D1354" s="980"/>
      <c r="E1354" s="402"/>
      <c r="F1354" s="419">
        <f t="shared" ref="F1354:G1354" si="836">+F1349+F1353</f>
        <v>915922.23840000003</v>
      </c>
      <c r="G1354" s="420">
        <f t="shared" si="836"/>
        <v>5419391.5152000003</v>
      </c>
      <c r="H1354" s="403"/>
      <c r="I1354" s="419">
        <f t="shared" ref="I1354:J1354" si="837">+I1349+I1353</f>
        <v>1347671.52</v>
      </c>
      <c r="J1354" s="434">
        <f t="shared" si="837"/>
        <v>7954558.5600000005</v>
      </c>
    </row>
    <row r="1355" spans="1:10" ht="24" thickBot="1" x14ac:dyDescent="0.35">
      <c r="A1355" s="277" t="s">
        <v>108</v>
      </c>
      <c r="B1355" s="609" t="s">
        <v>32</v>
      </c>
      <c r="C1355" s="845"/>
      <c r="D1355" s="313"/>
      <c r="E1355" s="510">
        <v>12.2659</v>
      </c>
      <c r="F1355" s="411">
        <f>IFERROR(E1355*'01 Prod Physique Boites'!H1350,"-")</f>
        <v>0</v>
      </c>
      <c r="G1355" s="412">
        <f>IFERROR(E1355*'01 Prod Physique Boites'!L1350,"-")</f>
        <v>0</v>
      </c>
      <c r="H1355" s="395"/>
      <c r="I1355" s="429">
        <f>IFERROR(H1355*(F1355/E1355),"-")</f>
        <v>0</v>
      </c>
      <c r="J1355" s="430">
        <f>IFERROR(H1355*(G1355/E1355),"-")</f>
        <v>0</v>
      </c>
    </row>
    <row r="1356" spans="1:10" ht="24" thickBot="1" x14ac:dyDescent="0.35">
      <c r="A1356" s="277" t="s">
        <v>108</v>
      </c>
      <c r="B1356" s="981" t="s">
        <v>21</v>
      </c>
      <c r="C1356" s="982"/>
      <c r="D1356" s="983"/>
      <c r="E1356" s="396"/>
      <c r="F1356" s="413">
        <f t="shared" ref="F1356" si="838">+F1345+F1354+F1355</f>
        <v>2579601.3983999998</v>
      </c>
      <c r="G1356" s="414">
        <f>+G1345+G1354+G1355</f>
        <v>40094186.506200001</v>
      </c>
      <c r="H1356" s="397"/>
      <c r="I1356" s="413">
        <f t="shared" ref="I1356:J1356" si="839">+I1345+I1354+I1355</f>
        <v>3412253.5200000005</v>
      </c>
      <c r="J1356" s="431">
        <f t="shared" si="839"/>
        <v>54148618.440000005</v>
      </c>
    </row>
    <row r="1357" spans="1:10" ht="24" thickBot="1" x14ac:dyDescent="0.35">
      <c r="A1357" s="277" t="s">
        <v>108</v>
      </c>
      <c r="B1357" s="984" t="s">
        <v>179</v>
      </c>
      <c r="C1357" s="962"/>
      <c r="D1357" s="963"/>
      <c r="E1357" s="398"/>
      <c r="F1357" s="415">
        <f t="shared" ref="F1357:G1357" si="840">+F1356</f>
        <v>2579601.3983999998</v>
      </c>
      <c r="G1357" s="416">
        <f t="shared" si="840"/>
        <v>40094186.506200001</v>
      </c>
      <c r="H1357" s="399"/>
      <c r="I1357" s="415">
        <f t="shared" ref="I1357:J1357" si="841">+I1356</f>
        <v>3412253.5200000005</v>
      </c>
      <c r="J1357" s="432">
        <f t="shared" si="841"/>
        <v>54148618.440000005</v>
      </c>
    </row>
    <row r="1358" spans="1:10" ht="23.4" x14ac:dyDescent="0.3">
      <c r="A1358" s="271" t="s">
        <v>109</v>
      </c>
      <c r="B1358" s="970" t="s">
        <v>482</v>
      </c>
      <c r="C1358" s="314" t="s">
        <v>120</v>
      </c>
      <c r="D1358" s="314"/>
      <c r="E1358" s="771">
        <v>254.89750000000001</v>
      </c>
      <c r="F1358" s="405">
        <f>IFERROR(E1358*'01 Prod Physique Boites'!H1353,"-")</f>
        <v>0</v>
      </c>
      <c r="G1358" s="406">
        <f>IFERROR(E1358*'01 Prod Physique Boites'!L1353,"-")</f>
        <v>0</v>
      </c>
      <c r="H1358" s="384">
        <v>445.38</v>
      </c>
      <c r="I1358" s="422">
        <f>IFERROR(H1358*(F1358/E1358),"-")</f>
        <v>0</v>
      </c>
      <c r="J1358" s="423">
        <f t="shared" ref="J1358:J1360" si="842">IFERROR(H1358*(G1358/E1358),"-")</f>
        <v>0</v>
      </c>
    </row>
    <row r="1359" spans="1:10" ht="23.4" x14ac:dyDescent="0.3">
      <c r="A1359" s="277" t="s">
        <v>109</v>
      </c>
      <c r="B1359" s="972"/>
      <c r="C1359" s="315" t="s">
        <v>267</v>
      </c>
      <c r="D1359" s="315"/>
      <c r="E1359" s="507">
        <v>246.51390000000001</v>
      </c>
      <c r="F1359" s="405">
        <f>IFERROR(E1359*'01 Prod Physique Boites'!H1354,"-")</f>
        <v>236653.34400000001</v>
      </c>
      <c r="G1359" s="406">
        <f>IFERROR(E1359*'01 Prod Physique Boites'!L1354,"-")</f>
        <v>4338644.6399999997</v>
      </c>
      <c r="H1359" s="388">
        <v>430.02</v>
      </c>
      <c r="I1359" s="424">
        <f>IFERROR(H1359*(F1359/E1359),"-")</f>
        <v>412819.19999999995</v>
      </c>
      <c r="J1359" s="425">
        <f t="shared" si="842"/>
        <v>7568351.9999999981</v>
      </c>
    </row>
    <row r="1360" spans="1:10" ht="24" thickBot="1" x14ac:dyDescent="0.35">
      <c r="A1360" s="277" t="s">
        <v>109</v>
      </c>
      <c r="B1360" s="971"/>
      <c r="C1360" s="316" t="s">
        <v>34</v>
      </c>
      <c r="D1360" s="316"/>
      <c r="E1360" s="504">
        <v>225.7713</v>
      </c>
      <c r="F1360" s="405">
        <f>IFERROR(E1360*'01 Prod Physique Boites'!H1355,"-")</f>
        <v>0</v>
      </c>
      <c r="G1360" s="406">
        <f>IFERROR(E1360*'01 Prod Physique Boites'!L1355,"-")</f>
        <v>0</v>
      </c>
      <c r="H1360" s="390"/>
      <c r="I1360" s="426">
        <f>IFERROR(H1360*(F1360/E1360),"-")</f>
        <v>0</v>
      </c>
      <c r="J1360" s="427">
        <f t="shared" si="842"/>
        <v>0</v>
      </c>
    </row>
    <row r="1361" spans="1:10" ht="24" thickBot="1" x14ac:dyDescent="0.35">
      <c r="A1361" s="277" t="s">
        <v>109</v>
      </c>
      <c r="B1361" s="967" t="s">
        <v>35</v>
      </c>
      <c r="C1361" s="968"/>
      <c r="D1361" s="969"/>
      <c r="E1361" s="393"/>
      <c r="F1361" s="409">
        <f t="shared" ref="F1361:G1361" si="843">SUM(F1358:F1360)</f>
        <v>236653.34400000001</v>
      </c>
      <c r="G1361" s="410">
        <f t="shared" si="843"/>
        <v>4338644.6399999997</v>
      </c>
      <c r="H1361" s="394"/>
      <c r="I1361" s="409">
        <f t="shared" ref="I1361:J1361" si="844">SUM(I1358:I1360)</f>
        <v>412819.19999999995</v>
      </c>
      <c r="J1361" s="428">
        <f t="shared" si="844"/>
        <v>7568351.9999999981</v>
      </c>
    </row>
    <row r="1362" spans="1:10" ht="23.4" x14ac:dyDescent="0.3">
      <c r="A1362" s="277" t="s">
        <v>109</v>
      </c>
      <c r="B1362" s="970" t="s">
        <v>36</v>
      </c>
      <c r="C1362" s="314" t="s">
        <v>120</v>
      </c>
      <c r="D1362" s="314"/>
      <c r="E1362" s="506">
        <v>254.89750000000001</v>
      </c>
      <c r="F1362" s="405">
        <f>IFERROR(E1362*'01 Prod Physique Boites'!H1357,"-")</f>
        <v>0</v>
      </c>
      <c r="G1362" s="406">
        <f>IFERROR(E1362*'01 Prod Physique Boites'!L1357,"-")</f>
        <v>0</v>
      </c>
      <c r="H1362" s="384">
        <v>445.38</v>
      </c>
      <c r="I1362" s="422">
        <f>IFERROR(H1362*(F1362/E1362),"-")</f>
        <v>0</v>
      </c>
      <c r="J1362" s="423">
        <f t="shared" ref="J1362:J1365" si="845">IFERROR(H1362*(G1362/E1362),"-")</f>
        <v>0</v>
      </c>
    </row>
    <row r="1363" spans="1:10" ht="23.4" x14ac:dyDescent="0.3">
      <c r="A1363" s="277" t="s">
        <v>109</v>
      </c>
      <c r="B1363" s="972"/>
      <c r="C1363" s="315" t="s">
        <v>267</v>
      </c>
      <c r="D1363" s="315"/>
      <c r="E1363" s="507">
        <v>246.51390000000001</v>
      </c>
      <c r="F1363" s="405">
        <f>IFERROR(E1363*'01 Prod Physique Boites'!H1358,"-")</f>
        <v>979646.23860000004</v>
      </c>
      <c r="G1363" s="406">
        <f>IFERROR(E1363*'01 Prod Physique Boites'!L1358,"-")</f>
        <v>7260820.4106000001</v>
      </c>
      <c r="H1363" s="388">
        <v>430.02</v>
      </c>
      <c r="I1363" s="424">
        <f>IFERROR(H1363*(F1363/E1363),"-")</f>
        <v>1708899.48</v>
      </c>
      <c r="J1363" s="425">
        <f t="shared" si="845"/>
        <v>12665809.08</v>
      </c>
    </row>
    <row r="1364" spans="1:10" ht="23.4" x14ac:dyDescent="0.3">
      <c r="A1364" s="277" t="s">
        <v>109</v>
      </c>
      <c r="B1364" s="972"/>
      <c r="C1364" s="315" t="s">
        <v>198</v>
      </c>
      <c r="D1364" s="315" t="s">
        <v>197</v>
      </c>
      <c r="E1364" s="507">
        <v>254.89750000000001</v>
      </c>
      <c r="F1364" s="405">
        <f>IFERROR(E1364*'01 Prod Physique Boites'!H1359,"-")</f>
        <v>0</v>
      </c>
      <c r="G1364" s="406">
        <f>IFERROR(E1364*'01 Prod Physique Boites'!L1359,"-")</f>
        <v>0</v>
      </c>
      <c r="H1364" s="388"/>
      <c r="I1364" s="424">
        <f>IFERROR(H1364*(F1364/E1364),"-")</f>
        <v>0</v>
      </c>
      <c r="J1364" s="425">
        <f t="shared" si="845"/>
        <v>0</v>
      </c>
    </row>
    <row r="1365" spans="1:10" ht="24" thickBot="1" x14ac:dyDescent="0.35">
      <c r="A1365" s="277" t="s">
        <v>109</v>
      </c>
      <c r="B1365" s="971"/>
      <c r="C1365" s="316" t="s">
        <v>37</v>
      </c>
      <c r="D1365" s="316"/>
      <c r="E1365" s="504">
        <v>229.99359999999999</v>
      </c>
      <c r="F1365" s="405">
        <f>IFERROR(E1365*'01 Prod Physique Boites'!H1360,"-")</f>
        <v>0</v>
      </c>
      <c r="G1365" s="406">
        <f>IFERROR(E1365*'01 Prod Physique Boites'!L1360,"-")</f>
        <v>0</v>
      </c>
      <c r="H1365" s="390"/>
      <c r="I1365" s="426">
        <f>IFERROR(H1365*(F1365/E1365),"-")</f>
        <v>0</v>
      </c>
      <c r="J1365" s="427">
        <f t="shared" si="845"/>
        <v>0</v>
      </c>
    </row>
    <row r="1366" spans="1:10" ht="24" thickBot="1" x14ac:dyDescent="0.35">
      <c r="A1366" s="277" t="s">
        <v>109</v>
      </c>
      <c r="B1366" s="967" t="s">
        <v>38</v>
      </c>
      <c r="C1366" s="968"/>
      <c r="D1366" s="969"/>
      <c r="E1366" s="393"/>
      <c r="F1366" s="409">
        <f t="shared" ref="F1366:G1366" si="846">SUM(F1362:F1365)</f>
        <v>979646.23860000004</v>
      </c>
      <c r="G1366" s="410">
        <f t="shared" si="846"/>
        <v>7260820.4106000001</v>
      </c>
      <c r="H1366" s="394"/>
      <c r="I1366" s="409">
        <f>SUM(I1362:I1365)</f>
        <v>1708899.48</v>
      </c>
      <c r="J1366" s="428">
        <f>SUM(J1362:J1365)</f>
        <v>12665809.08</v>
      </c>
    </row>
    <row r="1367" spans="1:10" ht="23.4" x14ac:dyDescent="0.3">
      <c r="A1367" s="277" t="s">
        <v>109</v>
      </c>
      <c r="B1367" s="970" t="s">
        <v>483</v>
      </c>
      <c r="C1367" s="317" t="s">
        <v>123</v>
      </c>
      <c r="D1367" s="317"/>
      <c r="E1367" s="506">
        <v>195.2808</v>
      </c>
      <c r="F1367" s="405">
        <f>IFERROR(E1367*'01 Prod Physique Boites'!H1362,"-")</f>
        <v>0</v>
      </c>
      <c r="G1367" s="406">
        <f>IFERROR(E1367*'01 Prod Physique Boites'!L1362,"-")</f>
        <v>28120.4352</v>
      </c>
      <c r="H1367" s="715">
        <v>256.7</v>
      </c>
      <c r="I1367" s="422">
        <f>IFERROR(H1367*(F1367/E1367),"-")</f>
        <v>0</v>
      </c>
      <c r="J1367" s="423">
        <f t="shared" ref="J1367:J1368" si="847">IFERROR(H1367*(G1367/E1367),"-")</f>
        <v>36964.799999999996</v>
      </c>
    </row>
    <row r="1368" spans="1:10" ht="24" thickBot="1" x14ac:dyDescent="0.35">
      <c r="A1368" s="277" t="s">
        <v>109</v>
      </c>
      <c r="B1368" s="971"/>
      <c r="C1368" s="289" t="s">
        <v>139</v>
      </c>
      <c r="D1368" s="289"/>
      <c r="E1368" s="504">
        <v>189.91890000000001</v>
      </c>
      <c r="F1368" s="405">
        <f>IFERROR(E1368*'01 Prod Physique Boites'!H1363,"-")</f>
        <v>0</v>
      </c>
      <c r="G1368" s="406">
        <f>IFERROR(E1368*'01 Prod Physique Boites'!L1363,"-")</f>
        <v>45580.536</v>
      </c>
      <c r="H1368" s="390">
        <v>320.35000000000002</v>
      </c>
      <c r="I1368" s="426">
        <f>IFERROR(H1368*(F1368/E1368),"-")</f>
        <v>0</v>
      </c>
      <c r="J1368" s="427">
        <f t="shared" si="847"/>
        <v>76884</v>
      </c>
    </row>
    <row r="1369" spans="1:10" ht="24" thickBot="1" x14ac:dyDescent="0.35">
      <c r="A1369" s="849" t="s">
        <v>109</v>
      </c>
      <c r="B1369" s="967" t="s">
        <v>40</v>
      </c>
      <c r="C1369" s="968"/>
      <c r="D1369" s="969"/>
      <c r="E1369" s="393"/>
      <c r="F1369" s="409">
        <f>SUM(F1367:F1368)</f>
        <v>0</v>
      </c>
      <c r="G1369" s="410">
        <f t="shared" ref="G1369" si="848">SUM(G1367:G1368)</f>
        <v>73700.9712</v>
      </c>
      <c r="H1369" s="394"/>
      <c r="I1369" s="409">
        <f t="shared" ref="I1369:J1369" si="849">SUM(I1367:I1368)</f>
        <v>0</v>
      </c>
      <c r="J1369" s="428">
        <f t="shared" si="849"/>
        <v>113848.79999999999</v>
      </c>
    </row>
    <row r="1370" spans="1:10" ht="23.4" x14ac:dyDescent="0.3">
      <c r="A1370" s="277" t="s">
        <v>109</v>
      </c>
      <c r="B1370" s="970" t="s">
        <v>484</v>
      </c>
      <c r="C1370" s="272" t="s">
        <v>335</v>
      </c>
      <c r="D1370" s="272" t="s">
        <v>258</v>
      </c>
      <c r="E1370" s="508">
        <v>37.248699999999999</v>
      </c>
      <c r="F1370" s="405">
        <f>IFERROR(E1370*'01 Prod Physique Boites'!H1365,"-")</f>
        <v>813511.60800000001</v>
      </c>
      <c r="G1370" s="406">
        <f>IFERROR(E1370*'01 Prod Physique Boites'!L1365,"-")</f>
        <v>11568850.240800001</v>
      </c>
      <c r="H1370" s="384">
        <v>71.44</v>
      </c>
      <c r="I1370" s="422">
        <f>IFERROR(H1370*(F1370/E1370),"-")</f>
        <v>1560249.5999999999</v>
      </c>
      <c r="J1370" s="423">
        <f>IFERROR(H1370*(G1370/E1370),"-")</f>
        <v>22188120.960000001</v>
      </c>
    </row>
    <row r="1371" spans="1:10" ht="23.4" x14ac:dyDescent="0.3">
      <c r="A1371" s="277" t="s">
        <v>109</v>
      </c>
      <c r="B1371" s="972"/>
      <c r="C1371" s="272" t="s">
        <v>164</v>
      </c>
      <c r="D1371" s="278"/>
      <c r="E1371" s="508">
        <v>37.248699999999999</v>
      </c>
      <c r="F1371" s="405">
        <f>IFERROR(E1371*'01 Prod Physique Boites'!H1366,"-")</f>
        <v>0</v>
      </c>
      <c r="G1371" s="406">
        <f>IFERROR(E1371*'01 Prod Physique Boites'!L1366,"-")</f>
        <v>0</v>
      </c>
      <c r="H1371" s="388"/>
      <c r="I1371" s="424">
        <f>IFERROR(H1371*(F1371/E1371),"-")</f>
        <v>0</v>
      </c>
      <c r="J1371" s="425">
        <f t="shared" ref="J1371:J1373" si="850">IFERROR(H1371*(G1371/E1371),"-")</f>
        <v>0</v>
      </c>
    </row>
    <row r="1372" spans="1:10" ht="23.4" x14ac:dyDescent="0.3">
      <c r="A1372" s="277" t="s">
        <v>109</v>
      </c>
      <c r="B1372" s="972"/>
      <c r="C1372" s="278" t="s">
        <v>383</v>
      </c>
      <c r="D1372" s="272" t="s">
        <v>258</v>
      </c>
      <c r="E1372" s="508">
        <v>37.248699999999999</v>
      </c>
      <c r="F1372" s="405">
        <f>IFERROR(E1372*'01 Prod Physique Boites'!H1367,"-")</f>
        <v>0</v>
      </c>
      <c r="G1372" s="406">
        <f>IFERROR(E1372*'01 Prod Physique Boites'!L1367,"-")</f>
        <v>0</v>
      </c>
      <c r="H1372" s="388">
        <v>71.44</v>
      </c>
      <c r="I1372" s="424">
        <f>IFERROR(H1372*(F1372/E1372),"-")</f>
        <v>0</v>
      </c>
      <c r="J1372" s="425">
        <f t="shared" si="850"/>
        <v>0</v>
      </c>
    </row>
    <row r="1373" spans="1:10" ht="24" thickBot="1" x14ac:dyDescent="0.35">
      <c r="A1373" s="277" t="s">
        <v>109</v>
      </c>
      <c r="B1373" s="972"/>
      <c r="C1373" s="278" t="s">
        <v>165</v>
      </c>
      <c r="D1373" s="278"/>
      <c r="E1373" s="509">
        <v>38.466099999999997</v>
      </c>
      <c r="F1373" s="405">
        <f>IFERROR(E1373*'01 Prod Physique Boites'!H1368,"-")</f>
        <v>0</v>
      </c>
      <c r="G1373" s="406">
        <f>IFERROR(E1373*'01 Prod Physique Boites'!L1368,"-")</f>
        <v>0</v>
      </c>
      <c r="H1373" s="388"/>
      <c r="I1373" s="424">
        <f>IFERROR(H1373*(F1373/E1373),"-")</f>
        <v>0</v>
      </c>
      <c r="J1373" s="425">
        <f t="shared" si="850"/>
        <v>0</v>
      </c>
    </row>
    <row r="1374" spans="1:10" ht="24" thickBot="1" x14ac:dyDescent="0.35">
      <c r="A1374" s="277" t="s">
        <v>109</v>
      </c>
      <c r="B1374" s="967" t="s">
        <v>42</v>
      </c>
      <c r="C1374" s="968"/>
      <c r="D1374" s="969"/>
      <c r="E1374" s="393"/>
      <c r="F1374" s="409">
        <f>SUM(F1370:F1373)</f>
        <v>813511.60800000001</v>
      </c>
      <c r="G1374" s="410">
        <f>SUM(G1370:G1373)</f>
        <v>11568850.240800001</v>
      </c>
      <c r="H1374" s="394"/>
      <c r="I1374" s="409">
        <f>SUM(I1370:I1373)</f>
        <v>1560249.5999999999</v>
      </c>
      <c r="J1374" s="409">
        <f>SUM(J1370:J1373)</f>
        <v>22188120.960000001</v>
      </c>
    </row>
    <row r="1375" spans="1:10" ht="23.4" x14ac:dyDescent="0.3">
      <c r="A1375" s="277" t="s">
        <v>109</v>
      </c>
      <c r="B1375" s="970" t="s">
        <v>43</v>
      </c>
      <c r="C1375" s="272" t="s">
        <v>200</v>
      </c>
      <c r="D1375" s="272" t="s">
        <v>197</v>
      </c>
      <c r="E1375" s="508">
        <v>30.7499</v>
      </c>
      <c r="F1375" s="405">
        <f>IFERROR(E1375*'01 Prod Physique Boites'!H1371,"-")</f>
        <v>0</v>
      </c>
      <c r="G1375" s="406">
        <f>IFERROR(E1375*'01 Prod Physique Boites'!L1371,"-")</f>
        <v>0</v>
      </c>
      <c r="H1375" s="384"/>
      <c r="I1375" s="422">
        <f>IFERROR(H1375*(F1375/E1375),"-")</f>
        <v>0</v>
      </c>
      <c r="J1375" s="423">
        <f>IFERROR(H1375*(G1375/E1375),"-")</f>
        <v>0</v>
      </c>
    </row>
    <row r="1376" spans="1:10" ht="23.4" x14ac:dyDescent="0.3">
      <c r="A1376" s="277" t="s">
        <v>109</v>
      </c>
      <c r="B1376" s="972"/>
      <c r="C1376" s="278" t="s">
        <v>167</v>
      </c>
      <c r="D1376" s="278"/>
      <c r="E1376" s="727">
        <v>25.139099999999999</v>
      </c>
      <c r="F1376" s="405">
        <f>IFERROR(E1376*'01 Prod Physique Boites'!H1372,"-")</f>
        <v>362003.04</v>
      </c>
      <c r="G1376" s="406">
        <f>IFERROR(E1376*'01 Prod Physique Boites'!L1372,"-")</f>
        <v>3821545.4255999997</v>
      </c>
      <c r="H1376" s="388">
        <v>59.96</v>
      </c>
      <c r="I1376" s="424">
        <f>IFERROR(H1376*(F1376/E1376),"-")</f>
        <v>863424</v>
      </c>
      <c r="J1376" s="425">
        <f t="shared" ref="J1376:J1377" si="851">IFERROR(H1376*(G1376/E1376),"-")</f>
        <v>9114879.3599999994</v>
      </c>
    </row>
    <row r="1377" spans="1:10" ht="24" thickBot="1" x14ac:dyDescent="0.35">
      <c r="A1377" s="277" t="s">
        <v>109</v>
      </c>
      <c r="B1377" s="971"/>
      <c r="C1377" s="282" t="s">
        <v>200</v>
      </c>
      <c r="D1377" s="282" t="s">
        <v>199</v>
      </c>
      <c r="E1377" s="505">
        <v>30.073599999999999</v>
      </c>
      <c r="F1377" s="405">
        <f>IFERROR(E1377*'01 Prod Physique Boites'!H1373,"-")</f>
        <v>0</v>
      </c>
      <c r="G1377" s="406">
        <f>IFERROR(E1377*'01 Prod Physique Boites'!L1373,"-")</f>
        <v>0</v>
      </c>
      <c r="H1377" s="390"/>
      <c r="I1377" s="426">
        <f>IFERROR(H1377*(F1377/E1377),"-")</f>
        <v>0</v>
      </c>
      <c r="J1377" s="427">
        <f t="shared" si="851"/>
        <v>0</v>
      </c>
    </row>
    <row r="1378" spans="1:10" ht="24" thickBot="1" x14ac:dyDescent="0.35">
      <c r="A1378" s="277" t="s">
        <v>109</v>
      </c>
      <c r="B1378" s="973" t="s">
        <v>44</v>
      </c>
      <c r="C1378" s="974"/>
      <c r="D1378" s="975"/>
      <c r="E1378" s="393"/>
      <c r="F1378" s="409">
        <f t="shared" ref="F1378:G1378" si="852">SUM(F1375:F1377)</f>
        <v>362003.04</v>
      </c>
      <c r="G1378" s="410">
        <f t="shared" si="852"/>
        <v>3821545.4255999997</v>
      </c>
      <c r="H1378" s="394"/>
      <c r="I1378" s="409">
        <f t="shared" ref="I1378:J1378" si="853">SUM(I1375:I1377)</f>
        <v>863424</v>
      </c>
      <c r="J1378" s="428">
        <f t="shared" si="853"/>
        <v>9114879.3599999994</v>
      </c>
    </row>
    <row r="1379" spans="1:10" ht="23.4" x14ac:dyDescent="0.3">
      <c r="A1379" s="277" t="s">
        <v>109</v>
      </c>
      <c r="B1379" s="970" t="s">
        <v>45</v>
      </c>
      <c r="C1379" s="272" t="s">
        <v>168</v>
      </c>
      <c r="D1379" s="272"/>
      <c r="E1379" s="508">
        <v>36.684899999999999</v>
      </c>
      <c r="F1379" s="405">
        <f>IFERROR(E1379*'01 Prod Physique Boites'!H1375,"-")</f>
        <v>0</v>
      </c>
      <c r="G1379" s="406">
        <f>IFERROR(E1379*'01 Prod Physique Boites'!L1375,"-")</f>
        <v>0</v>
      </c>
      <c r="H1379" s="384"/>
      <c r="I1379" s="385" t="s">
        <v>204</v>
      </c>
      <c r="J1379" s="386" t="s">
        <v>204</v>
      </c>
    </row>
    <row r="1380" spans="1:10" ht="24" thickBot="1" x14ac:dyDescent="0.35">
      <c r="A1380" s="277" t="s">
        <v>109</v>
      </c>
      <c r="B1380" s="971"/>
      <c r="C1380" s="282" t="s">
        <v>169</v>
      </c>
      <c r="D1380" s="282"/>
      <c r="E1380" s="505">
        <v>37.002800000000001</v>
      </c>
      <c r="F1380" s="405">
        <f>IFERROR(E1380*'01 Prod Physique Boites'!H1376,"-")</f>
        <v>0</v>
      </c>
      <c r="G1380" s="406">
        <f>IFERROR(E1380*'01 Prod Physique Boites'!L1376,"-")</f>
        <v>0</v>
      </c>
      <c r="H1380" s="390"/>
      <c r="I1380" s="391" t="s">
        <v>204</v>
      </c>
      <c r="J1380" s="392" t="s">
        <v>204</v>
      </c>
    </row>
    <row r="1381" spans="1:10" ht="24" thickBot="1" x14ac:dyDescent="0.35">
      <c r="A1381" s="277" t="s">
        <v>109</v>
      </c>
      <c r="B1381" s="973" t="s">
        <v>46</v>
      </c>
      <c r="C1381" s="974"/>
      <c r="D1381" s="975"/>
      <c r="E1381" s="393"/>
      <c r="F1381" s="405">
        <f>IFERROR(E1381*'01 Prod Physique Boites'!H1377,"-")</f>
        <v>0</v>
      </c>
      <c r="G1381" s="410">
        <f>IFERROR(E1381*'01 Prod Physique Boites'!L1377,"-")</f>
        <v>0</v>
      </c>
      <c r="H1381" s="394"/>
      <c r="I1381" s="409">
        <f t="shared" ref="I1381:J1381" si="854">SUM(I1379:I1380)</f>
        <v>0</v>
      </c>
      <c r="J1381" s="428">
        <f t="shared" si="854"/>
        <v>0</v>
      </c>
    </row>
    <row r="1382" spans="1:10" ht="24" thickBot="1" x14ac:dyDescent="0.35">
      <c r="A1382" s="277" t="s">
        <v>109</v>
      </c>
      <c r="B1382" s="959" t="s">
        <v>25</v>
      </c>
      <c r="C1382" s="960"/>
      <c r="D1382" s="961"/>
      <c r="E1382" s="396"/>
      <c r="F1382" s="413">
        <f>+F1361+F1366+F1369+F1374+F1378+F1381</f>
        <v>2391814.2305999999</v>
      </c>
      <c r="G1382" s="414">
        <f>+G1361+G1366+G1369+G1374+G1378+G1381</f>
        <v>27063561.688200001</v>
      </c>
      <c r="H1382" s="397"/>
      <c r="I1382" s="413">
        <f>+I1361+I1366+I1369+I1374+I1378+I1381</f>
        <v>4545392.2799999993</v>
      </c>
      <c r="J1382" s="431">
        <f>+J1361+J1366+J1369+J1374+J1378+J1381</f>
        <v>51651010.200000003</v>
      </c>
    </row>
    <row r="1383" spans="1:10" ht="24" thickBot="1" x14ac:dyDescent="0.35">
      <c r="A1383" s="321" t="s">
        <v>109</v>
      </c>
      <c r="B1383" s="962" t="s">
        <v>181</v>
      </c>
      <c r="C1383" s="962"/>
      <c r="D1383" s="963"/>
      <c r="E1383" s="398"/>
      <c r="F1383" s="415">
        <f t="shared" ref="F1383:G1383" si="855">+F1382</f>
        <v>2391814.2305999999</v>
      </c>
      <c r="G1383" s="416">
        <f t="shared" si="855"/>
        <v>27063561.688200001</v>
      </c>
      <c r="H1383" s="399"/>
      <c r="I1383" s="415">
        <f t="shared" ref="I1383" si="856">+I1382</f>
        <v>4545392.2799999993</v>
      </c>
      <c r="J1383" s="432">
        <f>+J1382</f>
        <v>51651010.200000003</v>
      </c>
    </row>
    <row r="1384" spans="1:10" ht="24.6" thickBot="1" x14ac:dyDescent="0.35">
      <c r="A1384" s="322"/>
      <c r="B1384" s="964" t="s">
        <v>182</v>
      </c>
      <c r="C1384" s="965"/>
      <c r="D1384" s="966"/>
      <c r="E1384" s="404"/>
      <c r="F1384" s="421">
        <f>+F1328+F1357+F1383</f>
        <v>8928482.2277999986</v>
      </c>
      <c r="G1384" s="421">
        <f>+G1328+G1357+G1383</f>
        <v>116924015.37959999</v>
      </c>
      <c r="H1384" s="404"/>
      <c r="I1384" s="421">
        <f>+I1328+I1357+I1383</f>
        <v>12422658.311999999</v>
      </c>
      <c r="J1384" s="435">
        <f>+J1328+J1357+J1383</f>
        <v>174466053.59600002</v>
      </c>
    </row>
    <row r="1385" spans="1:10" ht="23.4" x14ac:dyDescent="0.3">
      <c r="A1385" s="991" t="s">
        <v>1</v>
      </c>
      <c r="B1385" s="994" t="s">
        <v>2</v>
      </c>
      <c r="C1385" s="997" t="s">
        <v>477</v>
      </c>
      <c r="D1385" s="997" t="s">
        <v>478</v>
      </c>
      <c r="E1385" s="1021" t="s">
        <v>486</v>
      </c>
      <c r="F1385" s="1022"/>
      <c r="G1385" s="1022"/>
      <c r="H1385" s="445"/>
      <c r="I1385" s="445"/>
      <c r="J1385" s="446"/>
    </row>
    <row r="1386" spans="1:10" ht="23.4" x14ac:dyDescent="0.3">
      <c r="A1386" s="992"/>
      <c r="B1386" s="995"/>
      <c r="C1386" s="998"/>
      <c r="D1386" s="998"/>
      <c r="E1386" s="1023" t="s">
        <v>489</v>
      </c>
      <c r="F1386" s="1024"/>
      <c r="G1386" s="1025"/>
      <c r="H1386" s="1023" t="s">
        <v>176</v>
      </c>
      <c r="I1386" s="1024"/>
      <c r="J1386" s="1025"/>
    </row>
    <row r="1387" spans="1:10" ht="46.8" x14ac:dyDescent="0.3">
      <c r="A1387" s="993"/>
      <c r="B1387" s="1019"/>
      <c r="C1387" s="1020"/>
      <c r="D1387" s="1020"/>
      <c r="E1387" s="382" t="s">
        <v>178</v>
      </c>
      <c r="F1387" s="855" t="s">
        <v>488</v>
      </c>
      <c r="G1387" s="856" t="s">
        <v>487</v>
      </c>
      <c r="H1387" s="1026" t="s">
        <v>178</v>
      </c>
      <c r="I1387" s="1028" t="s">
        <v>144</v>
      </c>
      <c r="J1387" s="1030" t="s">
        <v>487</v>
      </c>
    </row>
    <row r="1388" spans="1:10" ht="24" thickBot="1" x14ac:dyDescent="0.35">
      <c r="A1388" s="993"/>
      <c r="B1388" s="996"/>
      <c r="C1388" s="999"/>
      <c r="D1388" s="999"/>
      <c r="E1388" s="1032">
        <v>44550</v>
      </c>
      <c r="F1388" s="1033"/>
      <c r="G1388" s="1034"/>
      <c r="H1388" s="1027"/>
      <c r="I1388" s="1029"/>
      <c r="J1388" s="1031"/>
    </row>
    <row r="1389" spans="1:10" ht="23.4" x14ac:dyDescent="0.3">
      <c r="A1389" s="271" t="s">
        <v>110</v>
      </c>
      <c r="B1389" s="956" t="s">
        <v>16</v>
      </c>
      <c r="C1389" s="272" t="s">
        <v>424</v>
      </c>
      <c r="D1389" s="272" t="s">
        <v>425</v>
      </c>
      <c r="E1389" s="758">
        <v>81.360699999999994</v>
      </c>
      <c r="F1389" s="405">
        <f>IFERROR(E1389*'01 Prod Physique Boites'!H1384,"-")</f>
        <v>0</v>
      </c>
      <c r="G1389" s="405">
        <f>IFERROR(E1389*'01 Prod Physique Boites'!L1384,"-")</f>
        <v>1614196.2879999999</v>
      </c>
      <c r="H1389" s="759">
        <v>143.28</v>
      </c>
      <c r="I1389" s="422">
        <f>IFERROR(H1389*(F1389/E1389),"-")</f>
        <v>0</v>
      </c>
      <c r="J1389" s="423">
        <f t="shared" ref="J1389:J1391" si="857">IFERROR(H1389*(G1389/E1389),"-")</f>
        <v>2842675.2000000002</v>
      </c>
    </row>
    <row r="1390" spans="1:10" ht="23.4" x14ac:dyDescent="0.3">
      <c r="A1390" s="784"/>
      <c r="B1390" s="957"/>
      <c r="C1390" s="278" t="s">
        <v>188</v>
      </c>
      <c r="D1390" s="278" t="s">
        <v>101</v>
      </c>
      <c r="E1390" s="509">
        <v>81.360699999999994</v>
      </c>
      <c r="F1390" s="405">
        <f>IFERROR(E1390*'01 Prod Physique Boites'!H1385,"-")</f>
        <v>0</v>
      </c>
      <c r="G1390" s="405">
        <f>IFERROR(E1390*'01 Prod Physique Boites'!L1385,"-")</f>
        <v>3936312.0266999998</v>
      </c>
      <c r="H1390" s="770">
        <v>0</v>
      </c>
      <c r="I1390" s="422">
        <f>IFERROR(H1390*(F1390/E1390),"-")</f>
        <v>0</v>
      </c>
      <c r="J1390" s="423">
        <f t="shared" si="857"/>
        <v>0</v>
      </c>
    </row>
    <row r="1391" spans="1:10" ht="23.4" x14ac:dyDescent="0.3">
      <c r="A1391" s="277" t="s">
        <v>110</v>
      </c>
      <c r="B1391" s="957"/>
      <c r="C1391" s="278" t="s">
        <v>539</v>
      </c>
      <c r="D1391" s="278" t="s">
        <v>454</v>
      </c>
      <c r="E1391" s="727">
        <v>77.170400000000001</v>
      </c>
      <c r="F1391" s="405">
        <f>IFERROR(E1391*'01 Prod Physique Boites'!H1386,"-")</f>
        <v>1135948.2879999999</v>
      </c>
      <c r="G1391" s="728">
        <f>IFERROR(E1391*'01 Prod Physique Boites'!L1386,"-")</f>
        <v>2207073.44</v>
      </c>
      <c r="H1391" s="388">
        <v>0</v>
      </c>
      <c r="I1391" s="422">
        <f>IFERROR(H1391*(F1391/E1391),"-")</f>
        <v>0</v>
      </c>
      <c r="J1391" s="423">
        <f t="shared" si="857"/>
        <v>0</v>
      </c>
    </row>
    <row r="1392" spans="1:10" ht="24" thickBot="1" x14ac:dyDescent="0.35">
      <c r="A1392" s="277" t="s">
        <v>110</v>
      </c>
      <c r="B1392" s="958"/>
      <c r="C1392" s="282" t="s">
        <v>282</v>
      </c>
      <c r="D1392" s="282" t="s">
        <v>251</v>
      </c>
      <c r="E1392" s="505">
        <v>60.703499999999998</v>
      </c>
      <c r="F1392" s="405">
        <f>IFERROR(E1392*'01 Prod Physique Boites'!H1387,"-")</f>
        <v>357422.20799999998</v>
      </c>
      <c r="G1392" s="405">
        <f>IFERROR(E1392*'01 Prod Physique Boites'!L1387,"-")</f>
        <v>1414148.736</v>
      </c>
      <c r="H1392" s="390">
        <v>111.09</v>
      </c>
      <c r="I1392" s="422">
        <f>IFERROR(H1392*(F1392/E1392),"-")</f>
        <v>654097.92000000004</v>
      </c>
      <c r="J1392" s="423">
        <f>IFERROR(H1392*(G1392/E1392),"-")</f>
        <v>2587952.64</v>
      </c>
    </row>
    <row r="1393" spans="1:15" ht="24" thickBot="1" x14ac:dyDescent="0.35">
      <c r="A1393" s="277" t="s">
        <v>110</v>
      </c>
      <c r="B1393" s="967" t="s">
        <v>47</v>
      </c>
      <c r="C1393" s="968"/>
      <c r="D1393" s="969"/>
      <c r="E1393" s="393"/>
      <c r="F1393" s="409">
        <f t="shared" ref="F1393" si="858">SUM(F1389:F1392)</f>
        <v>1493370.4959999998</v>
      </c>
      <c r="G1393" s="410">
        <f>SUM(G1389:G1392)</f>
        <v>9171730.490699999</v>
      </c>
      <c r="H1393" s="394"/>
      <c r="I1393" s="409">
        <f t="shared" ref="I1393:J1393" si="859">SUM(I1389:I1392)</f>
        <v>654097.92000000004</v>
      </c>
      <c r="J1393" s="428">
        <f t="shared" si="859"/>
        <v>5430627.8399999999</v>
      </c>
      <c r="K1393" s="757"/>
      <c r="L1393" s="757"/>
      <c r="M1393" s="757"/>
      <c r="N1393" s="757"/>
      <c r="O1393" s="757"/>
    </row>
    <row r="1394" spans="1:15" ht="23.4" x14ac:dyDescent="0.3">
      <c r="A1394" s="277" t="s">
        <v>110</v>
      </c>
      <c r="B1394" s="956" t="s">
        <v>17</v>
      </c>
      <c r="C1394" s="272" t="s">
        <v>320</v>
      </c>
      <c r="D1394" s="272"/>
      <c r="E1394" s="508">
        <v>12.5275</v>
      </c>
      <c r="F1394" s="405">
        <f>IFERROR(E1394*'01 Prod Physique Boites'!H1389,"-")</f>
        <v>383341.5</v>
      </c>
      <c r="G1394" s="405">
        <f>IFERROR(E1394*'01 Prod Physique Boites'!L1389,"-")</f>
        <v>2453385.6</v>
      </c>
      <c r="H1394" s="715">
        <v>18.836400000000001</v>
      </c>
      <c r="I1394" s="422">
        <f t="shared" ref="I1394:I1400" si="860">IFERROR(H1394*(F1394/E1394),"-")</f>
        <v>576393.84000000008</v>
      </c>
      <c r="J1394" s="423">
        <f t="shared" ref="J1394:J1399" si="861">IFERROR(H1394*(G1394/E1394),"-")</f>
        <v>3688920.5760000004</v>
      </c>
    </row>
    <row r="1395" spans="1:15" ht="23.4" x14ac:dyDescent="0.3">
      <c r="A1395" s="277" t="s">
        <v>110</v>
      </c>
      <c r="B1395" s="957"/>
      <c r="C1395" s="278" t="s">
        <v>382</v>
      </c>
      <c r="D1395" s="278" t="s">
        <v>252</v>
      </c>
      <c r="E1395" s="698">
        <v>13.002700000000001</v>
      </c>
      <c r="F1395" s="405">
        <f>IFERROR(E1395*'01 Prod Physique Boites'!H1390,"-")</f>
        <v>0</v>
      </c>
      <c r="G1395" s="405">
        <f>IFERROR(E1395*'01 Prod Physique Boites'!L1390,"-")</f>
        <v>7837286.4061000003</v>
      </c>
      <c r="H1395" s="388">
        <v>21.18</v>
      </c>
      <c r="I1395" s="424">
        <f t="shared" si="860"/>
        <v>0</v>
      </c>
      <c r="J1395" s="425">
        <f t="shared" si="861"/>
        <v>12766096.74</v>
      </c>
    </row>
    <row r="1396" spans="1:15" ht="23.4" x14ac:dyDescent="0.3">
      <c r="A1396" s="277" t="s">
        <v>110</v>
      </c>
      <c r="B1396" s="957"/>
      <c r="C1396" s="278" t="s">
        <v>391</v>
      </c>
      <c r="D1396" s="278" t="s">
        <v>201</v>
      </c>
      <c r="E1396" s="698">
        <v>12.9049</v>
      </c>
      <c r="F1396" s="405">
        <f>IFERROR(E1396*'01 Prod Physique Boites'!H1391,"-")</f>
        <v>0</v>
      </c>
      <c r="G1396" s="405">
        <f>IFERROR(E1396*'01 Prod Physique Boites'!L1391,"-")</f>
        <v>5868064.5083999997</v>
      </c>
      <c r="H1396" s="388">
        <v>20.5</v>
      </c>
      <c r="I1396" s="424">
        <f t="shared" si="860"/>
        <v>0</v>
      </c>
      <c r="J1396" s="425">
        <f t="shared" si="861"/>
        <v>9321678</v>
      </c>
    </row>
    <row r="1397" spans="1:15" ht="23.4" x14ac:dyDescent="0.3">
      <c r="A1397" s="277" t="s">
        <v>110</v>
      </c>
      <c r="B1397" s="957"/>
      <c r="C1397" s="278" t="s">
        <v>319</v>
      </c>
      <c r="D1397" s="278" t="s">
        <v>202</v>
      </c>
      <c r="E1397" s="509">
        <v>13.078200000000001</v>
      </c>
      <c r="F1397" s="405">
        <f>IFERROR(E1397*'01 Prod Physique Boites'!H1392,"-")</f>
        <v>1520733.0960000001</v>
      </c>
      <c r="G1397" s="405">
        <f>IFERROR(E1397*'01 Prod Physique Boites'!L1392,"-")</f>
        <v>1520733.0960000001</v>
      </c>
      <c r="H1397" s="388">
        <v>20.6</v>
      </c>
      <c r="I1397" s="424">
        <f t="shared" si="860"/>
        <v>2395368</v>
      </c>
      <c r="J1397" s="425">
        <f t="shared" si="861"/>
        <v>2395368</v>
      </c>
    </row>
    <row r="1398" spans="1:15" ht="23.4" x14ac:dyDescent="0.3">
      <c r="A1398" s="277" t="s">
        <v>110</v>
      </c>
      <c r="B1398" s="957"/>
      <c r="C1398" s="278" t="s">
        <v>358</v>
      </c>
      <c r="D1398" s="278" t="s">
        <v>352</v>
      </c>
      <c r="E1398" s="509">
        <v>13.1958</v>
      </c>
      <c r="F1398" s="405">
        <f>IFERROR(E1398*'01 Prod Physique Boites'!H1393,"-")</f>
        <v>0</v>
      </c>
      <c r="G1398" s="405">
        <f>IFERROR(E1398*'01 Prod Physique Boites'!L1393,"-")</f>
        <v>6609538.6956000002</v>
      </c>
      <c r="H1398" s="388">
        <v>21.28</v>
      </c>
      <c r="I1398" s="424">
        <f t="shared" si="860"/>
        <v>0</v>
      </c>
      <c r="J1398" s="425">
        <f t="shared" si="861"/>
        <v>10658768.960000001</v>
      </c>
    </row>
    <row r="1399" spans="1:15" ht="23.4" x14ac:dyDescent="0.3">
      <c r="A1399" s="277">
        <v>1</v>
      </c>
      <c r="B1399" s="957"/>
      <c r="C1399" s="278" t="s">
        <v>392</v>
      </c>
      <c r="D1399" s="278" t="s">
        <v>203</v>
      </c>
      <c r="E1399" s="698">
        <v>12.9049</v>
      </c>
      <c r="F1399" s="405">
        <f>IFERROR(E1399*'01 Prod Physique Boites'!H1394,"-")</f>
        <v>0</v>
      </c>
      <c r="G1399" s="405">
        <f>IFERROR(E1399*'01 Prod Physique Boites'!L1394,"-")</f>
        <v>0</v>
      </c>
      <c r="H1399" s="677">
        <v>20.5</v>
      </c>
      <c r="I1399" s="424">
        <f t="shared" si="860"/>
        <v>0</v>
      </c>
      <c r="J1399" s="425">
        <f t="shared" si="861"/>
        <v>0</v>
      </c>
    </row>
    <row r="1400" spans="1:15" ht="24" thickBot="1" x14ac:dyDescent="0.35">
      <c r="A1400" s="277" t="s">
        <v>110</v>
      </c>
      <c r="B1400" s="958"/>
      <c r="C1400" s="282" t="s">
        <v>379</v>
      </c>
      <c r="D1400" s="282" t="s">
        <v>187</v>
      </c>
      <c r="E1400" s="505">
        <v>13.6509</v>
      </c>
      <c r="F1400" s="405">
        <f>IFERROR(E1400*'01 Prod Physique Boites'!H1395,"-")</f>
        <v>0</v>
      </c>
      <c r="G1400" s="405">
        <f>IFERROR(E1400*'01 Prod Physique Boites'!L1395,"-")</f>
        <v>0</v>
      </c>
      <c r="H1400" s="390">
        <v>21.18</v>
      </c>
      <c r="I1400" s="426">
        <f t="shared" si="860"/>
        <v>0</v>
      </c>
      <c r="J1400" s="427">
        <f>IFERROR(H1400*(G1400/E1400),"-")</f>
        <v>0</v>
      </c>
    </row>
    <row r="1401" spans="1:15" ht="24" thickBot="1" x14ac:dyDescent="0.35">
      <c r="A1401" s="277" t="s">
        <v>110</v>
      </c>
      <c r="B1401" s="967" t="s">
        <v>48</v>
      </c>
      <c r="C1401" s="968"/>
      <c r="D1401" s="969"/>
      <c r="E1401" s="393"/>
      <c r="F1401" s="409">
        <f t="shared" ref="F1401" si="862">SUM(F1394:F1400)</f>
        <v>1904074.5960000001</v>
      </c>
      <c r="G1401" s="410">
        <f>SUM(G1394:G1400)</f>
        <v>24289008.3061</v>
      </c>
      <c r="H1401" s="394"/>
      <c r="I1401" s="409">
        <f t="shared" ref="I1401" si="863">SUM(I1394:I1400)</f>
        <v>2971761.84</v>
      </c>
      <c r="J1401" s="428">
        <f>SUM(J1394:J1400)</f>
        <v>38830832.276000001</v>
      </c>
      <c r="K1401" s="757"/>
      <c r="L1401" s="757"/>
      <c r="M1401" s="757"/>
      <c r="N1401" s="757"/>
      <c r="O1401" s="757"/>
    </row>
    <row r="1402" spans="1:15" ht="23.4" x14ac:dyDescent="0.3">
      <c r="A1402" s="277" t="s">
        <v>110</v>
      </c>
      <c r="B1402" s="956" t="s">
        <v>18</v>
      </c>
      <c r="C1402" s="272" t="s">
        <v>344</v>
      </c>
      <c r="D1402" s="272" t="s">
        <v>99</v>
      </c>
      <c r="E1402" s="508">
        <v>17.8202</v>
      </c>
      <c r="F1402" s="405">
        <f>IFERROR(E1402*'01 Prod Physique Boites'!H1397,"-")</f>
        <v>0</v>
      </c>
      <c r="G1402" s="406">
        <f>IFERROR(E1402*'01 Prod Physique Boites'!L1397,"-")</f>
        <v>0</v>
      </c>
      <c r="H1402" s="384">
        <v>24.93</v>
      </c>
      <c r="I1402" s="422">
        <f t="shared" ref="I1402:I1408" si="864">IFERROR(H1402*(F1402/E1402),"-")</f>
        <v>0</v>
      </c>
      <c r="J1402" s="423">
        <f t="shared" ref="J1402:J1404" si="865">IFERROR(H1402*(G1402/E1402),"-")</f>
        <v>0</v>
      </c>
    </row>
    <row r="1403" spans="1:15" ht="23.4" x14ac:dyDescent="0.3">
      <c r="A1403" s="277" t="s">
        <v>110</v>
      </c>
      <c r="B1403" s="957"/>
      <c r="C1403" s="278" t="s">
        <v>137</v>
      </c>
      <c r="D1403" s="278"/>
      <c r="E1403" s="509">
        <v>17.8202</v>
      </c>
      <c r="F1403" s="405">
        <f>IFERROR(E1403*'01 Prod Physique Boites'!H1398,"-")</f>
        <v>0</v>
      </c>
      <c r="G1403" s="406">
        <f>IFERROR(E1403*'01 Prod Physique Boites'!L1398,"-")</f>
        <v>0</v>
      </c>
      <c r="H1403" s="388">
        <v>0</v>
      </c>
      <c r="I1403" s="424">
        <f t="shared" si="864"/>
        <v>0</v>
      </c>
      <c r="J1403" s="425">
        <f t="shared" si="865"/>
        <v>0</v>
      </c>
    </row>
    <row r="1404" spans="1:15" ht="23.4" x14ac:dyDescent="0.3">
      <c r="A1404" s="277" t="s">
        <v>110</v>
      </c>
      <c r="B1404" s="957"/>
      <c r="C1404" s="278" t="s">
        <v>122</v>
      </c>
      <c r="D1404" s="278"/>
      <c r="E1404" s="509">
        <v>16.4071</v>
      </c>
      <c r="F1404" s="405">
        <f>IFERROR(E1404*'01 Prod Physique Boites'!H1399,"-")</f>
        <v>0</v>
      </c>
      <c r="G1404" s="406">
        <f>IFERROR(E1404*'01 Prod Physique Boites'!L1399,"-")</f>
        <v>0</v>
      </c>
      <c r="H1404" s="388">
        <v>0</v>
      </c>
      <c r="I1404" s="424">
        <f t="shared" si="864"/>
        <v>0</v>
      </c>
      <c r="J1404" s="425">
        <f t="shared" si="865"/>
        <v>0</v>
      </c>
    </row>
    <row r="1405" spans="1:15" ht="23.4" x14ac:dyDescent="0.3">
      <c r="A1405" s="277" t="s">
        <v>110</v>
      </c>
      <c r="B1405" s="957"/>
      <c r="C1405" s="278" t="s">
        <v>129</v>
      </c>
      <c r="D1405" s="278"/>
      <c r="E1405" s="509">
        <v>17.8202</v>
      </c>
      <c r="F1405" s="405">
        <f>IFERROR(E1405*'01 Prod Physique Boites'!H1400,"-")</f>
        <v>0</v>
      </c>
      <c r="G1405" s="406">
        <f>IFERROR(E1405*'01 Prod Physique Boites'!L1400,"-")</f>
        <v>0</v>
      </c>
      <c r="H1405" s="388">
        <v>0</v>
      </c>
      <c r="I1405" s="424">
        <f t="shared" si="864"/>
        <v>0</v>
      </c>
      <c r="J1405" s="425">
        <f>IFERROR(H1405*(G1405/E1405),"-")</f>
        <v>0</v>
      </c>
    </row>
    <row r="1406" spans="1:15" ht="23.4" x14ac:dyDescent="0.3">
      <c r="A1406" s="277" t="s">
        <v>110</v>
      </c>
      <c r="B1406" s="957"/>
      <c r="C1406" s="278" t="s">
        <v>189</v>
      </c>
      <c r="D1406" s="278" t="s">
        <v>190</v>
      </c>
      <c r="E1406" s="509">
        <v>17.8202</v>
      </c>
      <c r="F1406" s="405">
        <f>IFERROR(E1406*'01 Prod Physique Boites'!H1401,"-")</f>
        <v>0</v>
      </c>
      <c r="G1406" s="406">
        <f>IFERROR(E1406*'01 Prod Physique Boites'!L1401,"-")</f>
        <v>0</v>
      </c>
      <c r="H1406" s="388">
        <v>0</v>
      </c>
      <c r="I1406" s="424">
        <f t="shared" si="864"/>
        <v>0</v>
      </c>
      <c r="J1406" s="425">
        <f t="shared" ref="J1406:J1408" si="866">IFERROR(H1406*(G1406/E1406),"-")</f>
        <v>0</v>
      </c>
    </row>
    <row r="1407" spans="1:15" ht="23.4" x14ac:dyDescent="0.3">
      <c r="A1407" s="277" t="s">
        <v>110</v>
      </c>
      <c r="B1407" s="957"/>
      <c r="C1407" s="278" t="s">
        <v>192</v>
      </c>
      <c r="D1407" s="278" t="s">
        <v>191</v>
      </c>
      <c r="E1407" s="509">
        <v>16.7288</v>
      </c>
      <c r="F1407" s="405">
        <f>IFERROR(E1407*'01 Prod Physique Boites'!H1402,"-")</f>
        <v>0</v>
      </c>
      <c r="G1407" s="406">
        <f>IFERROR(E1407*'01 Prod Physique Boites'!L1402,"-")</f>
        <v>0</v>
      </c>
      <c r="H1407" s="388">
        <v>0</v>
      </c>
      <c r="I1407" s="424">
        <f t="shared" si="864"/>
        <v>0</v>
      </c>
      <c r="J1407" s="425">
        <f t="shared" si="866"/>
        <v>0</v>
      </c>
    </row>
    <row r="1408" spans="1:15" ht="24" thickBot="1" x14ac:dyDescent="0.35">
      <c r="A1408" s="277" t="s">
        <v>110</v>
      </c>
      <c r="B1408" s="958"/>
      <c r="C1408" s="289" t="s">
        <v>193</v>
      </c>
      <c r="D1408" s="289" t="s">
        <v>114</v>
      </c>
      <c r="E1408" s="505">
        <v>17.8202</v>
      </c>
      <c r="F1408" s="405">
        <f>IFERROR(E1408*'01 Prod Physique Boites'!H1403,"-")</f>
        <v>0</v>
      </c>
      <c r="G1408" s="406">
        <f>IFERROR(E1408*'01 Prod Physique Boites'!L1403,"-")</f>
        <v>0</v>
      </c>
      <c r="H1408" s="388">
        <v>0</v>
      </c>
      <c r="I1408" s="426">
        <f t="shared" si="864"/>
        <v>0</v>
      </c>
      <c r="J1408" s="427">
        <f t="shared" si="866"/>
        <v>0</v>
      </c>
    </row>
    <row r="1409" spans="1:10" ht="24" thickBot="1" x14ac:dyDescent="0.35">
      <c r="A1409" s="277" t="s">
        <v>110</v>
      </c>
      <c r="B1409" s="967" t="s">
        <v>29</v>
      </c>
      <c r="C1409" s="968"/>
      <c r="D1409" s="969"/>
      <c r="E1409" s="660"/>
      <c r="F1409" s="661">
        <f t="shared" ref="F1409:G1409" si="867">SUM(F1402:F1408)</f>
        <v>0</v>
      </c>
      <c r="G1409" s="410">
        <f t="shared" si="867"/>
        <v>0</v>
      </c>
      <c r="H1409" s="394"/>
      <c r="I1409" s="409">
        <f t="shared" ref="I1409:J1409" si="868">SUM(I1402:I1408)</f>
        <v>0</v>
      </c>
      <c r="J1409" s="428">
        <f t="shared" si="868"/>
        <v>0</v>
      </c>
    </row>
    <row r="1410" spans="1:10" ht="24" thickBot="1" x14ac:dyDescent="0.35">
      <c r="A1410" s="277"/>
      <c r="B1410" s="985" t="s">
        <v>19</v>
      </c>
      <c r="C1410" s="662" t="s">
        <v>255</v>
      </c>
      <c r="D1410" s="668" t="s">
        <v>190</v>
      </c>
      <c r="E1410" s="669">
        <v>12.2659</v>
      </c>
      <c r="F1410" s="670">
        <f>IFERROR(E1410*'01 Prod Physique Boites'!H1405,"-")</f>
        <v>0</v>
      </c>
      <c r="G1410" s="671">
        <f>IFERROR(E1410*'01 Prod Physique Boites'!L1405,"-")</f>
        <v>0</v>
      </c>
      <c r="H1410" s="665">
        <v>14.79</v>
      </c>
      <c r="I1410" s="650">
        <f t="shared" ref="I1410:I1412" si="869">IFERROR(H1410*(F1410/E1410),"-")</f>
        <v>0</v>
      </c>
      <c r="J1410" s="650">
        <f>IFERROR(H1410*(G1410/E1410),"-")</f>
        <v>0</v>
      </c>
    </row>
    <row r="1411" spans="1:10" ht="24" thickBot="1" x14ac:dyDescent="0.35">
      <c r="A1411" s="277"/>
      <c r="B1411" s="986"/>
      <c r="C1411" s="663" t="s">
        <v>399</v>
      </c>
      <c r="D1411" s="672"/>
      <c r="E1411" s="654">
        <v>12.2659</v>
      </c>
      <c r="F1411" s="670">
        <f>IFERROR(E1411*'01 Prod Physique Boites'!H1406,"-")</f>
        <v>0</v>
      </c>
      <c r="G1411" s="645">
        <f>IFERROR(E1411*'01 Prod Physique Boites'!L1406,"-")</f>
        <v>239626.62239999999</v>
      </c>
      <c r="H1411" s="666">
        <v>14.55</v>
      </c>
      <c r="I1411" s="655">
        <f t="shared" si="869"/>
        <v>0</v>
      </c>
      <c r="J1411" s="655">
        <f>IFERROR(H1411*(G1411/E1411),"-")</f>
        <v>284248.8</v>
      </c>
    </row>
    <row r="1412" spans="1:10" ht="24" thickBot="1" x14ac:dyDescent="0.35">
      <c r="A1412" s="857" t="s">
        <v>110</v>
      </c>
      <c r="B1412" s="987"/>
      <c r="C1412" s="664" t="s">
        <v>380</v>
      </c>
      <c r="D1412" s="673"/>
      <c r="E1412" s="674">
        <v>0</v>
      </c>
      <c r="F1412" s="670">
        <f>IFERROR(E1412*'01 Prod Physique Boites'!H1407,"-")</f>
        <v>0</v>
      </c>
      <c r="G1412" s="676">
        <f>IFERROR(E1412*'01 Prod Physique Boites'!L1407,"-")</f>
        <v>0</v>
      </c>
      <c r="H1412" s="667">
        <v>0</v>
      </c>
      <c r="I1412" s="429" t="str">
        <f t="shared" si="869"/>
        <v>-</v>
      </c>
      <c r="J1412" s="430" t="str">
        <f t="shared" ref="J1412" si="870">IFERROR(I1412*(G1412/F1412),"-")</f>
        <v>-</v>
      </c>
    </row>
    <row r="1413" spans="1:10" ht="24" thickBot="1" x14ac:dyDescent="0.35">
      <c r="A1413" s="277" t="s">
        <v>110</v>
      </c>
      <c r="B1413" s="967" t="s">
        <v>49</v>
      </c>
      <c r="C1413" s="968"/>
      <c r="D1413" s="969"/>
      <c r="E1413" s="393"/>
      <c r="F1413" s="409">
        <f>SUM(F1410:F1412)</f>
        <v>0</v>
      </c>
      <c r="G1413" s="409">
        <f>SUM(G1410:G1412)</f>
        <v>239626.62239999999</v>
      </c>
      <c r="H1413" s="394"/>
      <c r="I1413" s="409">
        <f>SUM(I1410:I1412)</f>
        <v>0</v>
      </c>
      <c r="J1413" s="428">
        <f>SUM(J1410:J1412)</f>
        <v>284248.8</v>
      </c>
    </row>
    <row r="1414" spans="1:10" ht="23.4" x14ac:dyDescent="0.3">
      <c r="A1414" s="277" t="s">
        <v>110</v>
      </c>
      <c r="B1414" s="956" t="s">
        <v>20</v>
      </c>
      <c r="C1414" s="294" t="s">
        <v>351</v>
      </c>
      <c r="D1414" s="294" t="s">
        <v>313</v>
      </c>
      <c r="E1414" s="508">
        <v>26.032900000000001</v>
      </c>
      <c r="F1414" s="405">
        <f>IFERROR(E1414*'01 Prod Physique Boites'!H1409,"-")</f>
        <v>0</v>
      </c>
      <c r="G1414" s="406">
        <f>IFERROR(E1414*'01 Prod Physique Boites'!L1409,"-")</f>
        <v>0</v>
      </c>
      <c r="H1414" s="384">
        <v>36.44</v>
      </c>
      <c r="I1414" s="422">
        <f>IFERROR(H1414*(F1414/E1414),"-")</f>
        <v>0</v>
      </c>
      <c r="J1414" s="423">
        <f t="shared" ref="J1414:J1416" si="871">IFERROR(H1414*(G1414/E1414),"-")</f>
        <v>0</v>
      </c>
    </row>
    <row r="1415" spans="1:10" ht="23.4" x14ac:dyDescent="0.3">
      <c r="A1415" s="277" t="s">
        <v>110</v>
      </c>
      <c r="B1415" s="957"/>
      <c r="C1415" s="295" t="s">
        <v>121</v>
      </c>
      <c r="D1415" s="295"/>
      <c r="E1415" s="387">
        <v>24.2607</v>
      </c>
      <c r="F1415" s="405">
        <f>IFERROR(E1415*'01 Prod Physique Boites'!H1410,"-")</f>
        <v>0</v>
      </c>
      <c r="G1415" s="406">
        <f>IFERROR(E1415*'01 Prod Physique Boites'!L1410,"-")</f>
        <v>0</v>
      </c>
      <c r="H1415" s="388">
        <v>37.369999999999997</v>
      </c>
      <c r="I1415" s="424">
        <f>IFERROR(H1415*(F1415/E1415),"-")</f>
        <v>0</v>
      </c>
      <c r="J1415" s="425">
        <f t="shared" si="871"/>
        <v>0</v>
      </c>
    </row>
    <row r="1416" spans="1:10" ht="24" thickBot="1" x14ac:dyDescent="0.35">
      <c r="A1416" s="277" t="s">
        <v>110</v>
      </c>
      <c r="B1416" s="958"/>
      <c r="C1416" s="296" t="s">
        <v>127</v>
      </c>
      <c r="D1416" s="296"/>
      <c r="E1416" s="389">
        <v>26.035799999999998</v>
      </c>
      <c r="F1416" s="405">
        <f>IFERROR(E1416*'01 Prod Physique Boites'!H1411,"-")</f>
        <v>0</v>
      </c>
      <c r="G1416" s="406">
        <f>IFERROR(E1416*'01 Prod Physique Boites'!L1411,"-")</f>
        <v>0</v>
      </c>
      <c r="H1416" s="390">
        <v>37.11</v>
      </c>
      <c r="I1416" s="426">
        <f>IFERROR(H1416*(F1416/E1416),"-")</f>
        <v>0</v>
      </c>
      <c r="J1416" s="427">
        <f t="shared" si="871"/>
        <v>0</v>
      </c>
    </row>
    <row r="1417" spans="1:10" ht="24" thickBot="1" x14ac:dyDescent="0.35">
      <c r="A1417" s="277" t="s">
        <v>110</v>
      </c>
      <c r="B1417" s="968" t="s">
        <v>50</v>
      </c>
      <c r="C1417" s="968"/>
      <c r="D1417" s="989"/>
      <c r="E1417" s="393"/>
      <c r="F1417" s="409">
        <f t="shared" ref="F1417:G1417" si="872">SUM(F1414:F1416)</f>
        <v>0</v>
      </c>
      <c r="G1417" s="410">
        <f t="shared" si="872"/>
        <v>0</v>
      </c>
      <c r="H1417" s="394"/>
      <c r="I1417" s="409">
        <f t="shared" ref="I1417:J1417" si="873">SUM(I1414:I1416)</f>
        <v>0</v>
      </c>
      <c r="J1417" s="428">
        <f t="shared" si="873"/>
        <v>0</v>
      </c>
    </row>
    <row r="1418" spans="1:10" ht="24" thickBot="1" x14ac:dyDescent="0.35">
      <c r="A1418" s="277" t="s">
        <v>110</v>
      </c>
      <c r="B1418" s="981" t="s">
        <v>21</v>
      </c>
      <c r="C1418" s="982"/>
      <c r="D1418" s="983"/>
      <c r="E1418" s="396"/>
      <c r="F1418" s="413">
        <f>+F1393+F1401+F1409+F1413+F1417</f>
        <v>3397445.0920000002</v>
      </c>
      <c r="G1418" s="414">
        <f>+G1393+G1401+G1409+G1413+G1417</f>
        <v>33700365.419199996</v>
      </c>
      <c r="H1418" s="397"/>
      <c r="I1418" s="413">
        <f>+I1393+I1401+I1409+I1413+I1417</f>
        <v>3625859.76</v>
      </c>
      <c r="J1418" s="431">
        <f>+J1393+J1401+J1409+J1413+J1417</f>
        <v>44545708.915999994</v>
      </c>
    </row>
    <row r="1419" spans="1:10" ht="23.4" x14ac:dyDescent="0.3">
      <c r="A1419" s="277" t="s">
        <v>110</v>
      </c>
      <c r="B1419" s="956" t="s">
        <v>481</v>
      </c>
      <c r="C1419" s="272" t="s">
        <v>132</v>
      </c>
      <c r="D1419" s="272"/>
      <c r="E1419" s="383">
        <v>22.820599999999999</v>
      </c>
      <c r="F1419" s="405">
        <f>IFERROR(E1419*'01 Prod Physique Boites'!H1414,"-")</f>
        <v>0</v>
      </c>
      <c r="G1419" s="406">
        <f>IFERROR(E1419*'01 Prod Physique Boites'!L1414,"-")</f>
        <v>0</v>
      </c>
      <c r="H1419" s="384">
        <v>27.5</v>
      </c>
      <c r="I1419" s="422">
        <f>IFERROR(H1419*(F1419/E1419),"-")</f>
        <v>0</v>
      </c>
      <c r="J1419" s="423">
        <f t="shared" ref="J1419:J1422" si="874">IFERROR(H1419*(G1419/E1419),"-")</f>
        <v>0</v>
      </c>
    </row>
    <row r="1420" spans="1:10" ht="23.4" x14ac:dyDescent="0.3">
      <c r="A1420" s="277" t="s">
        <v>110</v>
      </c>
      <c r="B1420" s="957"/>
      <c r="C1420" s="298" t="s">
        <v>283</v>
      </c>
      <c r="D1420" s="298" t="s">
        <v>194</v>
      </c>
      <c r="E1420" s="387">
        <v>23.570699999999999</v>
      </c>
      <c r="F1420" s="405">
        <f>IFERROR(E1420*'01 Prod Physique Boites'!H1415,"-")</f>
        <v>0</v>
      </c>
      <c r="G1420" s="406">
        <f>IFERROR(E1420*'01 Prod Physique Boites'!L1415,"-")</f>
        <v>0</v>
      </c>
      <c r="H1420" s="388">
        <v>27.5</v>
      </c>
      <c r="I1420" s="424">
        <f>IFERROR(H1420*(F1420/E1420),"-")</f>
        <v>0</v>
      </c>
      <c r="J1420" s="425">
        <f t="shared" si="874"/>
        <v>0</v>
      </c>
    </row>
    <row r="1421" spans="1:10" ht="23.4" x14ac:dyDescent="0.3">
      <c r="A1421" s="277" t="s">
        <v>110</v>
      </c>
      <c r="B1421" s="957"/>
      <c r="C1421" s="298" t="s">
        <v>405</v>
      </c>
      <c r="D1421" s="298" t="s">
        <v>194</v>
      </c>
      <c r="E1421" s="387">
        <v>22.820599999999999</v>
      </c>
      <c r="F1421" s="405">
        <f>IFERROR(E1421*'01 Prod Physique Boites'!H1416,"-")</f>
        <v>164992.93799999999</v>
      </c>
      <c r="G1421" s="406">
        <f>IFERROR(E1421*'01 Prod Physique Boites'!L1416,"-")</f>
        <v>8207885.2019999996</v>
      </c>
      <c r="H1421" s="388">
        <v>27.5</v>
      </c>
      <c r="I1421" s="424">
        <f>IFERROR(H1421*(F1421/E1421),"-")</f>
        <v>198825</v>
      </c>
      <c r="J1421" s="425">
        <f t="shared" si="874"/>
        <v>9890925</v>
      </c>
    </row>
    <row r="1422" spans="1:10" ht="24" thickBot="1" x14ac:dyDescent="0.35">
      <c r="A1422" s="277" t="s">
        <v>110</v>
      </c>
      <c r="B1422" s="958"/>
      <c r="C1422" s="282" t="s">
        <v>195</v>
      </c>
      <c r="D1422" s="282" t="s">
        <v>100</v>
      </c>
      <c r="E1422" s="389">
        <v>23.5685</v>
      </c>
      <c r="F1422" s="405">
        <f>IFERROR(E1422*'01 Prod Physique Boites'!H1417,"-")</f>
        <v>0</v>
      </c>
      <c r="G1422" s="406">
        <f>IFERROR(E1422*'01 Prod Physique Boites'!L1417,"-")</f>
        <v>0</v>
      </c>
      <c r="H1422" s="390">
        <v>24</v>
      </c>
      <c r="I1422" s="426">
        <f>IFERROR(H1422*(F1422/E1422),"-")</f>
        <v>0</v>
      </c>
      <c r="J1422" s="427">
        <f t="shared" si="874"/>
        <v>0</v>
      </c>
    </row>
    <row r="1423" spans="1:10" ht="24" thickBot="1" x14ac:dyDescent="0.35">
      <c r="A1423" s="277" t="s">
        <v>110</v>
      </c>
      <c r="B1423" s="967" t="s">
        <v>51</v>
      </c>
      <c r="C1423" s="968"/>
      <c r="D1423" s="969"/>
      <c r="E1423" s="393"/>
      <c r="F1423" s="409">
        <f t="shared" ref="F1423:G1423" si="875">SUM(F1419:F1422)</f>
        <v>164992.93799999999</v>
      </c>
      <c r="G1423" s="410">
        <f t="shared" si="875"/>
        <v>8207885.2019999996</v>
      </c>
      <c r="H1423" s="394"/>
      <c r="I1423" s="409">
        <f t="shared" ref="I1423:J1423" si="876">SUM(I1419:I1422)</f>
        <v>198825</v>
      </c>
      <c r="J1423" s="428">
        <f t="shared" si="876"/>
        <v>9890925</v>
      </c>
    </row>
    <row r="1424" spans="1:10" ht="23.4" x14ac:dyDescent="0.3">
      <c r="A1424" s="277" t="s">
        <v>110</v>
      </c>
      <c r="B1424" s="956" t="s">
        <v>23</v>
      </c>
      <c r="C1424" s="299" t="s">
        <v>337</v>
      </c>
      <c r="D1424" s="299" t="s">
        <v>258</v>
      </c>
      <c r="E1424" s="383">
        <v>101.4935</v>
      </c>
      <c r="F1424" s="405">
        <f>IFERROR(E1424*'01 Prod Physique Boites'!H1419,"-")</f>
        <v>0</v>
      </c>
      <c r="G1424" s="406">
        <f>IFERROR(E1424*'01 Prod Physique Boites'!L1419,"-")</f>
        <v>0</v>
      </c>
      <c r="H1424" s="388">
        <v>160.44999999999999</v>
      </c>
      <c r="I1424" s="422">
        <f t="shared" ref="I1424:I1431" si="877">IFERROR(H1424*(F1424/E1424),"-")</f>
        <v>0</v>
      </c>
      <c r="J1424" s="423">
        <f t="shared" ref="J1424:J1431" si="878">IFERROR(H1424*(G1424/E1424),"-")</f>
        <v>0</v>
      </c>
    </row>
    <row r="1425" spans="1:10" ht="23.4" x14ac:dyDescent="0.3">
      <c r="A1425" s="277" t="s">
        <v>110</v>
      </c>
      <c r="B1425" s="957"/>
      <c r="C1425" s="278" t="s">
        <v>24</v>
      </c>
      <c r="D1425" s="278" t="s">
        <v>258</v>
      </c>
      <c r="E1425" s="387">
        <v>101.4935</v>
      </c>
      <c r="F1425" s="405">
        <f>IFERROR(E1425*'01 Prod Physique Boites'!H1420,"-")</f>
        <v>0</v>
      </c>
      <c r="G1425" s="406">
        <f>IFERROR(E1425*'01 Prod Physique Boites'!L1420,"-")</f>
        <v>0</v>
      </c>
      <c r="H1425" s="388">
        <v>160.44999999999999</v>
      </c>
      <c r="I1425" s="424">
        <f t="shared" si="877"/>
        <v>0</v>
      </c>
      <c r="J1425" s="425">
        <f t="shared" si="878"/>
        <v>0</v>
      </c>
    </row>
    <row r="1426" spans="1:10" ht="23.4" x14ac:dyDescent="0.3">
      <c r="A1426" s="277" t="s">
        <v>110</v>
      </c>
      <c r="B1426" s="957"/>
      <c r="C1426" s="278" t="s">
        <v>256</v>
      </c>
      <c r="D1426" s="278" t="s">
        <v>258</v>
      </c>
      <c r="E1426" s="387">
        <v>101.4935</v>
      </c>
      <c r="F1426" s="405">
        <f>IFERROR(E1426*'01 Prod Physique Boites'!H1421,"-")</f>
        <v>0</v>
      </c>
      <c r="G1426" s="406">
        <f>IFERROR(E1426*'01 Prod Physique Boites'!L1421,"-")</f>
        <v>1983690.4575</v>
      </c>
      <c r="H1426" s="388">
        <v>160.44999999999999</v>
      </c>
      <c r="I1426" s="424">
        <f t="shared" si="877"/>
        <v>0</v>
      </c>
      <c r="J1426" s="425">
        <f t="shared" si="878"/>
        <v>3135995.25</v>
      </c>
    </row>
    <row r="1427" spans="1:10" ht="23.4" x14ac:dyDescent="0.3">
      <c r="A1427" s="277" t="s">
        <v>110</v>
      </c>
      <c r="B1427" s="957"/>
      <c r="C1427" s="278" t="s">
        <v>257</v>
      </c>
      <c r="D1427" s="278" t="s">
        <v>258</v>
      </c>
      <c r="E1427" s="387">
        <v>101.4935</v>
      </c>
      <c r="F1427" s="405">
        <f>IFERROR(E1427*'01 Prod Physique Boites'!H1422,"-")</f>
        <v>1888895.5285</v>
      </c>
      <c r="G1427" s="406">
        <f>IFERROR(E1427*'01 Prod Physique Boites'!L1422,"-")</f>
        <v>2066509.1535</v>
      </c>
      <c r="H1427" s="388">
        <v>160.44999999999999</v>
      </c>
      <c r="I1427" s="424">
        <f t="shared" si="877"/>
        <v>2986134.9499999997</v>
      </c>
      <c r="J1427" s="425">
        <f t="shared" si="878"/>
        <v>3266922.4499999997</v>
      </c>
    </row>
    <row r="1428" spans="1:10" ht="23.4" x14ac:dyDescent="0.3">
      <c r="A1428" s="277" t="s">
        <v>110</v>
      </c>
      <c r="B1428" s="957"/>
      <c r="C1428" s="298" t="s">
        <v>259</v>
      </c>
      <c r="D1428" s="278" t="s">
        <v>258</v>
      </c>
      <c r="E1428" s="387">
        <v>101.4935</v>
      </c>
      <c r="F1428" s="405">
        <f>IFERROR(E1428*'01 Prod Physique Boites'!H1423,"-")</f>
        <v>0</v>
      </c>
      <c r="G1428" s="406">
        <f>IFERROR(E1428*'01 Prod Physique Boites'!L1423,"-")</f>
        <v>1249080.5045</v>
      </c>
      <c r="H1428" s="388">
        <v>160.44999999999999</v>
      </c>
      <c r="I1428" s="424">
        <f t="shared" si="877"/>
        <v>0</v>
      </c>
      <c r="J1428" s="425">
        <f t="shared" si="878"/>
        <v>1974658.15</v>
      </c>
    </row>
    <row r="1429" spans="1:10" ht="23.4" x14ac:dyDescent="0.3">
      <c r="A1429" s="277" t="s">
        <v>110</v>
      </c>
      <c r="B1429" s="957"/>
      <c r="C1429" s="298" t="s">
        <v>260</v>
      </c>
      <c r="D1429" s="278" t="s">
        <v>258</v>
      </c>
      <c r="E1429" s="387">
        <v>101.4935</v>
      </c>
      <c r="F1429" s="405">
        <f>IFERROR(E1429*'01 Prod Physique Boites'!H1424,"-")</f>
        <v>0</v>
      </c>
      <c r="G1429" s="406">
        <f>IFERROR(E1429*'01 Prod Physique Boites'!L1424,"-")</f>
        <v>2708049.5669999998</v>
      </c>
      <c r="H1429" s="388">
        <v>160.44999999999999</v>
      </c>
      <c r="I1429" s="424">
        <f t="shared" si="877"/>
        <v>0</v>
      </c>
      <c r="J1429" s="425">
        <f t="shared" si="878"/>
        <v>4281126.8999999994</v>
      </c>
    </row>
    <row r="1430" spans="1:10" ht="23.4" x14ac:dyDescent="0.3">
      <c r="A1430" s="277" t="s">
        <v>110</v>
      </c>
      <c r="B1430" s="957"/>
      <c r="C1430" s="298" t="s">
        <v>261</v>
      </c>
      <c r="D1430" s="278" t="s">
        <v>263</v>
      </c>
      <c r="E1430" s="387">
        <v>101.4935</v>
      </c>
      <c r="F1430" s="405">
        <f>IFERROR(E1430*'01 Prod Physique Boites'!H1425,"-")</f>
        <v>0</v>
      </c>
      <c r="G1430" s="406">
        <f>IFERROR(E1430*'01 Prod Physique Boites'!L1425,"-")</f>
        <v>2384082.3149999999</v>
      </c>
      <c r="H1430" s="388">
        <v>160.44999999999999</v>
      </c>
      <c r="I1430" s="424">
        <f t="shared" si="877"/>
        <v>0</v>
      </c>
      <c r="J1430" s="425">
        <f t="shared" si="878"/>
        <v>3768970.4999999995</v>
      </c>
    </row>
    <row r="1431" spans="1:10" ht="24" thickBot="1" x14ac:dyDescent="0.35">
      <c r="A1431" s="277" t="s">
        <v>110</v>
      </c>
      <c r="B1431" s="958"/>
      <c r="C1431" s="298" t="s">
        <v>262</v>
      </c>
      <c r="D1431" s="278" t="s">
        <v>258</v>
      </c>
      <c r="E1431" s="389">
        <v>101.4935</v>
      </c>
      <c r="F1431" s="405">
        <f>IFERROR(E1431*'01 Prod Physique Boites'!H1426,"-")</f>
        <v>88806.8125</v>
      </c>
      <c r="G1431" s="406">
        <f>IFERROR(E1431*'01 Prod Physique Boites'!L1426,"-")</f>
        <v>3006744.9375</v>
      </c>
      <c r="H1431" s="388">
        <v>160.44999999999999</v>
      </c>
      <c r="I1431" s="426">
        <f t="shared" si="877"/>
        <v>140393.75</v>
      </c>
      <c r="J1431" s="427">
        <f t="shared" si="878"/>
        <v>4753331.25</v>
      </c>
    </row>
    <row r="1432" spans="1:10" ht="24" thickBot="1" x14ac:dyDescent="0.35">
      <c r="A1432" s="277" t="s">
        <v>110</v>
      </c>
      <c r="B1432" s="967" t="s">
        <v>52</v>
      </c>
      <c r="C1432" s="968"/>
      <c r="D1432" s="969"/>
      <c r="E1432" s="393"/>
      <c r="F1432" s="409">
        <f t="shared" ref="F1432" si="879">SUM(F1424:F1431)</f>
        <v>1977702.341</v>
      </c>
      <c r="G1432" s="410">
        <f>SUM(G1424:G1431)</f>
        <v>13398156.935000001</v>
      </c>
      <c r="H1432" s="394"/>
      <c r="I1432" s="409">
        <f t="shared" ref="I1432" si="880">SUM(I1424:I1431)</f>
        <v>3126528.6999999997</v>
      </c>
      <c r="J1432" s="428">
        <f>SUM(J1424:J1431)</f>
        <v>21181004.5</v>
      </c>
    </row>
    <row r="1433" spans="1:10" ht="24" thickBot="1" x14ac:dyDescent="0.35">
      <c r="A1433" s="277" t="s">
        <v>110</v>
      </c>
      <c r="B1433" s="981" t="s">
        <v>25</v>
      </c>
      <c r="C1433" s="982"/>
      <c r="D1433" s="983"/>
      <c r="E1433" s="396"/>
      <c r="F1433" s="413">
        <f t="shared" ref="F1433" si="881">+F1423+F1432</f>
        <v>2142695.2790000001</v>
      </c>
      <c r="G1433" s="414">
        <f>+G1423+G1432</f>
        <v>21606042.137000002</v>
      </c>
      <c r="H1433" s="397"/>
      <c r="I1433" s="413">
        <f t="shared" ref="I1433:J1433" si="882">+I1423+I1432</f>
        <v>3325353.6999999997</v>
      </c>
      <c r="J1433" s="431">
        <f t="shared" si="882"/>
        <v>31071929.5</v>
      </c>
    </row>
    <row r="1434" spans="1:10" ht="24" thickBot="1" x14ac:dyDescent="0.35">
      <c r="A1434" s="277" t="s">
        <v>110</v>
      </c>
      <c r="B1434" s="984" t="s">
        <v>180</v>
      </c>
      <c r="C1434" s="962"/>
      <c r="D1434" s="963"/>
      <c r="E1434" s="398"/>
      <c r="F1434" s="415">
        <f t="shared" ref="F1434" si="883">+F1418+F1433</f>
        <v>5540140.3710000003</v>
      </c>
      <c r="G1434" s="416">
        <f>+G1418+G1433</f>
        <v>55306407.556199998</v>
      </c>
      <c r="H1434" s="399"/>
      <c r="I1434" s="415">
        <f t="shared" ref="I1434:J1434" si="884">+I1418+I1433</f>
        <v>6951213.459999999</v>
      </c>
      <c r="J1434" s="432">
        <f t="shared" si="884"/>
        <v>75617638.415999994</v>
      </c>
    </row>
    <row r="1435" spans="1:10" ht="23.4" x14ac:dyDescent="0.3">
      <c r="A1435" s="271" t="s">
        <v>108</v>
      </c>
      <c r="B1435" s="977" t="s">
        <v>26</v>
      </c>
      <c r="C1435" s="300" t="s">
        <v>323</v>
      </c>
      <c r="D1435" s="302" t="s">
        <v>190</v>
      </c>
      <c r="E1435" s="508">
        <v>13.1272</v>
      </c>
      <c r="F1435" s="405">
        <f>+'01 Prod Physique Boites'!H1430</f>
        <v>0</v>
      </c>
      <c r="G1435" s="406">
        <f>IFERROR(E1435*'01 Prod Physique Boites'!L1430,"-")</f>
        <v>0</v>
      </c>
      <c r="H1435" s="384">
        <v>20.76</v>
      </c>
      <c r="I1435" s="422">
        <f t="shared" ref="I1435:I1444" si="885">IFERROR(H1435*(F1435/E1435),"-")</f>
        <v>0</v>
      </c>
      <c r="J1435" s="644">
        <f t="shared" ref="J1435:J1444" si="886">IFERROR(H1435*(G1435/E1435),"-")</f>
        <v>0</v>
      </c>
    </row>
    <row r="1436" spans="1:10" ht="23.4" x14ac:dyDescent="0.3">
      <c r="A1436" s="277" t="s">
        <v>108</v>
      </c>
      <c r="B1436" s="977"/>
      <c r="C1436" s="301" t="s">
        <v>508</v>
      </c>
      <c r="D1436" s="301" t="s">
        <v>507</v>
      </c>
      <c r="E1436" s="509">
        <v>16.7288</v>
      </c>
      <c r="F1436" s="405">
        <f>IFERROR(E1436*'01 Prod Physique Boites'!H1431,"-")</f>
        <v>865113.16319999995</v>
      </c>
      <c r="G1436" s="406">
        <f>IFERROR(E1436*'01 Prod Physique Boites'!L1431,"-")</f>
        <v>3127716.8207999999</v>
      </c>
      <c r="H1436" s="388">
        <v>20.76</v>
      </c>
      <c r="I1436" s="424">
        <f t="shared" si="885"/>
        <v>1073582.6400000001</v>
      </c>
      <c r="J1436" s="645">
        <f t="shared" si="886"/>
        <v>3881414.16</v>
      </c>
    </row>
    <row r="1437" spans="1:10" ht="23.4" x14ac:dyDescent="0.3">
      <c r="A1437" s="277" t="s">
        <v>108</v>
      </c>
      <c r="B1437" s="977"/>
      <c r="C1437" s="302" t="s">
        <v>27</v>
      </c>
      <c r="D1437" s="302" t="s">
        <v>370</v>
      </c>
      <c r="E1437" s="505">
        <v>17.8202</v>
      </c>
      <c r="F1437" s="405">
        <f>IFERROR(E1437*'01 Prod Physique Boites'!H1432,"-")</f>
        <v>45584.071600000003</v>
      </c>
      <c r="G1437" s="406">
        <f>IFERROR(E1437*'01 Prod Physique Boites'!L1432,"-")</f>
        <v>258250.33840000001</v>
      </c>
      <c r="H1437" s="388">
        <v>21.22</v>
      </c>
      <c r="I1437" s="424">
        <f t="shared" si="885"/>
        <v>54280.759999999995</v>
      </c>
      <c r="J1437" s="645">
        <f t="shared" si="886"/>
        <v>307520.24</v>
      </c>
    </row>
    <row r="1438" spans="1:10" ht="23.4" x14ac:dyDescent="0.3">
      <c r="A1438" s="277" t="s">
        <v>108</v>
      </c>
      <c r="B1438" s="977"/>
      <c r="C1438" s="302" t="s">
        <v>27</v>
      </c>
      <c r="D1438" s="302" t="s">
        <v>254</v>
      </c>
      <c r="E1438" s="505">
        <v>17.8202</v>
      </c>
      <c r="F1438" s="405">
        <f>IFERROR(E1438*'01 Prod Physique Boites'!H1433,"-")</f>
        <v>143541.71100000001</v>
      </c>
      <c r="G1438" s="406">
        <f>IFERROR(E1438*'01 Prod Physique Boites'!L1433,"-")</f>
        <v>710651.75580000004</v>
      </c>
      <c r="H1438" s="388">
        <v>24.93</v>
      </c>
      <c r="I1438" s="424">
        <f t="shared" si="885"/>
        <v>200811.15000000002</v>
      </c>
      <c r="J1438" s="645">
        <f t="shared" si="886"/>
        <v>994183.47</v>
      </c>
    </row>
    <row r="1439" spans="1:10" ht="23.4" x14ac:dyDescent="0.3">
      <c r="A1439" s="277" t="s">
        <v>108</v>
      </c>
      <c r="B1439" s="977"/>
      <c r="C1439" s="302" t="s">
        <v>27</v>
      </c>
      <c r="D1439" s="302" t="s">
        <v>302</v>
      </c>
      <c r="E1439" s="505">
        <v>17.8202</v>
      </c>
      <c r="F1439" s="405">
        <f>IFERROR(E1439*'01 Prod Physique Boites'!H1434,"-")</f>
        <v>103891.766</v>
      </c>
      <c r="G1439" s="406">
        <f>IFERROR(E1439*'01 Prod Physique Boites'!L1434,"-")</f>
        <v>103891.766</v>
      </c>
      <c r="H1439" s="388">
        <v>24.93</v>
      </c>
      <c r="I1439" s="424">
        <f t="shared" si="885"/>
        <v>145341.9</v>
      </c>
      <c r="J1439" s="645">
        <f t="shared" si="886"/>
        <v>145341.9</v>
      </c>
    </row>
    <row r="1440" spans="1:10" ht="23.4" x14ac:dyDescent="0.3">
      <c r="A1440" s="277"/>
      <c r="B1440" s="977"/>
      <c r="C1440" s="302" t="s">
        <v>546</v>
      </c>
      <c r="D1440" s="302" t="s">
        <v>191</v>
      </c>
      <c r="E1440" s="505">
        <v>14.608000000000001</v>
      </c>
      <c r="F1440" s="405">
        <f>IFERROR(E1440*'01 Prod Physique Boites'!H1435,"-")</f>
        <v>58110.624000000003</v>
      </c>
      <c r="G1440" s="406">
        <f>IFERROR(E1440*'01 Prod Physique Boites'!L1435,"-")</f>
        <v>58110.624000000003</v>
      </c>
      <c r="H1440" s="390">
        <v>24.93</v>
      </c>
      <c r="I1440" s="424">
        <f t="shared" si="885"/>
        <v>99171.54</v>
      </c>
      <c r="J1440" s="646">
        <f t="shared" si="886"/>
        <v>99171.54</v>
      </c>
    </row>
    <row r="1441" spans="1:10" ht="23.4" x14ac:dyDescent="0.3">
      <c r="A1441" s="277"/>
      <c r="B1441" s="977"/>
      <c r="C1441" s="302" t="s">
        <v>545</v>
      </c>
      <c r="D1441" s="302" t="s">
        <v>101</v>
      </c>
      <c r="E1441" s="505">
        <v>17.8202</v>
      </c>
      <c r="F1441" s="863">
        <f>IFERROR(E1441*'01 Prod Physique Boites'!H1436,"-")</f>
        <v>105121.35980000001</v>
      </c>
      <c r="G1441" s="406">
        <f>IFERROR(E1441*'01 Prod Physique Boites'!L1436,"-")</f>
        <v>105121.35980000001</v>
      </c>
      <c r="H1441" s="390">
        <v>24.93</v>
      </c>
      <c r="I1441" s="426">
        <f t="shared" si="885"/>
        <v>147062.07</v>
      </c>
      <c r="J1441" s="646">
        <f t="shared" si="886"/>
        <v>147062.07</v>
      </c>
    </row>
    <row r="1442" spans="1:10" s="870" customFormat="1" ht="23.4" x14ac:dyDescent="0.3">
      <c r="A1442" s="864"/>
      <c r="B1442" s="977"/>
      <c r="C1442" s="865" t="s">
        <v>453</v>
      </c>
      <c r="D1442" s="865" t="s">
        <v>454</v>
      </c>
      <c r="E1442" s="866">
        <v>16.345199999999998</v>
      </c>
      <c r="F1442" s="863">
        <f>IFERROR(E1442*'01 Prod Physique Boites'!H1438,"-")</f>
        <v>54184.337999999996</v>
      </c>
      <c r="G1442" s="867">
        <f>IFERROR(E1442*'01 Prod Physique Boites'!L1438,"-")</f>
        <v>639375.18839999998</v>
      </c>
      <c r="H1442" s="868">
        <v>23.78</v>
      </c>
      <c r="I1442" s="869">
        <f t="shared" si="885"/>
        <v>78830.7</v>
      </c>
      <c r="J1442" s="646">
        <f t="shared" si="886"/>
        <v>930202.26</v>
      </c>
    </row>
    <row r="1443" spans="1:10" s="870" customFormat="1" ht="23.4" x14ac:dyDescent="0.3">
      <c r="A1443" s="864"/>
      <c r="B1443" s="977"/>
      <c r="C1443" s="865"/>
      <c r="D1443" s="865"/>
      <c r="E1443" s="866">
        <v>16.7288</v>
      </c>
      <c r="F1443" s="863">
        <f>IFERROR(E1443*'01 Prod Physique Boites'!H1437,"-")</f>
        <v>40952.102399999996</v>
      </c>
      <c r="G1443" s="867">
        <f>IFERROR(E1443*'01 Prod Physique Boites'!L1437,"-")</f>
        <v>40952.102399999996</v>
      </c>
      <c r="H1443" s="868">
        <v>25.49</v>
      </c>
      <c r="I1443" s="869">
        <f t="shared" ref="I1443" si="887">IFERROR(H1443*(F1443/E1443),"-")</f>
        <v>62399.519999999997</v>
      </c>
      <c r="J1443" s="646">
        <f t="shared" ref="J1443" si="888">IFERROR(H1443*(G1443/E1443),"-")</f>
        <v>62399.519999999997</v>
      </c>
    </row>
    <row r="1444" spans="1:10" ht="24" thickBot="1" x14ac:dyDescent="0.35">
      <c r="A1444" s="277" t="s">
        <v>108</v>
      </c>
      <c r="B1444" s="977"/>
      <c r="C1444" s="303" t="s">
        <v>315</v>
      </c>
      <c r="D1444" s="302" t="s">
        <v>313</v>
      </c>
      <c r="E1444" s="505">
        <v>12.6997</v>
      </c>
      <c r="F1444" s="405">
        <f>IFERROR(E1444*'01 Prod Physique Boites'!H1439,"-")</f>
        <v>50519.406600000002</v>
      </c>
      <c r="G1444" s="867">
        <f>IFERROR(E1444*'01 Prod Physique Boites'!L1439,"-")</f>
        <v>202077.62640000001</v>
      </c>
      <c r="H1444" s="390">
        <v>13.25</v>
      </c>
      <c r="I1444" s="426">
        <f t="shared" si="885"/>
        <v>52708.5</v>
      </c>
      <c r="J1444" s="646">
        <f t="shared" si="886"/>
        <v>210834</v>
      </c>
    </row>
    <row r="1445" spans="1:10" ht="24" thickBot="1" x14ac:dyDescent="0.35">
      <c r="A1445" s="277" t="s">
        <v>108</v>
      </c>
      <c r="B1445" s="990"/>
      <c r="C1445" s="304"/>
      <c r="D1445" s="305" t="s">
        <v>55</v>
      </c>
      <c r="E1445" s="393"/>
      <c r="F1445" s="409">
        <f>SUM(F1435:F1444)</f>
        <v>1467018.5426</v>
      </c>
      <c r="G1445" s="410">
        <f>SUM(G1435:G1444)</f>
        <v>5246147.5820000004</v>
      </c>
      <c r="H1445" s="394"/>
      <c r="I1445" s="409">
        <f>SUM(I1435:I1444)</f>
        <v>1914188.7800000003</v>
      </c>
      <c r="J1445" s="428">
        <f>SUM(J1435:J1444)</f>
        <v>6778129.1600000001</v>
      </c>
    </row>
    <row r="1446" spans="1:10" ht="23.4" x14ac:dyDescent="0.3">
      <c r="A1446" s="277" t="s">
        <v>108</v>
      </c>
      <c r="B1446" s="976" t="s">
        <v>28</v>
      </c>
      <c r="C1446" s="302" t="s">
        <v>27</v>
      </c>
      <c r="D1446" s="300" t="s">
        <v>302</v>
      </c>
      <c r="E1446" s="508">
        <v>17.8202</v>
      </c>
      <c r="F1446" s="405">
        <f>IFERROR(E1446*'01 Prod Physique Boites'!H1441,"-")</f>
        <v>0</v>
      </c>
      <c r="G1446" s="406">
        <f>IFERROR(E1446*'01 Prod Physique Boites'!L1441,"-")</f>
        <v>354443.77799999999</v>
      </c>
      <c r="H1446" s="384">
        <v>24.93</v>
      </c>
      <c r="I1446" s="422">
        <f>IFERROR(H1446*(F1446/E1446),"-")</f>
        <v>0</v>
      </c>
      <c r="J1446" s="644">
        <f t="shared" ref="J1446:J1450" si="889">IFERROR(H1446*(G1446/E1446),"-")</f>
        <v>495857.7</v>
      </c>
    </row>
    <row r="1447" spans="1:10" ht="23.4" x14ac:dyDescent="0.3">
      <c r="A1447" s="277" t="s">
        <v>108</v>
      </c>
      <c r="B1447" s="977"/>
      <c r="C1447" s="302" t="s">
        <v>456</v>
      </c>
      <c r="D1447" s="302" t="s">
        <v>370</v>
      </c>
      <c r="E1447" s="773">
        <v>16.7288</v>
      </c>
      <c r="F1447" s="405">
        <f>IFERROR(E1447*'01 Prod Physique Boites'!H1442,"-")</f>
        <v>1530584.8271999999</v>
      </c>
      <c r="G1447" s="406">
        <f>IFERROR(E1447*'01 Prod Physique Boites'!L1442,"-")</f>
        <v>13437408.6</v>
      </c>
      <c r="H1447" s="770">
        <v>20.76</v>
      </c>
      <c r="I1447" s="424">
        <f>IFERROR(H1447*(F1447/E1447),"-")</f>
        <v>1899415.4400000002</v>
      </c>
      <c r="J1447" s="645">
        <f t="shared" si="889"/>
        <v>16675470.000000002</v>
      </c>
    </row>
    <row r="1448" spans="1:10" ht="23.4" x14ac:dyDescent="0.3">
      <c r="A1448" s="277" t="s">
        <v>108</v>
      </c>
      <c r="B1448" s="977"/>
      <c r="C1448" s="302" t="s">
        <v>455</v>
      </c>
      <c r="D1448" s="302" t="s">
        <v>370</v>
      </c>
      <c r="E1448" s="505">
        <v>17.8202</v>
      </c>
      <c r="F1448" s="405">
        <f>IFERROR(E1448*'01 Prod Physique Boites'!H1443,"-")</f>
        <v>0</v>
      </c>
      <c r="G1448" s="406">
        <f>IFERROR(E1448*'01 Prod Physique Boites'!L1443,"-")</f>
        <v>1134220.0896000001</v>
      </c>
      <c r="H1448" s="388">
        <v>21.22</v>
      </c>
      <c r="I1448" s="424">
        <f>IFERROR(H1448*(F1448/E1448),"-")</f>
        <v>0</v>
      </c>
      <c r="J1448" s="645">
        <f t="shared" si="889"/>
        <v>1350610.56</v>
      </c>
    </row>
    <row r="1449" spans="1:10" ht="23.4" x14ac:dyDescent="0.3">
      <c r="A1449" s="277"/>
      <c r="B1449" s="977"/>
      <c r="C1449" s="302" t="s">
        <v>453</v>
      </c>
      <c r="D1449" s="302" t="s">
        <v>454</v>
      </c>
      <c r="E1449" s="773">
        <v>16.345199999999998</v>
      </c>
      <c r="F1449" s="405">
        <f>IFERROR(E1449*'01 Prod Physique Boites'!H1444,"-")</f>
        <v>0</v>
      </c>
      <c r="G1449" s="406">
        <f>IFERROR(E1449*'01 Prod Physique Boites'!L1444,"-")</f>
        <v>4031314.7471999996</v>
      </c>
      <c r="H1449" s="388">
        <v>23.78</v>
      </c>
      <c r="I1449" s="426">
        <f>IFERROR(H1449*(F1449/E1449),"-")</f>
        <v>0</v>
      </c>
      <c r="J1449" s="646">
        <f t="shared" si="889"/>
        <v>5865004.0800000001</v>
      </c>
    </row>
    <row r="1450" spans="1:10" ht="24" thickBot="1" x14ac:dyDescent="0.35">
      <c r="A1450" s="277" t="s">
        <v>108</v>
      </c>
      <c r="B1450" s="977"/>
      <c r="C1450" s="302" t="s">
        <v>27</v>
      </c>
      <c r="D1450" s="303" t="s">
        <v>254</v>
      </c>
      <c r="E1450" s="505">
        <v>17.8202</v>
      </c>
      <c r="F1450" s="405">
        <f>IFERROR(E1450*'01 Prod Physique Boites'!H1445,"-")</f>
        <v>49076.830799999996</v>
      </c>
      <c r="G1450" s="406">
        <f>IFERROR(E1450*'01 Prod Physique Boites'!L1445,"-")</f>
        <v>13517940.3948</v>
      </c>
      <c r="H1450" s="388">
        <v>24.93</v>
      </c>
      <c r="I1450" s="426">
        <f>IFERROR(H1450*(F1450/E1450),"-")</f>
        <v>68657.22</v>
      </c>
      <c r="J1450" s="646">
        <f t="shared" si="889"/>
        <v>18911249.82</v>
      </c>
    </row>
    <row r="1451" spans="1:10" ht="24" thickBot="1" x14ac:dyDescent="0.35">
      <c r="A1451" s="277" t="s">
        <v>108</v>
      </c>
      <c r="B1451" s="977"/>
      <c r="C1451" s="307"/>
      <c r="D1451" s="308" t="s">
        <v>55</v>
      </c>
      <c r="E1451" s="400"/>
      <c r="F1451" s="417">
        <f t="shared" ref="F1451:G1451" si="890">SUM(F1446:F1450)</f>
        <v>1579661.6579999998</v>
      </c>
      <c r="G1451" s="418">
        <f t="shared" si="890"/>
        <v>32475327.6096</v>
      </c>
      <c r="H1451" s="401"/>
      <c r="I1451" s="417">
        <f t="shared" ref="I1451:J1451" si="891">SUM(I1446:I1450)</f>
        <v>1968072.6600000001</v>
      </c>
      <c r="J1451" s="433">
        <f t="shared" si="891"/>
        <v>43298192.160000004</v>
      </c>
    </row>
    <row r="1452" spans="1:10" ht="24" thickBot="1" x14ac:dyDescent="0.35">
      <c r="A1452" s="857" t="s">
        <v>108</v>
      </c>
      <c r="B1452" s="978" t="s">
        <v>170</v>
      </c>
      <c r="C1452" s="979"/>
      <c r="D1452" s="980"/>
      <c r="E1452" s="402"/>
      <c r="F1452" s="419">
        <f t="shared" ref="F1452:G1452" si="892">+F1445+F1451</f>
        <v>3046680.2006000001</v>
      </c>
      <c r="G1452" s="420">
        <f t="shared" si="892"/>
        <v>37721475.191600002</v>
      </c>
      <c r="H1452" s="403"/>
      <c r="I1452" s="419">
        <f t="shared" ref="I1452:J1452" si="893">+I1445+I1451</f>
        <v>3882261.4400000004</v>
      </c>
      <c r="J1452" s="434">
        <f t="shared" si="893"/>
        <v>50076321.320000008</v>
      </c>
    </row>
    <row r="1453" spans="1:10" ht="23.4" x14ac:dyDescent="0.3">
      <c r="A1453" s="277" t="s">
        <v>108</v>
      </c>
      <c r="B1453" s="977" t="s">
        <v>30</v>
      </c>
      <c r="C1453" s="306" t="s">
        <v>356</v>
      </c>
      <c r="D1453" s="300" t="s">
        <v>191</v>
      </c>
      <c r="E1453" s="508">
        <v>15.2788</v>
      </c>
      <c r="F1453" s="405">
        <f>IFERROR(E1453*'01 Prod Physique Boites'!H1448,"-")</f>
        <v>0</v>
      </c>
      <c r="G1453" s="406">
        <f>IFERROR(E1453*'01 Prod Physique Boites'!L1448,"-")</f>
        <v>0</v>
      </c>
      <c r="H1453" s="384">
        <v>23.65</v>
      </c>
      <c r="I1453" s="422">
        <f>IFERROR(H1453*(F1453/E1453),"-")</f>
        <v>0</v>
      </c>
      <c r="J1453" s="423">
        <f t="shared" ref="J1453:J1455" si="894">IFERROR(H1453*(G1453/E1453),"-")</f>
        <v>0</v>
      </c>
    </row>
    <row r="1454" spans="1:10" ht="23.4" x14ac:dyDescent="0.3">
      <c r="A1454" s="277" t="s">
        <v>108</v>
      </c>
      <c r="B1454" s="977"/>
      <c r="C1454" s="303" t="s">
        <v>316</v>
      </c>
      <c r="D1454" s="306" t="s">
        <v>454</v>
      </c>
      <c r="E1454" s="727">
        <v>25.751300000000001</v>
      </c>
      <c r="F1454" s="405">
        <f>IFERROR(E1454*'01 Prod Physique Boites'!H1449,"-")</f>
        <v>0</v>
      </c>
      <c r="G1454" s="406">
        <f>IFERROR(E1454*'01 Prod Physique Boites'!L1449,"-")</f>
        <v>915922.23840000003</v>
      </c>
      <c r="H1454" s="770">
        <v>37.89</v>
      </c>
      <c r="I1454" s="424">
        <f>IFERROR(H1454*(F1454/E1454),"-")</f>
        <v>0</v>
      </c>
      <c r="J1454" s="425">
        <f t="shared" si="894"/>
        <v>1347671.52</v>
      </c>
    </row>
    <row r="1455" spans="1:10" ht="24" thickBot="1" x14ac:dyDescent="0.35">
      <c r="A1455" s="277" t="s">
        <v>108</v>
      </c>
      <c r="B1455" s="977"/>
      <c r="C1455" s="303" t="s">
        <v>316</v>
      </c>
      <c r="D1455" s="303"/>
      <c r="E1455" s="505">
        <v>25.751300000000001</v>
      </c>
      <c r="F1455" s="863">
        <f>IFERROR(E1455*'01 Prod Physique Boites'!H1450,"-")</f>
        <v>48206.433600000004</v>
      </c>
      <c r="G1455" s="406">
        <f>IFERROR(E1455*'01 Prod Physique Boites'!L1450,"-")</f>
        <v>4290372.5904000001</v>
      </c>
      <c r="H1455" s="390">
        <v>37.89</v>
      </c>
      <c r="I1455" s="426">
        <f>IFERROR(H1455*(F1455/E1455),"-")</f>
        <v>70930.080000000016</v>
      </c>
      <c r="J1455" s="427">
        <f t="shared" si="894"/>
        <v>6312777.1200000001</v>
      </c>
    </row>
    <row r="1456" spans="1:10" ht="24" thickBot="1" x14ac:dyDescent="0.35">
      <c r="A1456" s="277" t="s">
        <v>108</v>
      </c>
      <c r="B1456" s="977"/>
      <c r="C1456" s="304"/>
      <c r="D1456" s="305" t="s">
        <v>53</v>
      </c>
      <c r="E1456" s="393"/>
      <c r="F1456" s="409">
        <f t="shared" ref="F1456:G1456" si="895">SUM(F1453:F1455)</f>
        <v>48206.433600000004</v>
      </c>
      <c r="G1456" s="410">
        <f t="shared" si="895"/>
        <v>5206294.8288000003</v>
      </c>
      <c r="H1456" s="394"/>
      <c r="I1456" s="409">
        <f t="shared" ref="I1456" si="896">SUM(I1453:I1455)</f>
        <v>70930.080000000016</v>
      </c>
      <c r="J1456" s="428">
        <f>SUM(J1453:J1455)</f>
        <v>7660448.6400000006</v>
      </c>
    </row>
    <row r="1457" spans="1:10" ht="23.4" x14ac:dyDescent="0.3">
      <c r="A1457" s="277" t="s">
        <v>108</v>
      </c>
      <c r="B1457" s="977"/>
      <c r="C1457" s="300" t="s">
        <v>548</v>
      </c>
      <c r="D1457" s="300" t="s">
        <v>99</v>
      </c>
      <c r="E1457" s="508">
        <v>24.2607</v>
      </c>
      <c r="F1457" s="405">
        <f>IFERROR(E1457*'01 Prod Physique Boites'!H1452,"-")</f>
        <v>23193.229200000002</v>
      </c>
      <c r="G1457" s="406">
        <f>IFERROR(E1457*'01 Prod Physique Boites'!L1452,"-")</f>
        <v>23193.229200000002</v>
      </c>
      <c r="H1457" s="384">
        <v>28.31</v>
      </c>
      <c r="I1457" s="422">
        <f>IFERROR(H1457*(F1457/E1457),"-")</f>
        <v>27064.36</v>
      </c>
      <c r="J1457" s="423">
        <f t="shared" ref="J1457:J1459" si="897">IFERROR(H1457*(G1457/E1457),"-")</f>
        <v>27064.36</v>
      </c>
    </row>
    <row r="1458" spans="1:10" ht="23.4" x14ac:dyDescent="0.3">
      <c r="A1458" s="277" t="s">
        <v>108</v>
      </c>
      <c r="B1458" s="977"/>
      <c r="C1458" s="306" t="s">
        <v>373</v>
      </c>
      <c r="D1458" s="306" t="s">
        <v>254</v>
      </c>
      <c r="E1458" s="509">
        <v>27.917000000000002</v>
      </c>
      <c r="F1458" s="863">
        <f>IFERROR(E1458*'01 Prod Physique Boites'!H1453,"-")</f>
        <v>110579.23700000001</v>
      </c>
      <c r="G1458" s="406">
        <f>IFERROR(E1458*'01 Prod Physique Boites'!L1453,"-")</f>
        <v>371882.35700000002</v>
      </c>
      <c r="H1458" s="388">
        <v>39</v>
      </c>
      <c r="I1458" s="424">
        <f>IFERROR(H1458*(F1458/E1458),"-")</f>
        <v>154479</v>
      </c>
      <c r="J1458" s="425">
        <f t="shared" si="897"/>
        <v>519519</v>
      </c>
    </row>
    <row r="1459" spans="1:10" ht="24" thickBot="1" x14ac:dyDescent="0.35">
      <c r="A1459" s="277" t="s">
        <v>108</v>
      </c>
      <c r="B1459" s="977"/>
      <c r="C1459" s="303" t="s">
        <v>547</v>
      </c>
      <c r="D1459" s="303" t="s">
        <v>507</v>
      </c>
      <c r="E1459" s="505">
        <v>23.697399999999998</v>
      </c>
      <c r="F1459" s="405">
        <f>IFERROR(E1459*'01 Prod Physique Boites'!H1454,"-")</f>
        <v>20024.303</v>
      </c>
      <c r="G1459" s="406">
        <f>IFERROR(E1459*'01 Prod Physique Boites'!L1454,"-")</f>
        <v>20024.303</v>
      </c>
      <c r="H1459" s="390">
        <v>28.21</v>
      </c>
      <c r="I1459" s="426">
        <f>IFERROR(H1459*(F1459/E1459),"-")</f>
        <v>23837.450000000004</v>
      </c>
      <c r="J1459" s="427">
        <f t="shared" si="897"/>
        <v>23837.450000000004</v>
      </c>
    </row>
    <row r="1460" spans="1:10" ht="24" thickBot="1" x14ac:dyDescent="0.35">
      <c r="A1460" s="277" t="s">
        <v>108</v>
      </c>
      <c r="B1460" s="977"/>
      <c r="C1460" s="307"/>
      <c r="D1460" s="308" t="s">
        <v>54</v>
      </c>
      <c r="E1460" s="400"/>
      <c r="F1460" s="417">
        <f t="shared" ref="F1460:G1460" si="898">SUM(F1457:F1459)</f>
        <v>153796.76920000004</v>
      </c>
      <c r="G1460" s="418">
        <f t="shared" si="898"/>
        <v>415099.88920000003</v>
      </c>
      <c r="H1460" s="401"/>
      <c r="I1460" s="417">
        <f t="shared" ref="I1460" si="899">SUM(I1457:I1459)</f>
        <v>205380.81</v>
      </c>
      <c r="J1460" s="433">
        <f>SUM(J1457:J1459)</f>
        <v>570420.80999999994</v>
      </c>
    </row>
    <row r="1461" spans="1:10" ht="24" thickBot="1" x14ac:dyDescent="0.35">
      <c r="A1461" s="277" t="s">
        <v>108</v>
      </c>
      <c r="B1461" s="978" t="s">
        <v>171</v>
      </c>
      <c r="C1461" s="979"/>
      <c r="D1461" s="980"/>
      <c r="E1461" s="402"/>
      <c r="F1461" s="419">
        <f t="shared" ref="F1461:G1461" si="900">+F1456+F1460</f>
        <v>202003.20280000003</v>
      </c>
      <c r="G1461" s="420">
        <f t="shared" si="900"/>
        <v>5621394.7180000003</v>
      </c>
      <c r="H1461" s="403"/>
      <c r="I1461" s="419">
        <f t="shared" ref="I1461:J1461" si="901">+I1456+I1460</f>
        <v>276310.89</v>
      </c>
      <c r="J1461" s="434">
        <f t="shared" si="901"/>
        <v>8230869.4500000002</v>
      </c>
    </row>
    <row r="1462" spans="1:10" ht="24" thickBot="1" x14ac:dyDescent="0.35">
      <c r="A1462" s="277" t="s">
        <v>108</v>
      </c>
      <c r="B1462" s="609" t="s">
        <v>32</v>
      </c>
      <c r="C1462" s="853"/>
      <c r="D1462" s="313"/>
      <c r="E1462" s="510">
        <v>12.2659</v>
      </c>
      <c r="F1462" s="411">
        <f>IFERROR(E1462*'01 Prod Physique Boites'!H1457,"-")</f>
        <v>0</v>
      </c>
      <c r="G1462" s="412">
        <f>IFERROR(E1462*'01 Prod Physique Boites'!L1457,"-")</f>
        <v>0</v>
      </c>
      <c r="H1462" s="395"/>
      <c r="I1462" s="429">
        <f>IFERROR(H1462*(F1462/E1462),"-")</f>
        <v>0</v>
      </c>
      <c r="J1462" s="430">
        <f>IFERROR(H1462*(G1462/E1462),"-")</f>
        <v>0</v>
      </c>
    </row>
    <row r="1463" spans="1:10" ht="24" thickBot="1" x14ac:dyDescent="0.35">
      <c r="A1463" s="277" t="s">
        <v>108</v>
      </c>
      <c r="B1463" s="981" t="s">
        <v>21</v>
      </c>
      <c r="C1463" s="982"/>
      <c r="D1463" s="983"/>
      <c r="E1463" s="396"/>
      <c r="F1463" s="413">
        <f t="shared" ref="F1463" si="902">+F1452+F1461+F1462</f>
        <v>3248683.4034000002</v>
      </c>
      <c r="G1463" s="414">
        <f>+G1452+G1461+G1462</f>
        <v>43342869.909600005</v>
      </c>
      <c r="H1463" s="397"/>
      <c r="I1463" s="413">
        <f t="shared" ref="I1463:J1463" si="903">+I1452+I1461+I1462</f>
        <v>4158572.3300000005</v>
      </c>
      <c r="J1463" s="431">
        <f t="shared" si="903"/>
        <v>58307190.770000011</v>
      </c>
    </row>
    <row r="1464" spans="1:10" ht="24" thickBot="1" x14ac:dyDescent="0.35">
      <c r="A1464" s="277" t="s">
        <v>108</v>
      </c>
      <c r="B1464" s="984" t="s">
        <v>179</v>
      </c>
      <c r="C1464" s="962"/>
      <c r="D1464" s="963"/>
      <c r="E1464" s="398"/>
      <c r="F1464" s="415">
        <f t="shared" ref="F1464:G1464" si="904">+F1463</f>
        <v>3248683.4034000002</v>
      </c>
      <c r="G1464" s="416">
        <f t="shared" si="904"/>
        <v>43342869.909600005</v>
      </c>
      <c r="H1464" s="399"/>
      <c r="I1464" s="415">
        <f t="shared" ref="I1464:J1464" si="905">+I1463</f>
        <v>4158572.3300000005</v>
      </c>
      <c r="J1464" s="432">
        <f t="shared" si="905"/>
        <v>58307190.770000011</v>
      </c>
    </row>
    <row r="1465" spans="1:10" ht="23.4" x14ac:dyDescent="0.3">
      <c r="A1465" s="271" t="s">
        <v>109</v>
      </c>
      <c r="B1465" s="970" t="s">
        <v>482</v>
      </c>
      <c r="C1465" s="314" t="s">
        <v>120</v>
      </c>
      <c r="D1465" s="314"/>
      <c r="E1465" s="771">
        <v>254.89750000000001</v>
      </c>
      <c r="F1465" s="405">
        <f>IFERROR(E1465*'01 Prod Physique Boites'!H1460,"-")</f>
        <v>0</v>
      </c>
      <c r="G1465" s="406">
        <f>IFERROR(E1465*'01 Prod Physique Boites'!L1460,"-")</f>
        <v>0</v>
      </c>
      <c r="H1465" s="384">
        <v>445.38</v>
      </c>
      <c r="I1465" s="422">
        <f>IFERROR(H1465*(F1465/E1465),"-")</f>
        <v>0</v>
      </c>
      <c r="J1465" s="423">
        <f t="shared" ref="J1465:J1467" si="906">IFERROR(H1465*(G1465/E1465),"-")</f>
        <v>0</v>
      </c>
    </row>
    <row r="1466" spans="1:10" ht="23.4" x14ac:dyDescent="0.3">
      <c r="A1466" s="277" t="s">
        <v>109</v>
      </c>
      <c r="B1466" s="972"/>
      <c r="C1466" s="315" t="s">
        <v>267</v>
      </c>
      <c r="D1466" s="315"/>
      <c r="E1466" s="507">
        <v>246.51390000000001</v>
      </c>
      <c r="F1466" s="405">
        <f>IFERROR(E1466*'01 Prod Physique Boites'!H1461,"-")</f>
        <v>0</v>
      </c>
      <c r="G1466" s="406">
        <f>IFERROR(E1466*'01 Prod Physique Boites'!L1461,"-")</f>
        <v>4338644.6399999997</v>
      </c>
      <c r="H1466" s="388">
        <v>430.02</v>
      </c>
      <c r="I1466" s="424">
        <f>IFERROR(H1466*(F1466/E1466),"-")</f>
        <v>0</v>
      </c>
      <c r="J1466" s="425">
        <f t="shared" si="906"/>
        <v>7568351.9999999981</v>
      </c>
    </row>
    <row r="1467" spans="1:10" ht="24" thickBot="1" x14ac:dyDescent="0.35">
      <c r="A1467" s="277" t="s">
        <v>109</v>
      </c>
      <c r="B1467" s="971"/>
      <c r="C1467" s="316" t="s">
        <v>34</v>
      </c>
      <c r="D1467" s="316"/>
      <c r="E1467" s="504">
        <v>225.7713</v>
      </c>
      <c r="F1467" s="405">
        <f>IFERROR(E1467*'01 Prod Physique Boites'!H1462,"-")</f>
        <v>0</v>
      </c>
      <c r="G1467" s="406">
        <f>IFERROR(E1467*'01 Prod Physique Boites'!L1462,"-")</f>
        <v>0</v>
      </c>
      <c r="H1467" s="390"/>
      <c r="I1467" s="426">
        <f>IFERROR(H1467*(F1467/E1467),"-")</f>
        <v>0</v>
      </c>
      <c r="J1467" s="427">
        <f t="shared" si="906"/>
        <v>0</v>
      </c>
    </row>
    <row r="1468" spans="1:10" ht="24" thickBot="1" x14ac:dyDescent="0.35">
      <c r="A1468" s="277" t="s">
        <v>109</v>
      </c>
      <c r="B1468" s="967" t="s">
        <v>35</v>
      </c>
      <c r="C1468" s="968"/>
      <c r="D1468" s="969"/>
      <c r="E1468" s="393"/>
      <c r="F1468" s="409">
        <f t="shared" ref="F1468:G1468" si="907">SUM(F1465:F1467)</f>
        <v>0</v>
      </c>
      <c r="G1468" s="410">
        <f t="shared" si="907"/>
        <v>4338644.6399999997</v>
      </c>
      <c r="H1468" s="394"/>
      <c r="I1468" s="409">
        <f t="shared" ref="I1468:J1468" si="908">SUM(I1465:I1467)</f>
        <v>0</v>
      </c>
      <c r="J1468" s="428">
        <f t="shared" si="908"/>
        <v>7568351.9999999981</v>
      </c>
    </row>
    <row r="1469" spans="1:10" ht="23.4" x14ac:dyDescent="0.3">
      <c r="A1469" s="277" t="s">
        <v>109</v>
      </c>
      <c r="B1469" s="970" t="s">
        <v>36</v>
      </c>
      <c r="C1469" s="314" t="s">
        <v>120</v>
      </c>
      <c r="D1469" s="314"/>
      <c r="E1469" s="506">
        <v>254.89750000000001</v>
      </c>
      <c r="F1469" s="405">
        <f>IFERROR(E1469*'01 Prod Physique Boites'!H1464,"-")</f>
        <v>0</v>
      </c>
      <c r="G1469" s="406">
        <f>IFERROR(E1469*'01 Prod Physique Boites'!L1464,"-")</f>
        <v>0</v>
      </c>
      <c r="H1469" s="384">
        <v>445.38</v>
      </c>
      <c r="I1469" s="422">
        <f>IFERROR(H1469*(F1469/E1469),"-")</f>
        <v>0</v>
      </c>
      <c r="J1469" s="423">
        <f t="shared" ref="J1469:J1472" si="909">IFERROR(H1469*(G1469/E1469),"-")</f>
        <v>0</v>
      </c>
    </row>
    <row r="1470" spans="1:10" ht="23.4" x14ac:dyDescent="0.3">
      <c r="A1470" s="277" t="s">
        <v>109</v>
      </c>
      <c r="B1470" s="972"/>
      <c r="C1470" s="315" t="s">
        <v>267</v>
      </c>
      <c r="D1470" s="315"/>
      <c r="E1470" s="507">
        <v>246.51390000000001</v>
      </c>
      <c r="F1470" s="405">
        <f>IFERROR(E1470*'01 Prod Physique Boites'!H1465,"-")</f>
        <v>464185.67369999998</v>
      </c>
      <c r="G1470" s="406">
        <f>IFERROR(E1470*'01 Prod Physique Boites'!L1465,"-")</f>
        <v>7725006.0843000002</v>
      </c>
      <c r="H1470" s="388">
        <v>430.02</v>
      </c>
      <c r="I1470" s="424">
        <f>IFERROR(H1470*(F1470/E1470),"-")</f>
        <v>809727.65999999992</v>
      </c>
      <c r="J1470" s="425">
        <f t="shared" si="909"/>
        <v>13475536.74</v>
      </c>
    </row>
    <row r="1471" spans="1:10" ht="23.4" x14ac:dyDescent="0.3">
      <c r="A1471" s="277" t="s">
        <v>109</v>
      </c>
      <c r="B1471" s="972"/>
      <c r="C1471" s="315" t="s">
        <v>198</v>
      </c>
      <c r="D1471" s="315" t="s">
        <v>197</v>
      </c>
      <c r="E1471" s="507">
        <v>254.89750000000001</v>
      </c>
      <c r="F1471" s="405">
        <f>IFERROR(E1471*'01 Prod Physique Boites'!H1466,"-")</f>
        <v>0</v>
      </c>
      <c r="G1471" s="406">
        <f>IFERROR(E1471*'01 Prod Physique Boites'!L1466,"-")</f>
        <v>0</v>
      </c>
      <c r="H1471" s="388"/>
      <c r="I1471" s="424">
        <f>IFERROR(H1471*(F1471/E1471),"-")</f>
        <v>0</v>
      </c>
      <c r="J1471" s="425">
        <f t="shared" si="909"/>
        <v>0</v>
      </c>
    </row>
    <row r="1472" spans="1:10" ht="24" thickBot="1" x14ac:dyDescent="0.35">
      <c r="A1472" s="277" t="s">
        <v>109</v>
      </c>
      <c r="B1472" s="971"/>
      <c r="C1472" s="316" t="s">
        <v>37</v>
      </c>
      <c r="D1472" s="316"/>
      <c r="E1472" s="504">
        <v>229.99359999999999</v>
      </c>
      <c r="F1472" s="405">
        <f>IFERROR(E1472*'01 Prod Physique Boites'!H1467,"-")</f>
        <v>0</v>
      </c>
      <c r="G1472" s="406">
        <f>IFERROR(E1472*'01 Prod Physique Boites'!L1467,"-")</f>
        <v>0</v>
      </c>
      <c r="H1472" s="390"/>
      <c r="I1472" s="426">
        <f>IFERROR(H1472*(F1472/E1472),"-")</f>
        <v>0</v>
      </c>
      <c r="J1472" s="427">
        <f t="shared" si="909"/>
        <v>0</v>
      </c>
    </row>
    <row r="1473" spans="1:10" ht="24" thickBot="1" x14ac:dyDescent="0.35">
      <c r="A1473" s="277" t="s">
        <v>109</v>
      </c>
      <c r="B1473" s="967" t="s">
        <v>38</v>
      </c>
      <c r="C1473" s="968"/>
      <c r="D1473" s="969"/>
      <c r="E1473" s="393"/>
      <c r="F1473" s="409">
        <f t="shared" ref="F1473:G1473" si="910">SUM(F1469:F1472)</f>
        <v>464185.67369999998</v>
      </c>
      <c r="G1473" s="410">
        <f t="shared" si="910"/>
        <v>7725006.0843000002</v>
      </c>
      <c r="H1473" s="394"/>
      <c r="I1473" s="409">
        <f>SUM(I1469:I1472)</f>
        <v>809727.65999999992</v>
      </c>
      <c r="J1473" s="428">
        <f>SUM(J1469:J1472)</f>
        <v>13475536.74</v>
      </c>
    </row>
    <row r="1474" spans="1:10" ht="23.4" x14ac:dyDescent="0.3">
      <c r="A1474" s="277" t="s">
        <v>109</v>
      </c>
      <c r="B1474" s="970" t="s">
        <v>483</v>
      </c>
      <c r="C1474" s="317" t="s">
        <v>123</v>
      </c>
      <c r="D1474" s="317"/>
      <c r="E1474" s="506">
        <v>195.2808</v>
      </c>
      <c r="F1474" s="405">
        <f>IFERROR(E1474*'01 Prod Physique Boites'!H1469,"-")</f>
        <v>0</v>
      </c>
      <c r="G1474" s="406">
        <f>IFERROR(E1474*'01 Prod Physique Boites'!L1469,"-")</f>
        <v>28120.4352</v>
      </c>
      <c r="H1474" s="715">
        <v>256.7</v>
      </c>
      <c r="I1474" s="422">
        <f>IFERROR(H1474*(F1474/E1474),"-")</f>
        <v>0</v>
      </c>
      <c r="J1474" s="423">
        <f t="shared" ref="J1474:J1475" si="911">IFERROR(H1474*(G1474/E1474),"-")</f>
        <v>36964.799999999996</v>
      </c>
    </row>
    <row r="1475" spans="1:10" ht="24" thickBot="1" x14ac:dyDescent="0.35">
      <c r="A1475" s="277" t="s">
        <v>109</v>
      </c>
      <c r="B1475" s="971"/>
      <c r="C1475" s="289" t="s">
        <v>139</v>
      </c>
      <c r="D1475" s="289"/>
      <c r="E1475" s="504">
        <v>189.91890000000001</v>
      </c>
      <c r="F1475" s="405">
        <f>IFERROR(E1475*'01 Prod Physique Boites'!H1470,"-")</f>
        <v>0</v>
      </c>
      <c r="G1475" s="406">
        <f>IFERROR(E1475*'01 Prod Physique Boites'!L1470,"-")</f>
        <v>45580.536</v>
      </c>
      <c r="H1475" s="390">
        <v>320.35000000000002</v>
      </c>
      <c r="I1475" s="426">
        <f>IFERROR(H1475*(F1475/E1475),"-")</f>
        <v>0</v>
      </c>
      <c r="J1475" s="427">
        <f t="shared" si="911"/>
        <v>76884</v>
      </c>
    </row>
    <row r="1476" spans="1:10" ht="24" thickBot="1" x14ac:dyDescent="0.35">
      <c r="A1476" s="857" t="s">
        <v>109</v>
      </c>
      <c r="B1476" s="967" t="s">
        <v>40</v>
      </c>
      <c r="C1476" s="968"/>
      <c r="D1476" s="969"/>
      <c r="E1476" s="393"/>
      <c r="F1476" s="409">
        <f>SUM(F1474:F1475)</f>
        <v>0</v>
      </c>
      <c r="G1476" s="410">
        <f t="shared" ref="G1476" si="912">SUM(G1474:G1475)</f>
        <v>73700.9712</v>
      </c>
      <c r="H1476" s="394"/>
      <c r="I1476" s="409">
        <f t="shared" ref="I1476:J1476" si="913">SUM(I1474:I1475)</f>
        <v>0</v>
      </c>
      <c r="J1476" s="428">
        <f t="shared" si="913"/>
        <v>113848.79999999999</v>
      </c>
    </row>
    <row r="1477" spans="1:10" ht="23.4" x14ac:dyDescent="0.3">
      <c r="A1477" s="277" t="s">
        <v>109</v>
      </c>
      <c r="B1477" s="970" t="s">
        <v>484</v>
      </c>
      <c r="C1477" s="272" t="s">
        <v>335</v>
      </c>
      <c r="D1477" s="272" t="s">
        <v>258</v>
      </c>
      <c r="E1477" s="508">
        <v>37.248699999999999</v>
      </c>
      <c r="F1477" s="405">
        <f>IFERROR(E1477*'01 Prod Physique Boites'!H1472,"-")</f>
        <v>1037450.7924</v>
      </c>
      <c r="G1477" s="406">
        <f>IFERROR(E1477*'01 Prod Physique Boites'!L1472,"-")</f>
        <v>12606301.033199999</v>
      </c>
      <c r="H1477" s="384">
        <v>71.44</v>
      </c>
      <c r="I1477" s="422">
        <f>IFERROR(H1477*(F1477/E1477),"-")</f>
        <v>1989746.88</v>
      </c>
      <c r="J1477" s="423">
        <f>IFERROR(H1477*(G1477/E1477),"-")</f>
        <v>24177867.84</v>
      </c>
    </row>
    <row r="1478" spans="1:10" ht="23.4" x14ac:dyDescent="0.3">
      <c r="A1478" s="277" t="s">
        <v>109</v>
      </c>
      <c r="B1478" s="972"/>
      <c r="C1478" s="272" t="s">
        <v>164</v>
      </c>
      <c r="D1478" s="278"/>
      <c r="E1478" s="508">
        <v>37.248699999999999</v>
      </c>
      <c r="F1478" s="405">
        <f>IFERROR(E1478*'01 Prod Physique Boites'!H1473,"-")</f>
        <v>0</v>
      </c>
      <c r="G1478" s="406">
        <f>IFERROR(E1478*'01 Prod Physique Boites'!L1473,"-")</f>
        <v>0</v>
      </c>
      <c r="H1478" s="388"/>
      <c r="I1478" s="424">
        <f>IFERROR(H1478*(F1478/E1478),"-")</f>
        <v>0</v>
      </c>
      <c r="J1478" s="425">
        <f t="shared" ref="J1478:J1480" si="914">IFERROR(H1478*(G1478/E1478),"-")</f>
        <v>0</v>
      </c>
    </row>
    <row r="1479" spans="1:10" ht="23.4" x14ac:dyDescent="0.3">
      <c r="A1479" s="277" t="s">
        <v>109</v>
      </c>
      <c r="B1479" s="972"/>
      <c r="C1479" s="278" t="s">
        <v>383</v>
      </c>
      <c r="D1479" s="272" t="s">
        <v>258</v>
      </c>
      <c r="E1479" s="508">
        <v>37.248699999999999</v>
      </c>
      <c r="F1479" s="405">
        <f>IFERROR(E1479*'01 Prod Physique Boites'!H1474,"-")</f>
        <v>0</v>
      </c>
      <c r="G1479" s="406">
        <f>IFERROR(E1479*'01 Prod Physique Boites'!L1474,"-")</f>
        <v>0</v>
      </c>
      <c r="H1479" s="388">
        <v>71.44</v>
      </c>
      <c r="I1479" s="424">
        <f>IFERROR(H1479*(F1479/E1479),"-")</f>
        <v>0</v>
      </c>
      <c r="J1479" s="425">
        <f t="shared" si="914"/>
        <v>0</v>
      </c>
    </row>
    <row r="1480" spans="1:10" ht="24" thickBot="1" x14ac:dyDescent="0.35">
      <c r="A1480" s="277" t="s">
        <v>109</v>
      </c>
      <c r="B1480" s="972"/>
      <c r="C1480" s="278" t="s">
        <v>165</v>
      </c>
      <c r="D1480" s="278"/>
      <c r="E1480" s="509">
        <v>38.466099999999997</v>
      </c>
      <c r="F1480" s="405">
        <f>IFERROR(E1480*'01 Prod Physique Boites'!H1475,"-")</f>
        <v>0</v>
      </c>
      <c r="G1480" s="406">
        <f>IFERROR(E1480*'01 Prod Physique Boites'!L1475,"-")</f>
        <v>0</v>
      </c>
      <c r="H1480" s="388"/>
      <c r="I1480" s="424">
        <f>IFERROR(H1480*(F1480/E1480),"-")</f>
        <v>0</v>
      </c>
      <c r="J1480" s="425">
        <f t="shared" si="914"/>
        <v>0</v>
      </c>
    </row>
    <row r="1481" spans="1:10" ht="24" thickBot="1" x14ac:dyDescent="0.35">
      <c r="A1481" s="277" t="s">
        <v>109</v>
      </c>
      <c r="B1481" s="967" t="s">
        <v>42</v>
      </c>
      <c r="C1481" s="968"/>
      <c r="D1481" s="969"/>
      <c r="E1481" s="393"/>
      <c r="F1481" s="409">
        <f>SUM(F1477:F1480)</f>
        <v>1037450.7924</v>
      </c>
      <c r="G1481" s="410">
        <f>SUM(G1477:G1480)</f>
        <v>12606301.033199999</v>
      </c>
      <c r="H1481" s="394"/>
      <c r="I1481" s="409">
        <f>SUM(I1477:I1480)</f>
        <v>1989746.88</v>
      </c>
      <c r="J1481" s="409">
        <f>SUM(J1477:J1480)</f>
        <v>24177867.84</v>
      </c>
    </row>
    <row r="1482" spans="1:10" ht="23.4" x14ac:dyDescent="0.3">
      <c r="A1482" s="277" t="s">
        <v>109</v>
      </c>
      <c r="B1482" s="970" t="s">
        <v>43</v>
      </c>
      <c r="C1482" s="272" t="s">
        <v>200</v>
      </c>
      <c r="D1482" s="272" t="s">
        <v>197</v>
      </c>
      <c r="E1482" s="508">
        <v>30.7499</v>
      </c>
      <c r="F1482" s="405">
        <f>IFERROR(E1482*'01 Prod Physique Boites'!H1478,"-")</f>
        <v>0</v>
      </c>
      <c r="G1482" s="406">
        <f>IFERROR(E1482*'01 Prod Physique Boites'!L1478,"-")</f>
        <v>0</v>
      </c>
      <c r="H1482" s="384"/>
      <c r="I1482" s="422">
        <f>IFERROR(H1482*(F1482/E1482),"-")</f>
        <v>0</v>
      </c>
      <c r="J1482" s="423">
        <f>IFERROR(H1482*(G1482/E1482),"-")</f>
        <v>0</v>
      </c>
    </row>
    <row r="1483" spans="1:10" ht="23.4" x14ac:dyDescent="0.3">
      <c r="A1483" s="277" t="s">
        <v>109</v>
      </c>
      <c r="B1483" s="972"/>
      <c r="C1483" s="278" t="s">
        <v>167</v>
      </c>
      <c r="D1483" s="278"/>
      <c r="E1483" s="727">
        <v>25.139099999999999</v>
      </c>
      <c r="F1483" s="405">
        <f>IFERROR(E1483*'01 Prod Physique Boites'!H1479,"-")</f>
        <v>362003.04</v>
      </c>
      <c r="G1483" s="406">
        <f>IFERROR(E1483*'01 Prod Physique Boites'!L1479,"-")</f>
        <v>4183548.4655999998</v>
      </c>
      <c r="H1483" s="388">
        <v>59.96</v>
      </c>
      <c r="I1483" s="424">
        <f>IFERROR(H1483*(F1483/E1483),"-")</f>
        <v>863424</v>
      </c>
      <c r="J1483" s="425">
        <f t="shared" ref="J1483:J1484" si="915">IFERROR(H1483*(G1483/E1483),"-")</f>
        <v>9978303.3599999994</v>
      </c>
    </row>
    <row r="1484" spans="1:10" ht="24" thickBot="1" x14ac:dyDescent="0.35">
      <c r="A1484" s="277" t="s">
        <v>109</v>
      </c>
      <c r="B1484" s="971"/>
      <c r="C1484" s="282" t="s">
        <v>200</v>
      </c>
      <c r="D1484" s="282" t="s">
        <v>199</v>
      </c>
      <c r="E1484" s="505">
        <v>30.073599999999999</v>
      </c>
      <c r="F1484" s="405">
        <f>IFERROR(E1484*'01 Prod Physique Boites'!H1480,"-")</f>
        <v>0</v>
      </c>
      <c r="G1484" s="406">
        <f>IFERROR(E1484*'01 Prod Physique Boites'!L1480,"-")</f>
        <v>0</v>
      </c>
      <c r="H1484" s="390"/>
      <c r="I1484" s="426">
        <f>IFERROR(H1484*(F1484/E1484),"-")</f>
        <v>0</v>
      </c>
      <c r="J1484" s="427">
        <f t="shared" si="915"/>
        <v>0</v>
      </c>
    </row>
    <row r="1485" spans="1:10" ht="24" thickBot="1" x14ac:dyDescent="0.35">
      <c r="A1485" s="277" t="s">
        <v>109</v>
      </c>
      <c r="B1485" s="973" t="s">
        <v>44</v>
      </c>
      <c r="C1485" s="974"/>
      <c r="D1485" s="975"/>
      <c r="E1485" s="393"/>
      <c r="F1485" s="409">
        <f t="shared" ref="F1485:G1485" si="916">SUM(F1482:F1484)</f>
        <v>362003.04</v>
      </c>
      <c r="G1485" s="410">
        <f t="shared" si="916"/>
        <v>4183548.4655999998</v>
      </c>
      <c r="H1485" s="394"/>
      <c r="I1485" s="409">
        <f t="shared" ref="I1485:J1485" si="917">SUM(I1482:I1484)</f>
        <v>863424</v>
      </c>
      <c r="J1485" s="428">
        <f t="shared" si="917"/>
        <v>9978303.3599999994</v>
      </c>
    </row>
    <row r="1486" spans="1:10" ht="23.4" x14ac:dyDescent="0.3">
      <c r="A1486" s="277" t="s">
        <v>109</v>
      </c>
      <c r="B1486" s="970" t="s">
        <v>45</v>
      </c>
      <c r="C1486" s="272" t="s">
        <v>168</v>
      </c>
      <c r="D1486" s="272"/>
      <c r="E1486" s="508">
        <v>36.684899999999999</v>
      </c>
      <c r="F1486" s="405">
        <f>IFERROR(E1486*'01 Prod Physique Boites'!H1482,"-")</f>
        <v>0</v>
      </c>
      <c r="G1486" s="406">
        <f>IFERROR(E1486*'01 Prod Physique Boites'!L1482,"-")</f>
        <v>0</v>
      </c>
      <c r="H1486" s="384"/>
      <c r="I1486" s="385" t="s">
        <v>204</v>
      </c>
      <c r="J1486" s="386" t="s">
        <v>204</v>
      </c>
    </row>
    <row r="1487" spans="1:10" ht="24" thickBot="1" x14ac:dyDescent="0.35">
      <c r="A1487" s="277" t="s">
        <v>109</v>
      </c>
      <c r="B1487" s="971"/>
      <c r="C1487" s="282" t="s">
        <v>169</v>
      </c>
      <c r="D1487" s="282"/>
      <c r="E1487" s="505">
        <v>37.002800000000001</v>
      </c>
      <c r="F1487" s="405">
        <f>IFERROR(E1487*'01 Prod Physique Boites'!H1483,"-")</f>
        <v>0</v>
      </c>
      <c r="G1487" s="406">
        <f>IFERROR(E1487*'01 Prod Physique Boites'!L1483,"-")</f>
        <v>0</v>
      </c>
      <c r="H1487" s="390"/>
      <c r="I1487" s="391" t="s">
        <v>204</v>
      </c>
      <c r="J1487" s="392" t="s">
        <v>204</v>
      </c>
    </row>
    <row r="1488" spans="1:10" ht="24" thickBot="1" x14ac:dyDescent="0.35">
      <c r="A1488" s="277" t="s">
        <v>109</v>
      </c>
      <c r="B1488" s="973" t="s">
        <v>46</v>
      </c>
      <c r="C1488" s="974"/>
      <c r="D1488" s="975"/>
      <c r="E1488" s="393"/>
      <c r="F1488" s="405">
        <f>IFERROR(E1488*'01 Prod Physique Boites'!H1484,"-")</f>
        <v>0</v>
      </c>
      <c r="G1488" s="410">
        <f>IFERROR(E1488*'01 Prod Physique Boites'!L1484,"-")</f>
        <v>0</v>
      </c>
      <c r="H1488" s="394"/>
      <c r="I1488" s="409">
        <f t="shared" ref="I1488:J1488" si="918">SUM(I1486:I1487)</f>
        <v>0</v>
      </c>
      <c r="J1488" s="428">
        <f t="shared" si="918"/>
        <v>0</v>
      </c>
    </row>
    <row r="1489" spans="1:15" ht="24" thickBot="1" x14ac:dyDescent="0.35">
      <c r="A1489" s="277" t="s">
        <v>109</v>
      </c>
      <c r="B1489" s="959" t="s">
        <v>25</v>
      </c>
      <c r="C1489" s="960"/>
      <c r="D1489" s="961"/>
      <c r="E1489" s="396"/>
      <c r="F1489" s="413">
        <f>+F1468+F1473+F1476+F1481+F1485+F1488</f>
        <v>1863639.5061000001</v>
      </c>
      <c r="G1489" s="414">
        <f>+G1468+G1473+G1476+G1481+G1485+G1488</f>
        <v>28927201.1943</v>
      </c>
      <c r="H1489" s="397"/>
      <c r="I1489" s="413">
        <f>+I1468+I1473+I1476+I1481+I1485+I1488</f>
        <v>3662898.54</v>
      </c>
      <c r="J1489" s="431">
        <f>+J1468+J1473+J1476+J1481+J1485+J1488</f>
        <v>55313908.739999995</v>
      </c>
    </row>
    <row r="1490" spans="1:15" ht="24" thickBot="1" x14ac:dyDescent="0.35">
      <c r="A1490" s="321" t="s">
        <v>109</v>
      </c>
      <c r="B1490" s="962" t="s">
        <v>181</v>
      </c>
      <c r="C1490" s="962"/>
      <c r="D1490" s="963"/>
      <c r="E1490" s="398"/>
      <c r="F1490" s="415">
        <f t="shared" ref="F1490:G1490" si="919">+F1489</f>
        <v>1863639.5061000001</v>
      </c>
      <c r="G1490" s="416">
        <f t="shared" si="919"/>
        <v>28927201.1943</v>
      </c>
      <c r="H1490" s="399"/>
      <c r="I1490" s="415">
        <f t="shared" ref="I1490" si="920">+I1489</f>
        <v>3662898.54</v>
      </c>
      <c r="J1490" s="432">
        <f>+J1489</f>
        <v>55313908.739999995</v>
      </c>
    </row>
    <row r="1491" spans="1:15" ht="24.6" thickBot="1" x14ac:dyDescent="0.35">
      <c r="A1491" s="322"/>
      <c r="B1491" s="964" t="s">
        <v>182</v>
      </c>
      <c r="C1491" s="965"/>
      <c r="D1491" s="966"/>
      <c r="E1491" s="404"/>
      <c r="F1491" s="421">
        <f>+F1434+F1464+F1490</f>
        <v>10652463.2805</v>
      </c>
      <c r="G1491" s="421">
        <f>+G1434+G1464+G1490</f>
        <v>127576478.6601</v>
      </c>
      <c r="H1491" s="404"/>
      <c r="I1491" s="421">
        <f>+I1434+I1464+I1490</f>
        <v>14772684.329999998</v>
      </c>
      <c r="J1491" s="435">
        <f>+J1434+J1464+J1490</f>
        <v>189238737.926</v>
      </c>
    </row>
    <row r="1492" spans="1:15" ht="23.4" x14ac:dyDescent="0.3">
      <c r="A1492" s="991" t="s">
        <v>1</v>
      </c>
      <c r="B1492" s="994" t="s">
        <v>2</v>
      </c>
      <c r="C1492" s="997" t="s">
        <v>477</v>
      </c>
      <c r="D1492" s="997" t="s">
        <v>478</v>
      </c>
      <c r="E1492" s="1021" t="s">
        <v>486</v>
      </c>
      <c r="F1492" s="1022"/>
      <c r="G1492" s="1022"/>
      <c r="H1492" s="445"/>
      <c r="I1492" s="445"/>
      <c r="J1492" s="446"/>
    </row>
    <row r="1493" spans="1:15" ht="23.4" x14ac:dyDescent="0.3">
      <c r="A1493" s="992"/>
      <c r="B1493" s="995"/>
      <c r="C1493" s="998"/>
      <c r="D1493" s="998"/>
      <c r="E1493" s="1023" t="s">
        <v>489</v>
      </c>
      <c r="F1493" s="1024"/>
      <c r="G1493" s="1025"/>
      <c r="H1493" s="1023" t="s">
        <v>176</v>
      </c>
      <c r="I1493" s="1024"/>
      <c r="J1493" s="1025"/>
    </row>
    <row r="1494" spans="1:15" ht="46.8" x14ac:dyDescent="0.3">
      <c r="A1494" s="993"/>
      <c r="B1494" s="1019"/>
      <c r="C1494" s="1020"/>
      <c r="D1494" s="1020"/>
      <c r="E1494" s="382" t="s">
        <v>178</v>
      </c>
      <c r="F1494" s="876" t="s">
        <v>488</v>
      </c>
      <c r="G1494" s="877" t="s">
        <v>487</v>
      </c>
      <c r="H1494" s="1026" t="s">
        <v>178</v>
      </c>
      <c r="I1494" s="1028" t="s">
        <v>144</v>
      </c>
      <c r="J1494" s="1030" t="s">
        <v>487</v>
      </c>
    </row>
    <row r="1495" spans="1:15" ht="24" thickBot="1" x14ac:dyDescent="0.35">
      <c r="A1495" s="993"/>
      <c r="B1495" s="996"/>
      <c r="C1495" s="999"/>
      <c r="D1495" s="999"/>
      <c r="E1495" s="1032">
        <v>44551</v>
      </c>
      <c r="F1495" s="1033"/>
      <c r="G1495" s="1034"/>
      <c r="H1495" s="1027"/>
      <c r="I1495" s="1029"/>
      <c r="J1495" s="1031"/>
    </row>
    <row r="1496" spans="1:15" ht="23.4" x14ac:dyDescent="0.3">
      <c r="A1496" s="271" t="s">
        <v>110</v>
      </c>
      <c r="B1496" s="956" t="s">
        <v>16</v>
      </c>
      <c r="C1496" s="272" t="s">
        <v>424</v>
      </c>
      <c r="D1496" s="272" t="s">
        <v>425</v>
      </c>
      <c r="E1496" s="758">
        <v>81.360699999999994</v>
      </c>
      <c r="F1496" s="405">
        <f>IFERROR(E1496*'01 Prod Physique Boites'!H1491,"-")</f>
        <v>0</v>
      </c>
      <c r="G1496" s="405">
        <f>IFERROR(E1496*'01 Prod Physique Boites'!L1491,"-")</f>
        <v>1614196.2879999999</v>
      </c>
      <c r="H1496" s="759">
        <v>143.28</v>
      </c>
      <c r="I1496" s="422">
        <f>IFERROR(H1496*(F1496/E1496),"-")</f>
        <v>0</v>
      </c>
      <c r="J1496" s="423">
        <f t="shared" ref="J1496:J1498" si="921">IFERROR(H1496*(G1496/E1496),"-")</f>
        <v>2842675.2000000002</v>
      </c>
    </row>
    <row r="1497" spans="1:15" ht="23.4" x14ac:dyDescent="0.3">
      <c r="A1497" s="784"/>
      <c r="B1497" s="957"/>
      <c r="C1497" s="278" t="s">
        <v>188</v>
      </c>
      <c r="D1497" s="278" t="s">
        <v>101</v>
      </c>
      <c r="E1497" s="509">
        <v>81.360699999999994</v>
      </c>
      <c r="F1497" s="405">
        <f>IFERROR(E1497*'01 Prod Physique Boites'!H1492,"-")</f>
        <v>0</v>
      </c>
      <c r="G1497" s="405">
        <f>IFERROR(E1497*'01 Prod Physique Boites'!L1492,"-")</f>
        <v>3936312.0266999998</v>
      </c>
      <c r="H1497" s="770">
        <v>0</v>
      </c>
      <c r="I1497" s="422">
        <f>IFERROR(H1497*(F1497/E1497),"-")</f>
        <v>0</v>
      </c>
      <c r="J1497" s="423">
        <f t="shared" si="921"/>
        <v>0</v>
      </c>
    </row>
    <row r="1498" spans="1:15" ht="23.4" x14ac:dyDescent="0.3">
      <c r="A1498" s="277" t="s">
        <v>110</v>
      </c>
      <c r="B1498" s="957"/>
      <c r="C1498" s="278" t="s">
        <v>539</v>
      </c>
      <c r="D1498" s="278" t="s">
        <v>454</v>
      </c>
      <c r="E1498" s="727">
        <v>77.170400000000001</v>
      </c>
      <c r="F1498" s="405">
        <f>IFERROR(E1498*'01 Prod Physique Boites'!H1493,"-")</f>
        <v>0</v>
      </c>
      <c r="G1498" s="728">
        <f>IFERROR(E1498*'01 Prod Physique Boites'!L1493,"-")</f>
        <v>2207073.44</v>
      </c>
      <c r="H1498" s="388">
        <v>0</v>
      </c>
      <c r="I1498" s="422">
        <f>IFERROR(H1498*(F1498/E1498),"-")</f>
        <v>0</v>
      </c>
      <c r="J1498" s="423">
        <f t="shared" si="921"/>
        <v>0</v>
      </c>
    </row>
    <row r="1499" spans="1:15" ht="24" thickBot="1" x14ac:dyDescent="0.35">
      <c r="A1499" s="277" t="s">
        <v>110</v>
      </c>
      <c r="B1499" s="958"/>
      <c r="C1499" s="282" t="s">
        <v>282</v>
      </c>
      <c r="D1499" s="282" t="s">
        <v>251</v>
      </c>
      <c r="E1499" s="505">
        <v>60.703499999999998</v>
      </c>
      <c r="F1499" s="405">
        <f>IFERROR(E1499*'01 Prod Physique Boites'!H1494,"-")</f>
        <v>0</v>
      </c>
      <c r="G1499" s="405">
        <f>IFERROR(E1499*'01 Prod Physique Boites'!L1494,"-")</f>
        <v>1414148.736</v>
      </c>
      <c r="H1499" s="390">
        <v>111.09</v>
      </c>
      <c r="I1499" s="422">
        <f>IFERROR(H1499*(F1499/E1499),"-")</f>
        <v>0</v>
      </c>
      <c r="J1499" s="423">
        <f>IFERROR(H1499*(G1499/E1499),"-")</f>
        <v>2587952.64</v>
      </c>
    </row>
    <row r="1500" spans="1:15" ht="24" thickBot="1" x14ac:dyDescent="0.35">
      <c r="A1500" s="277" t="s">
        <v>110</v>
      </c>
      <c r="B1500" s="967" t="s">
        <v>47</v>
      </c>
      <c r="C1500" s="968"/>
      <c r="D1500" s="969"/>
      <c r="E1500" s="393"/>
      <c r="F1500" s="409">
        <f t="shared" ref="F1500" si="922">SUM(F1496:F1499)</f>
        <v>0</v>
      </c>
      <c r="G1500" s="410">
        <f>SUM(G1496:G1499)</f>
        <v>9171730.490699999</v>
      </c>
      <c r="H1500" s="394"/>
      <c r="I1500" s="409">
        <f t="shared" ref="I1500:J1500" si="923">SUM(I1496:I1499)</f>
        <v>0</v>
      </c>
      <c r="J1500" s="428">
        <f t="shared" si="923"/>
        <v>5430627.8399999999</v>
      </c>
      <c r="K1500" s="757"/>
      <c r="L1500" s="757"/>
      <c r="M1500" s="757"/>
      <c r="N1500" s="757"/>
      <c r="O1500" s="757"/>
    </row>
    <row r="1501" spans="1:15" ht="23.4" x14ac:dyDescent="0.3">
      <c r="A1501" s="277" t="s">
        <v>110</v>
      </c>
      <c r="B1501" s="956" t="s">
        <v>17</v>
      </c>
      <c r="C1501" s="272" t="s">
        <v>320</v>
      </c>
      <c r="D1501" s="272"/>
      <c r="E1501" s="508">
        <v>12.5275</v>
      </c>
      <c r="F1501" s="405">
        <f>IFERROR(E1501*'01 Prod Physique Boites'!H1496,"-")</f>
        <v>0</v>
      </c>
      <c r="G1501" s="405">
        <f>IFERROR(E1501*'01 Prod Physique Boites'!L1496,"-")</f>
        <v>2453385.6</v>
      </c>
      <c r="H1501" s="715">
        <v>18.836400000000001</v>
      </c>
      <c r="I1501" s="422">
        <f t="shared" ref="I1501:I1507" si="924">IFERROR(H1501*(F1501/E1501),"-")</f>
        <v>0</v>
      </c>
      <c r="J1501" s="423">
        <f t="shared" ref="J1501:J1506" si="925">IFERROR(H1501*(G1501/E1501),"-")</f>
        <v>3688920.5760000004</v>
      </c>
    </row>
    <row r="1502" spans="1:15" ht="23.4" x14ac:dyDescent="0.3">
      <c r="A1502" s="277" t="s">
        <v>110</v>
      </c>
      <c r="B1502" s="957"/>
      <c r="C1502" s="278" t="s">
        <v>382</v>
      </c>
      <c r="D1502" s="278" t="s">
        <v>252</v>
      </c>
      <c r="E1502" s="698">
        <v>13.002700000000001</v>
      </c>
      <c r="F1502" s="405">
        <f>IFERROR(E1502*'01 Prod Physique Boites'!H1497,"-")</f>
        <v>0</v>
      </c>
      <c r="G1502" s="405">
        <f>IFERROR(E1502*'01 Prod Physique Boites'!L1497,"-")</f>
        <v>7837286.4061000003</v>
      </c>
      <c r="H1502" s="388">
        <v>21.18</v>
      </c>
      <c r="I1502" s="424">
        <f t="shared" si="924"/>
        <v>0</v>
      </c>
      <c r="J1502" s="425">
        <f t="shared" si="925"/>
        <v>12766096.74</v>
      </c>
    </row>
    <row r="1503" spans="1:15" ht="23.4" x14ac:dyDescent="0.3">
      <c r="A1503" s="277" t="s">
        <v>110</v>
      </c>
      <c r="B1503" s="957"/>
      <c r="C1503" s="278" t="s">
        <v>391</v>
      </c>
      <c r="D1503" s="278" t="s">
        <v>201</v>
      </c>
      <c r="E1503" s="698">
        <v>12.9049</v>
      </c>
      <c r="F1503" s="405">
        <f>IFERROR(E1503*'01 Prod Physique Boites'!H1498,"-")</f>
        <v>0</v>
      </c>
      <c r="G1503" s="405">
        <f>IFERROR(E1503*'01 Prod Physique Boites'!L1498,"-")</f>
        <v>5868064.5083999997</v>
      </c>
      <c r="H1503" s="388">
        <v>20.5</v>
      </c>
      <c r="I1503" s="424">
        <f t="shared" si="924"/>
        <v>0</v>
      </c>
      <c r="J1503" s="425">
        <f t="shared" si="925"/>
        <v>9321678</v>
      </c>
    </row>
    <row r="1504" spans="1:15" ht="23.4" x14ac:dyDescent="0.3">
      <c r="A1504" s="277" t="s">
        <v>110</v>
      </c>
      <c r="B1504" s="957"/>
      <c r="C1504" s="278" t="s">
        <v>319</v>
      </c>
      <c r="D1504" s="278" t="s">
        <v>202</v>
      </c>
      <c r="E1504" s="509">
        <v>13.078200000000001</v>
      </c>
      <c r="F1504" s="405">
        <f>IFERROR(E1504*'01 Prod Physique Boites'!H1499,"-")</f>
        <v>1840887.432</v>
      </c>
      <c r="G1504" s="405">
        <f>IFERROR(E1504*'01 Prod Physique Boites'!L1499,"-")</f>
        <v>3361620.5280000004</v>
      </c>
      <c r="H1504" s="388">
        <v>20.6</v>
      </c>
      <c r="I1504" s="424">
        <f t="shared" si="924"/>
        <v>2899656</v>
      </c>
      <c r="J1504" s="425">
        <f t="shared" si="925"/>
        <v>5295024.0000000009</v>
      </c>
    </row>
    <row r="1505" spans="1:15" ht="23.4" x14ac:dyDescent="0.3">
      <c r="A1505" s="277" t="s">
        <v>110</v>
      </c>
      <c r="B1505" s="957"/>
      <c r="C1505" s="278" t="s">
        <v>358</v>
      </c>
      <c r="D1505" s="278" t="s">
        <v>352</v>
      </c>
      <c r="E1505" s="509">
        <v>13.1958</v>
      </c>
      <c r="F1505" s="405">
        <f>IFERROR(E1505*'01 Prod Physique Boites'!H1500,"-")</f>
        <v>0</v>
      </c>
      <c r="G1505" s="405">
        <f>IFERROR(E1505*'01 Prod Physique Boites'!L1500,"-")</f>
        <v>6609538.6956000002</v>
      </c>
      <c r="H1505" s="388">
        <v>21.28</v>
      </c>
      <c r="I1505" s="424">
        <f t="shared" si="924"/>
        <v>0</v>
      </c>
      <c r="J1505" s="425">
        <f t="shared" si="925"/>
        <v>10658768.960000001</v>
      </c>
    </row>
    <row r="1506" spans="1:15" ht="23.4" x14ac:dyDescent="0.3">
      <c r="A1506" s="277">
        <v>1</v>
      </c>
      <c r="B1506" s="957"/>
      <c r="C1506" s="278" t="s">
        <v>392</v>
      </c>
      <c r="D1506" s="278" t="s">
        <v>203</v>
      </c>
      <c r="E1506" s="698">
        <v>12.9049</v>
      </c>
      <c r="F1506" s="405">
        <f>IFERROR(E1506*'01 Prod Physique Boites'!H1501,"-")</f>
        <v>0</v>
      </c>
      <c r="G1506" s="405">
        <f>IFERROR(E1506*'01 Prod Physique Boites'!L1501,"-")</f>
        <v>0</v>
      </c>
      <c r="H1506" s="677">
        <v>20.5</v>
      </c>
      <c r="I1506" s="424">
        <f t="shared" si="924"/>
        <v>0</v>
      </c>
      <c r="J1506" s="425">
        <f t="shared" si="925"/>
        <v>0</v>
      </c>
    </row>
    <row r="1507" spans="1:15" ht="24" thickBot="1" x14ac:dyDescent="0.35">
      <c r="A1507" s="277" t="s">
        <v>110</v>
      </c>
      <c r="B1507" s="958"/>
      <c r="C1507" s="282" t="s">
        <v>379</v>
      </c>
      <c r="D1507" s="282" t="s">
        <v>187</v>
      </c>
      <c r="E1507" s="505">
        <v>13.6509</v>
      </c>
      <c r="F1507" s="405">
        <f>IFERROR(E1507*'01 Prod Physique Boites'!H1502,"-")</f>
        <v>0</v>
      </c>
      <c r="G1507" s="405">
        <f>IFERROR(E1507*'01 Prod Physique Boites'!L1502,"-")</f>
        <v>0</v>
      </c>
      <c r="H1507" s="390">
        <v>21.18</v>
      </c>
      <c r="I1507" s="426">
        <f t="shared" si="924"/>
        <v>0</v>
      </c>
      <c r="J1507" s="427">
        <f>IFERROR(H1507*(G1507/E1507),"-")</f>
        <v>0</v>
      </c>
    </row>
    <row r="1508" spans="1:15" ht="24" thickBot="1" x14ac:dyDescent="0.35">
      <c r="A1508" s="277" t="s">
        <v>110</v>
      </c>
      <c r="B1508" s="967" t="s">
        <v>48</v>
      </c>
      <c r="C1508" s="968"/>
      <c r="D1508" s="969"/>
      <c r="E1508" s="393"/>
      <c r="F1508" s="409">
        <f t="shared" ref="F1508" si="926">SUM(F1501:F1507)</f>
        <v>1840887.432</v>
      </c>
      <c r="G1508" s="410">
        <f>SUM(G1501:G1507)</f>
        <v>26129895.7381</v>
      </c>
      <c r="H1508" s="394"/>
      <c r="I1508" s="409">
        <f t="shared" ref="I1508" si="927">SUM(I1501:I1507)</f>
        <v>2899656</v>
      </c>
      <c r="J1508" s="428">
        <f>SUM(J1501:J1507)</f>
        <v>41730488.276000001</v>
      </c>
      <c r="K1508" s="757"/>
      <c r="L1508" s="757"/>
      <c r="M1508" s="757"/>
      <c r="N1508" s="757"/>
      <c r="O1508" s="757"/>
    </row>
    <row r="1509" spans="1:15" ht="23.4" x14ac:dyDescent="0.3">
      <c r="A1509" s="277" t="s">
        <v>110</v>
      </c>
      <c r="B1509" s="956" t="s">
        <v>18</v>
      </c>
      <c r="C1509" s="272" t="s">
        <v>344</v>
      </c>
      <c r="D1509" s="272" t="s">
        <v>99</v>
      </c>
      <c r="E1509" s="508">
        <v>17.8202</v>
      </c>
      <c r="F1509" s="405">
        <f>IFERROR(E1509*'01 Prod Physique Boites'!H1504,"-")</f>
        <v>0</v>
      </c>
      <c r="G1509" s="406">
        <f>IFERROR(E1509*'01 Prod Physique Boites'!L1504,"-")</f>
        <v>0</v>
      </c>
      <c r="H1509" s="384">
        <v>24.93</v>
      </c>
      <c r="I1509" s="422">
        <f t="shared" ref="I1509:I1515" si="928">IFERROR(H1509*(F1509/E1509),"-")</f>
        <v>0</v>
      </c>
      <c r="J1509" s="423">
        <f t="shared" ref="J1509:J1511" si="929">IFERROR(H1509*(G1509/E1509),"-")</f>
        <v>0</v>
      </c>
    </row>
    <row r="1510" spans="1:15" ht="23.4" x14ac:dyDescent="0.3">
      <c r="A1510" s="277" t="s">
        <v>110</v>
      </c>
      <c r="B1510" s="957"/>
      <c r="C1510" s="278" t="s">
        <v>137</v>
      </c>
      <c r="D1510" s="278"/>
      <c r="E1510" s="509">
        <v>17.8202</v>
      </c>
      <c r="F1510" s="405">
        <f>IFERROR(E1510*'01 Prod Physique Boites'!H1505,"-")</f>
        <v>0</v>
      </c>
      <c r="G1510" s="406">
        <f>IFERROR(E1510*'01 Prod Physique Boites'!L1505,"-")</f>
        <v>0</v>
      </c>
      <c r="H1510" s="388">
        <v>0</v>
      </c>
      <c r="I1510" s="424">
        <f t="shared" si="928"/>
        <v>0</v>
      </c>
      <c r="J1510" s="425">
        <f t="shared" si="929"/>
        <v>0</v>
      </c>
    </row>
    <row r="1511" spans="1:15" ht="23.4" x14ac:dyDescent="0.3">
      <c r="A1511" s="277" t="s">
        <v>110</v>
      </c>
      <c r="B1511" s="957"/>
      <c r="C1511" s="278" t="s">
        <v>122</v>
      </c>
      <c r="D1511" s="278"/>
      <c r="E1511" s="509">
        <v>16.4071</v>
      </c>
      <c r="F1511" s="405">
        <f>IFERROR(E1511*'01 Prod Physique Boites'!H1506,"-")</f>
        <v>0</v>
      </c>
      <c r="G1511" s="406">
        <f>IFERROR(E1511*'01 Prod Physique Boites'!L1506,"-")</f>
        <v>0</v>
      </c>
      <c r="H1511" s="388">
        <v>0</v>
      </c>
      <c r="I1511" s="424">
        <f t="shared" si="928"/>
        <v>0</v>
      </c>
      <c r="J1511" s="425">
        <f t="shared" si="929"/>
        <v>0</v>
      </c>
    </row>
    <row r="1512" spans="1:15" ht="23.4" x14ac:dyDescent="0.3">
      <c r="A1512" s="277" t="s">
        <v>110</v>
      </c>
      <c r="B1512" s="957"/>
      <c r="C1512" s="278" t="s">
        <v>129</v>
      </c>
      <c r="D1512" s="278"/>
      <c r="E1512" s="509">
        <v>17.8202</v>
      </c>
      <c r="F1512" s="405">
        <f>IFERROR(E1512*'01 Prod Physique Boites'!H1507,"-")</f>
        <v>0</v>
      </c>
      <c r="G1512" s="406">
        <f>IFERROR(E1512*'01 Prod Physique Boites'!L1507,"-")</f>
        <v>0</v>
      </c>
      <c r="H1512" s="388">
        <v>0</v>
      </c>
      <c r="I1512" s="424">
        <f t="shared" si="928"/>
        <v>0</v>
      </c>
      <c r="J1512" s="425">
        <f>IFERROR(H1512*(G1512/E1512),"-")</f>
        <v>0</v>
      </c>
    </row>
    <row r="1513" spans="1:15" ht="23.4" x14ac:dyDescent="0.3">
      <c r="A1513" s="277" t="s">
        <v>110</v>
      </c>
      <c r="B1513" s="957"/>
      <c r="C1513" s="278" t="s">
        <v>189</v>
      </c>
      <c r="D1513" s="278" t="s">
        <v>190</v>
      </c>
      <c r="E1513" s="509">
        <v>17.8202</v>
      </c>
      <c r="F1513" s="405">
        <f>IFERROR(E1513*'01 Prod Physique Boites'!H1508,"-")</f>
        <v>0</v>
      </c>
      <c r="G1513" s="406">
        <f>IFERROR(E1513*'01 Prod Physique Boites'!L1508,"-")</f>
        <v>0</v>
      </c>
      <c r="H1513" s="388">
        <v>0</v>
      </c>
      <c r="I1513" s="424">
        <f t="shared" si="928"/>
        <v>0</v>
      </c>
      <c r="J1513" s="425">
        <f t="shared" ref="J1513:J1515" si="930">IFERROR(H1513*(G1513/E1513),"-")</f>
        <v>0</v>
      </c>
    </row>
    <row r="1514" spans="1:15" ht="23.4" x14ac:dyDescent="0.3">
      <c r="A1514" s="277" t="s">
        <v>110</v>
      </c>
      <c r="B1514" s="957"/>
      <c r="C1514" s="278" t="s">
        <v>192</v>
      </c>
      <c r="D1514" s="278" t="s">
        <v>191</v>
      </c>
      <c r="E1514" s="509">
        <v>16.7288</v>
      </c>
      <c r="F1514" s="405">
        <f>IFERROR(E1514*'01 Prod Physique Boites'!H1509,"-")</f>
        <v>0</v>
      </c>
      <c r="G1514" s="406">
        <f>IFERROR(E1514*'01 Prod Physique Boites'!L1509,"-")</f>
        <v>0</v>
      </c>
      <c r="H1514" s="388">
        <v>0</v>
      </c>
      <c r="I1514" s="424">
        <f t="shared" si="928"/>
        <v>0</v>
      </c>
      <c r="J1514" s="425">
        <f t="shared" si="930"/>
        <v>0</v>
      </c>
    </row>
    <row r="1515" spans="1:15" ht="24" thickBot="1" x14ac:dyDescent="0.35">
      <c r="A1515" s="277" t="s">
        <v>110</v>
      </c>
      <c r="B1515" s="958"/>
      <c r="C1515" s="289" t="s">
        <v>193</v>
      </c>
      <c r="D1515" s="289" t="s">
        <v>114</v>
      </c>
      <c r="E1515" s="505">
        <v>17.8202</v>
      </c>
      <c r="F1515" s="405">
        <f>IFERROR(E1515*'01 Prod Physique Boites'!H1510,"-")</f>
        <v>0</v>
      </c>
      <c r="G1515" s="406">
        <f>IFERROR(E1515*'01 Prod Physique Boites'!L1510,"-")</f>
        <v>0</v>
      </c>
      <c r="H1515" s="388">
        <v>0</v>
      </c>
      <c r="I1515" s="426">
        <f t="shared" si="928"/>
        <v>0</v>
      </c>
      <c r="J1515" s="427">
        <f t="shared" si="930"/>
        <v>0</v>
      </c>
    </row>
    <row r="1516" spans="1:15" ht="24" thickBot="1" x14ac:dyDescent="0.35">
      <c r="A1516" s="277" t="s">
        <v>110</v>
      </c>
      <c r="B1516" s="967" t="s">
        <v>29</v>
      </c>
      <c r="C1516" s="968"/>
      <c r="D1516" s="969"/>
      <c r="E1516" s="660"/>
      <c r="F1516" s="661">
        <f t="shared" ref="F1516:G1516" si="931">SUM(F1509:F1515)</f>
        <v>0</v>
      </c>
      <c r="G1516" s="410">
        <f t="shared" si="931"/>
        <v>0</v>
      </c>
      <c r="H1516" s="394"/>
      <c r="I1516" s="409">
        <f t="shared" ref="I1516:J1516" si="932">SUM(I1509:I1515)</f>
        <v>0</v>
      </c>
      <c r="J1516" s="428">
        <f t="shared" si="932"/>
        <v>0</v>
      </c>
    </row>
    <row r="1517" spans="1:15" ht="24" thickBot="1" x14ac:dyDescent="0.35">
      <c r="A1517" s="277"/>
      <c r="B1517" s="985" t="s">
        <v>19</v>
      </c>
      <c r="C1517" s="662" t="s">
        <v>255</v>
      </c>
      <c r="D1517" s="668" t="s">
        <v>190</v>
      </c>
      <c r="E1517" s="669">
        <v>12.2659</v>
      </c>
      <c r="F1517" s="670">
        <f>IFERROR(E1517*'01 Prod Physique Boites'!H1512,"-")</f>
        <v>0</v>
      </c>
      <c r="G1517" s="671">
        <f>IFERROR(E1517*'01 Prod Physique Boites'!L1512,"-")</f>
        <v>0</v>
      </c>
      <c r="H1517" s="665">
        <v>14.79</v>
      </c>
      <c r="I1517" s="650">
        <f t="shared" ref="I1517:I1519" si="933">IFERROR(H1517*(F1517/E1517),"-")</f>
        <v>0</v>
      </c>
      <c r="J1517" s="650">
        <f>IFERROR(H1517*(G1517/E1517),"-")</f>
        <v>0</v>
      </c>
    </row>
    <row r="1518" spans="1:15" ht="24" thickBot="1" x14ac:dyDescent="0.35">
      <c r="A1518" s="277"/>
      <c r="B1518" s="986"/>
      <c r="C1518" s="663" t="s">
        <v>399</v>
      </c>
      <c r="D1518" s="672"/>
      <c r="E1518" s="654">
        <v>12.2659</v>
      </c>
      <c r="F1518" s="670">
        <f>IFERROR(E1518*'01 Prod Physique Boites'!H1513,"-")</f>
        <v>0</v>
      </c>
      <c r="G1518" s="645">
        <f>IFERROR(E1518*'01 Prod Physique Boites'!L1513,"-")</f>
        <v>239626.62239999999</v>
      </c>
      <c r="H1518" s="666">
        <v>14.55</v>
      </c>
      <c r="I1518" s="655">
        <f t="shared" si="933"/>
        <v>0</v>
      </c>
      <c r="J1518" s="655">
        <f>IFERROR(H1518*(G1518/E1518),"-")</f>
        <v>284248.8</v>
      </c>
    </row>
    <row r="1519" spans="1:15" ht="24" thickBot="1" x14ac:dyDescent="0.35">
      <c r="A1519" s="878" t="s">
        <v>110</v>
      </c>
      <c r="B1519" s="987"/>
      <c r="C1519" s="664" t="s">
        <v>380</v>
      </c>
      <c r="D1519" s="673"/>
      <c r="E1519" s="674">
        <v>0</v>
      </c>
      <c r="F1519" s="670">
        <f>IFERROR(E1519*'01 Prod Physique Boites'!H1514,"-")</f>
        <v>0</v>
      </c>
      <c r="G1519" s="676">
        <f>IFERROR(E1519*'01 Prod Physique Boites'!L1514,"-")</f>
        <v>0</v>
      </c>
      <c r="H1519" s="667">
        <v>0</v>
      </c>
      <c r="I1519" s="429" t="str">
        <f t="shared" si="933"/>
        <v>-</v>
      </c>
      <c r="J1519" s="430" t="str">
        <f t="shared" ref="J1519" si="934">IFERROR(I1519*(G1519/F1519),"-")</f>
        <v>-</v>
      </c>
    </row>
    <row r="1520" spans="1:15" ht="24" thickBot="1" x14ac:dyDescent="0.35">
      <c r="A1520" s="277" t="s">
        <v>110</v>
      </c>
      <c r="B1520" s="967" t="s">
        <v>49</v>
      </c>
      <c r="C1520" s="968"/>
      <c r="D1520" s="969"/>
      <c r="E1520" s="393"/>
      <c r="F1520" s="409">
        <f>SUM(F1517:F1519)</f>
        <v>0</v>
      </c>
      <c r="G1520" s="409">
        <f>SUM(G1517:G1519)</f>
        <v>239626.62239999999</v>
      </c>
      <c r="H1520" s="394"/>
      <c r="I1520" s="409">
        <f>SUM(I1517:I1519)</f>
        <v>0</v>
      </c>
      <c r="J1520" s="428">
        <f>SUM(J1517:J1519)</f>
        <v>284248.8</v>
      </c>
    </row>
    <row r="1521" spans="1:10" ht="23.4" x14ac:dyDescent="0.3">
      <c r="A1521" s="277" t="s">
        <v>110</v>
      </c>
      <c r="B1521" s="956" t="s">
        <v>20</v>
      </c>
      <c r="C1521" s="294" t="s">
        <v>351</v>
      </c>
      <c r="D1521" s="294" t="s">
        <v>313</v>
      </c>
      <c r="E1521" s="508">
        <v>26.032900000000001</v>
      </c>
      <c r="F1521" s="405">
        <f>IFERROR(E1521*'01 Prod Physique Boites'!H1516,"-")</f>
        <v>0</v>
      </c>
      <c r="G1521" s="406">
        <f>IFERROR(E1521*'01 Prod Physique Boites'!L1516,"-")</f>
        <v>0</v>
      </c>
      <c r="H1521" s="384">
        <v>36.44</v>
      </c>
      <c r="I1521" s="422">
        <f>IFERROR(H1521*(F1521/E1521),"-")</f>
        <v>0</v>
      </c>
      <c r="J1521" s="423">
        <f t="shared" ref="J1521:J1523" si="935">IFERROR(H1521*(G1521/E1521),"-")</f>
        <v>0</v>
      </c>
    </row>
    <row r="1522" spans="1:10" ht="23.4" x14ac:dyDescent="0.3">
      <c r="A1522" s="277" t="s">
        <v>110</v>
      </c>
      <c r="B1522" s="957"/>
      <c r="C1522" s="295" t="s">
        <v>121</v>
      </c>
      <c r="D1522" s="295"/>
      <c r="E1522" s="387">
        <v>24.2607</v>
      </c>
      <c r="F1522" s="405">
        <f>IFERROR(E1522*'01 Prod Physique Boites'!H1517,"-")</f>
        <v>0</v>
      </c>
      <c r="G1522" s="406">
        <f>IFERROR(E1522*'01 Prod Physique Boites'!L1517,"-")</f>
        <v>0</v>
      </c>
      <c r="H1522" s="388">
        <v>37.369999999999997</v>
      </c>
      <c r="I1522" s="424">
        <f>IFERROR(H1522*(F1522/E1522),"-")</f>
        <v>0</v>
      </c>
      <c r="J1522" s="425">
        <f t="shared" si="935"/>
        <v>0</v>
      </c>
    </row>
    <row r="1523" spans="1:10" ht="24" thickBot="1" x14ac:dyDescent="0.35">
      <c r="A1523" s="277" t="s">
        <v>110</v>
      </c>
      <c r="B1523" s="958"/>
      <c r="C1523" s="296" t="s">
        <v>127</v>
      </c>
      <c r="D1523" s="296"/>
      <c r="E1523" s="389">
        <v>26.035799999999998</v>
      </c>
      <c r="F1523" s="405">
        <f>IFERROR(E1523*'01 Prod Physique Boites'!H1518,"-")</f>
        <v>0</v>
      </c>
      <c r="G1523" s="406">
        <f>IFERROR(E1523*'01 Prod Physique Boites'!L1518,"-")</f>
        <v>0</v>
      </c>
      <c r="H1523" s="390">
        <v>37.11</v>
      </c>
      <c r="I1523" s="426">
        <f>IFERROR(H1523*(F1523/E1523),"-")</f>
        <v>0</v>
      </c>
      <c r="J1523" s="427">
        <f t="shared" si="935"/>
        <v>0</v>
      </c>
    </row>
    <row r="1524" spans="1:10" ht="24" thickBot="1" x14ac:dyDescent="0.35">
      <c r="A1524" s="277" t="s">
        <v>110</v>
      </c>
      <c r="B1524" s="968" t="s">
        <v>50</v>
      </c>
      <c r="C1524" s="968"/>
      <c r="D1524" s="989"/>
      <c r="E1524" s="393"/>
      <c r="F1524" s="409">
        <f t="shared" ref="F1524:G1524" si="936">SUM(F1521:F1523)</f>
        <v>0</v>
      </c>
      <c r="G1524" s="410">
        <f t="shared" si="936"/>
        <v>0</v>
      </c>
      <c r="H1524" s="394"/>
      <c r="I1524" s="409">
        <f t="shared" ref="I1524:J1524" si="937">SUM(I1521:I1523)</f>
        <v>0</v>
      </c>
      <c r="J1524" s="428">
        <f t="shared" si="937"/>
        <v>0</v>
      </c>
    </row>
    <row r="1525" spans="1:10" ht="24" thickBot="1" x14ac:dyDescent="0.35">
      <c r="A1525" s="277" t="s">
        <v>110</v>
      </c>
      <c r="B1525" s="981" t="s">
        <v>21</v>
      </c>
      <c r="C1525" s="982"/>
      <c r="D1525" s="983"/>
      <c r="E1525" s="396"/>
      <c r="F1525" s="413">
        <f>+F1500+F1508+F1516+F1520+F1524</f>
        <v>1840887.432</v>
      </c>
      <c r="G1525" s="414">
        <f>+G1500+G1508+G1516+G1520+G1524</f>
        <v>35541252.851199999</v>
      </c>
      <c r="H1525" s="397"/>
      <c r="I1525" s="413">
        <f>+I1500+I1508+I1516+I1520+I1524</f>
        <v>2899656</v>
      </c>
      <c r="J1525" s="431">
        <f>+J1500+J1508+J1516+J1520+J1524</f>
        <v>47445364.915999994</v>
      </c>
    </row>
    <row r="1526" spans="1:10" ht="23.4" x14ac:dyDescent="0.3">
      <c r="A1526" s="277" t="s">
        <v>110</v>
      </c>
      <c r="B1526" s="956" t="s">
        <v>481</v>
      </c>
      <c r="C1526" s="272" t="s">
        <v>132</v>
      </c>
      <c r="D1526" s="272"/>
      <c r="E1526" s="383">
        <v>22.820599999999999</v>
      </c>
      <c r="F1526" s="405">
        <f>IFERROR(E1526*'01 Prod Physique Boites'!H1521,"-")</f>
        <v>0</v>
      </c>
      <c r="G1526" s="406">
        <f>IFERROR(E1526*'01 Prod Physique Boites'!L1521,"-")</f>
        <v>0</v>
      </c>
      <c r="H1526" s="384">
        <v>27.5</v>
      </c>
      <c r="I1526" s="422">
        <f>IFERROR(H1526*(F1526/E1526),"-")</f>
        <v>0</v>
      </c>
      <c r="J1526" s="423">
        <f t="shared" ref="J1526:J1529" si="938">IFERROR(H1526*(G1526/E1526),"-")</f>
        <v>0</v>
      </c>
    </row>
    <row r="1527" spans="1:10" ht="23.4" x14ac:dyDescent="0.3">
      <c r="A1527" s="277" t="s">
        <v>110</v>
      </c>
      <c r="B1527" s="957"/>
      <c r="C1527" s="298" t="s">
        <v>283</v>
      </c>
      <c r="D1527" s="298" t="s">
        <v>194</v>
      </c>
      <c r="E1527" s="387">
        <v>23.570699999999999</v>
      </c>
      <c r="F1527" s="405">
        <f>IFERROR(E1527*'01 Prod Physique Boites'!H1522,"-")</f>
        <v>0</v>
      </c>
      <c r="G1527" s="406">
        <f>IFERROR(E1527*'01 Prod Physique Boites'!L1522,"-")</f>
        <v>0</v>
      </c>
      <c r="H1527" s="388">
        <v>27.5</v>
      </c>
      <c r="I1527" s="424">
        <f>IFERROR(H1527*(F1527/E1527),"-")</f>
        <v>0</v>
      </c>
      <c r="J1527" s="425">
        <f t="shared" si="938"/>
        <v>0</v>
      </c>
    </row>
    <row r="1528" spans="1:10" ht="23.4" x14ac:dyDescent="0.3">
      <c r="A1528" s="277" t="s">
        <v>110</v>
      </c>
      <c r="B1528" s="957"/>
      <c r="C1528" s="298" t="s">
        <v>405</v>
      </c>
      <c r="D1528" s="298" t="s">
        <v>194</v>
      </c>
      <c r="E1528" s="387">
        <v>22.820599999999999</v>
      </c>
      <c r="F1528" s="405">
        <f>IFERROR(E1528*'01 Prod Physique Boites'!H1523,"-")</f>
        <v>0</v>
      </c>
      <c r="G1528" s="406">
        <f>IFERROR(E1528*'01 Prod Physique Boites'!L1523,"-")</f>
        <v>8207885.2019999996</v>
      </c>
      <c r="H1528" s="388">
        <v>27.5</v>
      </c>
      <c r="I1528" s="424">
        <f>IFERROR(H1528*(F1528/E1528),"-")</f>
        <v>0</v>
      </c>
      <c r="J1528" s="425">
        <f t="shared" si="938"/>
        <v>9890925</v>
      </c>
    </row>
    <row r="1529" spans="1:10" ht="24" thickBot="1" x14ac:dyDescent="0.35">
      <c r="A1529" s="277" t="s">
        <v>110</v>
      </c>
      <c r="B1529" s="958"/>
      <c r="C1529" s="282" t="s">
        <v>195</v>
      </c>
      <c r="D1529" s="282" t="s">
        <v>100</v>
      </c>
      <c r="E1529" s="389">
        <v>23.5685</v>
      </c>
      <c r="F1529" s="405">
        <f>IFERROR(E1529*'01 Prod Physique Boites'!H1524,"-")</f>
        <v>0</v>
      </c>
      <c r="G1529" s="406">
        <f>IFERROR(E1529*'01 Prod Physique Boites'!L1524,"-")</f>
        <v>0</v>
      </c>
      <c r="H1529" s="390">
        <v>24</v>
      </c>
      <c r="I1529" s="426">
        <f>IFERROR(H1529*(F1529/E1529),"-")</f>
        <v>0</v>
      </c>
      <c r="J1529" s="427">
        <f t="shared" si="938"/>
        <v>0</v>
      </c>
    </row>
    <row r="1530" spans="1:10" ht="24" thickBot="1" x14ac:dyDescent="0.35">
      <c r="A1530" s="277" t="s">
        <v>110</v>
      </c>
      <c r="B1530" s="967" t="s">
        <v>51</v>
      </c>
      <c r="C1530" s="968"/>
      <c r="D1530" s="969"/>
      <c r="E1530" s="393"/>
      <c r="F1530" s="409">
        <f t="shared" ref="F1530:G1530" si="939">SUM(F1526:F1529)</f>
        <v>0</v>
      </c>
      <c r="G1530" s="410">
        <f t="shared" si="939"/>
        <v>8207885.2019999996</v>
      </c>
      <c r="H1530" s="394"/>
      <c r="I1530" s="409">
        <f t="shared" ref="I1530:J1530" si="940">SUM(I1526:I1529)</f>
        <v>0</v>
      </c>
      <c r="J1530" s="428">
        <f t="shared" si="940"/>
        <v>9890925</v>
      </c>
    </row>
    <row r="1531" spans="1:10" ht="23.4" x14ac:dyDescent="0.3">
      <c r="A1531" s="277" t="s">
        <v>110</v>
      </c>
      <c r="B1531" s="956" t="s">
        <v>23</v>
      </c>
      <c r="C1531" s="299" t="s">
        <v>337</v>
      </c>
      <c r="D1531" s="299" t="s">
        <v>258</v>
      </c>
      <c r="E1531" s="383">
        <v>101.4935</v>
      </c>
      <c r="F1531" s="405">
        <f>IFERROR(E1531*'01 Prod Physique Boites'!H1526,"-")</f>
        <v>881674.03449999995</v>
      </c>
      <c r="G1531" s="406">
        <f>IFERROR(E1531*'01 Prod Physique Boites'!L1526,"-")</f>
        <v>881674.03449999995</v>
      </c>
      <c r="H1531" s="388">
        <v>160.44999999999999</v>
      </c>
      <c r="I1531" s="422">
        <f t="shared" ref="I1531:I1538" si="941">IFERROR(H1531*(F1531/E1531),"-")</f>
        <v>1393829.15</v>
      </c>
      <c r="J1531" s="423">
        <f t="shared" ref="J1531:J1538" si="942">IFERROR(H1531*(G1531/E1531),"-")</f>
        <v>1393829.15</v>
      </c>
    </row>
    <row r="1532" spans="1:10" ht="23.4" x14ac:dyDescent="0.3">
      <c r="A1532" s="277" t="s">
        <v>110</v>
      </c>
      <c r="B1532" s="957"/>
      <c r="C1532" s="278" t="s">
        <v>24</v>
      </c>
      <c r="D1532" s="278" t="s">
        <v>258</v>
      </c>
      <c r="E1532" s="387">
        <v>101.4935</v>
      </c>
      <c r="F1532" s="405">
        <f>IFERROR(E1532*'01 Prod Physique Boites'!H1527,"-")</f>
        <v>0</v>
      </c>
      <c r="G1532" s="406">
        <f>IFERROR(E1532*'01 Prod Physique Boites'!L1527,"-")</f>
        <v>0</v>
      </c>
      <c r="H1532" s="388">
        <v>160.44999999999999</v>
      </c>
      <c r="I1532" s="424">
        <f t="shared" si="941"/>
        <v>0</v>
      </c>
      <c r="J1532" s="425">
        <f t="shared" si="942"/>
        <v>0</v>
      </c>
    </row>
    <row r="1533" spans="1:10" ht="23.4" x14ac:dyDescent="0.3">
      <c r="A1533" s="277" t="s">
        <v>110</v>
      </c>
      <c r="B1533" s="957"/>
      <c r="C1533" s="278" t="s">
        <v>256</v>
      </c>
      <c r="D1533" s="278" t="s">
        <v>258</v>
      </c>
      <c r="E1533" s="387">
        <v>101.4935</v>
      </c>
      <c r="F1533" s="405">
        <f>IFERROR(E1533*'01 Prod Physique Boites'!H1528,"-")</f>
        <v>0</v>
      </c>
      <c r="G1533" s="406">
        <f>IFERROR(E1533*'01 Prod Physique Boites'!L1528,"-")</f>
        <v>1983690.4575</v>
      </c>
      <c r="H1533" s="388">
        <v>160.44999999999999</v>
      </c>
      <c r="I1533" s="424">
        <f t="shared" si="941"/>
        <v>0</v>
      </c>
      <c r="J1533" s="425">
        <f t="shared" si="942"/>
        <v>3135995.25</v>
      </c>
    </row>
    <row r="1534" spans="1:10" ht="23.4" x14ac:dyDescent="0.3">
      <c r="A1534" s="277" t="s">
        <v>110</v>
      </c>
      <c r="B1534" s="957"/>
      <c r="C1534" s="278" t="s">
        <v>257</v>
      </c>
      <c r="D1534" s="278" t="s">
        <v>258</v>
      </c>
      <c r="E1534" s="387">
        <v>101.4935</v>
      </c>
      <c r="F1534" s="405">
        <f>IFERROR(E1534*'01 Prod Physique Boites'!H1529,"-")</f>
        <v>0</v>
      </c>
      <c r="G1534" s="406">
        <f>IFERROR(E1534*'01 Prod Physique Boites'!L1529,"-")</f>
        <v>2066509.1535</v>
      </c>
      <c r="H1534" s="388">
        <v>160.44999999999999</v>
      </c>
      <c r="I1534" s="424">
        <f t="shared" si="941"/>
        <v>0</v>
      </c>
      <c r="J1534" s="425">
        <f t="shared" si="942"/>
        <v>3266922.4499999997</v>
      </c>
    </row>
    <row r="1535" spans="1:10" ht="23.4" x14ac:dyDescent="0.3">
      <c r="A1535" s="277" t="s">
        <v>110</v>
      </c>
      <c r="B1535" s="957"/>
      <c r="C1535" s="298" t="s">
        <v>259</v>
      </c>
      <c r="D1535" s="278" t="s">
        <v>258</v>
      </c>
      <c r="E1535" s="387">
        <v>101.4935</v>
      </c>
      <c r="F1535" s="405">
        <f>IFERROR(E1535*'01 Prod Physique Boites'!H1530,"-")</f>
        <v>0</v>
      </c>
      <c r="G1535" s="406">
        <f>IFERROR(E1535*'01 Prod Physique Boites'!L1530,"-")</f>
        <v>1249080.5045</v>
      </c>
      <c r="H1535" s="388">
        <v>160.44999999999999</v>
      </c>
      <c r="I1535" s="424">
        <f t="shared" si="941"/>
        <v>0</v>
      </c>
      <c r="J1535" s="425">
        <f t="shared" si="942"/>
        <v>1974658.15</v>
      </c>
    </row>
    <row r="1536" spans="1:10" ht="23.4" x14ac:dyDescent="0.3">
      <c r="A1536" s="277" t="s">
        <v>110</v>
      </c>
      <c r="B1536" s="957"/>
      <c r="C1536" s="298" t="s">
        <v>260</v>
      </c>
      <c r="D1536" s="278" t="s">
        <v>258</v>
      </c>
      <c r="E1536" s="387">
        <v>101.4935</v>
      </c>
      <c r="F1536" s="405">
        <f>IFERROR(E1536*'01 Prod Physique Boites'!H1531,"-")</f>
        <v>0</v>
      </c>
      <c r="G1536" s="406">
        <f>IFERROR(E1536*'01 Prod Physique Boites'!L1531,"-")</f>
        <v>2708049.5669999998</v>
      </c>
      <c r="H1536" s="388">
        <v>160.44999999999999</v>
      </c>
      <c r="I1536" s="424">
        <f t="shared" si="941"/>
        <v>0</v>
      </c>
      <c r="J1536" s="425">
        <f t="shared" si="942"/>
        <v>4281126.8999999994</v>
      </c>
    </row>
    <row r="1537" spans="1:10" ht="23.4" x14ac:dyDescent="0.3">
      <c r="A1537" s="277" t="s">
        <v>110</v>
      </c>
      <c r="B1537" s="957"/>
      <c r="C1537" s="298" t="s">
        <v>261</v>
      </c>
      <c r="D1537" s="278" t="s">
        <v>263</v>
      </c>
      <c r="E1537" s="387">
        <v>101.4935</v>
      </c>
      <c r="F1537" s="405">
        <f>IFERROR(E1537*'01 Prod Physique Boites'!H1532,"-")</f>
        <v>0</v>
      </c>
      <c r="G1537" s="406">
        <f>IFERROR(E1537*'01 Prod Physique Boites'!L1532,"-")</f>
        <v>2384082.3149999999</v>
      </c>
      <c r="H1537" s="388">
        <v>160.44999999999999</v>
      </c>
      <c r="I1537" s="424">
        <f t="shared" si="941"/>
        <v>0</v>
      </c>
      <c r="J1537" s="425">
        <f t="shared" si="942"/>
        <v>3768970.4999999995</v>
      </c>
    </row>
    <row r="1538" spans="1:10" ht="24" thickBot="1" x14ac:dyDescent="0.35">
      <c r="A1538" s="277" t="s">
        <v>110</v>
      </c>
      <c r="B1538" s="958"/>
      <c r="C1538" s="298" t="s">
        <v>262</v>
      </c>
      <c r="D1538" s="278" t="s">
        <v>258</v>
      </c>
      <c r="E1538" s="389">
        <v>101.4935</v>
      </c>
      <c r="F1538" s="405">
        <f>IFERROR(E1538*'01 Prod Physique Boites'!H1533,"-")</f>
        <v>558721.71750000003</v>
      </c>
      <c r="G1538" s="406">
        <f>IFERROR(E1538*'01 Prod Physique Boites'!L1533,"-")</f>
        <v>3565466.6549999998</v>
      </c>
      <c r="H1538" s="388">
        <v>160.44999999999999</v>
      </c>
      <c r="I1538" s="426">
        <f t="shared" si="941"/>
        <v>883277.24999999988</v>
      </c>
      <c r="J1538" s="427">
        <f t="shared" si="942"/>
        <v>5636608.5</v>
      </c>
    </row>
    <row r="1539" spans="1:10" ht="24" thickBot="1" x14ac:dyDescent="0.35">
      <c r="A1539" s="277" t="s">
        <v>110</v>
      </c>
      <c r="B1539" s="967" t="s">
        <v>52</v>
      </c>
      <c r="C1539" s="968"/>
      <c r="D1539" s="969"/>
      <c r="E1539" s="393"/>
      <c r="F1539" s="409">
        <f t="shared" ref="F1539" si="943">SUM(F1531:F1538)</f>
        <v>1440395.7519999999</v>
      </c>
      <c r="G1539" s="410">
        <f>SUM(G1531:G1538)</f>
        <v>14838552.686999999</v>
      </c>
      <c r="H1539" s="394"/>
      <c r="I1539" s="409">
        <f t="shared" ref="I1539" si="944">SUM(I1531:I1538)</f>
        <v>2277106.4</v>
      </c>
      <c r="J1539" s="428">
        <f>SUM(J1531:J1538)</f>
        <v>23458110.899999999</v>
      </c>
    </row>
    <row r="1540" spans="1:10" ht="24" thickBot="1" x14ac:dyDescent="0.35">
      <c r="A1540" s="277" t="s">
        <v>110</v>
      </c>
      <c r="B1540" s="981" t="s">
        <v>25</v>
      </c>
      <c r="C1540" s="982"/>
      <c r="D1540" s="983"/>
      <c r="E1540" s="396"/>
      <c r="F1540" s="413">
        <f t="shared" ref="F1540" si="945">+F1530+F1539</f>
        <v>1440395.7519999999</v>
      </c>
      <c r="G1540" s="414">
        <f>+G1530+G1539</f>
        <v>23046437.888999999</v>
      </c>
      <c r="H1540" s="397"/>
      <c r="I1540" s="413">
        <f t="shared" ref="I1540:J1540" si="946">+I1530+I1539</f>
        <v>2277106.4</v>
      </c>
      <c r="J1540" s="431">
        <f t="shared" si="946"/>
        <v>33349035.899999999</v>
      </c>
    </row>
    <row r="1541" spans="1:10" ht="24" thickBot="1" x14ac:dyDescent="0.35">
      <c r="A1541" s="277" t="s">
        <v>110</v>
      </c>
      <c r="B1541" s="984" t="s">
        <v>180</v>
      </c>
      <c r="C1541" s="962"/>
      <c r="D1541" s="963"/>
      <c r="E1541" s="398"/>
      <c r="F1541" s="415">
        <f t="shared" ref="F1541" si="947">+F1525+F1540</f>
        <v>3281283.1839999999</v>
      </c>
      <c r="G1541" s="416">
        <f>+G1525+G1540</f>
        <v>58587690.740199998</v>
      </c>
      <c r="H1541" s="399"/>
      <c r="I1541" s="415">
        <f t="shared" ref="I1541:J1541" si="948">+I1525+I1540</f>
        <v>5176762.4000000004</v>
      </c>
      <c r="J1541" s="432">
        <f t="shared" si="948"/>
        <v>80794400.815999985</v>
      </c>
    </row>
    <row r="1542" spans="1:10" ht="23.4" x14ac:dyDescent="0.3">
      <c r="A1542" s="271" t="s">
        <v>108</v>
      </c>
      <c r="B1542" s="977" t="s">
        <v>26</v>
      </c>
      <c r="C1542" s="300" t="s">
        <v>323</v>
      </c>
      <c r="D1542" s="302" t="s">
        <v>190</v>
      </c>
      <c r="E1542" s="508">
        <v>13.1272</v>
      </c>
      <c r="F1542" s="405">
        <f>+'01 Prod Physique Boites'!H1537</f>
        <v>0</v>
      </c>
      <c r="G1542" s="406">
        <f>IFERROR(E1542*'01 Prod Physique Boites'!L1537,"-")</f>
        <v>0</v>
      </c>
      <c r="H1542" s="384">
        <v>20.76</v>
      </c>
      <c r="I1542" s="422">
        <f t="shared" ref="I1542:I1551" si="949">IFERROR(H1542*(F1542/E1542),"-")</f>
        <v>0</v>
      </c>
      <c r="J1542" s="644">
        <f t="shared" ref="J1542:J1551" si="950">IFERROR(H1542*(G1542/E1542),"-")</f>
        <v>0</v>
      </c>
    </row>
    <row r="1543" spans="1:10" ht="23.4" x14ac:dyDescent="0.3">
      <c r="A1543" s="277" t="s">
        <v>108</v>
      </c>
      <c r="B1543" s="977"/>
      <c r="C1543" s="301" t="s">
        <v>508</v>
      </c>
      <c r="D1543" s="301" t="s">
        <v>507</v>
      </c>
      <c r="E1543" s="509">
        <v>16.7288</v>
      </c>
      <c r="F1543" s="405">
        <f>IFERROR(E1543*'01 Prod Physique Boites'!H1538,"-")</f>
        <v>0</v>
      </c>
      <c r="G1543" s="406">
        <f>IFERROR(E1543*'01 Prod Physique Boites'!L1538,"-")</f>
        <v>3127716.8207999999</v>
      </c>
      <c r="H1543" s="388">
        <v>20.76</v>
      </c>
      <c r="I1543" s="424">
        <f t="shared" si="949"/>
        <v>0</v>
      </c>
      <c r="J1543" s="645">
        <f t="shared" si="950"/>
        <v>3881414.16</v>
      </c>
    </row>
    <row r="1544" spans="1:10" ht="23.4" x14ac:dyDescent="0.3">
      <c r="A1544" s="277" t="s">
        <v>108</v>
      </c>
      <c r="B1544" s="977"/>
      <c r="C1544" s="302" t="s">
        <v>27</v>
      </c>
      <c r="D1544" s="302" t="s">
        <v>370</v>
      </c>
      <c r="E1544" s="505">
        <v>17.8202</v>
      </c>
      <c r="F1544" s="405">
        <f>IFERROR(E1544*'01 Prod Physique Boites'!H1539,"-")</f>
        <v>0</v>
      </c>
      <c r="G1544" s="406">
        <f>IFERROR(E1544*'01 Prod Physique Boites'!L1539,"-")</f>
        <v>258250.33840000001</v>
      </c>
      <c r="H1544" s="388">
        <v>21.22</v>
      </c>
      <c r="I1544" s="424">
        <f t="shared" si="949"/>
        <v>0</v>
      </c>
      <c r="J1544" s="645">
        <f t="shared" si="950"/>
        <v>307520.24</v>
      </c>
    </row>
    <row r="1545" spans="1:10" ht="23.4" x14ac:dyDescent="0.3">
      <c r="A1545" s="277" t="s">
        <v>108</v>
      </c>
      <c r="B1545" s="977"/>
      <c r="C1545" s="302" t="s">
        <v>27</v>
      </c>
      <c r="D1545" s="302" t="s">
        <v>254</v>
      </c>
      <c r="E1545" s="505">
        <v>17.8202</v>
      </c>
      <c r="F1545" s="405">
        <f>IFERROR(E1545*'01 Prod Physique Boites'!H1540,"-")</f>
        <v>0</v>
      </c>
      <c r="G1545" s="406">
        <f>IFERROR(E1545*'01 Prod Physique Boites'!L1540,"-")</f>
        <v>710651.75580000004</v>
      </c>
      <c r="H1545" s="388">
        <v>24.93</v>
      </c>
      <c r="I1545" s="424">
        <f t="shared" si="949"/>
        <v>0</v>
      </c>
      <c r="J1545" s="645">
        <f t="shared" si="950"/>
        <v>994183.47</v>
      </c>
    </row>
    <row r="1546" spans="1:10" ht="23.4" x14ac:dyDescent="0.3">
      <c r="A1546" s="277" t="s">
        <v>108</v>
      </c>
      <c r="B1546" s="977"/>
      <c r="C1546" s="302" t="s">
        <v>27</v>
      </c>
      <c r="D1546" s="302" t="s">
        <v>302</v>
      </c>
      <c r="E1546" s="505">
        <v>17.8202</v>
      </c>
      <c r="F1546" s="405">
        <f>IFERROR(E1546*'01 Prod Physique Boites'!H1541,"-")</f>
        <v>0</v>
      </c>
      <c r="G1546" s="406">
        <f>IFERROR(E1546*'01 Prod Physique Boites'!L1541,"-")</f>
        <v>103891.766</v>
      </c>
      <c r="H1546" s="388">
        <v>24.93</v>
      </c>
      <c r="I1546" s="424">
        <f t="shared" si="949"/>
        <v>0</v>
      </c>
      <c r="J1546" s="645">
        <f t="shared" si="950"/>
        <v>145341.9</v>
      </c>
    </row>
    <row r="1547" spans="1:10" ht="23.4" x14ac:dyDescent="0.3">
      <c r="A1547" s="277"/>
      <c r="B1547" s="977"/>
      <c r="C1547" s="302" t="s">
        <v>546</v>
      </c>
      <c r="D1547" s="302" t="s">
        <v>191</v>
      </c>
      <c r="E1547" s="505">
        <v>14.608000000000001</v>
      </c>
      <c r="F1547" s="405">
        <f>IFERROR(E1547*'01 Prod Physique Boites'!H1542,"-")</f>
        <v>0</v>
      </c>
      <c r="G1547" s="406">
        <f>IFERROR(E1547*'01 Prod Physique Boites'!L1542,"-")</f>
        <v>58110.624000000003</v>
      </c>
      <c r="H1547" s="390">
        <v>24.93</v>
      </c>
      <c r="I1547" s="424">
        <f t="shared" si="949"/>
        <v>0</v>
      </c>
      <c r="J1547" s="646">
        <f t="shared" si="950"/>
        <v>99171.54</v>
      </c>
    </row>
    <row r="1548" spans="1:10" ht="23.4" x14ac:dyDescent="0.3">
      <c r="A1548" s="277"/>
      <c r="B1548" s="977"/>
      <c r="C1548" s="302" t="s">
        <v>545</v>
      </c>
      <c r="D1548" s="302" t="s">
        <v>101</v>
      </c>
      <c r="E1548" s="505">
        <v>17.8202</v>
      </c>
      <c r="F1548" s="863">
        <f>IFERROR(E1548*'01 Prod Physique Boites'!H1543,"-")</f>
        <v>0</v>
      </c>
      <c r="G1548" s="406">
        <f>IFERROR(E1548*'01 Prod Physique Boites'!L1543,"-")</f>
        <v>105121.35980000001</v>
      </c>
      <c r="H1548" s="390">
        <v>24.93</v>
      </c>
      <c r="I1548" s="426">
        <f t="shared" si="949"/>
        <v>0</v>
      </c>
      <c r="J1548" s="646">
        <f t="shared" si="950"/>
        <v>147062.07</v>
      </c>
    </row>
    <row r="1549" spans="1:10" s="870" customFormat="1" ht="23.4" x14ac:dyDescent="0.3">
      <c r="A1549" s="864"/>
      <c r="B1549" s="977"/>
      <c r="C1549" s="865" t="s">
        <v>453</v>
      </c>
      <c r="D1549" s="865" t="s">
        <v>454</v>
      </c>
      <c r="E1549" s="866">
        <v>16.345199999999998</v>
      </c>
      <c r="F1549" s="863">
        <f>IFERROR(E1549*'01 Prod Physique Boites'!H1545,"-")</f>
        <v>0</v>
      </c>
      <c r="G1549" s="867">
        <f>IFERROR(E1549*'01 Prod Physique Boites'!L1545,"-")</f>
        <v>639375.18839999998</v>
      </c>
      <c r="H1549" s="868">
        <v>23.78</v>
      </c>
      <c r="I1549" s="869">
        <f t="shared" si="949"/>
        <v>0</v>
      </c>
      <c r="J1549" s="646">
        <f t="shared" si="950"/>
        <v>930202.26</v>
      </c>
    </row>
    <row r="1550" spans="1:10" s="870" customFormat="1" ht="23.4" x14ac:dyDescent="0.3">
      <c r="A1550" s="864"/>
      <c r="B1550" s="977"/>
      <c r="C1550" s="865"/>
      <c r="D1550" s="865"/>
      <c r="E1550" s="866">
        <v>16.7288</v>
      </c>
      <c r="F1550" s="863">
        <f>IFERROR(E1550*'01 Prod Physique Boites'!H1544,"-")</f>
        <v>0</v>
      </c>
      <c r="G1550" s="867">
        <f>IFERROR(E1550*'01 Prod Physique Boites'!L1544,"-")</f>
        <v>40952.102399999996</v>
      </c>
      <c r="H1550" s="868">
        <v>25.49</v>
      </c>
      <c r="I1550" s="869">
        <f t="shared" si="949"/>
        <v>0</v>
      </c>
      <c r="J1550" s="646">
        <f t="shared" si="950"/>
        <v>62399.519999999997</v>
      </c>
    </row>
    <row r="1551" spans="1:10" ht="24" thickBot="1" x14ac:dyDescent="0.35">
      <c r="A1551" s="277" t="s">
        <v>108</v>
      </c>
      <c r="B1551" s="977"/>
      <c r="C1551" s="303" t="s">
        <v>315</v>
      </c>
      <c r="D1551" s="302" t="s">
        <v>313</v>
      </c>
      <c r="E1551" s="505">
        <v>12.6997</v>
      </c>
      <c r="F1551" s="405">
        <f>IFERROR(E1551*'01 Prod Physique Boites'!H1546,"-")</f>
        <v>0</v>
      </c>
      <c r="G1551" s="867">
        <f>IFERROR(E1551*'01 Prod Physique Boites'!L1546,"-")</f>
        <v>202077.62640000001</v>
      </c>
      <c r="H1551" s="390">
        <v>13.25</v>
      </c>
      <c r="I1551" s="426">
        <f t="shared" si="949"/>
        <v>0</v>
      </c>
      <c r="J1551" s="646">
        <f t="shared" si="950"/>
        <v>210834</v>
      </c>
    </row>
    <row r="1552" spans="1:10" ht="24" thickBot="1" x14ac:dyDescent="0.35">
      <c r="A1552" s="277" t="s">
        <v>108</v>
      </c>
      <c r="B1552" s="990"/>
      <c r="C1552" s="304"/>
      <c r="D1552" s="305" t="s">
        <v>55</v>
      </c>
      <c r="E1552" s="393"/>
      <c r="F1552" s="409">
        <f>SUM(F1542:F1551)</f>
        <v>0</v>
      </c>
      <c r="G1552" s="410">
        <f>SUM(G1542:G1551)</f>
        <v>5246147.5820000004</v>
      </c>
      <c r="H1552" s="394"/>
      <c r="I1552" s="409">
        <f>SUM(I1542:I1551)</f>
        <v>0</v>
      </c>
      <c r="J1552" s="428">
        <f>SUM(J1542:J1551)</f>
        <v>6778129.1600000001</v>
      </c>
    </row>
    <row r="1553" spans="1:10" ht="23.4" x14ac:dyDescent="0.3">
      <c r="A1553" s="277" t="s">
        <v>108</v>
      </c>
      <c r="B1553" s="976" t="s">
        <v>28</v>
      </c>
      <c r="C1553" s="302" t="s">
        <v>27</v>
      </c>
      <c r="D1553" s="300" t="s">
        <v>302</v>
      </c>
      <c r="E1553" s="508">
        <v>17.8202</v>
      </c>
      <c r="F1553" s="405">
        <f>IFERROR(E1553*'01 Prod Physique Boites'!H1548,"-")</f>
        <v>0</v>
      </c>
      <c r="G1553" s="406">
        <f>IFERROR(E1553*'01 Prod Physique Boites'!L1548,"-")</f>
        <v>354443.77799999999</v>
      </c>
      <c r="H1553" s="384">
        <v>24.93</v>
      </c>
      <c r="I1553" s="422">
        <f>IFERROR(H1553*(F1553/E1553),"-")</f>
        <v>0</v>
      </c>
      <c r="J1553" s="644">
        <f t="shared" ref="J1553:J1557" si="951">IFERROR(H1553*(G1553/E1553),"-")</f>
        <v>495857.7</v>
      </c>
    </row>
    <row r="1554" spans="1:10" ht="23.4" x14ac:dyDescent="0.3">
      <c r="A1554" s="277" t="s">
        <v>108</v>
      </c>
      <c r="B1554" s="977"/>
      <c r="C1554" s="302" t="s">
        <v>456</v>
      </c>
      <c r="D1554" s="302" t="s">
        <v>370</v>
      </c>
      <c r="E1554" s="773">
        <v>16.7288</v>
      </c>
      <c r="F1554" s="405">
        <f>IFERROR(E1554*'01 Prod Physique Boites'!H1549,"-")</f>
        <v>2462245.1568</v>
      </c>
      <c r="G1554" s="406">
        <f>IFERROR(E1554*'01 Prod Physique Boites'!L1549,"-")</f>
        <v>15899653.7568</v>
      </c>
      <c r="H1554" s="770">
        <v>20.76</v>
      </c>
      <c r="I1554" s="424">
        <f>IFERROR(H1554*(F1554/E1554),"-")</f>
        <v>3055581.3600000003</v>
      </c>
      <c r="J1554" s="645">
        <f t="shared" si="951"/>
        <v>19731051.360000003</v>
      </c>
    </row>
    <row r="1555" spans="1:10" ht="23.4" x14ac:dyDescent="0.3">
      <c r="A1555" s="277" t="s">
        <v>108</v>
      </c>
      <c r="B1555" s="977"/>
      <c r="C1555" s="302" t="s">
        <v>455</v>
      </c>
      <c r="D1555" s="302" t="s">
        <v>370</v>
      </c>
      <c r="E1555" s="505">
        <v>17.8202</v>
      </c>
      <c r="F1555" s="405">
        <f>IFERROR(E1555*'01 Prod Physique Boites'!H1550,"-")</f>
        <v>0</v>
      </c>
      <c r="G1555" s="406">
        <f>IFERROR(E1555*'01 Prod Physique Boites'!L1550,"-")</f>
        <v>1134220.0896000001</v>
      </c>
      <c r="H1555" s="388">
        <v>21.22</v>
      </c>
      <c r="I1555" s="424">
        <f>IFERROR(H1555*(F1555/E1555),"-")</f>
        <v>0</v>
      </c>
      <c r="J1555" s="645">
        <f t="shared" si="951"/>
        <v>1350610.56</v>
      </c>
    </row>
    <row r="1556" spans="1:10" ht="23.4" x14ac:dyDescent="0.3">
      <c r="A1556" s="277"/>
      <c r="B1556" s="977"/>
      <c r="C1556" s="302" t="s">
        <v>453</v>
      </c>
      <c r="D1556" s="302" t="s">
        <v>454</v>
      </c>
      <c r="E1556" s="773">
        <v>16.345199999999998</v>
      </c>
      <c r="F1556" s="405">
        <f>IFERROR(E1556*'01 Prod Physique Boites'!H1551,"-")</f>
        <v>0</v>
      </c>
      <c r="G1556" s="406">
        <f>IFERROR(E1556*'01 Prod Physique Boites'!L1551,"-")</f>
        <v>4031314.7471999996</v>
      </c>
      <c r="H1556" s="388">
        <v>23.78</v>
      </c>
      <c r="I1556" s="426">
        <f>IFERROR(H1556*(F1556/E1556),"-")</f>
        <v>0</v>
      </c>
      <c r="J1556" s="646">
        <f t="shared" si="951"/>
        <v>5865004.0800000001</v>
      </c>
    </row>
    <row r="1557" spans="1:10" ht="24" thickBot="1" x14ac:dyDescent="0.35">
      <c r="A1557" s="277" t="s">
        <v>108</v>
      </c>
      <c r="B1557" s="977"/>
      <c r="C1557" s="302" t="s">
        <v>27</v>
      </c>
      <c r="D1557" s="303" t="s">
        <v>254</v>
      </c>
      <c r="E1557" s="505">
        <v>17.8202</v>
      </c>
      <c r="F1557" s="405">
        <f>IFERROR(E1557*'01 Prod Physique Boites'!H1552,"-")</f>
        <v>0</v>
      </c>
      <c r="G1557" s="406">
        <f>IFERROR(E1557*'01 Prod Physique Boites'!L1552,"-")</f>
        <v>13517940.3948</v>
      </c>
      <c r="H1557" s="388">
        <v>24.93</v>
      </c>
      <c r="I1557" s="426">
        <f>IFERROR(H1557*(F1557/E1557),"-")</f>
        <v>0</v>
      </c>
      <c r="J1557" s="646">
        <f t="shared" si="951"/>
        <v>18911249.82</v>
      </c>
    </row>
    <row r="1558" spans="1:10" ht="24" thickBot="1" x14ac:dyDescent="0.35">
      <c r="A1558" s="277" t="s">
        <v>108</v>
      </c>
      <c r="B1558" s="977"/>
      <c r="C1558" s="307"/>
      <c r="D1558" s="308" t="s">
        <v>55</v>
      </c>
      <c r="E1558" s="400"/>
      <c r="F1558" s="417">
        <f t="shared" ref="F1558:G1558" si="952">SUM(F1553:F1557)</f>
        <v>2462245.1568</v>
      </c>
      <c r="G1558" s="418">
        <f t="shared" si="952"/>
        <v>34937572.766400002</v>
      </c>
      <c r="H1558" s="401"/>
      <c r="I1558" s="417">
        <f t="shared" ref="I1558:J1558" si="953">SUM(I1553:I1557)</f>
        <v>3055581.3600000003</v>
      </c>
      <c r="J1558" s="433">
        <f t="shared" si="953"/>
        <v>46353773.520000003</v>
      </c>
    </row>
    <row r="1559" spans="1:10" ht="24" thickBot="1" x14ac:dyDescent="0.35">
      <c r="A1559" s="878" t="s">
        <v>108</v>
      </c>
      <c r="B1559" s="978" t="s">
        <v>170</v>
      </c>
      <c r="C1559" s="979"/>
      <c r="D1559" s="980"/>
      <c r="E1559" s="402"/>
      <c r="F1559" s="419">
        <f t="shared" ref="F1559:G1559" si="954">+F1552+F1558</f>
        <v>2462245.1568</v>
      </c>
      <c r="G1559" s="420">
        <f t="shared" si="954"/>
        <v>40183720.348400004</v>
      </c>
      <c r="H1559" s="403"/>
      <c r="I1559" s="419">
        <f t="shared" ref="I1559:J1559" si="955">+I1552+I1558</f>
        <v>3055581.3600000003</v>
      </c>
      <c r="J1559" s="434">
        <f t="shared" si="955"/>
        <v>53131902.680000007</v>
      </c>
    </row>
    <row r="1560" spans="1:10" ht="23.4" x14ac:dyDescent="0.3">
      <c r="A1560" s="277" t="s">
        <v>108</v>
      </c>
      <c r="B1560" s="977" t="s">
        <v>30</v>
      </c>
      <c r="C1560" s="306" t="s">
        <v>356</v>
      </c>
      <c r="D1560" s="300" t="s">
        <v>191</v>
      </c>
      <c r="E1560" s="508">
        <v>15.2788</v>
      </c>
      <c r="F1560" s="405">
        <f>IFERROR(E1560*'01 Prod Physique Boites'!H1555,"-")</f>
        <v>0</v>
      </c>
      <c r="G1560" s="406">
        <f>IFERROR(E1560*'01 Prod Physique Boites'!L1555,"-")</f>
        <v>0</v>
      </c>
      <c r="H1560" s="384">
        <v>23.65</v>
      </c>
      <c r="I1560" s="422">
        <f>IFERROR(H1560*(F1560/E1560),"-")</f>
        <v>0</v>
      </c>
      <c r="J1560" s="423">
        <f t="shared" ref="J1560:J1562" si="956">IFERROR(H1560*(G1560/E1560),"-")</f>
        <v>0</v>
      </c>
    </row>
    <row r="1561" spans="1:10" ht="23.4" x14ac:dyDescent="0.3">
      <c r="A1561" s="277" t="s">
        <v>108</v>
      </c>
      <c r="B1561" s="977"/>
      <c r="C1561" s="303" t="s">
        <v>316</v>
      </c>
      <c r="D1561" s="306" t="s">
        <v>454</v>
      </c>
      <c r="E1561" s="727">
        <v>25.751300000000001</v>
      </c>
      <c r="F1561" s="405">
        <f>IFERROR(E1561*'01 Prod Physique Boites'!H1556,"-")</f>
        <v>867715.80480000004</v>
      </c>
      <c r="G1561" s="406">
        <f>IFERROR(E1561*'01 Prod Physique Boites'!L1556,"-")</f>
        <v>1783638.0432</v>
      </c>
      <c r="H1561" s="770">
        <v>37.89</v>
      </c>
      <c r="I1561" s="424">
        <f>IFERROR(H1561*(F1561/E1561),"-")</f>
        <v>1276741.44</v>
      </c>
      <c r="J1561" s="425">
        <f t="shared" si="956"/>
        <v>2624412.96</v>
      </c>
    </row>
    <row r="1562" spans="1:10" ht="24" thickBot="1" x14ac:dyDescent="0.35">
      <c r="A1562" s="277" t="s">
        <v>108</v>
      </c>
      <c r="B1562" s="977"/>
      <c r="C1562" s="303" t="s">
        <v>316</v>
      </c>
      <c r="D1562" s="303"/>
      <c r="E1562" s="505">
        <v>25.751300000000001</v>
      </c>
      <c r="F1562" s="863">
        <f>IFERROR(E1562*'01 Prod Physique Boites'!H1557,"-")</f>
        <v>0</v>
      </c>
      <c r="G1562" s="406">
        <f>IFERROR(E1562*'01 Prod Physique Boites'!L1557,"-")</f>
        <v>4290372.5904000001</v>
      </c>
      <c r="H1562" s="390">
        <v>37.89</v>
      </c>
      <c r="I1562" s="426">
        <f>IFERROR(H1562*(F1562/E1562),"-")</f>
        <v>0</v>
      </c>
      <c r="J1562" s="427">
        <f t="shared" si="956"/>
        <v>6312777.1200000001</v>
      </c>
    </row>
    <row r="1563" spans="1:10" ht="24" thickBot="1" x14ac:dyDescent="0.35">
      <c r="A1563" s="277" t="s">
        <v>108</v>
      </c>
      <c r="B1563" s="977"/>
      <c r="C1563" s="304"/>
      <c r="D1563" s="305" t="s">
        <v>53</v>
      </c>
      <c r="E1563" s="393"/>
      <c r="F1563" s="409">
        <f t="shared" ref="F1563:G1563" si="957">SUM(F1560:F1562)</f>
        <v>867715.80480000004</v>
      </c>
      <c r="G1563" s="410">
        <f t="shared" si="957"/>
        <v>6074010.6336000003</v>
      </c>
      <c r="H1563" s="394"/>
      <c r="I1563" s="409">
        <f t="shared" ref="I1563" si="958">SUM(I1560:I1562)</f>
        <v>1276741.44</v>
      </c>
      <c r="J1563" s="428">
        <f>SUM(J1560:J1562)</f>
        <v>8937190.0800000001</v>
      </c>
    </row>
    <row r="1564" spans="1:10" ht="23.4" x14ac:dyDescent="0.3">
      <c r="A1564" s="277" t="s">
        <v>108</v>
      </c>
      <c r="B1564" s="977"/>
      <c r="C1564" s="300" t="s">
        <v>548</v>
      </c>
      <c r="D1564" s="300" t="s">
        <v>99</v>
      </c>
      <c r="E1564" s="508">
        <v>24.2607</v>
      </c>
      <c r="F1564" s="405">
        <f>IFERROR(E1564*'01 Prod Physique Boites'!H1559,"-")</f>
        <v>0</v>
      </c>
      <c r="G1564" s="406">
        <f>IFERROR(E1564*'01 Prod Physique Boites'!L1559,"-")</f>
        <v>23193.229200000002</v>
      </c>
      <c r="H1564" s="384">
        <v>28.31</v>
      </c>
      <c r="I1564" s="422">
        <f>IFERROR(H1564*(F1564/E1564),"-")</f>
        <v>0</v>
      </c>
      <c r="J1564" s="423">
        <f t="shared" ref="J1564:J1566" si="959">IFERROR(H1564*(G1564/E1564),"-")</f>
        <v>27064.36</v>
      </c>
    </row>
    <row r="1565" spans="1:10" ht="23.4" x14ac:dyDescent="0.3">
      <c r="A1565" s="277" t="s">
        <v>108</v>
      </c>
      <c r="B1565" s="977"/>
      <c r="C1565" s="306" t="s">
        <v>373</v>
      </c>
      <c r="D1565" s="306" t="s">
        <v>254</v>
      </c>
      <c r="E1565" s="509">
        <v>27.917000000000002</v>
      </c>
      <c r="F1565" s="863">
        <f>IFERROR(E1565*'01 Prod Physique Boites'!H1560,"-")</f>
        <v>0</v>
      </c>
      <c r="G1565" s="406">
        <f>IFERROR(E1565*'01 Prod Physique Boites'!L1560,"-")</f>
        <v>371882.35700000002</v>
      </c>
      <c r="H1565" s="388">
        <v>39</v>
      </c>
      <c r="I1565" s="424">
        <f>IFERROR(H1565*(F1565/E1565),"-")</f>
        <v>0</v>
      </c>
      <c r="J1565" s="425">
        <f t="shared" si="959"/>
        <v>519519</v>
      </c>
    </row>
    <row r="1566" spans="1:10" ht="24" thickBot="1" x14ac:dyDescent="0.35">
      <c r="A1566" s="277" t="s">
        <v>108</v>
      </c>
      <c r="B1566" s="977"/>
      <c r="C1566" s="303" t="s">
        <v>547</v>
      </c>
      <c r="D1566" s="303" t="s">
        <v>507</v>
      </c>
      <c r="E1566" s="505">
        <v>23.697399999999998</v>
      </c>
      <c r="F1566" s="405">
        <f>IFERROR(E1566*'01 Prod Physique Boites'!H1561,"-")</f>
        <v>0</v>
      </c>
      <c r="G1566" s="406">
        <f>IFERROR(E1566*'01 Prod Physique Boites'!L1561,"-")</f>
        <v>20024.303</v>
      </c>
      <c r="H1566" s="390">
        <v>28.21</v>
      </c>
      <c r="I1566" s="426">
        <f>IFERROR(H1566*(F1566/E1566),"-")</f>
        <v>0</v>
      </c>
      <c r="J1566" s="427">
        <f t="shared" si="959"/>
        <v>23837.450000000004</v>
      </c>
    </row>
    <row r="1567" spans="1:10" ht="24" thickBot="1" x14ac:dyDescent="0.35">
      <c r="A1567" s="277" t="s">
        <v>108</v>
      </c>
      <c r="B1567" s="977"/>
      <c r="C1567" s="307"/>
      <c r="D1567" s="308" t="s">
        <v>54</v>
      </c>
      <c r="E1567" s="400"/>
      <c r="F1567" s="417">
        <f t="shared" ref="F1567:G1567" si="960">SUM(F1564:F1566)</f>
        <v>0</v>
      </c>
      <c r="G1567" s="418">
        <f t="shared" si="960"/>
        <v>415099.88920000003</v>
      </c>
      <c r="H1567" s="401"/>
      <c r="I1567" s="417">
        <f t="shared" ref="I1567" si="961">SUM(I1564:I1566)</f>
        <v>0</v>
      </c>
      <c r="J1567" s="433">
        <f>SUM(J1564:J1566)</f>
        <v>570420.80999999994</v>
      </c>
    </row>
    <row r="1568" spans="1:10" ht="24" thickBot="1" x14ac:dyDescent="0.35">
      <c r="A1568" s="277" t="s">
        <v>108</v>
      </c>
      <c r="B1568" s="978" t="s">
        <v>171</v>
      </c>
      <c r="C1568" s="979"/>
      <c r="D1568" s="980"/>
      <c r="E1568" s="402"/>
      <c r="F1568" s="419">
        <f t="shared" ref="F1568:G1568" si="962">+F1563+F1567</f>
        <v>867715.80480000004</v>
      </c>
      <c r="G1568" s="420">
        <f t="shared" si="962"/>
        <v>6489110.5228000004</v>
      </c>
      <c r="H1568" s="403"/>
      <c r="I1568" s="419">
        <f t="shared" ref="I1568:J1568" si="963">+I1563+I1567</f>
        <v>1276741.44</v>
      </c>
      <c r="J1568" s="434">
        <f t="shared" si="963"/>
        <v>9507610.8900000006</v>
      </c>
    </row>
    <row r="1569" spans="1:10" ht="24" thickBot="1" x14ac:dyDescent="0.35">
      <c r="A1569" s="277" t="s">
        <v>108</v>
      </c>
      <c r="B1569" s="609" t="s">
        <v>32</v>
      </c>
      <c r="C1569" s="874"/>
      <c r="D1569" s="313"/>
      <c r="E1569" s="510">
        <v>12.2659</v>
      </c>
      <c r="F1569" s="411">
        <f>IFERROR(E1569*'01 Prod Physique Boites'!H1564,"-")</f>
        <v>0</v>
      </c>
      <c r="G1569" s="412">
        <f>IFERROR(E1569*'01 Prod Physique Boites'!L1564,"-")</f>
        <v>0</v>
      </c>
      <c r="H1569" s="395"/>
      <c r="I1569" s="429">
        <f>IFERROR(H1569*(F1569/E1569),"-")</f>
        <v>0</v>
      </c>
      <c r="J1569" s="430">
        <f>IFERROR(H1569*(G1569/E1569),"-")</f>
        <v>0</v>
      </c>
    </row>
    <row r="1570" spans="1:10" ht="24" thickBot="1" x14ac:dyDescent="0.35">
      <c r="A1570" s="277" t="s">
        <v>108</v>
      </c>
      <c r="B1570" s="981" t="s">
        <v>21</v>
      </c>
      <c r="C1570" s="982"/>
      <c r="D1570" s="983"/>
      <c r="E1570" s="396"/>
      <c r="F1570" s="413">
        <f t="shared" ref="F1570" si="964">+F1559+F1568+F1569</f>
        <v>3329960.9616</v>
      </c>
      <c r="G1570" s="414">
        <f>+G1559+G1568+G1569</f>
        <v>46672830.871200003</v>
      </c>
      <c r="H1570" s="397"/>
      <c r="I1570" s="413">
        <f t="shared" ref="I1570:J1570" si="965">+I1559+I1568+I1569</f>
        <v>4332322.8000000007</v>
      </c>
      <c r="J1570" s="431">
        <f t="shared" si="965"/>
        <v>62639513.570000008</v>
      </c>
    </row>
    <row r="1571" spans="1:10" ht="24" thickBot="1" x14ac:dyDescent="0.35">
      <c r="A1571" s="277" t="s">
        <v>108</v>
      </c>
      <c r="B1571" s="984" t="s">
        <v>179</v>
      </c>
      <c r="C1571" s="962"/>
      <c r="D1571" s="963"/>
      <c r="E1571" s="398"/>
      <c r="F1571" s="415">
        <f t="shared" ref="F1571:G1571" si="966">+F1570</f>
        <v>3329960.9616</v>
      </c>
      <c r="G1571" s="416">
        <f t="shared" si="966"/>
        <v>46672830.871200003</v>
      </c>
      <c r="H1571" s="399"/>
      <c r="I1571" s="415">
        <f t="shared" ref="I1571:J1571" si="967">+I1570</f>
        <v>4332322.8000000007</v>
      </c>
      <c r="J1571" s="432">
        <f t="shared" si="967"/>
        <v>62639513.570000008</v>
      </c>
    </row>
    <row r="1572" spans="1:10" ht="23.4" x14ac:dyDescent="0.3">
      <c r="A1572" s="271" t="s">
        <v>109</v>
      </c>
      <c r="B1572" s="970" t="s">
        <v>482</v>
      </c>
      <c r="C1572" s="314" t="s">
        <v>120</v>
      </c>
      <c r="D1572" s="314"/>
      <c r="E1572" s="771">
        <v>254.89750000000001</v>
      </c>
      <c r="F1572" s="405">
        <f>IFERROR(E1572*'01 Prod Physique Boites'!H1567,"-")</f>
        <v>0</v>
      </c>
      <c r="G1572" s="406">
        <f>IFERROR(E1572*'01 Prod Physique Boites'!L1567,"-")</f>
        <v>0</v>
      </c>
      <c r="H1572" s="384">
        <v>445.38</v>
      </c>
      <c r="I1572" s="422">
        <f>IFERROR(H1572*(F1572/E1572),"-")</f>
        <v>0</v>
      </c>
      <c r="J1572" s="423">
        <f t="shared" ref="J1572:J1574" si="968">IFERROR(H1572*(G1572/E1572),"-")</f>
        <v>0</v>
      </c>
    </row>
    <row r="1573" spans="1:10" ht="23.4" x14ac:dyDescent="0.3">
      <c r="A1573" s="277" t="s">
        <v>109</v>
      </c>
      <c r="B1573" s="972"/>
      <c r="C1573" s="315" t="s">
        <v>267</v>
      </c>
      <c r="D1573" s="315"/>
      <c r="E1573" s="507">
        <v>246.51390000000001</v>
      </c>
      <c r="F1573" s="405">
        <f>IFERROR(E1573*'01 Prod Physique Boites'!H1568,"-")</f>
        <v>157768.89600000001</v>
      </c>
      <c r="G1573" s="406">
        <f>IFERROR(E1573*'01 Prod Physique Boites'!L1568,"-")</f>
        <v>4496413.5360000003</v>
      </c>
      <c r="H1573" s="388">
        <v>430.02</v>
      </c>
      <c r="I1573" s="424">
        <f>IFERROR(H1573*(F1573/E1573),"-")</f>
        <v>275212.79999999999</v>
      </c>
      <c r="J1573" s="425">
        <f t="shared" si="968"/>
        <v>7843564.7999999998</v>
      </c>
    </row>
    <row r="1574" spans="1:10" ht="24" thickBot="1" x14ac:dyDescent="0.35">
      <c r="A1574" s="277" t="s">
        <v>109</v>
      </c>
      <c r="B1574" s="971"/>
      <c r="C1574" s="316" t="s">
        <v>34</v>
      </c>
      <c r="D1574" s="316"/>
      <c r="E1574" s="504">
        <v>225.7713</v>
      </c>
      <c r="F1574" s="405">
        <f>IFERROR(E1574*'01 Prod Physique Boites'!H1569,"-")</f>
        <v>0</v>
      </c>
      <c r="G1574" s="406">
        <f>IFERROR(E1574*'01 Prod Physique Boites'!L1569,"-")</f>
        <v>0</v>
      </c>
      <c r="H1574" s="390"/>
      <c r="I1574" s="426">
        <f>IFERROR(H1574*(F1574/E1574),"-")</f>
        <v>0</v>
      </c>
      <c r="J1574" s="427">
        <f t="shared" si="968"/>
        <v>0</v>
      </c>
    </row>
    <row r="1575" spans="1:10" ht="24" thickBot="1" x14ac:dyDescent="0.35">
      <c r="A1575" s="277" t="s">
        <v>109</v>
      </c>
      <c r="B1575" s="967" t="s">
        <v>35</v>
      </c>
      <c r="C1575" s="968"/>
      <c r="D1575" s="969"/>
      <c r="E1575" s="393"/>
      <c r="F1575" s="409">
        <f t="shared" ref="F1575:G1575" si="969">SUM(F1572:F1574)</f>
        <v>157768.89600000001</v>
      </c>
      <c r="G1575" s="410">
        <f t="shared" si="969"/>
        <v>4496413.5360000003</v>
      </c>
      <c r="H1575" s="394"/>
      <c r="I1575" s="409">
        <f t="shared" ref="I1575:J1575" si="970">SUM(I1572:I1574)</f>
        <v>275212.79999999999</v>
      </c>
      <c r="J1575" s="428">
        <f t="shared" si="970"/>
        <v>7843564.7999999998</v>
      </c>
    </row>
    <row r="1576" spans="1:10" ht="23.4" x14ac:dyDescent="0.3">
      <c r="A1576" s="277" t="s">
        <v>109</v>
      </c>
      <c r="B1576" s="970" t="s">
        <v>36</v>
      </c>
      <c r="C1576" s="314" t="s">
        <v>120</v>
      </c>
      <c r="D1576" s="314"/>
      <c r="E1576" s="506">
        <v>254.89750000000001</v>
      </c>
      <c r="F1576" s="405">
        <f>IFERROR(E1576*'01 Prod Physique Boites'!H1571,"-")</f>
        <v>0</v>
      </c>
      <c r="G1576" s="406">
        <f>IFERROR(E1576*'01 Prod Physique Boites'!L1571,"-")</f>
        <v>0</v>
      </c>
      <c r="H1576" s="384">
        <v>445.38</v>
      </c>
      <c r="I1576" s="422">
        <f>IFERROR(H1576*(F1576/E1576),"-")</f>
        <v>0</v>
      </c>
      <c r="J1576" s="423">
        <f t="shared" ref="J1576:J1579" si="971">IFERROR(H1576*(G1576/E1576),"-")</f>
        <v>0</v>
      </c>
    </row>
    <row r="1577" spans="1:10" ht="23.4" x14ac:dyDescent="0.3">
      <c r="A1577" s="277" t="s">
        <v>109</v>
      </c>
      <c r="B1577" s="972"/>
      <c r="C1577" s="315" t="s">
        <v>267</v>
      </c>
      <c r="D1577" s="315"/>
      <c r="E1577" s="507">
        <v>246.51390000000001</v>
      </c>
      <c r="F1577" s="405">
        <f>IFERROR(E1577*'01 Prod Physique Boites'!H1572,"-")</f>
        <v>1262151.1680000001</v>
      </c>
      <c r="G1577" s="406">
        <f>IFERROR(E1577*'01 Prod Physique Boites'!L1572,"-")</f>
        <v>8987157.2522999998</v>
      </c>
      <c r="H1577" s="388">
        <v>430.02</v>
      </c>
      <c r="I1577" s="424">
        <f>IFERROR(H1577*(F1577/E1577),"-")</f>
        <v>2201702.3999999999</v>
      </c>
      <c r="J1577" s="425">
        <f t="shared" si="971"/>
        <v>15677239.139999999</v>
      </c>
    </row>
    <row r="1578" spans="1:10" ht="23.4" x14ac:dyDescent="0.3">
      <c r="A1578" s="277" t="s">
        <v>109</v>
      </c>
      <c r="B1578" s="972"/>
      <c r="C1578" s="315" t="s">
        <v>198</v>
      </c>
      <c r="D1578" s="315" t="s">
        <v>197</v>
      </c>
      <c r="E1578" s="507">
        <v>254.89750000000001</v>
      </c>
      <c r="F1578" s="405">
        <f>IFERROR(E1578*'01 Prod Physique Boites'!H1573,"-")</f>
        <v>0</v>
      </c>
      <c r="G1578" s="406">
        <f>IFERROR(E1578*'01 Prod Physique Boites'!L1573,"-")</f>
        <v>0</v>
      </c>
      <c r="H1578" s="388"/>
      <c r="I1578" s="424">
        <f>IFERROR(H1578*(F1578/E1578),"-")</f>
        <v>0</v>
      </c>
      <c r="J1578" s="425">
        <f t="shared" si="971"/>
        <v>0</v>
      </c>
    </row>
    <row r="1579" spans="1:10" ht="24" thickBot="1" x14ac:dyDescent="0.35">
      <c r="A1579" s="277" t="s">
        <v>109</v>
      </c>
      <c r="B1579" s="971"/>
      <c r="C1579" s="316" t="s">
        <v>37</v>
      </c>
      <c r="D1579" s="316"/>
      <c r="E1579" s="504">
        <v>229.99359999999999</v>
      </c>
      <c r="F1579" s="405">
        <f>IFERROR(E1579*'01 Prod Physique Boites'!H1574,"-")</f>
        <v>0</v>
      </c>
      <c r="G1579" s="406">
        <f>IFERROR(E1579*'01 Prod Physique Boites'!L1574,"-")</f>
        <v>0</v>
      </c>
      <c r="H1579" s="390"/>
      <c r="I1579" s="426">
        <f>IFERROR(H1579*(F1579/E1579),"-")</f>
        <v>0</v>
      </c>
      <c r="J1579" s="427">
        <f t="shared" si="971"/>
        <v>0</v>
      </c>
    </row>
    <row r="1580" spans="1:10" ht="24" thickBot="1" x14ac:dyDescent="0.35">
      <c r="A1580" s="277" t="s">
        <v>109</v>
      </c>
      <c r="B1580" s="967" t="s">
        <v>38</v>
      </c>
      <c r="C1580" s="968"/>
      <c r="D1580" s="969"/>
      <c r="E1580" s="393"/>
      <c r="F1580" s="409">
        <f t="shared" ref="F1580:G1580" si="972">SUM(F1576:F1579)</f>
        <v>1262151.1680000001</v>
      </c>
      <c r="G1580" s="410">
        <f t="shared" si="972"/>
        <v>8987157.2522999998</v>
      </c>
      <c r="H1580" s="394"/>
      <c r="I1580" s="409">
        <f>SUM(I1576:I1579)</f>
        <v>2201702.3999999999</v>
      </c>
      <c r="J1580" s="428">
        <f>SUM(J1576:J1579)</f>
        <v>15677239.139999999</v>
      </c>
    </row>
    <row r="1581" spans="1:10" ht="23.4" x14ac:dyDescent="0.3">
      <c r="A1581" s="277" t="s">
        <v>109</v>
      </c>
      <c r="B1581" s="970" t="s">
        <v>483</v>
      </c>
      <c r="C1581" s="317" t="s">
        <v>123</v>
      </c>
      <c r="D1581" s="317"/>
      <c r="E1581" s="506">
        <v>195.2808</v>
      </c>
      <c r="F1581" s="405">
        <f>IFERROR(E1581*'01 Prod Physique Boites'!H1576,"-")</f>
        <v>0</v>
      </c>
      <c r="G1581" s="406">
        <f>IFERROR(E1581*'01 Prod Physique Boites'!L1576,"-")</f>
        <v>28120.4352</v>
      </c>
      <c r="H1581" s="715">
        <v>256.7</v>
      </c>
      <c r="I1581" s="422">
        <f>IFERROR(H1581*(F1581/E1581),"-")</f>
        <v>0</v>
      </c>
      <c r="J1581" s="423">
        <f t="shared" ref="J1581:J1582" si="973">IFERROR(H1581*(G1581/E1581),"-")</f>
        <v>36964.799999999996</v>
      </c>
    </row>
    <row r="1582" spans="1:10" ht="24" thickBot="1" x14ac:dyDescent="0.35">
      <c r="A1582" s="277" t="s">
        <v>109</v>
      </c>
      <c r="B1582" s="971"/>
      <c r="C1582" s="289" t="s">
        <v>139</v>
      </c>
      <c r="D1582" s="289"/>
      <c r="E1582" s="504">
        <v>189.91890000000001</v>
      </c>
      <c r="F1582" s="405">
        <f>IFERROR(E1582*'01 Prod Physique Boites'!H1577,"-")</f>
        <v>0</v>
      </c>
      <c r="G1582" s="406">
        <f>IFERROR(E1582*'01 Prod Physique Boites'!L1577,"-")</f>
        <v>45580.536</v>
      </c>
      <c r="H1582" s="390">
        <v>320.35000000000002</v>
      </c>
      <c r="I1582" s="426">
        <f>IFERROR(H1582*(F1582/E1582),"-")</f>
        <v>0</v>
      </c>
      <c r="J1582" s="427">
        <f t="shared" si="973"/>
        <v>76884</v>
      </c>
    </row>
    <row r="1583" spans="1:10" ht="24" thickBot="1" x14ac:dyDescent="0.35">
      <c r="A1583" s="878" t="s">
        <v>109</v>
      </c>
      <c r="B1583" s="967" t="s">
        <v>40</v>
      </c>
      <c r="C1583" s="968"/>
      <c r="D1583" s="969"/>
      <c r="E1583" s="393"/>
      <c r="F1583" s="409">
        <f>SUM(F1581:F1582)</f>
        <v>0</v>
      </c>
      <c r="G1583" s="410">
        <f t="shared" ref="G1583" si="974">SUM(G1581:G1582)</f>
        <v>73700.9712</v>
      </c>
      <c r="H1583" s="394"/>
      <c r="I1583" s="409">
        <f t="shared" ref="I1583:J1583" si="975">SUM(I1581:I1582)</f>
        <v>0</v>
      </c>
      <c r="J1583" s="428">
        <f t="shared" si="975"/>
        <v>113848.79999999999</v>
      </c>
    </row>
    <row r="1584" spans="1:10" ht="23.4" x14ac:dyDescent="0.3">
      <c r="A1584" s="277" t="s">
        <v>109</v>
      </c>
      <c r="B1584" s="970" t="s">
        <v>484</v>
      </c>
      <c r="C1584" s="272" t="s">
        <v>335</v>
      </c>
      <c r="D1584" s="272" t="s">
        <v>258</v>
      </c>
      <c r="E1584" s="508">
        <v>37.248699999999999</v>
      </c>
      <c r="F1584" s="405">
        <f>IFERROR(E1584*'01 Prod Physique Boites'!H1579,"-")</f>
        <v>1056224.1372</v>
      </c>
      <c r="G1584" s="406">
        <f>IFERROR(E1584*'01 Prod Physique Boites'!L1579,"-")</f>
        <v>13662525.170399999</v>
      </c>
      <c r="H1584" s="384">
        <v>71.44</v>
      </c>
      <c r="I1584" s="422">
        <f>IFERROR(H1584*(F1584/E1584),"-")</f>
        <v>2025752.64</v>
      </c>
      <c r="J1584" s="423">
        <f>IFERROR(H1584*(G1584/E1584),"-")</f>
        <v>26203620.48</v>
      </c>
    </row>
    <row r="1585" spans="1:10" ht="23.4" x14ac:dyDescent="0.3">
      <c r="A1585" s="277" t="s">
        <v>109</v>
      </c>
      <c r="B1585" s="972"/>
      <c r="C1585" s="272" t="s">
        <v>164</v>
      </c>
      <c r="D1585" s="278"/>
      <c r="E1585" s="508">
        <v>37.248699999999999</v>
      </c>
      <c r="F1585" s="405">
        <f>IFERROR(E1585*'01 Prod Physique Boites'!H1580,"-")</f>
        <v>0</v>
      </c>
      <c r="G1585" s="406">
        <f>IFERROR(E1585*'01 Prod Physique Boites'!L1580,"-")</f>
        <v>0</v>
      </c>
      <c r="H1585" s="388"/>
      <c r="I1585" s="424">
        <f>IFERROR(H1585*(F1585/E1585),"-")</f>
        <v>0</v>
      </c>
      <c r="J1585" s="425">
        <f t="shared" ref="J1585:J1587" si="976">IFERROR(H1585*(G1585/E1585),"-")</f>
        <v>0</v>
      </c>
    </row>
    <row r="1586" spans="1:10" ht="23.4" x14ac:dyDescent="0.3">
      <c r="A1586" s="277" t="s">
        <v>109</v>
      </c>
      <c r="B1586" s="972"/>
      <c r="C1586" s="278" t="s">
        <v>383</v>
      </c>
      <c r="D1586" s="272" t="s">
        <v>258</v>
      </c>
      <c r="E1586" s="508">
        <v>37.248699999999999</v>
      </c>
      <c r="F1586" s="405">
        <f>IFERROR(E1586*'01 Prod Physique Boites'!H1581,"-")</f>
        <v>0</v>
      </c>
      <c r="G1586" s="406">
        <f>IFERROR(E1586*'01 Prod Physique Boites'!L1581,"-")</f>
        <v>0</v>
      </c>
      <c r="H1586" s="388">
        <v>71.44</v>
      </c>
      <c r="I1586" s="424">
        <f>IFERROR(H1586*(F1586/E1586),"-")</f>
        <v>0</v>
      </c>
      <c r="J1586" s="425">
        <f t="shared" si="976"/>
        <v>0</v>
      </c>
    </row>
    <row r="1587" spans="1:10" ht="24" thickBot="1" x14ac:dyDescent="0.35">
      <c r="A1587" s="277" t="s">
        <v>109</v>
      </c>
      <c r="B1587" s="972"/>
      <c r="C1587" s="278" t="s">
        <v>165</v>
      </c>
      <c r="D1587" s="278"/>
      <c r="E1587" s="509">
        <v>38.466099999999997</v>
      </c>
      <c r="F1587" s="405">
        <f>IFERROR(E1587*'01 Prod Physique Boites'!H1582,"-")</f>
        <v>0</v>
      </c>
      <c r="G1587" s="406">
        <f>IFERROR(E1587*'01 Prod Physique Boites'!L1582,"-")</f>
        <v>0</v>
      </c>
      <c r="H1587" s="388"/>
      <c r="I1587" s="424">
        <f>IFERROR(H1587*(F1587/E1587),"-")</f>
        <v>0</v>
      </c>
      <c r="J1587" s="425">
        <f t="shared" si="976"/>
        <v>0</v>
      </c>
    </row>
    <row r="1588" spans="1:10" ht="24" thickBot="1" x14ac:dyDescent="0.35">
      <c r="A1588" s="277" t="s">
        <v>109</v>
      </c>
      <c r="B1588" s="967" t="s">
        <v>42</v>
      </c>
      <c r="C1588" s="968"/>
      <c r="D1588" s="969"/>
      <c r="E1588" s="393"/>
      <c r="F1588" s="409">
        <f>SUM(F1584:F1587)</f>
        <v>1056224.1372</v>
      </c>
      <c r="G1588" s="410">
        <f>SUM(G1584:G1587)</f>
        <v>13662525.170399999</v>
      </c>
      <c r="H1588" s="394"/>
      <c r="I1588" s="409">
        <f>SUM(I1584:I1587)</f>
        <v>2025752.64</v>
      </c>
      <c r="J1588" s="409">
        <f>SUM(J1584:J1587)</f>
        <v>26203620.48</v>
      </c>
    </row>
    <row r="1589" spans="1:10" ht="23.4" x14ac:dyDescent="0.3">
      <c r="A1589" s="277" t="s">
        <v>109</v>
      </c>
      <c r="B1589" s="970" t="s">
        <v>43</v>
      </c>
      <c r="C1589" s="272" t="s">
        <v>200</v>
      </c>
      <c r="D1589" s="272" t="s">
        <v>197</v>
      </c>
      <c r="E1589" s="508">
        <v>30.7499</v>
      </c>
      <c r="F1589" s="405">
        <f>IFERROR(E1589*'01 Prod Physique Boites'!H1585,"-")</f>
        <v>0</v>
      </c>
      <c r="G1589" s="406">
        <f>IFERROR(E1589*'01 Prod Physique Boites'!L1585,"-")</f>
        <v>0</v>
      </c>
      <c r="H1589" s="384"/>
      <c r="I1589" s="422">
        <f>IFERROR(H1589*(F1589/E1589),"-")</f>
        <v>0</v>
      </c>
      <c r="J1589" s="423">
        <f>IFERROR(H1589*(G1589/E1589),"-")</f>
        <v>0</v>
      </c>
    </row>
    <row r="1590" spans="1:10" ht="23.4" x14ac:dyDescent="0.3">
      <c r="A1590" s="277" t="s">
        <v>109</v>
      </c>
      <c r="B1590" s="972"/>
      <c r="C1590" s="278" t="s">
        <v>167</v>
      </c>
      <c r="D1590" s="278"/>
      <c r="E1590" s="727">
        <v>25.139099999999999</v>
      </c>
      <c r="F1590" s="405">
        <f>IFERROR(E1590*'01 Prod Physique Boites'!H1586,"-")</f>
        <v>72400.607999999993</v>
      </c>
      <c r="G1590" s="406">
        <f>IFERROR(E1590*'01 Prod Physique Boites'!L1586,"-")</f>
        <v>4255949.0735999998</v>
      </c>
      <c r="H1590" s="388">
        <v>59.96</v>
      </c>
      <c r="I1590" s="424">
        <f>IFERROR(H1590*(F1590/E1590),"-")</f>
        <v>172684.79999999999</v>
      </c>
      <c r="J1590" s="425">
        <f t="shared" ref="J1590:J1591" si="977">IFERROR(H1590*(G1590/E1590),"-")</f>
        <v>10150988.16</v>
      </c>
    </row>
    <row r="1591" spans="1:10" ht="24" thickBot="1" x14ac:dyDescent="0.35">
      <c r="A1591" s="277" t="s">
        <v>109</v>
      </c>
      <c r="B1591" s="971"/>
      <c r="C1591" s="282" t="s">
        <v>200</v>
      </c>
      <c r="D1591" s="282" t="s">
        <v>199</v>
      </c>
      <c r="E1591" s="505">
        <v>30.073599999999999</v>
      </c>
      <c r="F1591" s="405">
        <f>IFERROR(E1591*'01 Prod Physique Boites'!H1587,"-")</f>
        <v>0</v>
      </c>
      <c r="G1591" s="406">
        <f>IFERROR(E1591*'01 Prod Physique Boites'!L1587,"-")</f>
        <v>0</v>
      </c>
      <c r="H1591" s="390"/>
      <c r="I1591" s="426">
        <f>IFERROR(H1591*(F1591/E1591),"-")</f>
        <v>0</v>
      </c>
      <c r="J1591" s="427">
        <f t="shared" si="977"/>
        <v>0</v>
      </c>
    </row>
    <row r="1592" spans="1:10" ht="24" thickBot="1" x14ac:dyDescent="0.35">
      <c r="A1592" s="277" t="s">
        <v>109</v>
      </c>
      <c r="B1592" s="973" t="s">
        <v>44</v>
      </c>
      <c r="C1592" s="974"/>
      <c r="D1592" s="975"/>
      <c r="E1592" s="393"/>
      <c r="F1592" s="409">
        <f t="shared" ref="F1592:G1592" si="978">SUM(F1589:F1591)</f>
        <v>72400.607999999993</v>
      </c>
      <c r="G1592" s="410">
        <f t="shared" si="978"/>
        <v>4255949.0735999998</v>
      </c>
      <c r="H1592" s="394"/>
      <c r="I1592" s="409">
        <f t="shared" ref="I1592:J1592" si="979">SUM(I1589:I1591)</f>
        <v>172684.79999999999</v>
      </c>
      <c r="J1592" s="428">
        <f t="shared" si="979"/>
        <v>10150988.16</v>
      </c>
    </row>
    <row r="1593" spans="1:10" ht="23.4" x14ac:dyDescent="0.3">
      <c r="A1593" s="277" t="s">
        <v>109</v>
      </c>
      <c r="B1593" s="970" t="s">
        <v>45</v>
      </c>
      <c r="C1593" s="272" t="s">
        <v>168</v>
      </c>
      <c r="D1593" s="272"/>
      <c r="E1593" s="508">
        <v>36.684899999999999</v>
      </c>
      <c r="F1593" s="405">
        <f>IFERROR(E1593*'01 Prod Physique Boites'!H1589,"-")</f>
        <v>0</v>
      </c>
      <c r="G1593" s="406">
        <f>IFERROR(E1593*'01 Prod Physique Boites'!L1589,"-")</f>
        <v>0</v>
      </c>
      <c r="H1593" s="384"/>
      <c r="I1593" s="385" t="s">
        <v>204</v>
      </c>
      <c r="J1593" s="386" t="s">
        <v>204</v>
      </c>
    </row>
    <row r="1594" spans="1:10" ht="24" thickBot="1" x14ac:dyDescent="0.35">
      <c r="A1594" s="277" t="s">
        <v>109</v>
      </c>
      <c r="B1594" s="971"/>
      <c r="C1594" s="282" t="s">
        <v>169</v>
      </c>
      <c r="D1594" s="282"/>
      <c r="E1594" s="505">
        <v>37.002800000000001</v>
      </c>
      <c r="F1594" s="405">
        <f>IFERROR(E1594*'01 Prod Physique Boites'!H1590,"-")</f>
        <v>0</v>
      </c>
      <c r="G1594" s="406">
        <f>IFERROR(E1594*'01 Prod Physique Boites'!L1590,"-")</f>
        <v>0</v>
      </c>
      <c r="H1594" s="390"/>
      <c r="I1594" s="391" t="s">
        <v>204</v>
      </c>
      <c r="J1594" s="392" t="s">
        <v>204</v>
      </c>
    </row>
    <row r="1595" spans="1:10" ht="24" thickBot="1" x14ac:dyDescent="0.35">
      <c r="A1595" s="277" t="s">
        <v>109</v>
      </c>
      <c r="B1595" s="973" t="s">
        <v>46</v>
      </c>
      <c r="C1595" s="974"/>
      <c r="D1595" s="975"/>
      <c r="E1595" s="393"/>
      <c r="F1595" s="405">
        <f>IFERROR(E1595*'01 Prod Physique Boites'!H1591,"-")</f>
        <v>0</v>
      </c>
      <c r="G1595" s="410">
        <f>IFERROR(E1595*'01 Prod Physique Boites'!L1591,"-")</f>
        <v>0</v>
      </c>
      <c r="H1595" s="394"/>
      <c r="I1595" s="409">
        <f t="shared" ref="I1595:J1595" si="980">SUM(I1593:I1594)</f>
        <v>0</v>
      </c>
      <c r="J1595" s="428">
        <f t="shared" si="980"/>
        <v>0</v>
      </c>
    </row>
    <row r="1596" spans="1:10" ht="24" thickBot="1" x14ac:dyDescent="0.35">
      <c r="A1596" s="277" t="s">
        <v>109</v>
      </c>
      <c r="B1596" s="959" t="s">
        <v>25</v>
      </c>
      <c r="C1596" s="960"/>
      <c r="D1596" s="961"/>
      <c r="E1596" s="396"/>
      <c r="F1596" s="413">
        <f>+F1575+F1580+F1583+F1588+F1592+F1595</f>
        <v>2548544.8092</v>
      </c>
      <c r="G1596" s="414">
        <f>+G1575+G1580+G1583+G1588+G1592+G1595</f>
        <v>31475746.0035</v>
      </c>
      <c r="H1596" s="397"/>
      <c r="I1596" s="413">
        <f>+I1575+I1580+I1583+I1588+I1592+I1595</f>
        <v>4675352.6399999997</v>
      </c>
      <c r="J1596" s="431">
        <f>+J1575+J1580+J1583+J1588+J1592+J1595</f>
        <v>59989261.379999995</v>
      </c>
    </row>
    <row r="1597" spans="1:10" ht="24" thickBot="1" x14ac:dyDescent="0.35">
      <c r="A1597" s="321" t="s">
        <v>109</v>
      </c>
      <c r="B1597" s="962" t="s">
        <v>181</v>
      </c>
      <c r="C1597" s="962"/>
      <c r="D1597" s="963"/>
      <c r="E1597" s="398"/>
      <c r="F1597" s="415">
        <f t="shared" ref="F1597:G1597" si="981">+F1596</f>
        <v>2548544.8092</v>
      </c>
      <c r="G1597" s="416">
        <f t="shared" si="981"/>
        <v>31475746.0035</v>
      </c>
      <c r="H1597" s="399"/>
      <c r="I1597" s="415">
        <f t="shared" ref="I1597" si="982">+I1596</f>
        <v>4675352.6399999997</v>
      </c>
      <c r="J1597" s="432">
        <f>+J1596</f>
        <v>59989261.379999995</v>
      </c>
    </row>
    <row r="1598" spans="1:10" ht="24.6" thickBot="1" x14ac:dyDescent="0.35">
      <c r="A1598" s="322"/>
      <c r="B1598" s="964" t="s">
        <v>182</v>
      </c>
      <c r="C1598" s="965"/>
      <c r="D1598" s="966"/>
      <c r="E1598" s="404"/>
      <c r="F1598" s="421">
        <f>+F1541+F1571+F1597</f>
        <v>9159788.9548000004</v>
      </c>
      <c r="G1598" s="421">
        <f>+G1541+G1571+G1597</f>
        <v>136736267.61489999</v>
      </c>
      <c r="H1598" s="404"/>
      <c r="I1598" s="421">
        <f>+I1541+I1571+I1597</f>
        <v>14184437.84</v>
      </c>
      <c r="J1598" s="435">
        <f>+J1541+J1571+J1597</f>
        <v>203423175.76599997</v>
      </c>
    </row>
    <row r="1599" spans="1:10" ht="23.4" x14ac:dyDescent="0.3">
      <c r="A1599" s="991" t="s">
        <v>1</v>
      </c>
      <c r="B1599" s="994" t="s">
        <v>2</v>
      </c>
      <c r="C1599" s="997" t="s">
        <v>477</v>
      </c>
      <c r="D1599" s="997" t="s">
        <v>478</v>
      </c>
      <c r="E1599" s="1021" t="s">
        <v>486</v>
      </c>
      <c r="F1599" s="1022"/>
      <c r="G1599" s="1022"/>
      <c r="H1599" s="445"/>
      <c r="I1599" s="445"/>
      <c r="J1599" s="446"/>
    </row>
    <row r="1600" spans="1:10" ht="23.4" x14ac:dyDescent="0.3">
      <c r="A1600" s="992"/>
      <c r="B1600" s="995"/>
      <c r="C1600" s="998"/>
      <c r="D1600" s="998"/>
      <c r="E1600" s="1023" t="s">
        <v>489</v>
      </c>
      <c r="F1600" s="1024"/>
      <c r="G1600" s="1025"/>
      <c r="H1600" s="1023" t="s">
        <v>176</v>
      </c>
      <c r="I1600" s="1024"/>
      <c r="J1600" s="1025"/>
    </row>
    <row r="1601" spans="1:15" ht="46.8" x14ac:dyDescent="0.3">
      <c r="A1601" s="993"/>
      <c r="B1601" s="1019"/>
      <c r="C1601" s="1020"/>
      <c r="D1601" s="1020"/>
      <c r="E1601" s="382" t="s">
        <v>178</v>
      </c>
      <c r="F1601" s="884" t="s">
        <v>488</v>
      </c>
      <c r="G1601" s="885" t="s">
        <v>487</v>
      </c>
      <c r="H1601" s="1026" t="s">
        <v>178</v>
      </c>
      <c r="I1601" s="1028" t="s">
        <v>144</v>
      </c>
      <c r="J1601" s="1030" t="s">
        <v>487</v>
      </c>
    </row>
    <row r="1602" spans="1:15" ht="24" thickBot="1" x14ac:dyDescent="0.35">
      <c r="A1602" s="993"/>
      <c r="B1602" s="996"/>
      <c r="C1602" s="999"/>
      <c r="D1602" s="999"/>
      <c r="E1602" s="1032">
        <v>44552</v>
      </c>
      <c r="F1602" s="1033"/>
      <c r="G1602" s="1034"/>
      <c r="H1602" s="1027"/>
      <c r="I1602" s="1029"/>
      <c r="J1602" s="1031"/>
    </row>
    <row r="1603" spans="1:15" ht="23.4" x14ac:dyDescent="0.3">
      <c r="A1603" s="271" t="s">
        <v>110</v>
      </c>
      <c r="B1603" s="956" t="s">
        <v>16</v>
      </c>
      <c r="C1603" s="272" t="s">
        <v>424</v>
      </c>
      <c r="D1603" s="272" t="s">
        <v>425</v>
      </c>
      <c r="E1603" s="758">
        <v>81.360699999999994</v>
      </c>
      <c r="F1603" s="405">
        <f>IFERROR(E1603*'01 Prod Physique Boites'!H1598,"-")</f>
        <v>0</v>
      </c>
      <c r="G1603" s="405">
        <f>IFERROR(E1603*'01 Prod Physique Boites'!L1598,"-")</f>
        <v>1614196.2879999999</v>
      </c>
      <c r="H1603" s="759">
        <v>143.28</v>
      </c>
      <c r="I1603" s="422">
        <f>IFERROR(H1603*(F1603/E1603),"-")</f>
        <v>0</v>
      </c>
      <c r="J1603" s="423">
        <f t="shared" ref="J1603:J1605" si="983">IFERROR(H1603*(G1603/E1603),"-")</f>
        <v>2842675.2000000002</v>
      </c>
    </row>
    <row r="1604" spans="1:15" ht="23.4" x14ac:dyDescent="0.3">
      <c r="A1604" s="784"/>
      <c r="B1604" s="957"/>
      <c r="C1604" s="278" t="s">
        <v>188</v>
      </c>
      <c r="D1604" s="278" t="s">
        <v>101</v>
      </c>
      <c r="E1604" s="509">
        <v>81.360699999999994</v>
      </c>
      <c r="F1604" s="405">
        <f>IFERROR(E1604*'01 Prod Physique Boites'!H1599,"-")</f>
        <v>0</v>
      </c>
      <c r="G1604" s="405">
        <f>IFERROR(E1604*'01 Prod Physique Boites'!L1599,"-")</f>
        <v>3936312.0266999998</v>
      </c>
      <c r="H1604" s="770">
        <v>0</v>
      </c>
      <c r="I1604" s="422">
        <f>IFERROR(H1604*(F1604/E1604),"-")</f>
        <v>0</v>
      </c>
      <c r="J1604" s="423">
        <f t="shared" si="983"/>
        <v>0</v>
      </c>
    </row>
    <row r="1605" spans="1:15" ht="23.4" x14ac:dyDescent="0.3">
      <c r="A1605" s="277" t="s">
        <v>110</v>
      </c>
      <c r="B1605" s="957"/>
      <c r="C1605" s="278" t="s">
        <v>539</v>
      </c>
      <c r="D1605" s="278" t="s">
        <v>454</v>
      </c>
      <c r="E1605" s="727">
        <v>77.170400000000001</v>
      </c>
      <c r="F1605" s="405">
        <f>IFERROR(E1605*'01 Prod Physique Boites'!H1600,"-")</f>
        <v>0</v>
      </c>
      <c r="G1605" s="728">
        <f>IFERROR(E1605*'01 Prod Physique Boites'!L1600,"-")</f>
        <v>2207073.44</v>
      </c>
      <c r="H1605" s="388">
        <v>0</v>
      </c>
      <c r="I1605" s="422">
        <f>IFERROR(H1605*(F1605/E1605),"-")</f>
        <v>0</v>
      </c>
      <c r="J1605" s="423">
        <f t="shared" si="983"/>
        <v>0</v>
      </c>
    </row>
    <row r="1606" spans="1:15" ht="24" thickBot="1" x14ac:dyDescent="0.35">
      <c r="A1606" s="277" t="s">
        <v>110</v>
      </c>
      <c r="B1606" s="958"/>
      <c r="C1606" s="282" t="s">
        <v>282</v>
      </c>
      <c r="D1606" s="282" t="s">
        <v>251</v>
      </c>
      <c r="E1606" s="505">
        <v>60.703499999999998</v>
      </c>
      <c r="F1606" s="405">
        <f>IFERROR(E1606*'01 Prod Physique Boites'!H1601,"-")</f>
        <v>0</v>
      </c>
      <c r="G1606" s="405">
        <f>IFERROR(E1606*'01 Prod Physique Boites'!L1601,"-")</f>
        <v>1414148.736</v>
      </c>
      <c r="H1606" s="390">
        <v>111.09</v>
      </c>
      <c r="I1606" s="422">
        <f>IFERROR(H1606*(F1606/E1606),"-")</f>
        <v>0</v>
      </c>
      <c r="J1606" s="423">
        <f>IFERROR(H1606*(G1606/E1606),"-")</f>
        <v>2587952.64</v>
      </c>
    </row>
    <row r="1607" spans="1:15" ht="24" thickBot="1" x14ac:dyDescent="0.35">
      <c r="A1607" s="277" t="s">
        <v>110</v>
      </c>
      <c r="B1607" s="967" t="s">
        <v>47</v>
      </c>
      <c r="C1607" s="968"/>
      <c r="D1607" s="969"/>
      <c r="E1607" s="393"/>
      <c r="F1607" s="409">
        <f t="shared" ref="F1607" si="984">SUM(F1603:F1606)</f>
        <v>0</v>
      </c>
      <c r="G1607" s="410">
        <f>SUM(G1603:G1606)</f>
        <v>9171730.490699999</v>
      </c>
      <c r="H1607" s="394"/>
      <c r="I1607" s="409">
        <f t="shared" ref="I1607:J1607" si="985">SUM(I1603:I1606)</f>
        <v>0</v>
      </c>
      <c r="J1607" s="428">
        <f t="shared" si="985"/>
        <v>5430627.8399999999</v>
      </c>
      <c r="K1607" s="757"/>
      <c r="L1607" s="757"/>
      <c r="M1607" s="757"/>
      <c r="N1607" s="757"/>
      <c r="O1607" s="757"/>
    </row>
    <row r="1608" spans="1:15" ht="23.4" x14ac:dyDescent="0.3">
      <c r="A1608" s="277" t="s">
        <v>110</v>
      </c>
      <c r="B1608" s="956" t="s">
        <v>17</v>
      </c>
      <c r="C1608" s="272" t="s">
        <v>320</v>
      </c>
      <c r="D1608" s="272"/>
      <c r="E1608" s="508">
        <v>12.5275</v>
      </c>
      <c r="F1608" s="405">
        <f>IFERROR(E1608*'01 Prod Physique Boites'!H1603,"-")</f>
        <v>0</v>
      </c>
      <c r="G1608" s="405">
        <f>IFERROR(E1608*'01 Prod Physique Boites'!L1603,"-")</f>
        <v>2453385.6</v>
      </c>
      <c r="H1608" s="715">
        <v>18.836400000000001</v>
      </c>
      <c r="I1608" s="422">
        <f t="shared" ref="I1608:I1614" si="986">IFERROR(H1608*(F1608/E1608),"-")</f>
        <v>0</v>
      </c>
      <c r="J1608" s="423">
        <f t="shared" ref="J1608:J1613" si="987">IFERROR(H1608*(G1608/E1608),"-")</f>
        <v>3688920.5760000004</v>
      </c>
    </row>
    <row r="1609" spans="1:15" ht="23.4" x14ac:dyDescent="0.3">
      <c r="A1609" s="277" t="s">
        <v>110</v>
      </c>
      <c r="B1609" s="957"/>
      <c r="C1609" s="278" t="s">
        <v>382</v>
      </c>
      <c r="D1609" s="278" t="s">
        <v>252</v>
      </c>
      <c r="E1609" s="698">
        <v>13.002700000000001</v>
      </c>
      <c r="F1609" s="405">
        <f>IFERROR(E1609*'01 Prod Physique Boites'!H1604,"-")</f>
        <v>875341.76400000008</v>
      </c>
      <c r="G1609" s="405">
        <f>IFERROR(E1609*'01 Prod Physique Boites'!L1604,"-")</f>
        <v>8712628.1700999998</v>
      </c>
      <c r="H1609" s="388">
        <v>21.18</v>
      </c>
      <c r="I1609" s="424">
        <f t="shared" si="986"/>
        <v>1425837.6</v>
      </c>
      <c r="J1609" s="425">
        <f t="shared" si="987"/>
        <v>14191934.339999998</v>
      </c>
    </row>
    <row r="1610" spans="1:15" ht="23.4" x14ac:dyDescent="0.3">
      <c r="A1610" s="277" t="s">
        <v>110</v>
      </c>
      <c r="B1610" s="957"/>
      <c r="C1610" s="278" t="s">
        <v>391</v>
      </c>
      <c r="D1610" s="278" t="s">
        <v>201</v>
      </c>
      <c r="E1610" s="698">
        <v>12.9049</v>
      </c>
      <c r="F1610" s="405">
        <f>IFERROR(E1610*'01 Prod Physique Boites'!H1605,"-")</f>
        <v>0</v>
      </c>
      <c r="G1610" s="405">
        <f>IFERROR(E1610*'01 Prod Physique Boites'!L1605,"-")</f>
        <v>5868064.5083999997</v>
      </c>
      <c r="H1610" s="388">
        <v>20.5</v>
      </c>
      <c r="I1610" s="424">
        <f t="shared" si="986"/>
        <v>0</v>
      </c>
      <c r="J1610" s="425">
        <f t="shared" si="987"/>
        <v>9321678</v>
      </c>
    </row>
    <row r="1611" spans="1:15" ht="23.4" x14ac:dyDescent="0.3">
      <c r="A1611" s="277" t="s">
        <v>110</v>
      </c>
      <c r="B1611" s="957"/>
      <c r="C1611" s="278" t="s">
        <v>319</v>
      </c>
      <c r="D1611" s="278" t="s">
        <v>202</v>
      </c>
      <c r="E1611" s="509">
        <v>13.078200000000001</v>
      </c>
      <c r="F1611" s="405">
        <f>IFERROR(E1611*'01 Prod Physique Boites'!H1606,"-")</f>
        <v>511514.55840000004</v>
      </c>
      <c r="G1611" s="405">
        <f>IFERROR(E1611*'01 Prod Physique Boites'!L1606,"-")</f>
        <v>3873135.0864000004</v>
      </c>
      <c r="H1611" s="388">
        <v>20.6</v>
      </c>
      <c r="I1611" s="424">
        <f t="shared" si="986"/>
        <v>805707.20000000007</v>
      </c>
      <c r="J1611" s="425">
        <f t="shared" si="987"/>
        <v>6100731.2000000002</v>
      </c>
    </row>
    <row r="1612" spans="1:15" ht="23.4" x14ac:dyDescent="0.3">
      <c r="A1612" s="277" t="s">
        <v>110</v>
      </c>
      <c r="B1612" s="957"/>
      <c r="C1612" s="278" t="s">
        <v>358</v>
      </c>
      <c r="D1612" s="278" t="s">
        <v>352</v>
      </c>
      <c r="E1612" s="509">
        <v>13.1958</v>
      </c>
      <c r="F1612" s="405">
        <f>IFERROR(E1612*'01 Prod Physique Boites'!H1607,"-")</f>
        <v>0</v>
      </c>
      <c r="G1612" s="405">
        <f>IFERROR(E1612*'01 Prod Physique Boites'!L1607,"-")</f>
        <v>6609538.6956000002</v>
      </c>
      <c r="H1612" s="388">
        <v>21.28</v>
      </c>
      <c r="I1612" s="424">
        <f t="shared" si="986"/>
        <v>0</v>
      </c>
      <c r="J1612" s="425">
        <f t="shared" si="987"/>
        <v>10658768.960000001</v>
      </c>
    </row>
    <row r="1613" spans="1:15" ht="23.4" x14ac:dyDescent="0.3">
      <c r="A1613" s="277">
        <v>1</v>
      </c>
      <c r="B1613" s="957"/>
      <c r="C1613" s="278" t="s">
        <v>392</v>
      </c>
      <c r="D1613" s="278" t="s">
        <v>203</v>
      </c>
      <c r="E1613" s="698">
        <v>12.9049</v>
      </c>
      <c r="F1613" s="405">
        <f>IFERROR(E1613*'01 Prod Physique Boites'!H1608,"-")</f>
        <v>0</v>
      </c>
      <c r="G1613" s="405">
        <f>IFERROR(E1613*'01 Prod Physique Boites'!L1608,"-")</f>
        <v>0</v>
      </c>
      <c r="H1613" s="677">
        <v>20.5</v>
      </c>
      <c r="I1613" s="424">
        <f t="shared" si="986"/>
        <v>0</v>
      </c>
      <c r="J1613" s="425">
        <f t="shared" si="987"/>
        <v>0</v>
      </c>
    </row>
    <row r="1614" spans="1:15" ht="24" thickBot="1" x14ac:dyDescent="0.35">
      <c r="A1614" s="277" t="s">
        <v>110</v>
      </c>
      <c r="B1614" s="958"/>
      <c r="C1614" s="282" t="s">
        <v>379</v>
      </c>
      <c r="D1614" s="282" t="s">
        <v>187</v>
      </c>
      <c r="E1614" s="505">
        <v>13.6509</v>
      </c>
      <c r="F1614" s="405">
        <f>IFERROR(E1614*'01 Prod Physique Boites'!H1609,"-")</f>
        <v>0</v>
      </c>
      <c r="G1614" s="405">
        <f>IFERROR(E1614*'01 Prod Physique Boites'!L1609,"-")</f>
        <v>0</v>
      </c>
      <c r="H1614" s="390">
        <v>21.18</v>
      </c>
      <c r="I1614" s="426">
        <f t="shared" si="986"/>
        <v>0</v>
      </c>
      <c r="J1614" s="427">
        <f>IFERROR(H1614*(G1614/E1614),"-")</f>
        <v>0</v>
      </c>
    </row>
    <row r="1615" spans="1:15" ht="24" thickBot="1" x14ac:dyDescent="0.35">
      <c r="A1615" s="277" t="s">
        <v>110</v>
      </c>
      <c r="B1615" s="967" t="s">
        <v>48</v>
      </c>
      <c r="C1615" s="968"/>
      <c r="D1615" s="969"/>
      <c r="E1615" s="393"/>
      <c r="F1615" s="409">
        <f t="shared" ref="F1615" si="988">SUM(F1608:F1614)</f>
        <v>1386856.3224000002</v>
      </c>
      <c r="G1615" s="410">
        <f>SUM(G1608:G1614)</f>
        <v>27516752.0605</v>
      </c>
      <c r="H1615" s="394"/>
      <c r="I1615" s="409">
        <f t="shared" ref="I1615" si="989">SUM(I1608:I1614)</f>
        <v>2231544.8000000003</v>
      </c>
      <c r="J1615" s="428">
        <f>SUM(J1608:J1614)</f>
        <v>43962033.075999998</v>
      </c>
      <c r="K1615" s="757"/>
      <c r="L1615" s="757"/>
      <c r="M1615" s="757"/>
      <c r="N1615" s="757"/>
      <c r="O1615" s="757"/>
    </row>
    <row r="1616" spans="1:15" ht="23.4" x14ac:dyDescent="0.3">
      <c r="A1616" s="277" t="s">
        <v>110</v>
      </c>
      <c r="B1616" s="956" t="s">
        <v>18</v>
      </c>
      <c r="C1616" s="272" t="s">
        <v>344</v>
      </c>
      <c r="D1616" s="272" t="s">
        <v>99</v>
      </c>
      <c r="E1616" s="508">
        <v>17.8202</v>
      </c>
      <c r="F1616" s="405">
        <f>IFERROR(E1616*'01 Prod Physique Boites'!H1611,"-")</f>
        <v>0</v>
      </c>
      <c r="G1616" s="406">
        <f>IFERROR(E1616*'01 Prod Physique Boites'!L1611,"-")</f>
        <v>0</v>
      </c>
      <c r="H1616" s="384">
        <v>24.93</v>
      </c>
      <c r="I1616" s="422">
        <f t="shared" ref="I1616:I1622" si="990">IFERROR(H1616*(F1616/E1616),"-")</f>
        <v>0</v>
      </c>
      <c r="J1616" s="423">
        <f t="shared" ref="J1616:J1618" si="991">IFERROR(H1616*(G1616/E1616),"-")</f>
        <v>0</v>
      </c>
    </row>
    <row r="1617" spans="1:10" ht="23.4" x14ac:dyDescent="0.3">
      <c r="A1617" s="277" t="s">
        <v>110</v>
      </c>
      <c r="B1617" s="957"/>
      <c r="C1617" s="278" t="s">
        <v>137</v>
      </c>
      <c r="D1617" s="278"/>
      <c r="E1617" s="509">
        <v>17.8202</v>
      </c>
      <c r="F1617" s="405">
        <f>IFERROR(E1617*'01 Prod Physique Boites'!H1612,"-")</f>
        <v>0</v>
      </c>
      <c r="G1617" s="406">
        <f>IFERROR(E1617*'01 Prod Physique Boites'!L1612,"-")</f>
        <v>0</v>
      </c>
      <c r="H1617" s="388">
        <v>0</v>
      </c>
      <c r="I1617" s="424">
        <f t="shared" si="990"/>
        <v>0</v>
      </c>
      <c r="J1617" s="425">
        <f t="shared" si="991"/>
        <v>0</v>
      </c>
    </row>
    <row r="1618" spans="1:10" ht="23.4" x14ac:dyDescent="0.3">
      <c r="A1618" s="277" t="s">
        <v>110</v>
      </c>
      <c r="B1618" s="957"/>
      <c r="C1618" s="278" t="s">
        <v>122</v>
      </c>
      <c r="D1618" s="278"/>
      <c r="E1618" s="509">
        <v>16.4071</v>
      </c>
      <c r="F1618" s="405">
        <f>IFERROR(E1618*'01 Prod Physique Boites'!H1613,"-")</f>
        <v>0</v>
      </c>
      <c r="G1618" s="406">
        <f>IFERROR(E1618*'01 Prod Physique Boites'!L1613,"-")</f>
        <v>0</v>
      </c>
      <c r="H1618" s="388">
        <v>0</v>
      </c>
      <c r="I1618" s="424">
        <f t="shared" si="990"/>
        <v>0</v>
      </c>
      <c r="J1618" s="425">
        <f t="shared" si="991"/>
        <v>0</v>
      </c>
    </row>
    <row r="1619" spans="1:10" ht="23.4" x14ac:dyDescent="0.3">
      <c r="A1619" s="277" t="s">
        <v>110</v>
      </c>
      <c r="B1619" s="957"/>
      <c r="C1619" s="278" t="s">
        <v>129</v>
      </c>
      <c r="D1619" s="278"/>
      <c r="E1619" s="509">
        <v>17.8202</v>
      </c>
      <c r="F1619" s="405">
        <f>IFERROR(E1619*'01 Prod Physique Boites'!H1614,"-")</f>
        <v>0</v>
      </c>
      <c r="G1619" s="406">
        <f>IFERROR(E1619*'01 Prod Physique Boites'!L1614,"-")</f>
        <v>0</v>
      </c>
      <c r="H1619" s="388">
        <v>0</v>
      </c>
      <c r="I1619" s="424">
        <f t="shared" si="990"/>
        <v>0</v>
      </c>
      <c r="J1619" s="425">
        <f>IFERROR(H1619*(G1619/E1619),"-")</f>
        <v>0</v>
      </c>
    </row>
    <row r="1620" spans="1:10" ht="23.4" x14ac:dyDescent="0.3">
      <c r="A1620" s="277" t="s">
        <v>110</v>
      </c>
      <c r="B1620" s="957"/>
      <c r="C1620" s="278" t="s">
        <v>189</v>
      </c>
      <c r="D1620" s="278" t="s">
        <v>190</v>
      </c>
      <c r="E1620" s="509">
        <v>17.8202</v>
      </c>
      <c r="F1620" s="405">
        <f>IFERROR(E1620*'01 Prod Physique Boites'!H1615,"-")</f>
        <v>0</v>
      </c>
      <c r="G1620" s="406">
        <f>IFERROR(E1620*'01 Prod Physique Boites'!L1615,"-")</f>
        <v>0</v>
      </c>
      <c r="H1620" s="388">
        <v>0</v>
      </c>
      <c r="I1620" s="424">
        <f t="shared" si="990"/>
        <v>0</v>
      </c>
      <c r="J1620" s="425">
        <f t="shared" ref="J1620:J1622" si="992">IFERROR(H1620*(G1620/E1620),"-")</f>
        <v>0</v>
      </c>
    </row>
    <row r="1621" spans="1:10" ht="23.4" x14ac:dyDescent="0.3">
      <c r="A1621" s="277" t="s">
        <v>110</v>
      </c>
      <c r="B1621" s="957"/>
      <c r="C1621" s="278" t="s">
        <v>192</v>
      </c>
      <c r="D1621" s="278" t="s">
        <v>191</v>
      </c>
      <c r="E1621" s="509">
        <v>16.7288</v>
      </c>
      <c r="F1621" s="405">
        <f>IFERROR(E1621*'01 Prod Physique Boites'!H1616,"-")</f>
        <v>0</v>
      </c>
      <c r="G1621" s="406">
        <f>IFERROR(E1621*'01 Prod Physique Boites'!L1616,"-")</f>
        <v>0</v>
      </c>
      <c r="H1621" s="388">
        <v>0</v>
      </c>
      <c r="I1621" s="424">
        <f t="shared" si="990"/>
        <v>0</v>
      </c>
      <c r="J1621" s="425">
        <f t="shared" si="992"/>
        <v>0</v>
      </c>
    </row>
    <row r="1622" spans="1:10" ht="24" thickBot="1" x14ac:dyDescent="0.35">
      <c r="A1622" s="277" t="s">
        <v>110</v>
      </c>
      <c r="B1622" s="958"/>
      <c r="C1622" s="289" t="s">
        <v>193</v>
      </c>
      <c r="D1622" s="289" t="s">
        <v>114</v>
      </c>
      <c r="E1622" s="505">
        <v>17.8202</v>
      </c>
      <c r="F1622" s="405">
        <f>IFERROR(E1622*'01 Prod Physique Boites'!H1617,"-")</f>
        <v>0</v>
      </c>
      <c r="G1622" s="406">
        <f>IFERROR(E1622*'01 Prod Physique Boites'!L1617,"-")</f>
        <v>0</v>
      </c>
      <c r="H1622" s="388">
        <v>0</v>
      </c>
      <c r="I1622" s="426">
        <f t="shared" si="990"/>
        <v>0</v>
      </c>
      <c r="J1622" s="427">
        <f t="shared" si="992"/>
        <v>0</v>
      </c>
    </row>
    <row r="1623" spans="1:10" ht="24" thickBot="1" x14ac:dyDescent="0.35">
      <c r="A1623" s="277" t="s">
        <v>110</v>
      </c>
      <c r="B1623" s="967" t="s">
        <v>29</v>
      </c>
      <c r="C1623" s="968"/>
      <c r="D1623" s="969"/>
      <c r="E1623" s="660"/>
      <c r="F1623" s="661">
        <f t="shared" ref="F1623:G1623" si="993">SUM(F1616:F1622)</f>
        <v>0</v>
      </c>
      <c r="G1623" s="410">
        <f t="shared" si="993"/>
        <v>0</v>
      </c>
      <c r="H1623" s="394"/>
      <c r="I1623" s="409">
        <f t="shared" ref="I1623:J1623" si="994">SUM(I1616:I1622)</f>
        <v>0</v>
      </c>
      <c r="J1623" s="428">
        <f t="shared" si="994"/>
        <v>0</v>
      </c>
    </row>
    <row r="1624" spans="1:10" ht="24" thickBot="1" x14ac:dyDescent="0.35">
      <c r="A1624" s="277"/>
      <c r="B1624" s="985" t="s">
        <v>19</v>
      </c>
      <c r="C1624" s="662" t="s">
        <v>255</v>
      </c>
      <c r="D1624" s="668" t="s">
        <v>190</v>
      </c>
      <c r="E1624" s="669">
        <v>12.2659</v>
      </c>
      <c r="F1624" s="670">
        <f>IFERROR(E1624*'01 Prod Physique Boites'!H1619,"-")</f>
        <v>0</v>
      </c>
      <c r="G1624" s="671">
        <f>IFERROR(E1624*'01 Prod Physique Boites'!L1619,"-")</f>
        <v>0</v>
      </c>
      <c r="H1624" s="665">
        <v>14.79</v>
      </c>
      <c r="I1624" s="650">
        <f t="shared" ref="I1624:I1626" si="995">IFERROR(H1624*(F1624/E1624),"-")</f>
        <v>0</v>
      </c>
      <c r="J1624" s="650">
        <f>IFERROR(H1624*(G1624/E1624),"-")</f>
        <v>0</v>
      </c>
    </row>
    <row r="1625" spans="1:10" ht="24" thickBot="1" x14ac:dyDescent="0.35">
      <c r="A1625" s="277"/>
      <c r="B1625" s="986"/>
      <c r="C1625" s="663" t="s">
        <v>399</v>
      </c>
      <c r="D1625" s="672"/>
      <c r="E1625" s="654">
        <v>12.2659</v>
      </c>
      <c r="F1625" s="670">
        <f>IFERROR(E1625*'01 Prod Physique Boites'!H1620,"-")</f>
        <v>207244.6464</v>
      </c>
      <c r="G1625" s="645">
        <f>IFERROR(E1625*'01 Prod Physique Boites'!L1620,"-")</f>
        <v>446871.26880000002</v>
      </c>
      <c r="H1625" s="666">
        <v>14.55</v>
      </c>
      <c r="I1625" s="655">
        <f t="shared" si="995"/>
        <v>245836.80000000002</v>
      </c>
      <c r="J1625" s="655">
        <f>IFERROR(H1625*(G1625/E1625),"-")</f>
        <v>530085.6</v>
      </c>
    </row>
    <row r="1626" spans="1:10" ht="24" thickBot="1" x14ac:dyDescent="0.35">
      <c r="A1626" s="886" t="s">
        <v>110</v>
      </c>
      <c r="B1626" s="987"/>
      <c r="C1626" s="664" t="s">
        <v>380</v>
      </c>
      <c r="D1626" s="673"/>
      <c r="E1626" s="674">
        <v>0</v>
      </c>
      <c r="F1626" s="670">
        <f>IFERROR(E1626*'01 Prod Physique Boites'!H1621,"-")</f>
        <v>0</v>
      </c>
      <c r="G1626" s="676">
        <f>IFERROR(E1626*'01 Prod Physique Boites'!L1621,"-")</f>
        <v>0</v>
      </c>
      <c r="H1626" s="667">
        <v>0</v>
      </c>
      <c r="I1626" s="429" t="str">
        <f t="shared" si="995"/>
        <v>-</v>
      </c>
      <c r="J1626" s="430" t="str">
        <f t="shared" ref="J1626" si="996">IFERROR(I1626*(G1626/F1626),"-")</f>
        <v>-</v>
      </c>
    </row>
    <row r="1627" spans="1:10" ht="24" thickBot="1" x14ac:dyDescent="0.35">
      <c r="A1627" s="277" t="s">
        <v>110</v>
      </c>
      <c r="B1627" s="967" t="s">
        <v>49</v>
      </c>
      <c r="C1627" s="968"/>
      <c r="D1627" s="969"/>
      <c r="E1627" s="393"/>
      <c r="F1627" s="409">
        <f>SUM(F1624:F1626)</f>
        <v>207244.6464</v>
      </c>
      <c r="G1627" s="409">
        <f>SUM(G1624:G1626)</f>
        <v>446871.26880000002</v>
      </c>
      <c r="H1627" s="394"/>
      <c r="I1627" s="409">
        <f>SUM(I1624:I1626)</f>
        <v>245836.80000000002</v>
      </c>
      <c r="J1627" s="428">
        <f>SUM(J1624:J1626)</f>
        <v>530085.6</v>
      </c>
    </row>
    <row r="1628" spans="1:10" ht="23.4" x14ac:dyDescent="0.3">
      <c r="A1628" s="277" t="s">
        <v>110</v>
      </c>
      <c r="B1628" s="956" t="s">
        <v>20</v>
      </c>
      <c r="C1628" s="294" t="s">
        <v>351</v>
      </c>
      <c r="D1628" s="294" t="s">
        <v>313</v>
      </c>
      <c r="E1628" s="508">
        <v>26.032900000000001</v>
      </c>
      <c r="F1628" s="405">
        <f>IFERROR(E1628*'01 Prod Physique Boites'!H1623,"-")</f>
        <v>0</v>
      </c>
      <c r="G1628" s="406">
        <f>IFERROR(E1628*'01 Prod Physique Boites'!L1623,"-")</f>
        <v>0</v>
      </c>
      <c r="H1628" s="384">
        <v>36.44</v>
      </c>
      <c r="I1628" s="422">
        <f>IFERROR(H1628*(F1628/E1628),"-")</f>
        <v>0</v>
      </c>
      <c r="J1628" s="423">
        <f t="shared" ref="J1628:J1630" si="997">IFERROR(H1628*(G1628/E1628),"-")</f>
        <v>0</v>
      </c>
    </row>
    <row r="1629" spans="1:10" ht="23.4" x14ac:dyDescent="0.3">
      <c r="A1629" s="277" t="s">
        <v>110</v>
      </c>
      <c r="B1629" s="957"/>
      <c r="C1629" s="295" t="s">
        <v>121</v>
      </c>
      <c r="D1629" s="295"/>
      <c r="E1629" s="387">
        <v>24.2607</v>
      </c>
      <c r="F1629" s="405">
        <f>IFERROR(E1629*'01 Prod Physique Boites'!H1624,"-")</f>
        <v>0</v>
      </c>
      <c r="G1629" s="406">
        <f>IFERROR(E1629*'01 Prod Physique Boites'!L1624,"-")</f>
        <v>0</v>
      </c>
      <c r="H1629" s="388">
        <v>37.369999999999997</v>
      </c>
      <c r="I1629" s="424">
        <f>IFERROR(H1629*(F1629/E1629),"-")</f>
        <v>0</v>
      </c>
      <c r="J1629" s="425">
        <f t="shared" si="997"/>
        <v>0</v>
      </c>
    </row>
    <row r="1630" spans="1:10" ht="24" thickBot="1" x14ac:dyDescent="0.35">
      <c r="A1630" s="277" t="s">
        <v>110</v>
      </c>
      <c r="B1630" s="958"/>
      <c r="C1630" s="296" t="s">
        <v>127</v>
      </c>
      <c r="D1630" s="296"/>
      <c r="E1630" s="389">
        <v>26.035799999999998</v>
      </c>
      <c r="F1630" s="405">
        <f>IFERROR(E1630*'01 Prod Physique Boites'!H1625,"-")</f>
        <v>0</v>
      </c>
      <c r="G1630" s="406">
        <f>IFERROR(E1630*'01 Prod Physique Boites'!L1625,"-")</f>
        <v>0</v>
      </c>
      <c r="H1630" s="390">
        <v>37.11</v>
      </c>
      <c r="I1630" s="426">
        <f>IFERROR(H1630*(F1630/E1630),"-")</f>
        <v>0</v>
      </c>
      <c r="J1630" s="427">
        <f t="shared" si="997"/>
        <v>0</v>
      </c>
    </row>
    <row r="1631" spans="1:10" ht="24" thickBot="1" x14ac:dyDescent="0.35">
      <c r="A1631" s="277" t="s">
        <v>110</v>
      </c>
      <c r="B1631" s="968" t="s">
        <v>50</v>
      </c>
      <c r="C1631" s="968"/>
      <c r="D1631" s="989"/>
      <c r="E1631" s="393"/>
      <c r="F1631" s="409">
        <f t="shared" ref="F1631:G1631" si="998">SUM(F1628:F1630)</f>
        <v>0</v>
      </c>
      <c r="G1631" s="410">
        <f t="shared" si="998"/>
        <v>0</v>
      </c>
      <c r="H1631" s="394"/>
      <c r="I1631" s="409">
        <f t="shared" ref="I1631:J1631" si="999">SUM(I1628:I1630)</f>
        <v>0</v>
      </c>
      <c r="J1631" s="428">
        <f t="shared" si="999"/>
        <v>0</v>
      </c>
    </row>
    <row r="1632" spans="1:10" ht="24" thickBot="1" x14ac:dyDescent="0.35">
      <c r="A1632" s="277" t="s">
        <v>110</v>
      </c>
      <c r="B1632" s="981" t="s">
        <v>21</v>
      </c>
      <c r="C1632" s="982"/>
      <c r="D1632" s="983"/>
      <c r="E1632" s="396"/>
      <c r="F1632" s="413">
        <f>+F1607+F1615+F1623+F1627+F1631</f>
        <v>1594100.9688000001</v>
      </c>
      <c r="G1632" s="414">
        <f>+G1607+G1615+G1623+G1627+G1631</f>
        <v>37135353.82</v>
      </c>
      <c r="H1632" s="397"/>
      <c r="I1632" s="413">
        <f>+I1607+I1615+I1623+I1627+I1631</f>
        <v>2477381.6</v>
      </c>
      <c r="J1632" s="431">
        <f>+J1607+J1615+J1623+J1627+J1631</f>
        <v>49922746.515999995</v>
      </c>
    </row>
    <row r="1633" spans="1:10" ht="23.4" x14ac:dyDescent="0.3">
      <c r="A1633" s="277" t="s">
        <v>110</v>
      </c>
      <c r="B1633" s="956" t="s">
        <v>481</v>
      </c>
      <c r="C1633" s="272" t="s">
        <v>132</v>
      </c>
      <c r="D1633" s="272"/>
      <c r="E1633" s="383">
        <v>22.820599999999999</v>
      </c>
      <c r="F1633" s="405">
        <f>IFERROR(E1633*'01 Prod Physique Boites'!H1628,"-")</f>
        <v>0</v>
      </c>
      <c r="G1633" s="406">
        <f>IFERROR(E1633*'01 Prod Physique Boites'!L1628,"-")</f>
        <v>0</v>
      </c>
      <c r="H1633" s="384">
        <v>27.5</v>
      </c>
      <c r="I1633" s="422">
        <f>IFERROR(H1633*(F1633/E1633),"-")</f>
        <v>0</v>
      </c>
      <c r="J1633" s="423">
        <f t="shared" ref="J1633:J1636" si="1000">IFERROR(H1633*(G1633/E1633),"-")</f>
        <v>0</v>
      </c>
    </row>
    <row r="1634" spans="1:10" ht="23.4" x14ac:dyDescent="0.3">
      <c r="A1634" s="277" t="s">
        <v>110</v>
      </c>
      <c r="B1634" s="957"/>
      <c r="C1634" s="298" t="s">
        <v>283</v>
      </c>
      <c r="D1634" s="298" t="s">
        <v>194</v>
      </c>
      <c r="E1634" s="387">
        <v>23.570699999999999</v>
      </c>
      <c r="F1634" s="405">
        <f>IFERROR(E1634*'01 Prod Physique Boites'!H1629,"-")</f>
        <v>0</v>
      </c>
      <c r="G1634" s="406">
        <f>IFERROR(E1634*'01 Prod Physique Boites'!L1629,"-")</f>
        <v>0</v>
      </c>
      <c r="H1634" s="388">
        <v>27.5</v>
      </c>
      <c r="I1634" s="424">
        <f>IFERROR(H1634*(F1634/E1634),"-")</f>
        <v>0</v>
      </c>
      <c r="J1634" s="425">
        <f t="shared" si="1000"/>
        <v>0</v>
      </c>
    </row>
    <row r="1635" spans="1:10" ht="23.4" x14ac:dyDescent="0.3">
      <c r="A1635" s="277" t="s">
        <v>110</v>
      </c>
      <c r="B1635" s="957"/>
      <c r="C1635" s="298" t="s">
        <v>405</v>
      </c>
      <c r="D1635" s="298" t="s">
        <v>194</v>
      </c>
      <c r="E1635" s="387">
        <v>22.820599999999999</v>
      </c>
      <c r="F1635" s="405">
        <f>IFERROR(E1635*'01 Prod Physique Boites'!H1630,"-")</f>
        <v>0</v>
      </c>
      <c r="G1635" s="406">
        <f>IFERROR(E1635*'01 Prod Physique Boites'!L1630,"-")</f>
        <v>8207885.2019999996</v>
      </c>
      <c r="H1635" s="388">
        <v>27.5</v>
      </c>
      <c r="I1635" s="424">
        <f>IFERROR(H1635*(F1635/E1635),"-")</f>
        <v>0</v>
      </c>
      <c r="J1635" s="425">
        <f t="shared" si="1000"/>
        <v>9890925</v>
      </c>
    </row>
    <row r="1636" spans="1:10" ht="24" thickBot="1" x14ac:dyDescent="0.35">
      <c r="A1636" s="277" t="s">
        <v>110</v>
      </c>
      <c r="B1636" s="958"/>
      <c r="C1636" s="282" t="s">
        <v>195</v>
      </c>
      <c r="D1636" s="282" t="s">
        <v>100</v>
      </c>
      <c r="E1636" s="389">
        <v>23.5685</v>
      </c>
      <c r="F1636" s="405">
        <f>IFERROR(E1636*'01 Prod Physique Boites'!H1631,"-")</f>
        <v>0</v>
      </c>
      <c r="G1636" s="406">
        <f>IFERROR(E1636*'01 Prod Physique Boites'!L1631,"-")</f>
        <v>0</v>
      </c>
      <c r="H1636" s="390">
        <v>24</v>
      </c>
      <c r="I1636" s="426">
        <f>IFERROR(H1636*(F1636/E1636),"-")</f>
        <v>0</v>
      </c>
      <c r="J1636" s="427">
        <f t="shared" si="1000"/>
        <v>0</v>
      </c>
    </row>
    <row r="1637" spans="1:10" ht="24" thickBot="1" x14ac:dyDescent="0.35">
      <c r="A1637" s="277" t="s">
        <v>110</v>
      </c>
      <c r="B1637" s="967" t="s">
        <v>51</v>
      </c>
      <c r="C1637" s="968"/>
      <c r="D1637" s="969"/>
      <c r="E1637" s="393"/>
      <c r="F1637" s="409">
        <f t="shared" ref="F1637:G1637" si="1001">SUM(F1633:F1636)</f>
        <v>0</v>
      </c>
      <c r="G1637" s="410">
        <f t="shared" si="1001"/>
        <v>8207885.2019999996</v>
      </c>
      <c r="H1637" s="394"/>
      <c r="I1637" s="409">
        <f t="shared" ref="I1637:J1637" si="1002">SUM(I1633:I1636)</f>
        <v>0</v>
      </c>
      <c r="J1637" s="428">
        <f t="shared" si="1002"/>
        <v>9890925</v>
      </c>
    </row>
    <row r="1638" spans="1:10" ht="23.4" x14ac:dyDescent="0.3">
      <c r="A1638" s="277" t="s">
        <v>110</v>
      </c>
      <c r="B1638" s="956" t="s">
        <v>23</v>
      </c>
      <c r="C1638" s="299" t="s">
        <v>337</v>
      </c>
      <c r="D1638" s="299" t="s">
        <v>258</v>
      </c>
      <c r="E1638" s="383">
        <v>101.4935</v>
      </c>
      <c r="F1638" s="405">
        <f>IFERROR(E1638*'01 Prod Physique Boites'!H1633,"-")</f>
        <v>235972.38749999998</v>
      </c>
      <c r="G1638" s="406">
        <f>IFERROR(E1638*'01 Prod Physique Boites'!L1633,"-")</f>
        <v>1117646.422</v>
      </c>
      <c r="H1638" s="388">
        <v>160.44999999999999</v>
      </c>
      <c r="I1638" s="422">
        <f t="shared" ref="I1638:I1645" si="1003">IFERROR(H1638*(F1638/E1638),"-")</f>
        <v>373046.25</v>
      </c>
      <c r="J1638" s="423">
        <f t="shared" ref="J1638:J1645" si="1004">IFERROR(H1638*(G1638/E1638),"-")</f>
        <v>1766875.4</v>
      </c>
    </row>
    <row r="1639" spans="1:10" ht="23.4" x14ac:dyDescent="0.3">
      <c r="A1639" s="277" t="s">
        <v>110</v>
      </c>
      <c r="B1639" s="957"/>
      <c r="C1639" s="278" t="s">
        <v>24</v>
      </c>
      <c r="D1639" s="278" t="s">
        <v>258</v>
      </c>
      <c r="E1639" s="387">
        <v>101.4935</v>
      </c>
      <c r="F1639" s="405">
        <f>IFERROR(E1639*'01 Prod Physique Boites'!H1634,"-")</f>
        <v>1343266.4724999999</v>
      </c>
      <c r="G1639" s="406">
        <f>IFERROR(E1639*'01 Prod Physique Boites'!L1634,"-")</f>
        <v>1343266.4724999999</v>
      </c>
      <c r="H1639" s="388">
        <v>160.44999999999999</v>
      </c>
      <c r="I1639" s="424">
        <f t="shared" si="1003"/>
        <v>2123555.75</v>
      </c>
      <c r="J1639" s="425">
        <f t="shared" si="1004"/>
        <v>2123555.75</v>
      </c>
    </row>
    <row r="1640" spans="1:10" ht="23.4" x14ac:dyDescent="0.3">
      <c r="A1640" s="277" t="s">
        <v>110</v>
      </c>
      <c r="B1640" s="957"/>
      <c r="C1640" s="278" t="s">
        <v>256</v>
      </c>
      <c r="D1640" s="278" t="s">
        <v>258</v>
      </c>
      <c r="E1640" s="387">
        <v>101.4935</v>
      </c>
      <c r="F1640" s="405">
        <f>IFERROR(E1640*'01 Prod Physique Boites'!H1635,"-")</f>
        <v>0</v>
      </c>
      <c r="G1640" s="406">
        <f>IFERROR(E1640*'01 Prod Physique Boites'!L1635,"-")</f>
        <v>1983690.4575</v>
      </c>
      <c r="H1640" s="388">
        <v>160.44999999999999</v>
      </c>
      <c r="I1640" s="424">
        <f t="shared" si="1003"/>
        <v>0</v>
      </c>
      <c r="J1640" s="425">
        <f t="shared" si="1004"/>
        <v>3135995.25</v>
      </c>
    </row>
    <row r="1641" spans="1:10" ht="23.4" x14ac:dyDescent="0.3">
      <c r="A1641" s="277" t="s">
        <v>110</v>
      </c>
      <c r="B1641" s="957"/>
      <c r="C1641" s="278" t="s">
        <v>257</v>
      </c>
      <c r="D1641" s="278" t="s">
        <v>258</v>
      </c>
      <c r="E1641" s="387">
        <v>101.4935</v>
      </c>
      <c r="F1641" s="405">
        <f>IFERROR(E1641*'01 Prod Physique Boites'!H1636,"-")</f>
        <v>0</v>
      </c>
      <c r="G1641" s="406">
        <f>IFERROR(E1641*'01 Prod Physique Boites'!L1636,"-")</f>
        <v>2066509.1535</v>
      </c>
      <c r="H1641" s="388">
        <v>160.44999999999999</v>
      </c>
      <c r="I1641" s="424">
        <f t="shared" si="1003"/>
        <v>0</v>
      </c>
      <c r="J1641" s="425">
        <f t="shared" si="1004"/>
        <v>3266922.4499999997</v>
      </c>
    </row>
    <row r="1642" spans="1:10" ht="23.4" x14ac:dyDescent="0.3">
      <c r="A1642" s="277" t="s">
        <v>110</v>
      </c>
      <c r="B1642" s="957"/>
      <c r="C1642" s="298" t="s">
        <v>259</v>
      </c>
      <c r="D1642" s="278" t="s">
        <v>258</v>
      </c>
      <c r="E1642" s="387">
        <v>101.4935</v>
      </c>
      <c r="F1642" s="405">
        <f>IFERROR(E1642*'01 Prod Physique Boites'!H1637,"-")</f>
        <v>0</v>
      </c>
      <c r="G1642" s="406">
        <f>IFERROR(E1642*'01 Prod Physique Boites'!L1637,"-")</f>
        <v>1249080.5045</v>
      </c>
      <c r="H1642" s="388">
        <v>160.44999999999999</v>
      </c>
      <c r="I1642" s="424">
        <f t="shared" si="1003"/>
        <v>0</v>
      </c>
      <c r="J1642" s="425">
        <f t="shared" si="1004"/>
        <v>1974658.15</v>
      </c>
    </row>
    <row r="1643" spans="1:10" ht="23.4" x14ac:dyDescent="0.3">
      <c r="A1643" s="277" t="s">
        <v>110</v>
      </c>
      <c r="B1643" s="957"/>
      <c r="C1643" s="298" t="s">
        <v>260</v>
      </c>
      <c r="D1643" s="278" t="s">
        <v>258</v>
      </c>
      <c r="E1643" s="387">
        <v>101.4935</v>
      </c>
      <c r="F1643" s="405">
        <f>IFERROR(E1643*'01 Prod Physique Boites'!H1638,"-")</f>
        <v>0</v>
      </c>
      <c r="G1643" s="406">
        <f>IFERROR(E1643*'01 Prod Physique Boites'!L1638,"-")</f>
        <v>2708049.5669999998</v>
      </c>
      <c r="H1643" s="388">
        <v>160.44999999999999</v>
      </c>
      <c r="I1643" s="424">
        <f t="shared" si="1003"/>
        <v>0</v>
      </c>
      <c r="J1643" s="425">
        <f t="shared" si="1004"/>
        <v>4281126.8999999994</v>
      </c>
    </row>
    <row r="1644" spans="1:10" ht="23.4" x14ac:dyDescent="0.3">
      <c r="A1644" s="277" t="s">
        <v>110</v>
      </c>
      <c r="B1644" s="957"/>
      <c r="C1644" s="298" t="s">
        <v>261</v>
      </c>
      <c r="D1644" s="278" t="s">
        <v>263</v>
      </c>
      <c r="E1644" s="387">
        <v>101.4935</v>
      </c>
      <c r="F1644" s="405">
        <f>IFERROR(E1644*'01 Prod Physique Boites'!H1639,"-")</f>
        <v>0</v>
      </c>
      <c r="G1644" s="406">
        <f>IFERROR(E1644*'01 Prod Physique Boites'!L1639,"-")</f>
        <v>2384082.3149999999</v>
      </c>
      <c r="H1644" s="388">
        <v>160.44999999999999</v>
      </c>
      <c r="I1644" s="424">
        <f t="shared" si="1003"/>
        <v>0</v>
      </c>
      <c r="J1644" s="425">
        <f t="shared" si="1004"/>
        <v>3768970.4999999995</v>
      </c>
    </row>
    <row r="1645" spans="1:10" ht="24" thickBot="1" x14ac:dyDescent="0.35">
      <c r="A1645" s="277" t="s">
        <v>110</v>
      </c>
      <c r="B1645" s="958"/>
      <c r="C1645" s="298" t="s">
        <v>262</v>
      </c>
      <c r="D1645" s="278" t="s">
        <v>258</v>
      </c>
      <c r="E1645" s="389">
        <v>101.4935</v>
      </c>
      <c r="F1645" s="405">
        <f>IFERROR(E1645*'01 Prod Physique Boites'!H1640,"-")</f>
        <v>0</v>
      </c>
      <c r="G1645" s="406">
        <f>IFERROR(E1645*'01 Prod Physique Boites'!L1640,"-")</f>
        <v>3565466.6549999998</v>
      </c>
      <c r="H1645" s="388">
        <v>160.44999999999999</v>
      </c>
      <c r="I1645" s="426">
        <f t="shared" si="1003"/>
        <v>0</v>
      </c>
      <c r="J1645" s="427">
        <f t="shared" si="1004"/>
        <v>5636608.5</v>
      </c>
    </row>
    <row r="1646" spans="1:10" ht="24" thickBot="1" x14ac:dyDescent="0.35">
      <c r="A1646" s="277" t="s">
        <v>110</v>
      </c>
      <c r="B1646" s="967" t="s">
        <v>52</v>
      </c>
      <c r="C1646" s="968"/>
      <c r="D1646" s="969"/>
      <c r="E1646" s="393"/>
      <c r="F1646" s="409">
        <f t="shared" ref="F1646" si="1005">SUM(F1638:F1645)</f>
        <v>1579238.8599999999</v>
      </c>
      <c r="G1646" s="410">
        <f>SUM(G1638:G1645)</f>
        <v>16417791.546999998</v>
      </c>
      <c r="H1646" s="394"/>
      <c r="I1646" s="409">
        <f t="shared" ref="I1646" si="1006">SUM(I1638:I1645)</f>
        <v>2496602</v>
      </c>
      <c r="J1646" s="428">
        <f>SUM(J1638:J1645)</f>
        <v>25954712.899999999</v>
      </c>
    </row>
    <row r="1647" spans="1:10" ht="24" thickBot="1" x14ac:dyDescent="0.35">
      <c r="A1647" s="277" t="s">
        <v>110</v>
      </c>
      <c r="B1647" s="981" t="s">
        <v>25</v>
      </c>
      <c r="C1647" s="982"/>
      <c r="D1647" s="983"/>
      <c r="E1647" s="396"/>
      <c r="F1647" s="413">
        <f t="shared" ref="F1647" si="1007">+F1637+F1646</f>
        <v>1579238.8599999999</v>
      </c>
      <c r="G1647" s="414">
        <f>+G1637+G1646</f>
        <v>24625676.748999998</v>
      </c>
      <c r="H1647" s="397"/>
      <c r="I1647" s="413">
        <f t="shared" ref="I1647:J1647" si="1008">+I1637+I1646</f>
        <v>2496602</v>
      </c>
      <c r="J1647" s="431">
        <f t="shared" si="1008"/>
        <v>35845637.899999999</v>
      </c>
    </row>
    <row r="1648" spans="1:10" ht="24" thickBot="1" x14ac:dyDescent="0.35">
      <c r="A1648" s="277" t="s">
        <v>110</v>
      </c>
      <c r="B1648" s="984" t="s">
        <v>180</v>
      </c>
      <c r="C1648" s="962"/>
      <c r="D1648" s="963"/>
      <c r="E1648" s="398"/>
      <c r="F1648" s="415">
        <f t="shared" ref="F1648" si="1009">+F1632+F1647</f>
        <v>3173339.8288000003</v>
      </c>
      <c r="G1648" s="416">
        <f>+G1632+G1647</f>
        <v>61761030.568999998</v>
      </c>
      <c r="H1648" s="399"/>
      <c r="I1648" s="415">
        <f t="shared" ref="I1648:J1648" si="1010">+I1632+I1647</f>
        <v>4973983.5999999996</v>
      </c>
      <c r="J1648" s="432">
        <f t="shared" si="1010"/>
        <v>85768384.415999994</v>
      </c>
    </row>
    <row r="1649" spans="1:10" ht="23.4" x14ac:dyDescent="0.3">
      <c r="A1649" s="271" t="s">
        <v>108</v>
      </c>
      <c r="B1649" s="977" t="s">
        <v>26</v>
      </c>
      <c r="C1649" s="300" t="s">
        <v>323</v>
      </c>
      <c r="D1649" s="302" t="s">
        <v>190</v>
      </c>
      <c r="E1649" s="508">
        <v>13.1272</v>
      </c>
      <c r="F1649" s="405">
        <f>+'01 Prod Physique Boites'!H1644</f>
        <v>0</v>
      </c>
      <c r="G1649" s="406">
        <f>IFERROR(E1649*'01 Prod Physique Boites'!L1644,"-")</f>
        <v>0</v>
      </c>
      <c r="H1649" s="384">
        <v>20.76</v>
      </c>
      <c r="I1649" s="422">
        <f t="shared" ref="I1649:I1658" si="1011">IFERROR(H1649*(F1649/E1649),"-")</f>
        <v>0</v>
      </c>
      <c r="J1649" s="644">
        <f t="shared" ref="J1649:J1658" si="1012">IFERROR(H1649*(G1649/E1649),"-")</f>
        <v>0</v>
      </c>
    </row>
    <row r="1650" spans="1:10" ht="23.4" x14ac:dyDescent="0.3">
      <c r="A1650" s="277" t="s">
        <v>108</v>
      </c>
      <c r="B1650" s="977"/>
      <c r="C1650" s="301" t="s">
        <v>508</v>
      </c>
      <c r="D1650" s="301" t="s">
        <v>507</v>
      </c>
      <c r="E1650" s="509">
        <v>16.7288</v>
      </c>
      <c r="F1650" s="405">
        <f>IFERROR(E1650*'01 Prod Physique Boites'!H1645,"-")</f>
        <v>0</v>
      </c>
      <c r="G1650" s="406">
        <f>IFERROR(E1650*'01 Prod Physique Boites'!L1645,"-")</f>
        <v>3127716.8207999999</v>
      </c>
      <c r="H1650" s="388">
        <v>20.76</v>
      </c>
      <c r="I1650" s="424">
        <f t="shared" si="1011"/>
        <v>0</v>
      </c>
      <c r="J1650" s="645">
        <f t="shared" si="1012"/>
        <v>3881414.16</v>
      </c>
    </row>
    <row r="1651" spans="1:10" ht="23.4" x14ac:dyDescent="0.3">
      <c r="A1651" s="277" t="s">
        <v>108</v>
      </c>
      <c r="B1651" s="977"/>
      <c r="C1651" s="302" t="s">
        <v>27</v>
      </c>
      <c r="D1651" s="302" t="s">
        <v>370</v>
      </c>
      <c r="E1651" s="505">
        <v>17.8202</v>
      </c>
      <c r="F1651" s="405">
        <f>IFERROR(E1651*'01 Prod Physique Boites'!H1646,"-")</f>
        <v>0</v>
      </c>
      <c r="G1651" s="406">
        <f>IFERROR(E1651*'01 Prod Physique Boites'!L1646,"-")</f>
        <v>258250.33840000001</v>
      </c>
      <c r="H1651" s="388">
        <v>21.22</v>
      </c>
      <c r="I1651" s="424">
        <f t="shared" si="1011"/>
        <v>0</v>
      </c>
      <c r="J1651" s="645">
        <f t="shared" si="1012"/>
        <v>307520.24</v>
      </c>
    </row>
    <row r="1652" spans="1:10" ht="23.4" x14ac:dyDescent="0.3">
      <c r="A1652" s="277" t="s">
        <v>108</v>
      </c>
      <c r="B1652" s="977"/>
      <c r="C1652" s="302" t="s">
        <v>27</v>
      </c>
      <c r="D1652" s="302" t="s">
        <v>254</v>
      </c>
      <c r="E1652" s="505">
        <v>17.8202</v>
      </c>
      <c r="F1652" s="405">
        <f>IFERROR(E1652*'01 Prod Physique Boites'!H1647,"-")</f>
        <v>0</v>
      </c>
      <c r="G1652" s="406">
        <f>IFERROR(E1652*'01 Prod Physique Boites'!L1647,"-")</f>
        <v>710651.75580000004</v>
      </c>
      <c r="H1652" s="388">
        <v>24.93</v>
      </c>
      <c r="I1652" s="424">
        <f t="shared" si="1011"/>
        <v>0</v>
      </c>
      <c r="J1652" s="645">
        <f t="shared" si="1012"/>
        <v>994183.47</v>
      </c>
    </row>
    <row r="1653" spans="1:10" ht="23.4" x14ac:dyDescent="0.3">
      <c r="A1653" s="277" t="s">
        <v>108</v>
      </c>
      <c r="B1653" s="977"/>
      <c r="C1653" s="302" t="s">
        <v>27</v>
      </c>
      <c r="D1653" s="302" t="s">
        <v>302</v>
      </c>
      <c r="E1653" s="505">
        <v>17.8202</v>
      </c>
      <c r="F1653" s="405">
        <f>IFERROR(E1653*'01 Prod Physique Boites'!H1648,"-")</f>
        <v>0</v>
      </c>
      <c r="G1653" s="406">
        <f>IFERROR(E1653*'01 Prod Physique Boites'!L1648,"-")</f>
        <v>103891.766</v>
      </c>
      <c r="H1653" s="388">
        <v>24.93</v>
      </c>
      <c r="I1653" s="424">
        <f t="shared" si="1011"/>
        <v>0</v>
      </c>
      <c r="J1653" s="645">
        <f t="shared" si="1012"/>
        <v>145341.9</v>
      </c>
    </row>
    <row r="1654" spans="1:10" ht="23.4" x14ac:dyDescent="0.3">
      <c r="A1654" s="277"/>
      <c r="B1654" s="977"/>
      <c r="C1654" s="302" t="s">
        <v>546</v>
      </c>
      <c r="D1654" s="302" t="s">
        <v>191</v>
      </c>
      <c r="E1654" s="505">
        <v>14.608000000000001</v>
      </c>
      <c r="F1654" s="405">
        <f>IFERROR(E1654*'01 Prod Physique Boites'!H1649,"-")</f>
        <v>0</v>
      </c>
      <c r="G1654" s="406">
        <f>IFERROR(E1654*'01 Prod Physique Boites'!L1649,"-")</f>
        <v>58110.624000000003</v>
      </c>
      <c r="H1654" s="390">
        <v>24.93</v>
      </c>
      <c r="I1654" s="424">
        <f t="shared" si="1011"/>
        <v>0</v>
      </c>
      <c r="J1654" s="646">
        <f t="shared" si="1012"/>
        <v>99171.54</v>
      </c>
    </row>
    <row r="1655" spans="1:10" ht="23.4" x14ac:dyDescent="0.3">
      <c r="A1655" s="277"/>
      <c r="B1655" s="977"/>
      <c r="C1655" s="302" t="s">
        <v>545</v>
      </c>
      <c r="D1655" s="302" t="s">
        <v>101</v>
      </c>
      <c r="E1655" s="505">
        <v>17.8202</v>
      </c>
      <c r="F1655" s="863">
        <f>IFERROR(E1655*'01 Prod Physique Boites'!H1650,"-")</f>
        <v>0</v>
      </c>
      <c r="G1655" s="406">
        <f>IFERROR(E1655*'01 Prod Physique Boites'!L1650,"-")</f>
        <v>105121.35980000001</v>
      </c>
      <c r="H1655" s="390">
        <v>24.93</v>
      </c>
      <c r="I1655" s="426">
        <f t="shared" si="1011"/>
        <v>0</v>
      </c>
      <c r="J1655" s="646">
        <f t="shared" si="1012"/>
        <v>147062.07</v>
      </c>
    </row>
    <row r="1656" spans="1:10" s="870" customFormat="1" ht="23.4" x14ac:dyDescent="0.3">
      <c r="A1656" s="864"/>
      <c r="B1656" s="977"/>
      <c r="C1656" s="865" t="s">
        <v>453</v>
      </c>
      <c r="D1656" s="865" t="s">
        <v>454</v>
      </c>
      <c r="E1656" s="866">
        <v>16.345199999999998</v>
      </c>
      <c r="F1656" s="863">
        <f>IFERROR(E1656*'01 Prod Physique Boites'!H1652,"-")</f>
        <v>0</v>
      </c>
      <c r="G1656" s="867">
        <f>IFERROR(E1656*'01 Prod Physique Boites'!L1652,"-")</f>
        <v>639375.18839999998</v>
      </c>
      <c r="H1656" s="868">
        <v>23.78</v>
      </c>
      <c r="I1656" s="869">
        <f t="shared" si="1011"/>
        <v>0</v>
      </c>
      <c r="J1656" s="646">
        <f t="shared" si="1012"/>
        <v>930202.26</v>
      </c>
    </row>
    <row r="1657" spans="1:10" s="870" customFormat="1" ht="23.4" x14ac:dyDescent="0.3">
      <c r="A1657" s="864"/>
      <c r="B1657" s="977"/>
      <c r="C1657" s="865"/>
      <c r="D1657" s="865"/>
      <c r="E1657" s="866">
        <v>16.7288</v>
      </c>
      <c r="F1657" s="863">
        <f>IFERROR(E1657*'01 Prod Physique Boites'!H1651,"-")</f>
        <v>0</v>
      </c>
      <c r="G1657" s="867">
        <f>IFERROR(E1657*'01 Prod Physique Boites'!L1651,"-")</f>
        <v>40952.102399999996</v>
      </c>
      <c r="H1657" s="868">
        <v>25.49</v>
      </c>
      <c r="I1657" s="869">
        <f t="shared" si="1011"/>
        <v>0</v>
      </c>
      <c r="J1657" s="646">
        <f t="shared" si="1012"/>
        <v>62399.519999999997</v>
      </c>
    </row>
    <row r="1658" spans="1:10" ht="24" thickBot="1" x14ac:dyDescent="0.35">
      <c r="A1658" s="277" t="s">
        <v>108</v>
      </c>
      <c r="B1658" s="977"/>
      <c r="C1658" s="303" t="s">
        <v>315</v>
      </c>
      <c r="D1658" s="302" t="s">
        <v>313</v>
      </c>
      <c r="E1658" s="505">
        <v>12.6997</v>
      </c>
      <c r="F1658" s="405">
        <f>IFERROR(E1658*'01 Prod Physique Boites'!H1653,"-")</f>
        <v>0</v>
      </c>
      <c r="G1658" s="867">
        <f>IFERROR(E1658*'01 Prod Physique Boites'!L1653,"-")</f>
        <v>202077.62640000001</v>
      </c>
      <c r="H1658" s="390">
        <v>13.25</v>
      </c>
      <c r="I1658" s="426">
        <f t="shared" si="1011"/>
        <v>0</v>
      </c>
      <c r="J1658" s="646">
        <f t="shared" si="1012"/>
        <v>210834</v>
      </c>
    </row>
    <row r="1659" spans="1:10" ht="24" thickBot="1" x14ac:dyDescent="0.35">
      <c r="A1659" s="277" t="s">
        <v>108</v>
      </c>
      <c r="B1659" s="990"/>
      <c r="C1659" s="304"/>
      <c r="D1659" s="305" t="s">
        <v>55</v>
      </c>
      <c r="E1659" s="393"/>
      <c r="F1659" s="409">
        <f>SUM(F1649:F1658)</f>
        <v>0</v>
      </c>
      <c r="G1659" s="410">
        <f>SUM(G1649:G1658)</f>
        <v>5246147.5820000004</v>
      </c>
      <c r="H1659" s="394"/>
      <c r="I1659" s="409">
        <f>SUM(I1649:I1658)</f>
        <v>0</v>
      </c>
      <c r="J1659" s="428">
        <f>SUM(J1649:J1658)</f>
        <v>6778129.1600000001</v>
      </c>
    </row>
    <row r="1660" spans="1:10" ht="23.4" x14ac:dyDescent="0.3">
      <c r="A1660" s="277" t="s">
        <v>108</v>
      </c>
      <c r="B1660" s="976" t="s">
        <v>28</v>
      </c>
      <c r="C1660" s="302" t="s">
        <v>27</v>
      </c>
      <c r="D1660" s="300" t="s">
        <v>302</v>
      </c>
      <c r="E1660" s="508">
        <v>17.8202</v>
      </c>
      <c r="F1660" s="405">
        <f>IFERROR(E1660*'01 Prod Physique Boites'!H1655,"-")</f>
        <v>779776.31160000002</v>
      </c>
      <c r="G1660" s="406">
        <f>IFERROR(E1660*'01 Prod Physique Boites'!L1655,"-")</f>
        <v>1134220.0896000001</v>
      </c>
      <c r="H1660" s="384">
        <v>24.93</v>
      </c>
      <c r="I1660" s="422">
        <f>IFERROR(H1660*(F1660/E1660),"-")</f>
        <v>1090886.94</v>
      </c>
      <c r="J1660" s="644">
        <f t="shared" ref="J1660:J1664" si="1013">IFERROR(H1660*(G1660/E1660),"-")</f>
        <v>1586744.6400000001</v>
      </c>
    </row>
    <row r="1661" spans="1:10" ht="23.4" x14ac:dyDescent="0.3">
      <c r="A1661" s="277" t="s">
        <v>108</v>
      </c>
      <c r="B1661" s="977"/>
      <c r="C1661" s="302" t="s">
        <v>456</v>
      </c>
      <c r="D1661" s="302" t="s">
        <v>370</v>
      </c>
      <c r="E1661" s="773">
        <v>16.7288</v>
      </c>
      <c r="F1661" s="405">
        <f>IFERROR(E1661*'01 Prod Physique Boites'!H1656,"-")</f>
        <v>665471.66399999999</v>
      </c>
      <c r="G1661" s="406">
        <f>IFERROR(E1661*'01 Prod Physique Boites'!L1656,"-")</f>
        <v>16565125.4208</v>
      </c>
      <c r="H1661" s="770">
        <v>20.76</v>
      </c>
      <c r="I1661" s="424">
        <f>IFERROR(H1661*(F1661/E1661),"-")</f>
        <v>825832.8</v>
      </c>
      <c r="J1661" s="645">
        <f t="shared" si="1013"/>
        <v>20556884.16</v>
      </c>
    </row>
    <row r="1662" spans="1:10" ht="23.4" x14ac:dyDescent="0.3">
      <c r="A1662" s="277" t="s">
        <v>108</v>
      </c>
      <c r="B1662" s="977"/>
      <c r="C1662" s="302" t="s">
        <v>455</v>
      </c>
      <c r="D1662" s="302" t="s">
        <v>370</v>
      </c>
      <c r="E1662" s="505">
        <v>17.8202</v>
      </c>
      <c r="F1662" s="405">
        <f>IFERROR(E1662*'01 Prod Physique Boites'!H1657,"-")</f>
        <v>0</v>
      </c>
      <c r="G1662" s="406">
        <f>IFERROR(E1662*'01 Prod Physique Boites'!L1657,"-")</f>
        <v>1134220.0896000001</v>
      </c>
      <c r="H1662" s="388">
        <v>21.22</v>
      </c>
      <c r="I1662" s="424">
        <f>IFERROR(H1662*(F1662/E1662),"-")</f>
        <v>0</v>
      </c>
      <c r="J1662" s="645">
        <f t="shared" si="1013"/>
        <v>1350610.56</v>
      </c>
    </row>
    <row r="1663" spans="1:10" ht="23.4" x14ac:dyDescent="0.3">
      <c r="A1663" s="277"/>
      <c r="B1663" s="977"/>
      <c r="C1663" s="302" t="s">
        <v>453</v>
      </c>
      <c r="D1663" s="302" t="s">
        <v>454</v>
      </c>
      <c r="E1663" s="773">
        <v>16.345199999999998</v>
      </c>
      <c r="F1663" s="405">
        <f>IFERROR(E1663*'01 Prod Physique Boites'!H1658,"-")</f>
        <v>0</v>
      </c>
      <c r="G1663" s="406">
        <f>IFERROR(E1663*'01 Prod Physique Boites'!L1658,"-")</f>
        <v>4031314.7471999996</v>
      </c>
      <c r="H1663" s="388">
        <v>23.78</v>
      </c>
      <c r="I1663" s="426">
        <f>IFERROR(H1663*(F1663/E1663),"-")</f>
        <v>0</v>
      </c>
      <c r="J1663" s="646">
        <f t="shared" si="1013"/>
        <v>5865004.0800000001</v>
      </c>
    </row>
    <row r="1664" spans="1:10" ht="24" thickBot="1" x14ac:dyDescent="0.35">
      <c r="A1664" s="277" t="s">
        <v>108</v>
      </c>
      <c r="B1664" s="977"/>
      <c r="C1664" s="302" t="s">
        <v>27</v>
      </c>
      <c r="D1664" s="303" t="s">
        <v>254</v>
      </c>
      <c r="E1664" s="505">
        <v>17.8202</v>
      </c>
      <c r="F1664" s="405">
        <f>IFERROR(E1664*'01 Prod Physique Boites'!H1659,"-")</f>
        <v>0</v>
      </c>
      <c r="G1664" s="406">
        <f>IFERROR(E1664*'01 Prod Physique Boites'!L1659,"-")</f>
        <v>13517940.3948</v>
      </c>
      <c r="H1664" s="388">
        <v>24.93</v>
      </c>
      <c r="I1664" s="426">
        <f>IFERROR(H1664*(F1664/E1664),"-")</f>
        <v>0</v>
      </c>
      <c r="J1664" s="646">
        <f t="shared" si="1013"/>
        <v>18911249.82</v>
      </c>
    </row>
    <row r="1665" spans="1:10" ht="24" thickBot="1" x14ac:dyDescent="0.35">
      <c r="A1665" s="277" t="s">
        <v>108</v>
      </c>
      <c r="B1665" s="977"/>
      <c r="C1665" s="307"/>
      <c r="D1665" s="308" t="s">
        <v>55</v>
      </c>
      <c r="E1665" s="400"/>
      <c r="F1665" s="417">
        <f t="shared" ref="F1665:G1665" si="1014">SUM(F1660:F1664)</f>
        <v>1445247.9756</v>
      </c>
      <c r="G1665" s="418">
        <f t="shared" si="1014"/>
        <v>36382820.741999999</v>
      </c>
      <c r="H1665" s="401"/>
      <c r="I1665" s="417">
        <f t="shared" ref="I1665:J1665" si="1015">SUM(I1660:I1664)</f>
        <v>1916719.74</v>
      </c>
      <c r="J1665" s="433">
        <f t="shared" si="1015"/>
        <v>48270493.259999998</v>
      </c>
    </row>
    <row r="1666" spans="1:10" ht="24" thickBot="1" x14ac:dyDescent="0.35">
      <c r="A1666" s="886" t="s">
        <v>108</v>
      </c>
      <c r="B1666" s="978" t="s">
        <v>170</v>
      </c>
      <c r="C1666" s="979"/>
      <c r="D1666" s="980"/>
      <c r="E1666" s="402"/>
      <c r="F1666" s="419">
        <f t="shared" ref="F1666:G1666" si="1016">+F1659+F1665</f>
        <v>1445247.9756</v>
      </c>
      <c r="G1666" s="420">
        <f t="shared" si="1016"/>
        <v>41628968.324000001</v>
      </c>
      <c r="H1666" s="403"/>
      <c r="I1666" s="419">
        <f t="shared" ref="I1666:J1666" si="1017">+I1659+I1665</f>
        <v>1916719.74</v>
      </c>
      <c r="J1666" s="434">
        <f t="shared" si="1017"/>
        <v>55048622.420000002</v>
      </c>
    </row>
    <row r="1667" spans="1:10" ht="23.4" x14ac:dyDescent="0.3">
      <c r="A1667" s="277" t="s">
        <v>108</v>
      </c>
      <c r="B1667" s="977" t="s">
        <v>30</v>
      </c>
      <c r="C1667" s="306" t="s">
        <v>356</v>
      </c>
      <c r="D1667" s="300" t="s">
        <v>191</v>
      </c>
      <c r="E1667" s="508">
        <v>15.2788</v>
      </c>
      <c r="F1667" s="405">
        <f>IFERROR(E1667*'01 Prod Physique Boites'!H1662,"-")</f>
        <v>0</v>
      </c>
      <c r="G1667" s="406">
        <f>IFERROR(E1667*'01 Prod Physique Boites'!L1662,"-")</f>
        <v>0</v>
      </c>
      <c r="H1667" s="384">
        <v>23.65</v>
      </c>
      <c r="I1667" s="422">
        <f>IFERROR(H1667*(F1667/E1667),"-")</f>
        <v>0</v>
      </c>
      <c r="J1667" s="423">
        <f t="shared" ref="J1667:J1669" si="1018">IFERROR(H1667*(G1667/E1667),"-")</f>
        <v>0</v>
      </c>
    </row>
    <row r="1668" spans="1:10" ht="23.4" x14ac:dyDescent="0.3">
      <c r="A1668" s="277" t="s">
        <v>108</v>
      </c>
      <c r="B1668" s="977"/>
      <c r="C1668" s="303" t="s">
        <v>316</v>
      </c>
      <c r="D1668" s="306" t="s">
        <v>454</v>
      </c>
      <c r="E1668" s="727">
        <v>25.751300000000001</v>
      </c>
      <c r="F1668" s="405">
        <f>IFERROR(E1668*'01 Prod Physique Boites'!H1663,"-")</f>
        <v>1301573.7072000001</v>
      </c>
      <c r="G1668" s="406">
        <f>IFERROR(E1668*'01 Prod Physique Boites'!L1663,"-")</f>
        <v>3085211.7504000003</v>
      </c>
      <c r="H1668" s="770">
        <v>37.89</v>
      </c>
      <c r="I1668" s="424">
        <f>IFERROR(H1668*(F1668/E1668),"-")</f>
        <v>1915112.16</v>
      </c>
      <c r="J1668" s="425">
        <f t="shared" si="1018"/>
        <v>4539525.120000001</v>
      </c>
    </row>
    <row r="1669" spans="1:10" ht="24" thickBot="1" x14ac:dyDescent="0.35">
      <c r="A1669" s="277" t="s">
        <v>108</v>
      </c>
      <c r="B1669" s="977"/>
      <c r="C1669" s="303" t="s">
        <v>316</v>
      </c>
      <c r="D1669" s="303"/>
      <c r="E1669" s="505">
        <v>25.751300000000001</v>
      </c>
      <c r="F1669" s="863">
        <f>IFERROR(E1669*'01 Prod Physique Boites'!H1664,"-")</f>
        <v>0</v>
      </c>
      <c r="G1669" s="406">
        <f>IFERROR(E1669*'01 Prod Physique Boites'!L1664,"-")</f>
        <v>4290372.5904000001</v>
      </c>
      <c r="H1669" s="390">
        <v>37.89</v>
      </c>
      <c r="I1669" s="426">
        <f>IFERROR(H1669*(F1669/E1669),"-")</f>
        <v>0</v>
      </c>
      <c r="J1669" s="427">
        <f t="shared" si="1018"/>
        <v>6312777.1200000001</v>
      </c>
    </row>
    <row r="1670" spans="1:10" ht="24" thickBot="1" x14ac:dyDescent="0.35">
      <c r="A1670" s="277" t="s">
        <v>108</v>
      </c>
      <c r="B1670" s="977"/>
      <c r="C1670" s="304"/>
      <c r="D1670" s="305" t="s">
        <v>53</v>
      </c>
      <c r="E1670" s="393"/>
      <c r="F1670" s="409">
        <f t="shared" ref="F1670:G1670" si="1019">SUM(F1667:F1669)</f>
        <v>1301573.7072000001</v>
      </c>
      <c r="G1670" s="410">
        <f t="shared" si="1019"/>
        <v>7375584.3408000004</v>
      </c>
      <c r="H1670" s="394"/>
      <c r="I1670" s="409">
        <f t="shared" ref="I1670" si="1020">SUM(I1667:I1669)</f>
        <v>1915112.16</v>
      </c>
      <c r="J1670" s="428">
        <f>SUM(J1667:J1669)</f>
        <v>10852302.240000002</v>
      </c>
    </row>
    <row r="1671" spans="1:10" ht="23.4" x14ac:dyDescent="0.3">
      <c r="A1671" s="277" t="s">
        <v>108</v>
      </c>
      <c r="B1671" s="977"/>
      <c r="C1671" s="300" t="s">
        <v>548</v>
      </c>
      <c r="D1671" s="300" t="s">
        <v>99</v>
      </c>
      <c r="E1671" s="508">
        <v>24.2607</v>
      </c>
      <c r="F1671" s="405">
        <f>IFERROR(E1671*'01 Prod Physique Boites'!H1666,"-")</f>
        <v>0</v>
      </c>
      <c r="G1671" s="406">
        <f>IFERROR(E1671*'01 Prod Physique Boites'!L1666,"-")</f>
        <v>23193.229200000002</v>
      </c>
      <c r="H1671" s="384">
        <v>28.31</v>
      </c>
      <c r="I1671" s="422">
        <f>IFERROR(H1671*(F1671/E1671),"-")</f>
        <v>0</v>
      </c>
      <c r="J1671" s="423">
        <f t="shared" ref="J1671:J1673" si="1021">IFERROR(H1671*(G1671/E1671),"-")</f>
        <v>27064.36</v>
      </c>
    </row>
    <row r="1672" spans="1:10" ht="23.4" x14ac:dyDescent="0.3">
      <c r="A1672" s="277" t="s">
        <v>108</v>
      </c>
      <c r="B1672" s="977"/>
      <c r="C1672" s="306" t="s">
        <v>373</v>
      </c>
      <c r="D1672" s="306" t="s">
        <v>254</v>
      </c>
      <c r="E1672" s="509">
        <v>27.917000000000002</v>
      </c>
      <c r="F1672" s="863">
        <f>IFERROR(E1672*'01 Prod Physique Boites'!H1667,"-")</f>
        <v>0</v>
      </c>
      <c r="G1672" s="406">
        <f>IFERROR(E1672*'01 Prod Physique Boites'!L1667,"-")</f>
        <v>371882.35700000002</v>
      </c>
      <c r="H1672" s="388">
        <v>39</v>
      </c>
      <c r="I1672" s="424">
        <f>IFERROR(H1672*(F1672/E1672),"-")</f>
        <v>0</v>
      </c>
      <c r="J1672" s="425">
        <f t="shared" si="1021"/>
        <v>519519</v>
      </c>
    </row>
    <row r="1673" spans="1:10" ht="24" thickBot="1" x14ac:dyDescent="0.35">
      <c r="A1673" s="277" t="s">
        <v>108</v>
      </c>
      <c r="B1673" s="977"/>
      <c r="C1673" s="303" t="s">
        <v>547</v>
      </c>
      <c r="D1673" s="303" t="s">
        <v>507</v>
      </c>
      <c r="E1673" s="505">
        <v>23.697399999999998</v>
      </c>
      <c r="F1673" s="405">
        <f>IFERROR(E1673*'01 Prod Physique Boites'!H1668,"-")</f>
        <v>0</v>
      </c>
      <c r="G1673" s="406">
        <f>IFERROR(E1673*'01 Prod Physique Boites'!L1668,"-")</f>
        <v>20024.303</v>
      </c>
      <c r="H1673" s="390">
        <v>28.21</v>
      </c>
      <c r="I1673" s="426">
        <f>IFERROR(H1673*(F1673/E1673),"-")</f>
        <v>0</v>
      </c>
      <c r="J1673" s="427">
        <f t="shared" si="1021"/>
        <v>23837.450000000004</v>
      </c>
    </row>
    <row r="1674" spans="1:10" ht="24" thickBot="1" x14ac:dyDescent="0.35">
      <c r="A1674" s="277" t="s">
        <v>108</v>
      </c>
      <c r="B1674" s="977"/>
      <c r="C1674" s="307"/>
      <c r="D1674" s="308" t="s">
        <v>54</v>
      </c>
      <c r="E1674" s="400"/>
      <c r="F1674" s="417">
        <f t="shared" ref="F1674:G1674" si="1022">SUM(F1671:F1673)</f>
        <v>0</v>
      </c>
      <c r="G1674" s="418">
        <f t="shared" si="1022"/>
        <v>415099.88920000003</v>
      </c>
      <c r="H1674" s="401"/>
      <c r="I1674" s="417">
        <f t="shared" ref="I1674" si="1023">SUM(I1671:I1673)</f>
        <v>0</v>
      </c>
      <c r="J1674" s="433">
        <f>SUM(J1671:J1673)</f>
        <v>570420.80999999994</v>
      </c>
    </row>
    <row r="1675" spans="1:10" ht="24" thickBot="1" x14ac:dyDescent="0.35">
      <c r="A1675" s="277" t="s">
        <v>108</v>
      </c>
      <c r="B1675" s="978" t="s">
        <v>171</v>
      </c>
      <c r="C1675" s="979"/>
      <c r="D1675" s="980"/>
      <c r="E1675" s="402"/>
      <c r="F1675" s="419">
        <f t="shared" ref="F1675:G1675" si="1024">+F1670+F1674</f>
        <v>1301573.7072000001</v>
      </c>
      <c r="G1675" s="420">
        <f t="shared" si="1024"/>
        <v>7790684.2300000004</v>
      </c>
      <c r="H1675" s="403"/>
      <c r="I1675" s="419">
        <f t="shared" ref="I1675:J1675" si="1025">+I1670+I1674</f>
        <v>1915112.16</v>
      </c>
      <c r="J1675" s="434">
        <f t="shared" si="1025"/>
        <v>11422723.050000003</v>
      </c>
    </row>
    <row r="1676" spans="1:10" ht="24" thickBot="1" x14ac:dyDescent="0.35">
      <c r="A1676" s="277" t="s">
        <v>108</v>
      </c>
      <c r="B1676" s="609" t="s">
        <v>32</v>
      </c>
      <c r="C1676" s="882"/>
      <c r="D1676" s="313"/>
      <c r="E1676" s="510">
        <v>12.2659</v>
      </c>
      <c r="F1676" s="411">
        <f>IFERROR(E1676*'01 Prod Physique Boites'!H1671,"-")</f>
        <v>0</v>
      </c>
      <c r="G1676" s="412">
        <f>IFERROR(E1676*'01 Prod Physique Boites'!L1671,"-")</f>
        <v>0</v>
      </c>
      <c r="H1676" s="395"/>
      <c r="I1676" s="429">
        <f>IFERROR(H1676*(F1676/E1676),"-")</f>
        <v>0</v>
      </c>
      <c r="J1676" s="430">
        <f>IFERROR(H1676*(G1676/E1676),"-")</f>
        <v>0</v>
      </c>
    </row>
    <row r="1677" spans="1:10" ht="24" thickBot="1" x14ac:dyDescent="0.35">
      <c r="A1677" s="277" t="s">
        <v>108</v>
      </c>
      <c r="B1677" s="981" t="s">
        <v>21</v>
      </c>
      <c r="C1677" s="982"/>
      <c r="D1677" s="983"/>
      <c r="E1677" s="396"/>
      <c r="F1677" s="413">
        <f t="shared" ref="F1677" si="1026">+F1666+F1675+F1676</f>
        <v>2746821.6828000001</v>
      </c>
      <c r="G1677" s="414">
        <f>+G1666+G1675+G1676</f>
        <v>49419652.554000005</v>
      </c>
      <c r="H1677" s="397"/>
      <c r="I1677" s="413">
        <f t="shared" ref="I1677:J1677" si="1027">+I1666+I1675+I1676</f>
        <v>3831831.9</v>
      </c>
      <c r="J1677" s="431">
        <f t="shared" si="1027"/>
        <v>66471345.470000006</v>
      </c>
    </row>
    <row r="1678" spans="1:10" ht="24" thickBot="1" x14ac:dyDescent="0.35">
      <c r="A1678" s="277" t="s">
        <v>108</v>
      </c>
      <c r="B1678" s="984" t="s">
        <v>179</v>
      </c>
      <c r="C1678" s="962"/>
      <c r="D1678" s="963"/>
      <c r="E1678" s="398"/>
      <c r="F1678" s="415">
        <f t="shared" ref="F1678:G1678" si="1028">+F1677</f>
        <v>2746821.6828000001</v>
      </c>
      <c r="G1678" s="416">
        <f t="shared" si="1028"/>
        <v>49419652.554000005</v>
      </c>
      <c r="H1678" s="399"/>
      <c r="I1678" s="415">
        <f t="shared" ref="I1678:J1678" si="1029">+I1677</f>
        <v>3831831.9</v>
      </c>
      <c r="J1678" s="432">
        <f t="shared" si="1029"/>
        <v>66471345.470000006</v>
      </c>
    </row>
    <row r="1679" spans="1:10" ht="23.4" x14ac:dyDescent="0.3">
      <c r="A1679" s="271" t="s">
        <v>109</v>
      </c>
      <c r="B1679" s="970" t="s">
        <v>482</v>
      </c>
      <c r="C1679" s="314" t="s">
        <v>120</v>
      </c>
      <c r="D1679" s="314"/>
      <c r="E1679" s="771">
        <v>254.89750000000001</v>
      </c>
      <c r="F1679" s="405">
        <f>IFERROR(E1679*'01 Prod Physique Boites'!H1674,"-")</f>
        <v>0</v>
      </c>
      <c r="G1679" s="406">
        <f>IFERROR(E1679*'01 Prod Physique Boites'!L1674,"-")</f>
        <v>0</v>
      </c>
      <c r="H1679" s="384">
        <v>445.38</v>
      </c>
      <c r="I1679" s="422">
        <f>IFERROR(H1679*(F1679/E1679),"-")</f>
        <v>0</v>
      </c>
      <c r="J1679" s="423">
        <f t="shared" ref="J1679:J1681" si="1030">IFERROR(H1679*(G1679/E1679),"-")</f>
        <v>0</v>
      </c>
    </row>
    <row r="1680" spans="1:10" ht="23.4" x14ac:dyDescent="0.3">
      <c r="A1680" s="277" t="s">
        <v>109</v>
      </c>
      <c r="B1680" s="972"/>
      <c r="C1680" s="315" t="s">
        <v>267</v>
      </c>
      <c r="D1680" s="315"/>
      <c r="E1680" s="507">
        <v>246.51390000000001</v>
      </c>
      <c r="F1680" s="405">
        <f>IFERROR(E1680*'01 Prod Physique Boites'!H1675,"-")</f>
        <v>78884.448000000004</v>
      </c>
      <c r="G1680" s="406">
        <f>IFERROR(E1680*'01 Prod Physique Boites'!L1675,"-")</f>
        <v>4575297.9840000002</v>
      </c>
      <c r="H1680" s="388">
        <v>430.02</v>
      </c>
      <c r="I1680" s="424">
        <f>IFERROR(H1680*(F1680/E1680),"-")</f>
        <v>137606.39999999999</v>
      </c>
      <c r="J1680" s="425">
        <f t="shared" si="1030"/>
        <v>7981171.1999999993</v>
      </c>
    </row>
    <row r="1681" spans="1:10" ht="24" thickBot="1" x14ac:dyDescent="0.35">
      <c r="A1681" s="277" t="s">
        <v>109</v>
      </c>
      <c r="B1681" s="971"/>
      <c r="C1681" s="316" t="s">
        <v>34</v>
      </c>
      <c r="D1681" s="316"/>
      <c r="E1681" s="504">
        <v>225.7713</v>
      </c>
      <c r="F1681" s="405">
        <f>IFERROR(E1681*'01 Prod Physique Boites'!H1676,"-")</f>
        <v>0</v>
      </c>
      <c r="G1681" s="406">
        <f>IFERROR(E1681*'01 Prod Physique Boites'!L1676,"-")</f>
        <v>0</v>
      </c>
      <c r="H1681" s="390"/>
      <c r="I1681" s="426">
        <f>IFERROR(H1681*(F1681/E1681),"-")</f>
        <v>0</v>
      </c>
      <c r="J1681" s="427">
        <f t="shared" si="1030"/>
        <v>0</v>
      </c>
    </row>
    <row r="1682" spans="1:10" ht="24" thickBot="1" x14ac:dyDescent="0.35">
      <c r="A1682" s="277" t="s">
        <v>109</v>
      </c>
      <c r="B1682" s="967" t="s">
        <v>35</v>
      </c>
      <c r="C1682" s="968"/>
      <c r="D1682" s="969"/>
      <c r="E1682" s="393"/>
      <c r="F1682" s="409">
        <f t="shared" ref="F1682:G1682" si="1031">SUM(F1679:F1681)</f>
        <v>78884.448000000004</v>
      </c>
      <c r="G1682" s="410">
        <f t="shared" si="1031"/>
        <v>4575297.9840000002</v>
      </c>
      <c r="H1682" s="394"/>
      <c r="I1682" s="409">
        <f t="shared" ref="I1682:J1682" si="1032">SUM(I1679:I1681)</f>
        <v>137606.39999999999</v>
      </c>
      <c r="J1682" s="428">
        <f t="shared" si="1032"/>
        <v>7981171.1999999993</v>
      </c>
    </row>
    <row r="1683" spans="1:10" ht="23.4" x14ac:dyDescent="0.3">
      <c r="A1683" s="277" t="s">
        <v>109</v>
      </c>
      <c r="B1683" s="970" t="s">
        <v>36</v>
      </c>
      <c r="C1683" s="314" t="s">
        <v>120</v>
      </c>
      <c r="D1683" s="314"/>
      <c r="E1683" s="506">
        <v>254.89750000000001</v>
      </c>
      <c r="F1683" s="405">
        <f>IFERROR(E1683*'01 Prod Physique Boites'!H1678,"-")</f>
        <v>0</v>
      </c>
      <c r="G1683" s="406">
        <f>IFERROR(E1683*'01 Prod Physique Boites'!L1678,"-")</f>
        <v>0</v>
      </c>
      <c r="H1683" s="384">
        <v>445.38</v>
      </c>
      <c r="I1683" s="422">
        <f>IFERROR(H1683*(F1683/E1683),"-")</f>
        <v>0</v>
      </c>
      <c r="J1683" s="423">
        <f t="shared" ref="J1683:J1686" si="1033">IFERROR(H1683*(G1683/E1683),"-")</f>
        <v>0</v>
      </c>
    </row>
    <row r="1684" spans="1:10" ht="23.4" x14ac:dyDescent="0.3">
      <c r="A1684" s="277" t="s">
        <v>109</v>
      </c>
      <c r="B1684" s="972"/>
      <c r="C1684" s="315" t="s">
        <v>267</v>
      </c>
      <c r="D1684" s="315"/>
      <c r="E1684" s="507">
        <v>246.51390000000001</v>
      </c>
      <c r="F1684" s="405">
        <f>IFERROR(E1684*'01 Prod Physique Boites'!H1679,"-")</f>
        <v>1819272.5819999999</v>
      </c>
      <c r="G1684" s="406">
        <f>IFERROR(E1684*'01 Prod Physique Boites'!L1679,"-")</f>
        <v>10806429.8343</v>
      </c>
      <c r="H1684" s="388">
        <v>430.02</v>
      </c>
      <c r="I1684" s="424">
        <f>IFERROR(H1684*(F1684/E1684),"-")</f>
        <v>3173547.5999999996</v>
      </c>
      <c r="J1684" s="425">
        <f t="shared" si="1033"/>
        <v>18850786.739999998</v>
      </c>
    </row>
    <row r="1685" spans="1:10" ht="23.4" x14ac:dyDescent="0.3">
      <c r="A1685" s="277" t="s">
        <v>109</v>
      </c>
      <c r="B1685" s="972"/>
      <c r="C1685" s="315" t="s">
        <v>198</v>
      </c>
      <c r="D1685" s="315" t="s">
        <v>197</v>
      </c>
      <c r="E1685" s="507">
        <v>254.89750000000001</v>
      </c>
      <c r="F1685" s="405">
        <f>IFERROR(E1685*'01 Prod Physique Boites'!H1680,"-")</f>
        <v>0</v>
      </c>
      <c r="G1685" s="406">
        <f>IFERROR(E1685*'01 Prod Physique Boites'!L1680,"-")</f>
        <v>0</v>
      </c>
      <c r="H1685" s="388"/>
      <c r="I1685" s="424">
        <f>IFERROR(H1685*(F1685/E1685),"-")</f>
        <v>0</v>
      </c>
      <c r="J1685" s="425">
        <f t="shared" si="1033"/>
        <v>0</v>
      </c>
    </row>
    <row r="1686" spans="1:10" ht="24" thickBot="1" x14ac:dyDescent="0.35">
      <c r="A1686" s="277" t="s">
        <v>109</v>
      </c>
      <c r="B1686" s="971"/>
      <c r="C1686" s="316" t="s">
        <v>37</v>
      </c>
      <c r="D1686" s="316"/>
      <c r="E1686" s="504">
        <v>229.99359999999999</v>
      </c>
      <c r="F1686" s="405">
        <f>IFERROR(E1686*'01 Prod Physique Boites'!H1681,"-")</f>
        <v>0</v>
      </c>
      <c r="G1686" s="406">
        <f>IFERROR(E1686*'01 Prod Physique Boites'!L1681,"-")</f>
        <v>0</v>
      </c>
      <c r="H1686" s="390"/>
      <c r="I1686" s="426">
        <f>IFERROR(H1686*(F1686/E1686),"-")</f>
        <v>0</v>
      </c>
      <c r="J1686" s="427">
        <f t="shared" si="1033"/>
        <v>0</v>
      </c>
    </row>
    <row r="1687" spans="1:10" ht="24" thickBot="1" x14ac:dyDescent="0.35">
      <c r="A1687" s="277" t="s">
        <v>109</v>
      </c>
      <c r="B1687" s="967" t="s">
        <v>38</v>
      </c>
      <c r="C1687" s="968"/>
      <c r="D1687" s="969"/>
      <c r="E1687" s="393"/>
      <c r="F1687" s="409">
        <f t="shared" ref="F1687:G1687" si="1034">SUM(F1683:F1686)</f>
        <v>1819272.5819999999</v>
      </c>
      <c r="G1687" s="410">
        <f t="shared" si="1034"/>
        <v>10806429.8343</v>
      </c>
      <c r="H1687" s="394"/>
      <c r="I1687" s="409">
        <f>SUM(I1683:I1686)</f>
        <v>3173547.5999999996</v>
      </c>
      <c r="J1687" s="428">
        <f>SUM(J1683:J1686)</f>
        <v>18850786.739999998</v>
      </c>
    </row>
    <row r="1688" spans="1:10" ht="23.4" x14ac:dyDescent="0.3">
      <c r="A1688" s="277" t="s">
        <v>109</v>
      </c>
      <c r="B1688" s="970" t="s">
        <v>483</v>
      </c>
      <c r="C1688" s="317" t="s">
        <v>123</v>
      </c>
      <c r="D1688" s="317"/>
      <c r="E1688" s="506">
        <v>195.2808</v>
      </c>
      <c r="F1688" s="405">
        <f>IFERROR(E1688*'01 Prod Physique Boites'!H1683,"-")</f>
        <v>0</v>
      </c>
      <c r="G1688" s="406">
        <f>IFERROR(E1688*'01 Prod Physique Boites'!L1683,"-")</f>
        <v>28120.4352</v>
      </c>
      <c r="H1688" s="715">
        <v>256.7</v>
      </c>
      <c r="I1688" s="422">
        <f>IFERROR(H1688*(F1688/E1688),"-")</f>
        <v>0</v>
      </c>
      <c r="J1688" s="423">
        <f t="shared" ref="J1688:J1689" si="1035">IFERROR(H1688*(G1688/E1688),"-")</f>
        <v>36964.799999999996</v>
      </c>
    </row>
    <row r="1689" spans="1:10" ht="24" thickBot="1" x14ac:dyDescent="0.35">
      <c r="A1689" s="277" t="s">
        <v>109</v>
      </c>
      <c r="B1689" s="971"/>
      <c r="C1689" s="289" t="s">
        <v>139</v>
      </c>
      <c r="D1689" s="289"/>
      <c r="E1689" s="504">
        <v>189.91890000000001</v>
      </c>
      <c r="F1689" s="405">
        <f>IFERROR(E1689*'01 Prod Physique Boites'!H1684,"-")</f>
        <v>303870.24</v>
      </c>
      <c r="G1689" s="406">
        <f>IFERROR(E1689*'01 Prod Physique Boites'!L1684,"-")</f>
        <v>349450.77600000001</v>
      </c>
      <c r="H1689" s="390">
        <v>320.35000000000002</v>
      </c>
      <c r="I1689" s="426">
        <f>IFERROR(H1689*(F1689/E1689),"-")</f>
        <v>512559.99999999994</v>
      </c>
      <c r="J1689" s="427">
        <f t="shared" si="1035"/>
        <v>589444</v>
      </c>
    </row>
    <row r="1690" spans="1:10" ht="24" thickBot="1" x14ac:dyDescent="0.35">
      <c r="A1690" s="886" t="s">
        <v>109</v>
      </c>
      <c r="B1690" s="967" t="s">
        <v>40</v>
      </c>
      <c r="C1690" s="968"/>
      <c r="D1690" s="969"/>
      <c r="E1690" s="393"/>
      <c r="F1690" s="409">
        <f>SUM(F1688:F1689)</f>
        <v>303870.24</v>
      </c>
      <c r="G1690" s="410">
        <f t="shared" ref="G1690" si="1036">SUM(G1688:G1689)</f>
        <v>377571.21120000002</v>
      </c>
      <c r="H1690" s="394"/>
      <c r="I1690" s="409">
        <f t="shared" ref="I1690:J1690" si="1037">SUM(I1688:I1689)</f>
        <v>512559.99999999994</v>
      </c>
      <c r="J1690" s="428">
        <f t="shared" si="1037"/>
        <v>626408.80000000005</v>
      </c>
    </row>
    <row r="1691" spans="1:10" ht="23.4" x14ac:dyDescent="0.3">
      <c r="A1691" s="277" t="s">
        <v>109</v>
      </c>
      <c r="B1691" s="970" t="s">
        <v>484</v>
      </c>
      <c r="C1691" s="272" t="s">
        <v>335</v>
      </c>
      <c r="D1691" s="272" t="s">
        <v>258</v>
      </c>
      <c r="E1691" s="508">
        <v>37.248699999999999</v>
      </c>
      <c r="F1691" s="405">
        <f>IFERROR(E1691*'01 Prod Physique Boites'!H1686,"-")</f>
        <v>1251556.32</v>
      </c>
      <c r="G1691" s="406">
        <f>IFERROR(E1691*'01 Prod Physique Boites'!L1686,"-")</f>
        <v>14914081.4904</v>
      </c>
      <c r="H1691" s="384">
        <v>71.44</v>
      </c>
      <c r="I1691" s="422">
        <f>IFERROR(H1691*(F1691/E1691),"-")</f>
        <v>2400384</v>
      </c>
      <c r="J1691" s="423">
        <f>IFERROR(H1691*(G1691/E1691),"-")</f>
        <v>28604004.48</v>
      </c>
    </row>
    <row r="1692" spans="1:10" ht="23.4" x14ac:dyDescent="0.3">
      <c r="A1692" s="277" t="s">
        <v>109</v>
      </c>
      <c r="B1692" s="972"/>
      <c r="C1692" s="272" t="s">
        <v>164</v>
      </c>
      <c r="D1692" s="278"/>
      <c r="E1692" s="508">
        <v>37.248699999999999</v>
      </c>
      <c r="F1692" s="405">
        <f>IFERROR(E1692*'01 Prod Physique Boites'!H1687,"-")</f>
        <v>0</v>
      </c>
      <c r="G1692" s="406">
        <f>IFERROR(E1692*'01 Prod Physique Boites'!L1687,"-")</f>
        <v>0</v>
      </c>
      <c r="H1692" s="388"/>
      <c r="I1692" s="424">
        <f>IFERROR(H1692*(F1692/E1692),"-")</f>
        <v>0</v>
      </c>
      <c r="J1692" s="425">
        <f t="shared" ref="J1692:J1694" si="1038">IFERROR(H1692*(G1692/E1692),"-")</f>
        <v>0</v>
      </c>
    </row>
    <row r="1693" spans="1:10" ht="23.4" x14ac:dyDescent="0.3">
      <c r="A1693" s="277" t="s">
        <v>109</v>
      </c>
      <c r="B1693" s="972"/>
      <c r="C1693" s="278" t="s">
        <v>383</v>
      </c>
      <c r="D1693" s="272" t="s">
        <v>258</v>
      </c>
      <c r="E1693" s="508">
        <v>37.248699999999999</v>
      </c>
      <c r="F1693" s="405">
        <f>IFERROR(E1693*'01 Prod Physique Boites'!H1688,"-")</f>
        <v>0</v>
      </c>
      <c r="G1693" s="406">
        <f>IFERROR(E1693*'01 Prod Physique Boites'!L1688,"-")</f>
        <v>0</v>
      </c>
      <c r="H1693" s="388">
        <v>71.44</v>
      </c>
      <c r="I1693" s="424">
        <f>IFERROR(H1693*(F1693/E1693),"-")</f>
        <v>0</v>
      </c>
      <c r="J1693" s="425">
        <f t="shared" si="1038"/>
        <v>0</v>
      </c>
    </row>
    <row r="1694" spans="1:10" ht="24" thickBot="1" x14ac:dyDescent="0.35">
      <c r="A1694" s="277" t="s">
        <v>109</v>
      </c>
      <c r="B1694" s="972"/>
      <c r="C1694" s="278" t="s">
        <v>165</v>
      </c>
      <c r="D1694" s="278"/>
      <c r="E1694" s="509">
        <v>38.466099999999997</v>
      </c>
      <c r="F1694" s="405">
        <f>IFERROR(E1694*'01 Prod Physique Boites'!H1689,"-")</f>
        <v>0</v>
      </c>
      <c r="G1694" s="406">
        <f>IFERROR(E1694*'01 Prod Physique Boites'!L1689,"-")</f>
        <v>0</v>
      </c>
      <c r="H1694" s="388"/>
      <c r="I1694" s="424">
        <f>IFERROR(H1694*(F1694/E1694),"-")</f>
        <v>0</v>
      </c>
      <c r="J1694" s="425">
        <f t="shared" si="1038"/>
        <v>0</v>
      </c>
    </row>
    <row r="1695" spans="1:10" ht="24" thickBot="1" x14ac:dyDescent="0.35">
      <c r="A1695" s="277" t="s">
        <v>109</v>
      </c>
      <c r="B1695" s="967" t="s">
        <v>42</v>
      </c>
      <c r="C1695" s="968"/>
      <c r="D1695" s="969"/>
      <c r="E1695" s="393"/>
      <c r="F1695" s="409">
        <f>SUM(F1691:F1694)</f>
        <v>1251556.32</v>
      </c>
      <c r="G1695" s="410">
        <f>SUM(G1691:G1694)</f>
        <v>14914081.4904</v>
      </c>
      <c r="H1695" s="394"/>
      <c r="I1695" s="409">
        <f>SUM(I1691:I1694)</f>
        <v>2400384</v>
      </c>
      <c r="J1695" s="409">
        <f>SUM(J1691:J1694)</f>
        <v>28604004.48</v>
      </c>
    </row>
    <row r="1696" spans="1:10" ht="23.4" x14ac:dyDescent="0.3">
      <c r="A1696" s="277" t="s">
        <v>109</v>
      </c>
      <c r="B1696" s="970" t="s">
        <v>43</v>
      </c>
      <c r="C1696" s="272" t="s">
        <v>200</v>
      </c>
      <c r="D1696" s="272" t="s">
        <v>197</v>
      </c>
      <c r="E1696" s="508">
        <v>30.7499</v>
      </c>
      <c r="F1696" s="405">
        <f>IFERROR(E1696*'01 Prod Physique Boites'!H1692,"-")</f>
        <v>0</v>
      </c>
      <c r="G1696" s="406">
        <f>IFERROR(E1696*'01 Prod Physique Boites'!L1692,"-")</f>
        <v>0</v>
      </c>
      <c r="H1696" s="384"/>
      <c r="I1696" s="422">
        <f>IFERROR(H1696*(F1696/E1696),"-")</f>
        <v>0</v>
      </c>
      <c r="J1696" s="423">
        <f>IFERROR(H1696*(G1696/E1696),"-")</f>
        <v>0</v>
      </c>
    </row>
    <row r="1697" spans="1:10" ht="23.4" x14ac:dyDescent="0.3">
      <c r="A1697" s="277" t="s">
        <v>109</v>
      </c>
      <c r="B1697" s="972"/>
      <c r="C1697" s="278" t="s">
        <v>167</v>
      </c>
      <c r="D1697" s="278"/>
      <c r="E1697" s="727">
        <v>25.139099999999999</v>
      </c>
      <c r="F1697" s="405">
        <f>IFERROR(E1697*'01 Prod Physique Boites'!H1693,"-")</f>
        <v>72400.607999999993</v>
      </c>
      <c r="G1697" s="406">
        <f>IFERROR(E1697*'01 Prod Physique Boites'!L1693,"-")</f>
        <v>4328349.6815999998</v>
      </c>
      <c r="H1697" s="388">
        <v>59.96</v>
      </c>
      <c r="I1697" s="424">
        <f>IFERROR(H1697*(F1697/E1697),"-")</f>
        <v>172684.79999999999</v>
      </c>
      <c r="J1697" s="425">
        <f t="shared" ref="J1697:J1698" si="1039">IFERROR(H1697*(G1697/E1697),"-")</f>
        <v>10323672.960000001</v>
      </c>
    </row>
    <row r="1698" spans="1:10" ht="24" thickBot="1" x14ac:dyDescent="0.35">
      <c r="A1698" s="277" t="s">
        <v>109</v>
      </c>
      <c r="B1698" s="971"/>
      <c r="C1698" s="282" t="s">
        <v>200</v>
      </c>
      <c r="D1698" s="282" t="s">
        <v>199</v>
      </c>
      <c r="E1698" s="505">
        <v>30.073599999999999</v>
      </c>
      <c r="F1698" s="405">
        <f>IFERROR(E1698*'01 Prod Physique Boites'!H1694,"-")</f>
        <v>0</v>
      </c>
      <c r="G1698" s="406">
        <f>IFERROR(E1698*'01 Prod Physique Boites'!L1694,"-")</f>
        <v>0</v>
      </c>
      <c r="H1698" s="390"/>
      <c r="I1698" s="426">
        <f>IFERROR(H1698*(F1698/E1698),"-")</f>
        <v>0</v>
      </c>
      <c r="J1698" s="427">
        <f t="shared" si="1039"/>
        <v>0</v>
      </c>
    </row>
    <row r="1699" spans="1:10" ht="24" thickBot="1" x14ac:dyDescent="0.35">
      <c r="A1699" s="277" t="s">
        <v>109</v>
      </c>
      <c r="B1699" s="973" t="s">
        <v>44</v>
      </c>
      <c r="C1699" s="974"/>
      <c r="D1699" s="975"/>
      <c r="E1699" s="393"/>
      <c r="F1699" s="409">
        <f t="shared" ref="F1699:G1699" si="1040">SUM(F1696:F1698)</f>
        <v>72400.607999999993</v>
      </c>
      <c r="G1699" s="410">
        <f t="shared" si="1040"/>
        <v>4328349.6815999998</v>
      </c>
      <c r="H1699" s="394"/>
      <c r="I1699" s="409">
        <f t="shared" ref="I1699:J1699" si="1041">SUM(I1696:I1698)</f>
        <v>172684.79999999999</v>
      </c>
      <c r="J1699" s="428">
        <f t="shared" si="1041"/>
        <v>10323672.960000001</v>
      </c>
    </row>
    <row r="1700" spans="1:10" ht="23.4" x14ac:dyDescent="0.3">
      <c r="A1700" s="277" t="s">
        <v>109</v>
      </c>
      <c r="B1700" s="970" t="s">
        <v>45</v>
      </c>
      <c r="C1700" s="272" t="s">
        <v>168</v>
      </c>
      <c r="D1700" s="272"/>
      <c r="E1700" s="508">
        <v>36.684899999999999</v>
      </c>
      <c r="F1700" s="405">
        <f>IFERROR(E1700*'01 Prod Physique Boites'!H1696,"-")</f>
        <v>0</v>
      </c>
      <c r="G1700" s="406">
        <f>IFERROR(E1700*'01 Prod Physique Boites'!L1696,"-")</f>
        <v>0</v>
      </c>
      <c r="H1700" s="384"/>
      <c r="I1700" s="385" t="s">
        <v>204</v>
      </c>
      <c r="J1700" s="386" t="s">
        <v>204</v>
      </c>
    </row>
    <row r="1701" spans="1:10" ht="24" thickBot="1" x14ac:dyDescent="0.35">
      <c r="A1701" s="277" t="s">
        <v>109</v>
      </c>
      <c r="B1701" s="971"/>
      <c r="C1701" s="282" t="s">
        <v>169</v>
      </c>
      <c r="D1701" s="282"/>
      <c r="E1701" s="505">
        <v>37.002800000000001</v>
      </c>
      <c r="F1701" s="405">
        <f>IFERROR(E1701*'01 Prod Physique Boites'!H1697,"-")</f>
        <v>0</v>
      </c>
      <c r="G1701" s="406">
        <f>IFERROR(E1701*'01 Prod Physique Boites'!L1697,"-")</f>
        <v>0</v>
      </c>
      <c r="H1701" s="390"/>
      <c r="I1701" s="391" t="s">
        <v>204</v>
      </c>
      <c r="J1701" s="392" t="s">
        <v>204</v>
      </c>
    </row>
    <row r="1702" spans="1:10" ht="24" thickBot="1" x14ac:dyDescent="0.35">
      <c r="A1702" s="277" t="s">
        <v>109</v>
      </c>
      <c r="B1702" s="973" t="s">
        <v>46</v>
      </c>
      <c r="C1702" s="974"/>
      <c r="D1702" s="975"/>
      <c r="E1702" s="393"/>
      <c r="F1702" s="405">
        <f>IFERROR(E1702*'01 Prod Physique Boites'!H1698,"-")</f>
        <v>0</v>
      </c>
      <c r="G1702" s="410">
        <f>IFERROR(E1702*'01 Prod Physique Boites'!L1698,"-")</f>
        <v>0</v>
      </c>
      <c r="H1702" s="394"/>
      <c r="I1702" s="409">
        <f t="shared" ref="I1702:J1702" si="1042">SUM(I1700:I1701)</f>
        <v>0</v>
      </c>
      <c r="J1702" s="428">
        <f t="shared" si="1042"/>
        <v>0</v>
      </c>
    </row>
    <row r="1703" spans="1:10" ht="24" thickBot="1" x14ac:dyDescent="0.35">
      <c r="A1703" s="277" t="s">
        <v>109</v>
      </c>
      <c r="B1703" s="959" t="s">
        <v>25</v>
      </c>
      <c r="C1703" s="960"/>
      <c r="D1703" s="961"/>
      <c r="E1703" s="396"/>
      <c r="F1703" s="413">
        <f>+F1682+F1687+F1690+F1695+F1699+F1702</f>
        <v>3525984.1979999999</v>
      </c>
      <c r="G1703" s="414">
        <f>+G1682+G1687+G1690+G1695+G1699+G1702</f>
        <v>35001730.201499999</v>
      </c>
      <c r="H1703" s="397"/>
      <c r="I1703" s="413">
        <f>+I1682+I1687+I1690+I1695+I1699+I1702</f>
        <v>6396782.7999999998</v>
      </c>
      <c r="J1703" s="431">
        <f>+J1682+J1687+J1690+J1695+J1699+J1702</f>
        <v>66386044.18</v>
      </c>
    </row>
    <row r="1704" spans="1:10" ht="24" thickBot="1" x14ac:dyDescent="0.35">
      <c r="A1704" s="321" t="s">
        <v>109</v>
      </c>
      <c r="B1704" s="962" t="s">
        <v>181</v>
      </c>
      <c r="C1704" s="962"/>
      <c r="D1704" s="963"/>
      <c r="E1704" s="398"/>
      <c r="F1704" s="415">
        <f t="shared" ref="F1704:G1704" si="1043">+F1703</f>
        <v>3525984.1979999999</v>
      </c>
      <c r="G1704" s="416">
        <f t="shared" si="1043"/>
        <v>35001730.201499999</v>
      </c>
      <c r="H1704" s="399"/>
      <c r="I1704" s="415">
        <f t="shared" ref="I1704" si="1044">+I1703</f>
        <v>6396782.7999999998</v>
      </c>
      <c r="J1704" s="432">
        <f>+J1703</f>
        <v>66386044.18</v>
      </c>
    </row>
    <row r="1705" spans="1:10" ht="24.6" thickBot="1" x14ac:dyDescent="0.35">
      <c r="A1705" s="322"/>
      <c r="B1705" s="964" t="s">
        <v>182</v>
      </c>
      <c r="C1705" s="965"/>
      <c r="D1705" s="966"/>
      <c r="E1705" s="404"/>
      <c r="F1705" s="421">
        <f>+F1648+F1678+F1704</f>
        <v>9446145.7096000016</v>
      </c>
      <c r="G1705" s="421">
        <f>+G1648+G1678+G1704</f>
        <v>146182413.32449999</v>
      </c>
      <c r="H1705" s="404"/>
      <c r="I1705" s="421">
        <f>+I1648+I1678+I1704</f>
        <v>15202598.300000001</v>
      </c>
      <c r="J1705" s="435">
        <f>+J1648+J1678+J1704</f>
        <v>218625774.06600001</v>
      </c>
    </row>
    <row r="1706" spans="1:10" ht="23.4" x14ac:dyDescent="0.3">
      <c r="A1706" s="991" t="s">
        <v>1</v>
      </c>
      <c r="B1706" s="994" t="s">
        <v>2</v>
      </c>
      <c r="C1706" s="997" t="s">
        <v>477</v>
      </c>
      <c r="D1706" s="997" t="s">
        <v>478</v>
      </c>
      <c r="E1706" s="1021" t="s">
        <v>486</v>
      </c>
      <c r="F1706" s="1022"/>
      <c r="G1706" s="1022"/>
      <c r="H1706" s="445"/>
      <c r="I1706" s="445"/>
      <c r="J1706" s="446"/>
    </row>
    <row r="1707" spans="1:10" ht="23.4" x14ac:dyDescent="0.3">
      <c r="A1707" s="992"/>
      <c r="B1707" s="995"/>
      <c r="C1707" s="998"/>
      <c r="D1707" s="998"/>
      <c r="E1707" s="1023" t="s">
        <v>489</v>
      </c>
      <c r="F1707" s="1024"/>
      <c r="G1707" s="1025"/>
      <c r="H1707" s="1023" t="s">
        <v>176</v>
      </c>
      <c r="I1707" s="1024"/>
      <c r="J1707" s="1025"/>
    </row>
    <row r="1708" spans="1:10" ht="46.8" x14ac:dyDescent="0.3">
      <c r="A1708" s="993"/>
      <c r="B1708" s="1019"/>
      <c r="C1708" s="1020"/>
      <c r="D1708" s="1020"/>
      <c r="E1708" s="382" t="s">
        <v>178</v>
      </c>
      <c r="F1708" s="893" t="s">
        <v>488</v>
      </c>
      <c r="G1708" s="894" t="s">
        <v>487</v>
      </c>
      <c r="H1708" s="1026" t="s">
        <v>178</v>
      </c>
      <c r="I1708" s="1028" t="s">
        <v>144</v>
      </c>
      <c r="J1708" s="1030" t="s">
        <v>487</v>
      </c>
    </row>
    <row r="1709" spans="1:10" ht="24" thickBot="1" x14ac:dyDescent="0.35">
      <c r="A1709" s="993"/>
      <c r="B1709" s="996"/>
      <c r="C1709" s="999"/>
      <c r="D1709" s="999"/>
      <c r="E1709" s="1032" t="s">
        <v>568</v>
      </c>
      <c r="F1709" s="1033"/>
      <c r="G1709" s="1034"/>
      <c r="H1709" s="1027"/>
      <c r="I1709" s="1029"/>
      <c r="J1709" s="1031"/>
    </row>
    <row r="1710" spans="1:10" ht="23.4" x14ac:dyDescent="0.3">
      <c r="A1710" s="271" t="s">
        <v>110</v>
      </c>
      <c r="B1710" s="956" t="s">
        <v>16</v>
      </c>
      <c r="C1710" s="272" t="s">
        <v>424</v>
      </c>
      <c r="D1710" s="272" t="s">
        <v>425</v>
      </c>
      <c r="E1710" s="758">
        <v>81.360699999999994</v>
      </c>
      <c r="F1710" s="405">
        <f>IFERROR(E1710*'01 Prod Physique Boites'!H1705,"-")</f>
        <v>0</v>
      </c>
      <c r="G1710" s="405">
        <f>IFERROR(E1710*'01 Prod Physique Boites'!L1705,"-")</f>
        <v>1614196.2879999999</v>
      </c>
      <c r="H1710" s="759">
        <v>143.28</v>
      </c>
      <c r="I1710" s="422">
        <f>IFERROR(H1710*(F1710/E1710),"-")</f>
        <v>0</v>
      </c>
      <c r="J1710" s="423">
        <f t="shared" ref="J1710:J1712" si="1045">IFERROR(H1710*(G1710/E1710),"-")</f>
        <v>2842675.2000000002</v>
      </c>
    </row>
    <row r="1711" spans="1:10" ht="23.4" x14ac:dyDescent="0.3">
      <c r="A1711" s="784"/>
      <c r="B1711" s="957"/>
      <c r="C1711" s="278" t="s">
        <v>188</v>
      </c>
      <c r="D1711" s="278" t="s">
        <v>101</v>
      </c>
      <c r="E1711" s="509">
        <v>81.360699999999994</v>
      </c>
      <c r="F1711" s="405">
        <f>IFERROR(E1711*'01 Prod Physique Boites'!H1706,"-")</f>
        <v>0</v>
      </c>
      <c r="G1711" s="405">
        <f>IFERROR(E1711*'01 Prod Physique Boites'!L1706,"-")</f>
        <v>3936312.0266999998</v>
      </c>
      <c r="H1711" s="770">
        <v>0</v>
      </c>
      <c r="I1711" s="422">
        <f>IFERROR(H1711*(F1711/E1711),"-")</f>
        <v>0</v>
      </c>
      <c r="J1711" s="423">
        <f t="shared" si="1045"/>
        <v>0</v>
      </c>
    </row>
    <row r="1712" spans="1:10" ht="23.4" x14ac:dyDescent="0.3">
      <c r="A1712" s="277" t="s">
        <v>110</v>
      </c>
      <c r="B1712" s="957"/>
      <c r="C1712" s="278" t="s">
        <v>539</v>
      </c>
      <c r="D1712" s="278" t="s">
        <v>454</v>
      </c>
      <c r="E1712" s="727">
        <v>77.170400000000001</v>
      </c>
      <c r="F1712" s="405">
        <f>IFERROR(E1712*'01 Prod Physique Boites'!H1707,"-")</f>
        <v>0</v>
      </c>
      <c r="G1712" s="728">
        <f>IFERROR(E1712*'01 Prod Physique Boites'!L1707,"-")</f>
        <v>2207073.44</v>
      </c>
      <c r="H1712" s="388">
        <v>0</v>
      </c>
      <c r="I1712" s="422">
        <f>IFERROR(H1712*(F1712/E1712),"-")</f>
        <v>0</v>
      </c>
      <c r="J1712" s="423">
        <f t="shared" si="1045"/>
        <v>0</v>
      </c>
    </row>
    <row r="1713" spans="1:15" ht="24" thickBot="1" x14ac:dyDescent="0.35">
      <c r="A1713" s="277" t="s">
        <v>110</v>
      </c>
      <c r="B1713" s="958"/>
      <c r="C1713" s="282" t="s">
        <v>282</v>
      </c>
      <c r="D1713" s="282" t="s">
        <v>251</v>
      </c>
      <c r="E1713" s="505">
        <v>60.703499999999998</v>
      </c>
      <c r="F1713" s="405">
        <f>IFERROR(E1713*'01 Prod Physique Boites'!H1708,"-")</f>
        <v>0</v>
      </c>
      <c r="G1713" s="405">
        <f>IFERROR(E1713*'01 Prod Physique Boites'!L1708,"-")</f>
        <v>1414148.736</v>
      </c>
      <c r="H1713" s="390">
        <v>111.09</v>
      </c>
      <c r="I1713" s="422">
        <f>IFERROR(H1713*(F1713/E1713),"-")</f>
        <v>0</v>
      </c>
      <c r="J1713" s="423">
        <f>IFERROR(H1713*(G1713/E1713),"-")</f>
        <v>2587952.64</v>
      </c>
    </row>
    <row r="1714" spans="1:15" ht="24" thickBot="1" x14ac:dyDescent="0.35">
      <c r="A1714" s="277" t="s">
        <v>110</v>
      </c>
      <c r="B1714" s="967" t="s">
        <v>47</v>
      </c>
      <c r="C1714" s="968"/>
      <c r="D1714" s="969"/>
      <c r="E1714" s="393"/>
      <c r="F1714" s="409">
        <f t="shared" ref="F1714" si="1046">SUM(F1710:F1713)</f>
        <v>0</v>
      </c>
      <c r="G1714" s="410">
        <f>SUM(G1710:G1713)</f>
        <v>9171730.490699999</v>
      </c>
      <c r="H1714" s="394"/>
      <c r="I1714" s="409">
        <f t="shared" ref="I1714:J1714" si="1047">SUM(I1710:I1713)</f>
        <v>0</v>
      </c>
      <c r="J1714" s="428">
        <f t="shared" si="1047"/>
        <v>5430627.8399999999</v>
      </c>
      <c r="K1714" s="757"/>
      <c r="L1714" s="757"/>
      <c r="M1714" s="757"/>
      <c r="N1714" s="757"/>
      <c r="O1714" s="757"/>
    </row>
    <row r="1715" spans="1:15" ht="23.4" x14ac:dyDescent="0.3">
      <c r="A1715" s="277" t="s">
        <v>110</v>
      </c>
      <c r="B1715" s="956" t="s">
        <v>17</v>
      </c>
      <c r="C1715" s="272" t="s">
        <v>320</v>
      </c>
      <c r="D1715" s="272"/>
      <c r="E1715" s="508">
        <v>12.5275</v>
      </c>
      <c r="F1715" s="405">
        <f>IFERROR(E1715*'01 Prod Physique Boites'!H1710,"-")</f>
        <v>47754.83</v>
      </c>
      <c r="G1715" s="405">
        <f>IFERROR(E1715*'01 Prod Physique Boites'!L1710,"-")</f>
        <v>2501140.4300000002</v>
      </c>
      <c r="H1715" s="715">
        <v>18.836400000000001</v>
      </c>
      <c r="I1715" s="422">
        <f t="shared" ref="I1715:I1721" si="1048">IFERROR(H1715*(F1715/E1715),"-")</f>
        <v>71804.356800000009</v>
      </c>
      <c r="J1715" s="423">
        <f t="shared" ref="J1715:J1720" si="1049">IFERROR(H1715*(G1715/E1715),"-")</f>
        <v>3760724.932800001</v>
      </c>
    </row>
    <row r="1716" spans="1:15" ht="23.4" x14ac:dyDescent="0.3">
      <c r="A1716" s="277" t="s">
        <v>110</v>
      </c>
      <c r="B1716" s="957"/>
      <c r="C1716" s="278" t="s">
        <v>382</v>
      </c>
      <c r="D1716" s="278" t="s">
        <v>252</v>
      </c>
      <c r="E1716" s="698">
        <v>13.002700000000001</v>
      </c>
      <c r="F1716" s="405">
        <f>IFERROR(E1716*'01 Prod Physique Boites'!H1711,"-")</f>
        <v>1671107.0040000002</v>
      </c>
      <c r="G1716" s="405">
        <f>IFERROR(E1716*'01 Prod Physique Boites'!L1711,"-")</f>
        <v>10383735.1741</v>
      </c>
      <c r="H1716" s="388">
        <v>21.18</v>
      </c>
      <c r="I1716" s="424">
        <f t="shared" si="1048"/>
        <v>2722053.6</v>
      </c>
      <c r="J1716" s="425">
        <f t="shared" si="1049"/>
        <v>16913987.940000001</v>
      </c>
    </row>
    <row r="1717" spans="1:15" ht="23.4" x14ac:dyDescent="0.3">
      <c r="A1717" s="277" t="s">
        <v>110</v>
      </c>
      <c r="B1717" s="957"/>
      <c r="C1717" s="278" t="s">
        <v>391</v>
      </c>
      <c r="D1717" s="278" t="s">
        <v>201</v>
      </c>
      <c r="E1717" s="698">
        <v>12.9049</v>
      </c>
      <c r="F1717" s="405">
        <f>IFERROR(E1717*'01 Prod Physique Boites'!H1712,"-")</f>
        <v>0</v>
      </c>
      <c r="G1717" s="405">
        <f>IFERROR(E1717*'01 Prod Physique Boites'!L1712,"-")</f>
        <v>5868064.5083999997</v>
      </c>
      <c r="H1717" s="388">
        <v>20.5</v>
      </c>
      <c r="I1717" s="424">
        <f t="shared" si="1048"/>
        <v>0</v>
      </c>
      <c r="J1717" s="425">
        <f t="shared" si="1049"/>
        <v>9321678</v>
      </c>
    </row>
    <row r="1718" spans="1:15" ht="23.4" x14ac:dyDescent="0.3">
      <c r="A1718" s="277" t="s">
        <v>110</v>
      </c>
      <c r="B1718" s="957"/>
      <c r="C1718" s="278" t="s">
        <v>319</v>
      </c>
      <c r="D1718" s="278" t="s">
        <v>202</v>
      </c>
      <c r="E1718" s="509">
        <v>13.078200000000001</v>
      </c>
      <c r="F1718" s="405">
        <f>IFERROR(E1718*'01 Prod Physique Boites'!H1713,"-")</f>
        <v>0</v>
      </c>
      <c r="G1718" s="405">
        <f>IFERROR(E1718*'01 Prod Physique Boites'!L1713,"-")</f>
        <v>3873135.0864000004</v>
      </c>
      <c r="H1718" s="388">
        <v>20.6</v>
      </c>
      <c r="I1718" s="424">
        <f t="shared" si="1048"/>
        <v>0</v>
      </c>
      <c r="J1718" s="425">
        <f t="shared" si="1049"/>
        <v>6100731.2000000002</v>
      </c>
    </row>
    <row r="1719" spans="1:15" ht="23.4" x14ac:dyDescent="0.3">
      <c r="A1719" s="277" t="s">
        <v>110</v>
      </c>
      <c r="B1719" s="957"/>
      <c r="C1719" s="278" t="s">
        <v>358</v>
      </c>
      <c r="D1719" s="278" t="s">
        <v>352</v>
      </c>
      <c r="E1719" s="509">
        <v>13.1958</v>
      </c>
      <c r="F1719" s="405">
        <f>IFERROR(E1719*'01 Prod Physique Boites'!H1714,"-")</f>
        <v>0</v>
      </c>
      <c r="G1719" s="405">
        <f>IFERROR(E1719*'01 Prod Physique Boites'!L1714,"-")</f>
        <v>6609538.6956000002</v>
      </c>
      <c r="H1719" s="388">
        <v>21.28</v>
      </c>
      <c r="I1719" s="424">
        <f t="shared" si="1048"/>
        <v>0</v>
      </c>
      <c r="J1719" s="425">
        <f t="shared" si="1049"/>
        <v>10658768.960000001</v>
      </c>
    </row>
    <row r="1720" spans="1:15" ht="23.4" x14ac:dyDescent="0.3">
      <c r="A1720" s="277">
        <v>1</v>
      </c>
      <c r="B1720" s="957"/>
      <c r="C1720" s="278" t="s">
        <v>392</v>
      </c>
      <c r="D1720" s="278" t="s">
        <v>203</v>
      </c>
      <c r="E1720" s="698">
        <v>12.9049</v>
      </c>
      <c r="F1720" s="405">
        <f>IFERROR(E1720*'01 Prod Physique Boites'!H1715,"-")</f>
        <v>0</v>
      </c>
      <c r="G1720" s="405">
        <f>IFERROR(E1720*'01 Prod Physique Boites'!L1715,"-")</f>
        <v>0</v>
      </c>
      <c r="H1720" s="677">
        <v>20.5</v>
      </c>
      <c r="I1720" s="424">
        <f t="shared" si="1048"/>
        <v>0</v>
      </c>
      <c r="J1720" s="425">
        <f t="shared" si="1049"/>
        <v>0</v>
      </c>
    </row>
    <row r="1721" spans="1:15" ht="24" thickBot="1" x14ac:dyDescent="0.35">
      <c r="A1721" s="277" t="s">
        <v>110</v>
      </c>
      <c r="B1721" s="958"/>
      <c r="C1721" s="282" t="s">
        <v>379</v>
      </c>
      <c r="D1721" s="282" t="s">
        <v>187</v>
      </c>
      <c r="E1721" s="505">
        <v>13.6509</v>
      </c>
      <c r="F1721" s="405">
        <f>IFERROR(E1721*'01 Prod Physique Boites'!H1716,"-")</f>
        <v>0</v>
      </c>
      <c r="G1721" s="405">
        <f>IFERROR(E1721*'01 Prod Physique Boites'!L1716,"-")</f>
        <v>0</v>
      </c>
      <c r="H1721" s="390">
        <v>21.18</v>
      </c>
      <c r="I1721" s="426">
        <f t="shared" si="1048"/>
        <v>0</v>
      </c>
      <c r="J1721" s="427">
        <f>IFERROR(H1721*(G1721/E1721),"-")</f>
        <v>0</v>
      </c>
    </row>
    <row r="1722" spans="1:15" ht="24" thickBot="1" x14ac:dyDescent="0.35">
      <c r="A1722" s="277" t="s">
        <v>110</v>
      </c>
      <c r="B1722" s="967" t="s">
        <v>48</v>
      </c>
      <c r="C1722" s="968"/>
      <c r="D1722" s="969"/>
      <c r="E1722" s="393"/>
      <c r="F1722" s="409">
        <f t="shared" ref="F1722" si="1050">SUM(F1715:F1721)</f>
        <v>1718861.8340000003</v>
      </c>
      <c r="G1722" s="410">
        <f>SUM(G1715:G1721)</f>
        <v>29235613.894499999</v>
      </c>
      <c r="H1722" s="394"/>
      <c r="I1722" s="409">
        <f t="shared" ref="I1722" si="1051">SUM(I1715:I1721)</f>
        <v>2793857.9568000003</v>
      </c>
      <c r="J1722" s="428">
        <f>SUM(J1715:J1721)</f>
        <v>46755891.032800004</v>
      </c>
      <c r="K1722" s="757"/>
      <c r="L1722" s="757"/>
      <c r="M1722" s="757"/>
      <c r="N1722" s="757"/>
      <c r="O1722" s="757"/>
    </row>
    <row r="1723" spans="1:15" ht="23.4" x14ac:dyDescent="0.3">
      <c r="A1723" s="277" t="s">
        <v>110</v>
      </c>
      <c r="B1723" s="956" t="s">
        <v>18</v>
      </c>
      <c r="C1723" s="272" t="s">
        <v>344</v>
      </c>
      <c r="D1723" s="272" t="s">
        <v>99</v>
      </c>
      <c r="E1723" s="508">
        <v>17.8202</v>
      </c>
      <c r="F1723" s="405">
        <f>IFERROR(E1723*'01 Prod Physique Boites'!H1718,"-")</f>
        <v>0</v>
      </c>
      <c r="G1723" s="406">
        <f>IFERROR(E1723*'01 Prod Physique Boites'!L1718,"-")</f>
        <v>0</v>
      </c>
      <c r="H1723" s="384">
        <v>24.93</v>
      </c>
      <c r="I1723" s="422">
        <f t="shared" ref="I1723:I1729" si="1052">IFERROR(H1723*(F1723/E1723),"-")</f>
        <v>0</v>
      </c>
      <c r="J1723" s="423">
        <f t="shared" ref="J1723:J1725" si="1053">IFERROR(H1723*(G1723/E1723),"-")</f>
        <v>0</v>
      </c>
    </row>
    <row r="1724" spans="1:15" ht="23.4" x14ac:dyDescent="0.3">
      <c r="A1724" s="277" t="s">
        <v>110</v>
      </c>
      <c r="B1724" s="957"/>
      <c r="C1724" s="278" t="s">
        <v>137</v>
      </c>
      <c r="D1724" s="278"/>
      <c r="E1724" s="509">
        <v>17.8202</v>
      </c>
      <c r="F1724" s="405">
        <f>IFERROR(E1724*'01 Prod Physique Boites'!H1719,"-")</f>
        <v>0</v>
      </c>
      <c r="G1724" s="406">
        <f>IFERROR(E1724*'01 Prod Physique Boites'!L1719,"-")</f>
        <v>0</v>
      </c>
      <c r="H1724" s="388">
        <v>0</v>
      </c>
      <c r="I1724" s="424">
        <f t="shared" si="1052"/>
        <v>0</v>
      </c>
      <c r="J1724" s="425">
        <f t="shared" si="1053"/>
        <v>0</v>
      </c>
    </row>
    <row r="1725" spans="1:15" ht="23.4" x14ac:dyDescent="0.3">
      <c r="A1725" s="277" t="s">
        <v>110</v>
      </c>
      <c r="B1725" s="957"/>
      <c r="C1725" s="278" t="s">
        <v>122</v>
      </c>
      <c r="D1725" s="278"/>
      <c r="E1725" s="509">
        <v>16.4071</v>
      </c>
      <c r="F1725" s="405">
        <f>IFERROR(E1725*'01 Prod Physique Boites'!H1720,"-")</f>
        <v>0</v>
      </c>
      <c r="G1725" s="406">
        <f>IFERROR(E1725*'01 Prod Physique Boites'!L1720,"-")</f>
        <v>0</v>
      </c>
      <c r="H1725" s="388">
        <v>0</v>
      </c>
      <c r="I1725" s="424">
        <f t="shared" si="1052"/>
        <v>0</v>
      </c>
      <c r="J1725" s="425">
        <f t="shared" si="1053"/>
        <v>0</v>
      </c>
    </row>
    <row r="1726" spans="1:15" ht="23.4" x14ac:dyDescent="0.3">
      <c r="A1726" s="277" t="s">
        <v>110</v>
      </c>
      <c r="B1726" s="957"/>
      <c r="C1726" s="278" t="s">
        <v>129</v>
      </c>
      <c r="D1726" s="278"/>
      <c r="E1726" s="509">
        <v>17.8202</v>
      </c>
      <c r="F1726" s="405">
        <f>IFERROR(E1726*'01 Prod Physique Boites'!H1721,"-")</f>
        <v>0</v>
      </c>
      <c r="G1726" s="406">
        <f>IFERROR(E1726*'01 Prod Physique Boites'!L1721,"-")</f>
        <v>0</v>
      </c>
      <c r="H1726" s="388">
        <v>0</v>
      </c>
      <c r="I1726" s="424">
        <f t="shared" si="1052"/>
        <v>0</v>
      </c>
      <c r="J1726" s="425">
        <f>IFERROR(H1726*(G1726/E1726),"-")</f>
        <v>0</v>
      </c>
    </row>
    <row r="1727" spans="1:15" ht="23.4" x14ac:dyDescent="0.3">
      <c r="A1727" s="277" t="s">
        <v>110</v>
      </c>
      <c r="B1727" s="957"/>
      <c r="C1727" s="278" t="s">
        <v>189</v>
      </c>
      <c r="D1727" s="278" t="s">
        <v>190</v>
      </c>
      <c r="E1727" s="509">
        <v>17.8202</v>
      </c>
      <c r="F1727" s="405">
        <f>IFERROR(E1727*'01 Prod Physique Boites'!H1722,"-")</f>
        <v>0</v>
      </c>
      <c r="G1727" s="406">
        <f>IFERROR(E1727*'01 Prod Physique Boites'!L1722,"-")</f>
        <v>0</v>
      </c>
      <c r="H1727" s="388">
        <v>0</v>
      </c>
      <c r="I1727" s="424">
        <f t="shared" si="1052"/>
        <v>0</v>
      </c>
      <c r="J1727" s="425">
        <f t="shared" ref="J1727:J1729" si="1054">IFERROR(H1727*(G1727/E1727),"-")</f>
        <v>0</v>
      </c>
    </row>
    <row r="1728" spans="1:15" ht="23.4" x14ac:dyDescent="0.3">
      <c r="A1728" s="277" t="s">
        <v>110</v>
      </c>
      <c r="B1728" s="957"/>
      <c r="C1728" s="278" t="s">
        <v>192</v>
      </c>
      <c r="D1728" s="278" t="s">
        <v>191</v>
      </c>
      <c r="E1728" s="509">
        <v>16.7288</v>
      </c>
      <c r="F1728" s="405">
        <f>IFERROR(E1728*'01 Prod Physique Boites'!H1723,"-")</f>
        <v>0</v>
      </c>
      <c r="G1728" s="406">
        <f>IFERROR(E1728*'01 Prod Physique Boites'!L1723,"-")</f>
        <v>0</v>
      </c>
      <c r="H1728" s="388">
        <v>0</v>
      </c>
      <c r="I1728" s="424">
        <f t="shared" si="1052"/>
        <v>0</v>
      </c>
      <c r="J1728" s="425">
        <f t="shared" si="1054"/>
        <v>0</v>
      </c>
    </row>
    <row r="1729" spans="1:10" ht="24" thickBot="1" x14ac:dyDescent="0.35">
      <c r="A1729" s="277" t="s">
        <v>110</v>
      </c>
      <c r="B1729" s="958"/>
      <c r="C1729" s="289" t="s">
        <v>193</v>
      </c>
      <c r="D1729" s="289" t="s">
        <v>114</v>
      </c>
      <c r="E1729" s="505">
        <v>17.8202</v>
      </c>
      <c r="F1729" s="405">
        <f>IFERROR(E1729*'01 Prod Physique Boites'!H1724,"-")</f>
        <v>0</v>
      </c>
      <c r="G1729" s="406">
        <f>IFERROR(E1729*'01 Prod Physique Boites'!L1724,"-")</f>
        <v>0</v>
      </c>
      <c r="H1729" s="388">
        <v>0</v>
      </c>
      <c r="I1729" s="426">
        <f t="shared" si="1052"/>
        <v>0</v>
      </c>
      <c r="J1729" s="427">
        <f t="shared" si="1054"/>
        <v>0</v>
      </c>
    </row>
    <row r="1730" spans="1:10" ht="24" thickBot="1" x14ac:dyDescent="0.35">
      <c r="A1730" s="277" t="s">
        <v>110</v>
      </c>
      <c r="B1730" s="967" t="s">
        <v>29</v>
      </c>
      <c r="C1730" s="968"/>
      <c r="D1730" s="969"/>
      <c r="E1730" s="660"/>
      <c r="F1730" s="661">
        <f t="shared" ref="F1730:G1730" si="1055">SUM(F1723:F1729)</f>
        <v>0</v>
      </c>
      <c r="G1730" s="410">
        <f t="shared" si="1055"/>
        <v>0</v>
      </c>
      <c r="H1730" s="394"/>
      <c r="I1730" s="409">
        <f t="shared" ref="I1730:J1730" si="1056">SUM(I1723:I1729)</f>
        <v>0</v>
      </c>
      <c r="J1730" s="428">
        <f t="shared" si="1056"/>
        <v>0</v>
      </c>
    </row>
    <row r="1731" spans="1:10" ht="24" thickBot="1" x14ac:dyDescent="0.35">
      <c r="A1731" s="277"/>
      <c r="B1731" s="985" t="s">
        <v>19</v>
      </c>
      <c r="C1731" s="662" t="s">
        <v>255</v>
      </c>
      <c r="D1731" s="668" t="s">
        <v>190</v>
      </c>
      <c r="E1731" s="669">
        <v>12.2659</v>
      </c>
      <c r="F1731" s="670">
        <f>IFERROR(E1731*'01 Prod Physique Boites'!H1726,"-")</f>
        <v>246103.01759999999</v>
      </c>
      <c r="G1731" s="671">
        <f>IFERROR(E1731*'01 Prod Physique Boites'!L1726,"-")</f>
        <v>246103.01759999999</v>
      </c>
      <c r="H1731" s="665">
        <v>14.79</v>
      </c>
      <c r="I1731" s="650">
        <f t="shared" ref="I1731:I1733" si="1057">IFERROR(H1731*(F1731/E1731),"-")</f>
        <v>296746.56</v>
      </c>
      <c r="J1731" s="650">
        <f>IFERROR(H1731*(G1731/E1731),"-")</f>
        <v>296746.56</v>
      </c>
    </row>
    <row r="1732" spans="1:10" ht="24" thickBot="1" x14ac:dyDescent="0.35">
      <c r="A1732" s="277"/>
      <c r="B1732" s="986"/>
      <c r="C1732" s="663" t="s">
        <v>399</v>
      </c>
      <c r="D1732" s="672" t="s">
        <v>507</v>
      </c>
      <c r="E1732" s="654">
        <v>12.2659</v>
      </c>
      <c r="F1732" s="670">
        <f>IFERROR(E1732*'01 Prod Physique Boites'!H1727,"-")</f>
        <v>1139845.5552000001</v>
      </c>
      <c r="G1732" s="645">
        <f>IFERROR(E1732*'01 Prod Physique Boites'!L1727,"-")</f>
        <v>1586716.824</v>
      </c>
      <c r="H1732" s="666">
        <v>14.55</v>
      </c>
      <c r="I1732" s="655">
        <f t="shared" si="1057"/>
        <v>1352102.4000000001</v>
      </c>
      <c r="J1732" s="655">
        <f>IFERROR(H1732*(G1732/E1732),"-")</f>
        <v>1882188</v>
      </c>
    </row>
    <row r="1733" spans="1:10" ht="24" thickBot="1" x14ac:dyDescent="0.35">
      <c r="A1733" s="895" t="s">
        <v>110</v>
      </c>
      <c r="B1733" s="987"/>
      <c r="C1733" s="664" t="s">
        <v>380</v>
      </c>
      <c r="D1733" s="673"/>
      <c r="E1733" s="674">
        <v>0</v>
      </c>
      <c r="F1733" s="670">
        <f>IFERROR(E1733*'01 Prod Physique Boites'!H1728,"-")</f>
        <v>0</v>
      </c>
      <c r="G1733" s="676">
        <f>IFERROR(E1733*'01 Prod Physique Boites'!L1728,"-")</f>
        <v>0</v>
      </c>
      <c r="H1733" s="667">
        <v>0</v>
      </c>
      <c r="I1733" s="429" t="str">
        <f t="shared" si="1057"/>
        <v>-</v>
      </c>
      <c r="J1733" s="430" t="str">
        <f t="shared" ref="J1733" si="1058">IFERROR(I1733*(G1733/F1733),"-")</f>
        <v>-</v>
      </c>
    </row>
    <row r="1734" spans="1:10" ht="24" thickBot="1" x14ac:dyDescent="0.35">
      <c r="A1734" s="277" t="s">
        <v>110</v>
      </c>
      <c r="B1734" s="967" t="s">
        <v>49</v>
      </c>
      <c r="C1734" s="968"/>
      <c r="D1734" s="969"/>
      <c r="E1734" s="393"/>
      <c r="F1734" s="409">
        <f>SUM(F1731:F1733)</f>
        <v>1385948.5728</v>
      </c>
      <c r="G1734" s="409">
        <f>SUM(G1731:G1733)</f>
        <v>1832819.8415999999</v>
      </c>
      <c r="H1734" s="394"/>
      <c r="I1734" s="409">
        <f>SUM(I1731:I1733)</f>
        <v>1648848.9600000002</v>
      </c>
      <c r="J1734" s="428">
        <f>SUM(J1731:J1733)</f>
        <v>2178934.56</v>
      </c>
    </row>
    <row r="1735" spans="1:10" ht="23.4" x14ac:dyDescent="0.3">
      <c r="A1735" s="277" t="s">
        <v>110</v>
      </c>
      <c r="B1735" s="956" t="s">
        <v>20</v>
      </c>
      <c r="C1735" s="294" t="s">
        <v>351</v>
      </c>
      <c r="D1735" s="294" t="s">
        <v>313</v>
      </c>
      <c r="E1735" s="508">
        <v>26.032900000000001</v>
      </c>
      <c r="F1735" s="405">
        <f>IFERROR(E1735*'01 Prod Physique Boites'!H1730,"-")</f>
        <v>0</v>
      </c>
      <c r="G1735" s="406">
        <f>IFERROR(E1735*'01 Prod Physique Boites'!L1730,"-")</f>
        <v>0</v>
      </c>
      <c r="H1735" s="384">
        <v>36.44</v>
      </c>
      <c r="I1735" s="422">
        <f>IFERROR(H1735*(F1735/E1735),"-")</f>
        <v>0</v>
      </c>
      <c r="J1735" s="423">
        <f t="shared" ref="J1735:J1737" si="1059">IFERROR(H1735*(G1735/E1735),"-")</f>
        <v>0</v>
      </c>
    </row>
    <row r="1736" spans="1:10" ht="23.4" x14ac:dyDescent="0.3">
      <c r="A1736" s="277" t="s">
        <v>110</v>
      </c>
      <c r="B1736" s="957"/>
      <c r="C1736" s="295" t="s">
        <v>121</v>
      </c>
      <c r="D1736" s="295"/>
      <c r="E1736" s="387">
        <v>24.2607</v>
      </c>
      <c r="F1736" s="405">
        <f>IFERROR(E1736*'01 Prod Physique Boites'!H1731,"-")</f>
        <v>0</v>
      </c>
      <c r="G1736" s="406">
        <f>IFERROR(E1736*'01 Prod Physique Boites'!L1731,"-")</f>
        <v>0</v>
      </c>
      <c r="H1736" s="388">
        <v>37.369999999999997</v>
      </c>
      <c r="I1736" s="424">
        <f>IFERROR(H1736*(F1736/E1736),"-")</f>
        <v>0</v>
      </c>
      <c r="J1736" s="425">
        <f t="shared" si="1059"/>
        <v>0</v>
      </c>
    </row>
    <row r="1737" spans="1:10" ht="24" thickBot="1" x14ac:dyDescent="0.35">
      <c r="A1737" s="277" t="s">
        <v>110</v>
      </c>
      <c r="B1737" s="958"/>
      <c r="C1737" s="296" t="s">
        <v>127</v>
      </c>
      <c r="D1737" s="296"/>
      <c r="E1737" s="389">
        <v>26.035799999999998</v>
      </c>
      <c r="F1737" s="405">
        <f>IFERROR(E1737*'01 Prod Physique Boites'!H1732,"-")</f>
        <v>0</v>
      </c>
      <c r="G1737" s="406">
        <f>IFERROR(E1737*'01 Prod Physique Boites'!L1732,"-")</f>
        <v>0</v>
      </c>
      <c r="H1737" s="390">
        <v>37.11</v>
      </c>
      <c r="I1737" s="426">
        <f>IFERROR(H1737*(F1737/E1737),"-")</f>
        <v>0</v>
      </c>
      <c r="J1737" s="427">
        <f t="shared" si="1059"/>
        <v>0</v>
      </c>
    </row>
    <row r="1738" spans="1:10" ht="24" thickBot="1" x14ac:dyDescent="0.35">
      <c r="A1738" s="277" t="s">
        <v>110</v>
      </c>
      <c r="B1738" s="968" t="s">
        <v>50</v>
      </c>
      <c r="C1738" s="968"/>
      <c r="D1738" s="989"/>
      <c r="E1738" s="393"/>
      <c r="F1738" s="409">
        <f t="shared" ref="F1738:G1738" si="1060">SUM(F1735:F1737)</f>
        <v>0</v>
      </c>
      <c r="G1738" s="410">
        <f t="shared" si="1060"/>
        <v>0</v>
      </c>
      <c r="H1738" s="394"/>
      <c r="I1738" s="409">
        <f t="shared" ref="I1738:J1738" si="1061">SUM(I1735:I1737)</f>
        <v>0</v>
      </c>
      <c r="J1738" s="428">
        <f t="shared" si="1061"/>
        <v>0</v>
      </c>
    </row>
    <row r="1739" spans="1:10" ht="24" thickBot="1" x14ac:dyDescent="0.35">
      <c r="A1739" s="277" t="s">
        <v>110</v>
      </c>
      <c r="B1739" s="981" t="s">
        <v>21</v>
      </c>
      <c r="C1739" s="982"/>
      <c r="D1739" s="983"/>
      <c r="E1739" s="396"/>
      <c r="F1739" s="413">
        <f>+F1714+F1722+F1730+F1734+F1738</f>
        <v>3104810.4068</v>
      </c>
      <c r="G1739" s="414">
        <f>+G1714+G1722+G1730+G1734+G1738</f>
        <v>40240164.226799995</v>
      </c>
      <c r="H1739" s="397"/>
      <c r="I1739" s="413">
        <f>+I1714+I1722+I1730+I1734+I1738</f>
        <v>4442706.9168000007</v>
      </c>
      <c r="J1739" s="431">
        <f>+J1714+J1722+J1730+J1734+J1738</f>
        <v>54365453.43280001</v>
      </c>
    </row>
    <row r="1740" spans="1:10" ht="23.4" x14ac:dyDescent="0.3">
      <c r="A1740" s="277" t="s">
        <v>110</v>
      </c>
      <c r="B1740" s="956" t="s">
        <v>481</v>
      </c>
      <c r="C1740" s="272" t="s">
        <v>132</v>
      </c>
      <c r="D1740" s="272"/>
      <c r="E1740" s="383">
        <v>22.820599999999999</v>
      </c>
      <c r="F1740" s="405">
        <f>IFERROR(E1740*'01 Prod Physique Boites'!H1735,"-")</f>
        <v>0</v>
      </c>
      <c r="G1740" s="406">
        <f>IFERROR(E1740*'01 Prod Physique Boites'!L1735,"-")</f>
        <v>0</v>
      </c>
      <c r="H1740" s="384">
        <v>27.5</v>
      </c>
      <c r="I1740" s="422">
        <f>IFERROR(H1740*(F1740/E1740),"-")</f>
        <v>0</v>
      </c>
      <c r="J1740" s="423">
        <f t="shared" ref="J1740:J1743" si="1062">IFERROR(H1740*(G1740/E1740),"-")</f>
        <v>0</v>
      </c>
    </row>
    <row r="1741" spans="1:10" ht="23.4" x14ac:dyDescent="0.3">
      <c r="A1741" s="277" t="s">
        <v>110</v>
      </c>
      <c r="B1741" s="957"/>
      <c r="C1741" s="298" t="s">
        <v>283</v>
      </c>
      <c r="D1741" s="298" t="s">
        <v>194</v>
      </c>
      <c r="E1741" s="387">
        <v>23.570699999999999</v>
      </c>
      <c r="F1741" s="405">
        <f>IFERROR(E1741*'01 Prod Physique Boites'!H1736,"-")</f>
        <v>0</v>
      </c>
      <c r="G1741" s="406">
        <f>IFERROR(E1741*'01 Prod Physique Boites'!L1736,"-")</f>
        <v>0</v>
      </c>
      <c r="H1741" s="388">
        <v>27.5</v>
      </c>
      <c r="I1741" s="424">
        <f>IFERROR(H1741*(F1741/E1741),"-")</f>
        <v>0</v>
      </c>
      <c r="J1741" s="425">
        <f t="shared" si="1062"/>
        <v>0</v>
      </c>
    </row>
    <row r="1742" spans="1:10" ht="23.4" x14ac:dyDescent="0.3">
      <c r="A1742" s="277" t="s">
        <v>110</v>
      </c>
      <c r="B1742" s="957"/>
      <c r="C1742" s="298" t="s">
        <v>405</v>
      </c>
      <c r="D1742" s="298" t="s">
        <v>194</v>
      </c>
      <c r="E1742" s="387">
        <v>22.820599999999999</v>
      </c>
      <c r="F1742" s="405">
        <f>IFERROR(E1742*'01 Prod Physique Boites'!H1737,"-")</f>
        <v>0</v>
      </c>
      <c r="G1742" s="406">
        <f>IFERROR(E1742*'01 Prod Physique Boites'!L1737,"-")</f>
        <v>8207885.2019999996</v>
      </c>
      <c r="H1742" s="388">
        <v>27.5</v>
      </c>
      <c r="I1742" s="424">
        <f>IFERROR(H1742*(F1742/E1742),"-")</f>
        <v>0</v>
      </c>
      <c r="J1742" s="425">
        <f t="shared" si="1062"/>
        <v>9890925</v>
      </c>
    </row>
    <row r="1743" spans="1:10" ht="24" thickBot="1" x14ac:dyDescent="0.35">
      <c r="A1743" s="277" t="s">
        <v>110</v>
      </c>
      <c r="B1743" s="958"/>
      <c r="C1743" s="282" t="s">
        <v>195</v>
      </c>
      <c r="D1743" s="282" t="s">
        <v>100</v>
      </c>
      <c r="E1743" s="389">
        <v>23.5685</v>
      </c>
      <c r="F1743" s="405">
        <f>IFERROR(E1743*'01 Prod Physique Boites'!H1738,"-")</f>
        <v>0</v>
      </c>
      <c r="G1743" s="406">
        <f>IFERROR(E1743*'01 Prod Physique Boites'!L1738,"-")</f>
        <v>0</v>
      </c>
      <c r="H1743" s="390">
        <v>24</v>
      </c>
      <c r="I1743" s="426">
        <f>IFERROR(H1743*(F1743/E1743),"-")</f>
        <v>0</v>
      </c>
      <c r="J1743" s="427">
        <f t="shared" si="1062"/>
        <v>0</v>
      </c>
    </row>
    <row r="1744" spans="1:10" ht="24" thickBot="1" x14ac:dyDescent="0.35">
      <c r="A1744" s="277" t="s">
        <v>110</v>
      </c>
      <c r="B1744" s="967" t="s">
        <v>51</v>
      </c>
      <c r="C1744" s="968"/>
      <c r="D1744" s="969"/>
      <c r="E1744" s="393"/>
      <c r="F1744" s="409">
        <f t="shared" ref="F1744:G1744" si="1063">SUM(F1740:F1743)</f>
        <v>0</v>
      </c>
      <c r="G1744" s="410">
        <f t="shared" si="1063"/>
        <v>8207885.2019999996</v>
      </c>
      <c r="H1744" s="394"/>
      <c r="I1744" s="409">
        <f t="shared" ref="I1744:J1744" si="1064">SUM(I1740:I1743)</f>
        <v>0</v>
      </c>
      <c r="J1744" s="428">
        <f t="shared" si="1064"/>
        <v>9890925</v>
      </c>
    </row>
    <row r="1745" spans="1:10" ht="23.4" x14ac:dyDescent="0.3">
      <c r="A1745" s="277" t="s">
        <v>110</v>
      </c>
      <c r="B1745" s="956" t="s">
        <v>23</v>
      </c>
      <c r="C1745" s="299" t="s">
        <v>337</v>
      </c>
      <c r="D1745" s="299" t="s">
        <v>258</v>
      </c>
      <c r="E1745" s="383">
        <v>101.4935</v>
      </c>
      <c r="F1745" s="405">
        <f>IFERROR(E1745*'01 Prod Physique Boites'!H1740,"-")</f>
        <v>0</v>
      </c>
      <c r="G1745" s="406">
        <f>IFERROR(E1745*'01 Prod Physique Boites'!L1740,"-")</f>
        <v>1117646.422</v>
      </c>
      <c r="H1745" s="388">
        <v>160.44999999999999</v>
      </c>
      <c r="I1745" s="422">
        <f t="shared" ref="I1745:I1752" si="1065">IFERROR(H1745*(F1745/E1745),"-")</f>
        <v>0</v>
      </c>
      <c r="J1745" s="423">
        <f t="shared" ref="J1745:J1752" si="1066">IFERROR(H1745*(G1745/E1745),"-")</f>
        <v>1766875.4</v>
      </c>
    </row>
    <row r="1746" spans="1:10" ht="23.4" x14ac:dyDescent="0.3">
      <c r="A1746" s="277" t="s">
        <v>110</v>
      </c>
      <c r="B1746" s="957"/>
      <c r="C1746" s="278" t="s">
        <v>24</v>
      </c>
      <c r="D1746" s="278" t="s">
        <v>258</v>
      </c>
      <c r="E1746" s="387">
        <v>101.4935</v>
      </c>
      <c r="F1746" s="405">
        <f>IFERROR(E1746*'01 Prod Physique Boites'!H1741,"-")</f>
        <v>1598522.625</v>
      </c>
      <c r="G1746" s="406">
        <f>IFERROR(E1746*'01 Prod Physique Boites'!L1741,"-")</f>
        <v>2941789.0975000001</v>
      </c>
      <c r="H1746" s="388">
        <v>160.44999999999999</v>
      </c>
      <c r="I1746" s="424">
        <f t="shared" si="1065"/>
        <v>2527087.5</v>
      </c>
      <c r="J1746" s="425">
        <f t="shared" si="1066"/>
        <v>4650643.25</v>
      </c>
    </row>
    <row r="1747" spans="1:10" ht="23.4" x14ac:dyDescent="0.3">
      <c r="A1747" s="277" t="s">
        <v>110</v>
      </c>
      <c r="B1747" s="957"/>
      <c r="C1747" s="278" t="s">
        <v>256</v>
      </c>
      <c r="D1747" s="278" t="s">
        <v>258</v>
      </c>
      <c r="E1747" s="387">
        <v>101.4935</v>
      </c>
      <c r="F1747" s="405">
        <f>IFERROR(E1747*'01 Prod Physique Boites'!H1742,"-")</f>
        <v>0</v>
      </c>
      <c r="G1747" s="406">
        <f>IFERROR(E1747*'01 Prod Physique Boites'!L1742,"-")</f>
        <v>1983690.4575</v>
      </c>
      <c r="H1747" s="388">
        <v>160.44999999999999</v>
      </c>
      <c r="I1747" s="424">
        <f t="shared" si="1065"/>
        <v>0</v>
      </c>
      <c r="J1747" s="425">
        <f t="shared" si="1066"/>
        <v>3135995.25</v>
      </c>
    </row>
    <row r="1748" spans="1:10" ht="23.4" x14ac:dyDescent="0.3">
      <c r="A1748" s="277" t="s">
        <v>110</v>
      </c>
      <c r="B1748" s="957"/>
      <c r="C1748" s="278" t="s">
        <v>257</v>
      </c>
      <c r="D1748" s="278" t="s">
        <v>258</v>
      </c>
      <c r="E1748" s="387">
        <v>101.4935</v>
      </c>
      <c r="F1748" s="405">
        <f>IFERROR(E1748*'01 Prod Physique Boites'!H1743,"-")</f>
        <v>0</v>
      </c>
      <c r="G1748" s="406">
        <f>IFERROR(E1748*'01 Prod Physique Boites'!L1743,"-")</f>
        <v>2066509.1535</v>
      </c>
      <c r="H1748" s="388">
        <v>160.44999999999999</v>
      </c>
      <c r="I1748" s="424">
        <f t="shared" si="1065"/>
        <v>0</v>
      </c>
      <c r="J1748" s="425">
        <f t="shared" si="1066"/>
        <v>3266922.4499999997</v>
      </c>
    </row>
    <row r="1749" spans="1:10" ht="23.4" x14ac:dyDescent="0.3">
      <c r="A1749" s="277" t="s">
        <v>110</v>
      </c>
      <c r="B1749" s="957"/>
      <c r="C1749" s="298" t="s">
        <v>259</v>
      </c>
      <c r="D1749" s="278" t="s">
        <v>258</v>
      </c>
      <c r="E1749" s="387">
        <v>101.4935</v>
      </c>
      <c r="F1749" s="405">
        <f>IFERROR(E1749*'01 Prod Physique Boites'!H1744,"-")</f>
        <v>0</v>
      </c>
      <c r="G1749" s="406">
        <f>IFERROR(E1749*'01 Prod Physique Boites'!L1744,"-")</f>
        <v>1249080.5045</v>
      </c>
      <c r="H1749" s="388">
        <v>160.44999999999999</v>
      </c>
      <c r="I1749" s="424">
        <f t="shared" si="1065"/>
        <v>0</v>
      </c>
      <c r="J1749" s="425">
        <f t="shared" si="1066"/>
        <v>1974658.15</v>
      </c>
    </row>
    <row r="1750" spans="1:10" ht="23.4" x14ac:dyDescent="0.3">
      <c r="A1750" s="277" t="s">
        <v>110</v>
      </c>
      <c r="B1750" s="957"/>
      <c r="C1750" s="298" t="s">
        <v>260</v>
      </c>
      <c r="D1750" s="278" t="s">
        <v>258</v>
      </c>
      <c r="E1750" s="387">
        <v>101.4935</v>
      </c>
      <c r="F1750" s="405">
        <f>IFERROR(E1750*'01 Prod Physique Boites'!H1745,"-")</f>
        <v>0</v>
      </c>
      <c r="G1750" s="406">
        <f>IFERROR(E1750*'01 Prod Physique Boites'!L1745,"-")</f>
        <v>2708049.5669999998</v>
      </c>
      <c r="H1750" s="388">
        <v>160.44999999999999</v>
      </c>
      <c r="I1750" s="424">
        <f t="shared" si="1065"/>
        <v>0</v>
      </c>
      <c r="J1750" s="425">
        <f t="shared" si="1066"/>
        <v>4281126.8999999994</v>
      </c>
    </row>
    <row r="1751" spans="1:10" ht="23.4" x14ac:dyDescent="0.3">
      <c r="A1751" s="277" t="s">
        <v>110</v>
      </c>
      <c r="B1751" s="957"/>
      <c r="C1751" s="298" t="s">
        <v>261</v>
      </c>
      <c r="D1751" s="278" t="s">
        <v>263</v>
      </c>
      <c r="E1751" s="387">
        <v>101.4935</v>
      </c>
      <c r="F1751" s="405">
        <f>IFERROR(E1751*'01 Prod Physique Boites'!H1746,"-")</f>
        <v>0</v>
      </c>
      <c r="G1751" s="406">
        <f>IFERROR(E1751*'01 Prod Physique Boites'!L1746,"-")</f>
        <v>2384082.3149999999</v>
      </c>
      <c r="H1751" s="388">
        <v>160.44999999999999</v>
      </c>
      <c r="I1751" s="424">
        <f t="shared" si="1065"/>
        <v>0</v>
      </c>
      <c r="J1751" s="425">
        <f t="shared" si="1066"/>
        <v>3768970.4999999995</v>
      </c>
    </row>
    <row r="1752" spans="1:10" ht="24" thickBot="1" x14ac:dyDescent="0.35">
      <c r="A1752" s="277" t="s">
        <v>110</v>
      </c>
      <c r="B1752" s="958"/>
      <c r="C1752" s="298" t="s">
        <v>262</v>
      </c>
      <c r="D1752" s="278" t="s">
        <v>258</v>
      </c>
      <c r="E1752" s="389">
        <v>101.4935</v>
      </c>
      <c r="F1752" s="405">
        <f>IFERROR(E1752*'01 Prod Physique Boites'!H1747,"-")</f>
        <v>0</v>
      </c>
      <c r="G1752" s="406">
        <f>IFERROR(E1752*'01 Prod Physique Boites'!L1747,"-")</f>
        <v>3565466.6549999998</v>
      </c>
      <c r="H1752" s="388">
        <v>160.44999999999999</v>
      </c>
      <c r="I1752" s="426">
        <f t="shared" si="1065"/>
        <v>0</v>
      </c>
      <c r="J1752" s="427">
        <f t="shared" si="1066"/>
        <v>5636608.5</v>
      </c>
    </row>
    <row r="1753" spans="1:10" ht="24" thickBot="1" x14ac:dyDescent="0.35">
      <c r="A1753" s="277" t="s">
        <v>110</v>
      </c>
      <c r="B1753" s="967" t="s">
        <v>52</v>
      </c>
      <c r="C1753" s="968"/>
      <c r="D1753" s="969"/>
      <c r="E1753" s="393"/>
      <c r="F1753" s="409">
        <f t="shared" ref="F1753" si="1067">SUM(F1745:F1752)</f>
        <v>1598522.625</v>
      </c>
      <c r="G1753" s="410">
        <f>SUM(G1745:G1752)</f>
        <v>18016314.171999998</v>
      </c>
      <c r="H1753" s="394"/>
      <c r="I1753" s="409">
        <f t="shared" ref="I1753" si="1068">SUM(I1745:I1752)</f>
        <v>2527087.5</v>
      </c>
      <c r="J1753" s="428">
        <f>SUM(J1745:J1752)</f>
        <v>28481800.399999999</v>
      </c>
    </row>
    <row r="1754" spans="1:10" ht="24" thickBot="1" x14ac:dyDescent="0.35">
      <c r="A1754" s="277" t="s">
        <v>110</v>
      </c>
      <c r="B1754" s="981" t="s">
        <v>25</v>
      </c>
      <c r="C1754" s="982"/>
      <c r="D1754" s="983"/>
      <c r="E1754" s="396"/>
      <c r="F1754" s="413">
        <f t="shared" ref="F1754" si="1069">+F1744+F1753</f>
        <v>1598522.625</v>
      </c>
      <c r="G1754" s="414">
        <f>+G1744+G1753</f>
        <v>26224199.373999998</v>
      </c>
      <c r="H1754" s="397"/>
      <c r="I1754" s="413">
        <f t="shared" ref="I1754:J1754" si="1070">+I1744+I1753</f>
        <v>2527087.5</v>
      </c>
      <c r="J1754" s="431">
        <f t="shared" si="1070"/>
        <v>38372725.399999999</v>
      </c>
    </row>
    <row r="1755" spans="1:10" ht="24" thickBot="1" x14ac:dyDescent="0.35">
      <c r="A1755" s="277" t="s">
        <v>110</v>
      </c>
      <c r="B1755" s="984" t="s">
        <v>180</v>
      </c>
      <c r="C1755" s="962"/>
      <c r="D1755" s="963"/>
      <c r="E1755" s="398"/>
      <c r="F1755" s="415">
        <f t="shared" ref="F1755" si="1071">+F1739+F1754</f>
        <v>4703333.0318</v>
      </c>
      <c r="G1755" s="416">
        <f>+G1739+G1754</f>
        <v>66464363.600799993</v>
      </c>
      <c r="H1755" s="399"/>
      <c r="I1755" s="415">
        <f t="shared" ref="I1755:J1755" si="1072">+I1739+I1754</f>
        <v>6969794.4168000007</v>
      </c>
      <c r="J1755" s="432">
        <f t="shared" si="1072"/>
        <v>92738178.832800001</v>
      </c>
    </row>
    <row r="1756" spans="1:10" ht="23.4" x14ac:dyDescent="0.3">
      <c r="A1756" s="271" t="s">
        <v>108</v>
      </c>
      <c r="B1756" s="977" t="s">
        <v>26</v>
      </c>
      <c r="C1756" s="300" t="s">
        <v>323</v>
      </c>
      <c r="D1756" s="302" t="s">
        <v>190</v>
      </c>
      <c r="E1756" s="508">
        <v>13.1272</v>
      </c>
      <c r="F1756" s="405">
        <f>+'01 Prod Physique Boites'!H1751</f>
        <v>0</v>
      </c>
      <c r="G1756" s="406">
        <f>IFERROR(E1756*'01 Prod Physique Boites'!L1751,"-")</f>
        <v>0</v>
      </c>
      <c r="H1756" s="384">
        <v>20.76</v>
      </c>
      <c r="I1756" s="422">
        <f t="shared" ref="I1756:I1765" si="1073">IFERROR(H1756*(F1756/E1756),"-")</f>
        <v>0</v>
      </c>
      <c r="J1756" s="644">
        <f t="shared" ref="J1756:J1765" si="1074">IFERROR(H1756*(G1756/E1756),"-")</f>
        <v>0</v>
      </c>
    </row>
    <row r="1757" spans="1:10" ht="23.4" x14ac:dyDescent="0.3">
      <c r="A1757" s="277" t="s">
        <v>108</v>
      </c>
      <c r="B1757" s="977"/>
      <c r="C1757" s="301" t="s">
        <v>508</v>
      </c>
      <c r="D1757" s="301" t="s">
        <v>507</v>
      </c>
      <c r="E1757" s="509">
        <v>16.7288</v>
      </c>
      <c r="F1757" s="405">
        <f>IFERROR(E1757*'01 Prod Physique Boites'!H1752,"-")</f>
        <v>0</v>
      </c>
      <c r="G1757" s="406">
        <f>IFERROR(E1757*'01 Prod Physique Boites'!L1752,"-")</f>
        <v>3127716.8207999999</v>
      </c>
      <c r="H1757" s="388">
        <v>20.76</v>
      </c>
      <c r="I1757" s="424">
        <f t="shared" si="1073"/>
        <v>0</v>
      </c>
      <c r="J1757" s="645">
        <f t="shared" si="1074"/>
        <v>3881414.16</v>
      </c>
    </row>
    <row r="1758" spans="1:10" ht="23.4" x14ac:dyDescent="0.3">
      <c r="A1758" s="277" t="s">
        <v>108</v>
      </c>
      <c r="B1758" s="977"/>
      <c r="C1758" s="302" t="s">
        <v>27</v>
      </c>
      <c r="D1758" s="302" t="s">
        <v>370</v>
      </c>
      <c r="E1758" s="505">
        <v>17.8202</v>
      </c>
      <c r="F1758" s="405">
        <f>IFERROR(E1758*'01 Prod Physique Boites'!H1753,"-")</f>
        <v>0</v>
      </c>
      <c r="G1758" s="406">
        <f>IFERROR(E1758*'01 Prod Physique Boites'!L1753,"-")</f>
        <v>258250.33840000001</v>
      </c>
      <c r="H1758" s="388">
        <v>21.22</v>
      </c>
      <c r="I1758" s="424">
        <f t="shared" si="1073"/>
        <v>0</v>
      </c>
      <c r="J1758" s="645">
        <f t="shared" si="1074"/>
        <v>307520.24</v>
      </c>
    </row>
    <row r="1759" spans="1:10" ht="23.4" x14ac:dyDescent="0.3">
      <c r="A1759" s="277" t="s">
        <v>108</v>
      </c>
      <c r="B1759" s="977"/>
      <c r="C1759" s="302" t="s">
        <v>27</v>
      </c>
      <c r="D1759" s="302" t="s">
        <v>254</v>
      </c>
      <c r="E1759" s="505">
        <v>17.8202</v>
      </c>
      <c r="F1759" s="405">
        <f>IFERROR(E1759*'01 Prod Physique Boites'!H1754,"-")</f>
        <v>0</v>
      </c>
      <c r="G1759" s="406">
        <f>IFERROR(E1759*'01 Prod Physique Boites'!L1754,"-")</f>
        <v>710651.75580000004</v>
      </c>
      <c r="H1759" s="388">
        <v>24.93</v>
      </c>
      <c r="I1759" s="424">
        <f t="shared" si="1073"/>
        <v>0</v>
      </c>
      <c r="J1759" s="645">
        <f t="shared" si="1074"/>
        <v>994183.47</v>
      </c>
    </row>
    <row r="1760" spans="1:10" ht="23.4" x14ac:dyDescent="0.3">
      <c r="A1760" s="277" t="s">
        <v>108</v>
      </c>
      <c r="B1760" s="977"/>
      <c r="C1760" s="302" t="s">
        <v>27</v>
      </c>
      <c r="D1760" s="302" t="s">
        <v>302</v>
      </c>
      <c r="E1760" s="505">
        <v>17.8202</v>
      </c>
      <c r="F1760" s="405">
        <f>IFERROR(E1760*'01 Prod Physique Boites'!H1755,"-")</f>
        <v>0</v>
      </c>
      <c r="G1760" s="406">
        <f>IFERROR(E1760*'01 Prod Physique Boites'!L1755,"-")</f>
        <v>103891.766</v>
      </c>
      <c r="H1760" s="388">
        <v>24.93</v>
      </c>
      <c r="I1760" s="424">
        <f t="shared" si="1073"/>
        <v>0</v>
      </c>
      <c r="J1760" s="645">
        <f t="shared" si="1074"/>
        <v>145341.9</v>
      </c>
    </row>
    <row r="1761" spans="1:10" ht="23.4" x14ac:dyDescent="0.3">
      <c r="A1761" s="277"/>
      <c r="B1761" s="977"/>
      <c r="C1761" s="302" t="s">
        <v>546</v>
      </c>
      <c r="D1761" s="302" t="s">
        <v>191</v>
      </c>
      <c r="E1761" s="505">
        <v>14.608000000000001</v>
      </c>
      <c r="F1761" s="405">
        <f>IFERROR(E1761*'01 Prod Physique Boites'!H1756,"-")</f>
        <v>0</v>
      </c>
      <c r="G1761" s="406">
        <f>IFERROR(E1761*'01 Prod Physique Boites'!L1756,"-")</f>
        <v>58110.624000000003</v>
      </c>
      <c r="H1761" s="390">
        <v>24.93</v>
      </c>
      <c r="I1761" s="424">
        <f t="shared" si="1073"/>
        <v>0</v>
      </c>
      <c r="J1761" s="646">
        <f t="shared" si="1074"/>
        <v>99171.54</v>
      </c>
    </row>
    <row r="1762" spans="1:10" ht="23.4" x14ac:dyDescent="0.3">
      <c r="A1762" s="277"/>
      <c r="B1762" s="977"/>
      <c r="C1762" s="302" t="s">
        <v>545</v>
      </c>
      <c r="D1762" s="302" t="s">
        <v>101</v>
      </c>
      <c r="E1762" s="505">
        <v>17.8202</v>
      </c>
      <c r="F1762" s="863">
        <f>IFERROR(E1762*'01 Prod Physique Boites'!H1757,"-")</f>
        <v>0</v>
      </c>
      <c r="G1762" s="406">
        <f>IFERROR(E1762*'01 Prod Physique Boites'!L1757,"-")</f>
        <v>105121.35980000001</v>
      </c>
      <c r="H1762" s="390">
        <v>24.93</v>
      </c>
      <c r="I1762" s="426">
        <f t="shared" si="1073"/>
        <v>0</v>
      </c>
      <c r="J1762" s="646">
        <f t="shared" si="1074"/>
        <v>147062.07</v>
      </c>
    </row>
    <row r="1763" spans="1:10" s="870" customFormat="1" ht="23.4" x14ac:dyDescent="0.3">
      <c r="A1763" s="864"/>
      <c r="B1763" s="977"/>
      <c r="C1763" s="865" t="s">
        <v>453</v>
      </c>
      <c r="D1763" s="865" t="s">
        <v>454</v>
      </c>
      <c r="E1763" s="866">
        <v>16.345199999999998</v>
      </c>
      <c r="F1763" s="863">
        <f>IFERROR(E1763*'01 Prod Physique Boites'!H1759,"-")</f>
        <v>0</v>
      </c>
      <c r="G1763" s="867">
        <f>IFERROR(E1763*'01 Prod Physique Boites'!L1759,"-")</f>
        <v>639375.18839999998</v>
      </c>
      <c r="H1763" s="868">
        <v>23.78</v>
      </c>
      <c r="I1763" s="869">
        <f t="shared" si="1073"/>
        <v>0</v>
      </c>
      <c r="J1763" s="646">
        <f t="shared" si="1074"/>
        <v>930202.26</v>
      </c>
    </row>
    <row r="1764" spans="1:10" s="870" customFormat="1" ht="23.4" x14ac:dyDescent="0.3">
      <c r="A1764" s="864"/>
      <c r="B1764" s="977"/>
      <c r="C1764" s="865"/>
      <c r="D1764" s="865"/>
      <c r="E1764" s="866">
        <v>16.7288</v>
      </c>
      <c r="F1764" s="863">
        <f>IFERROR(E1764*'01 Prod Physique Boites'!H1758,"-")</f>
        <v>0</v>
      </c>
      <c r="G1764" s="867">
        <f>IFERROR(E1764*'01 Prod Physique Boites'!L1758,"-")</f>
        <v>40952.102399999996</v>
      </c>
      <c r="H1764" s="868">
        <v>25.49</v>
      </c>
      <c r="I1764" s="869">
        <f t="shared" si="1073"/>
        <v>0</v>
      </c>
      <c r="J1764" s="646">
        <f t="shared" si="1074"/>
        <v>62399.519999999997</v>
      </c>
    </row>
    <row r="1765" spans="1:10" ht="24" thickBot="1" x14ac:dyDescent="0.35">
      <c r="A1765" s="277" t="s">
        <v>108</v>
      </c>
      <c r="B1765" s="977"/>
      <c r="C1765" s="303" t="s">
        <v>315</v>
      </c>
      <c r="D1765" s="302" t="s">
        <v>313</v>
      </c>
      <c r="E1765" s="505">
        <v>12.6997</v>
      </c>
      <c r="F1765" s="405">
        <f>IFERROR(E1765*'01 Prod Physique Boites'!H1760,"-")</f>
        <v>0</v>
      </c>
      <c r="G1765" s="867">
        <f>IFERROR(E1765*'01 Prod Physique Boites'!L1760,"-")</f>
        <v>202077.62640000001</v>
      </c>
      <c r="H1765" s="390">
        <v>13.25</v>
      </c>
      <c r="I1765" s="426">
        <f t="shared" si="1073"/>
        <v>0</v>
      </c>
      <c r="J1765" s="646">
        <f t="shared" si="1074"/>
        <v>210834</v>
      </c>
    </row>
    <row r="1766" spans="1:10" ht="24" thickBot="1" x14ac:dyDescent="0.35">
      <c r="A1766" s="277" t="s">
        <v>108</v>
      </c>
      <c r="B1766" s="990"/>
      <c r="C1766" s="304"/>
      <c r="D1766" s="305" t="s">
        <v>55</v>
      </c>
      <c r="E1766" s="393"/>
      <c r="F1766" s="409">
        <f>SUM(F1756:F1765)</f>
        <v>0</v>
      </c>
      <c r="G1766" s="410">
        <f>SUM(G1756:G1765)</f>
        <v>5246147.5820000004</v>
      </c>
      <c r="H1766" s="394"/>
      <c r="I1766" s="409">
        <f>SUM(I1756:I1765)</f>
        <v>0</v>
      </c>
      <c r="J1766" s="428">
        <f>SUM(J1756:J1765)</f>
        <v>6778129.1600000001</v>
      </c>
    </row>
    <row r="1767" spans="1:10" ht="23.4" x14ac:dyDescent="0.3">
      <c r="A1767" s="277" t="s">
        <v>108</v>
      </c>
      <c r="B1767" s="976" t="s">
        <v>28</v>
      </c>
      <c r="C1767" s="302" t="s">
        <v>27</v>
      </c>
      <c r="D1767" s="300" t="s">
        <v>302</v>
      </c>
      <c r="E1767" s="508">
        <v>17.8202</v>
      </c>
      <c r="F1767" s="405">
        <f>IFERROR(E1767*'01 Prod Physique Boites'!H1762,"-")</f>
        <v>1772218.89</v>
      </c>
      <c r="G1767" s="867">
        <f>IFERROR(E1767*'01 Prod Physique Boites'!L1762,"-")</f>
        <v>2906438.9796000002</v>
      </c>
      <c r="H1767" s="384">
        <v>24.93</v>
      </c>
      <c r="I1767" s="422">
        <f>IFERROR(H1767*(F1767/E1767),"-")</f>
        <v>2479288.5</v>
      </c>
      <c r="J1767" s="644">
        <f t="shared" ref="J1767:J1771" si="1075">IFERROR(H1767*(G1767/E1767),"-")</f>
        <v>4066033.14</v>
      </c>
    </row>
    <row r="1768" spans="1:10" ht="23.4" x14ac:dyDescent="0.3">
      <c r="A1768" s="277" t="s">
        <v>108</v>
      </c>
      <c r="B1768" s="977"/>
      <c r="C1768" s="302" t="s">
        <v>456</v>
      </c>
      <c r="D1768" s="302" t="s">
        <v>370</v>
      </c>
      <c r="E1768" s="773">
        <v>16.7288</v>
      </c>
      <c r="F1768" s="405">
        <f>IFERROR(E1768*'01 Prod Physique Boites'!H1763,"-")</f>
        <v>798565.99679999996</v>
      </c>
      <c r="G1768" s="867">
        <f>IFERROR(E1768*'01 Prod Physique Boites'!L1763,"-")</f>
        <v>17363691.417599998</v>
      </c>
      <c r="H1768" s="770">
        <v>20.76</v>
      </c>
      <c r="I1768" s="424">
        <f>IFERROR(H1768*(F1768/E1768),"-")</f>
        <v>990999.3600000001</v>
      </c>
      <c r="J1768" s="645">
        <f t="shared" si="1075"/>
        <v>21547883.52</v>
      </c>
    </row>
    <row r="1769" spans="1:10" ht="23.4" x14ac:dyDescent="0.3">
      <c r="A1769" s="277" t="s">
        <v>108</v>
      </c>
      <c r="B1769" s="977"/>
      <c r="C1769" s="302" t="s">
        <v>455</v>
      </c>
      <c r="D1769" s="302" t="s">
        <v>370</v>
      </c>
      <c r="E1769" s="505">
        <v>17.8202</v>
      </c>
      <c r="F1769" s="405">
        <f>IFERROR(E1769*'01 Prod Physique Boites'!H1764,"-")</f>
        <v>70888.755600000004</v>
      </c>
      <c r="G1769" s="867">
        <f>IFERROR(E1769*'01 Prod Physique Boites'!L1764,"-")</f>
        <v>1205108.8452000001</v>
      </c>
      <c r="H1769" s="388">
        <v>21.22</v>
      </c>
      <c r="I1769" s="424">
        <f>IFERROR(H1769*(F1769/E1769),"-")</f>
        <v>84413.16</v>
      </c>
      <c r="J1769" s="645">
        <f t="shared" si="1075"/>
        <v>1435023.72</v>
      </c>
    </row>
    <row r="1770" spans="1:10" ht="23.4" x14ac:dyDescent="0.3">
      <c r="A1770" s="277"/>
      <c r="B1770" s="977"/>
      <c r="C1770" s="302" t="s">
        <v>453</v>
      </c>
      <c r="D1770" s="302" t="s">
        <v>454</v>
      </c>
      <c r="E1770" s="773">
        <v>16.345199999999998</v>
      </c>
      <c r="F1770" s="405">
        <f>IFERROR(E1770*'01 Prod Physique Boites'!H1765,"-")</f>
        <v>0</v>
      </c>
      <c r="G1770" s="867">
        <f>IFERROR(E1770*'01 Prod Physique Boites'!L1765,"-")</f>
        <v>4031314.7471999996</v>
      </c>
      <c r="H1770" s="388">
        <v>23.78</v>
      </c>
      <c r="I1770" s="426">
        <f>IFERROR(H1770*(F1770/E1770),"-")</f>
        <v>0</v>
      </c>
      <c r="J1770" s="646">
        <f t="shared" si="1075"/>
        <v>5865004.0800000001</v>
      </c>
    </row>
    <row r="1771" spans="1:10" ht="24" thickBot="1" x14ac:dyDescent="0.35">
      <c r="A1771" s="277" t="s">
        <v>108</v>
      </c>
      <c r="B1771" s="977"/>
      <c r="C1771" s="302" t="s">
        <v>27</v>
      </c>
      <c r="D1771" s="303" t="s">
        <v>254</v>
      </c>
      <c r="E1771" s="505">
        <v>17.8202</v>
      </c>
      <c r="F1771" s="405">
        <f>IFERROR(E1771*'01 Prod Physique Boites'!H1766,"-")</f>
        <v>0</v>
      </c>
      <c r="G1771" s="867">
        <f>IFERROR(E1771*'01 Prod Physique Boites'!L1766,"-")</f>
        <v>13517940.3948</v>
      </c>
      <c r="H1771" s="388">
        <v>24.93</v>
      </c>
      <c r="I1771" s="426">
        <f>IFERROR(H1771*(F1771/E1771),"-")</f>
        <v>0</v>
      </c>
      <c r="J1771" s="646">
        <f t="shared" si="1075"/>
        <v>18911249.82</v>
      </c>
    </row>
    <row r="1772" spans="1:10" ht="24" thickBot="1" x14ac:dyDescent="0.35">
      <c r="A1772" s="277" t="s">
        <v>108</v>
      </c>
      <c r="B1772" s="977"/>
      <c r="C1772" s="307"/>
      <c r="D1772" s="308" t="s">
        <v>55</v>
      </c>
      <c r="E1772" s="400"/>
      <c r="F1772" s="417">
        <f t="shared" ref="F1772:G1772" si="1076">SUM(F1767:F1771)</f>
        <v>2641673.6423999998</v>
      </c>
      <c r="G1772" s="418">
        <f t="shared" si="1076"/>
        <v>39024494.384399995</v>
      </c>
      <c r="H1772" s="401"/>
      <c r="I1772" s="417">
        <f t="shared" ref="I1772:J1772" si="1077">SUM(I1767:I1771)</f>
        <v>3554701.0200000005</v>
      </c>
      <c r="J1772" s="433">
        <f t="shared" si="1077"/>
        <v>51825194.280000001</v>
      </c>
    </row>
    <row r="1773" spans="1:10" ht="24" thickBot="1" x14ac:dyDescent="0.35">
      <c r="A1773" s="895" t="s">
        <v>108</v>
      </c>
      <c r="B1773" s="978" t="s">
        <v>170</v>
      </c>
      <c r="C1773" s="979"/>
      <c r="D1773" s="980"/>
      <c r="E1773" s="402"/>
      <c r="F1773" s="419">
        <f t="shared" ref="F1773:G1773" si="1078">+F1766+F1772</f>
        <v>2641673.6423999998</v>
      </c>
      <c r="G1773" s="420">
        <f t="shared" si="1078"/>
        <v>44270641.966399997</v>
      </c>
      <c r="H1773" s="403"/>
      <c r="I1773" s="419">
        <f t="shared" ref="I1773:J1773" si="1079">+I1766+I1772</f>
        <v>3554701.0200000005</v>
      </c>
      <c r="J1773" s="434">
        <f t="shared" si="1079"/>
        <v>58603323.439999998</v>
      </c>
    </row>
    <row r="1774" spans="1:10" ht="23.4" x14ac:dyDescent="0.3">
      <c r="A1774" s="277" t="s">
        <v>108</v>
      </c>
      <c r="B1774" s="977" t="s">
        <v>30</v>
      </c>
      <c r="C1774" s="306" t="s">
        <v>356</v>
      </c>
      <c r="D1774" s="300" t="s">
        <v>191</v>
      </c>
      <c r="E1774" s="508">
        <v>15.2788</v>
      </c>
      <c r="F1774" s="405">
        <f>IFERROR(E1774*'01 Prod Physique Boites'!H1769,"-")</f>
        <v>0</v>
      </c>
      <c r="G1774" s="406">
        <f>IFERROR(E1774*'01 Prod Physique Boites'!L1769,"-")</f>
        <v>0</v>
      </c>
      <c r="H1774" s="384">
        <v>23.65</v>
      </c>
      <c r="I1774" s="422">
        <f>IFERROR(H1774*(F1774/E1774),"-")</f>
        <v>0</v>
      </c>
      <c r="J1774" s="423">
        <f t="shared" ref="J1774:J1776" si="1080">IFERROR(H1774*(G1774/E1774),"-")</f>
        <v>0</v>
      </c>
    </row>
    <row r="1775" spans="1:10" ht="23.4" x14ac:dyDescent="0.3">
      <c r="A1775" s="277" t="s">
        <v>108</v>
      </c>
      <c r="B1775" s="977"/>
      <c r="C1775" s="303" t="s">
        <v>316</v>
      </c>
      <c r="D1775" s="306" t="s">
        <v>454</v>
      </c>
      <c r="E1775" s="727">
        <v>25.751300000000001</v>
      </c>
      <c r="F1775" s="405">
        <f>IFERROR(E1775*'01 Prod Physique Boites'!H1770,"-")</f>
        <v>2795973.1488000001</v>
      </c>
      <c r="G1775" s="406">
        <f>IFERROR(E1775*'01 Prod Physique Boites'!L1770,"-")</f>
        <v>5881184.8991999999</v>
      </c>
      <c r="H1775" s="770">
        <v>37.89</v>
      </c>
      <c r="I1775" s="424">
        <f>IFERROR(H1775*(F1775/E1775),"-")</f>
        <v>4113944.64</v>
      </c>
      <c r="J1775" s="425">
        <f t="shared" si="1080"/>
        <v>8653469.7599999998</v>
      </c>
    </row>
    <row r="1776" spans="1:10" ht="24" thickBot="1" x14ac:dyDescent="0.35">
      <c r="A1776" s="277" t="s">
        <v>108</v>
      </c>
      <c r="B1776" s="977"/>
      <c r="C1776" s="303" t="s">
        <v>316</v>
      </c>
      <c r="D1776" s="303"/>
      <c r="E1776" s="505">
        <v>25.751300000000001</v>
      </c>
      <c r="F1776" s="863">
        <f>IFERROR(E1776*'01 Prod Physique Boites'!H1771,"-")</f>
        <v>0</v>
      </c>
      <c r="G1776" s="406">
        <f>IFERROR(E1776*'01 Prod Physique Boites'!L1771,"-")</f>
        <v>4290372.5904000001</v>
      </c>
      <c r="H1776" s="390">
        <v>37.89</v>
      </c>
      <c r="I1776" s="426">
        <f>IFERROR(H1776*(F1776/E1776),"-")</f>
        <v>0</v>
      </c>
      <c r="J1776" s="427">
        <f t="shared" si="1080"/>
        <v>6312777.1200000001</v>
      </c>
    </row>
    <row r="1777" spans="1:10" ht="24" thickBot="1" x14ac:dyDescent="0.35">
      <c r="A1777" s="277" t="s">
        <v>108</v>
      </c>
      <c r="B1777" s="977"/>
      <c r="C1777" s="304"/>
      <c r="D1777" s="305" t="s">
        <v>53</v>
      </c>
      <c r="E1777" s="393"/>
      <c r="F1777" s="409">
        <f t="shared" ref="F1777:G1777" si="1081">SUM(F1774:F1776)</f>
        <v>2795973.1488000001</v>
      </c>
      <c r="G1777" s="410">
        <f t="shared" si="1081"/>
        <v>10171557.489599999</v>
      </c>
      <c r="H1777" s="394"/>
      <c r="I1777" s="409">
        <f t="shared" ref="I1777" si="1082">SUM(I1774:I1776)</f>
        <v>4113944.64</v>
      </c>
      <c r="J1777" s="428">
        <f>SUM(J1774:J1776)</f>
        <v>14966246.879999999</v>
      </c>
    </row>
    <row r="1778" spans="1:10" ht="23.4" x14ac:dyDescent="0.3">
      <c r="A1778" s="277" t="s">
        <v>108</v>
      </c>
      <c r="B1778" s="977"/>
      <c r="C1778" s="300" t="s">
        <v>548</v>
      </c>
      <c r="D1778" s="300" t="s">
        <v>99</v>
      </c>
      <c r="E1778" s="508">
        <v>24.2607</v>
      </c>
      <c r="F1778" s="405">
        <f>IFERROR(E1778*'01 Prod Physique Boites'!H1773,"-")</f>
        <v>0</v>
      </c>
      <c r="G1778" s="406">
        <f>IFERROR(E1778*'01 Prod Physique Boites'!L1773,"-")</f>
        <v>23193.229200000002</v>
      </c>
      <c r="H1778" s="384">
        <v>28.31</v>
      </c>
      <c r="I1778" s="422">
        <f>IFERROR(H1778*(F1778/E1778),"-")</f>
        <v>0</v>
      </c>
      <c r="J1778" s="423">
        <f t="shared" ref="J1778:J1780" si="1083">IFERROR(H1778*(G1778/E1778),"-")</f>
        <v>27064.36</v>
      </c>
    </row>
    <row r="1779" spans="1:10" ht="23.4" x14ac:dyDescent="0.3">
      <c r="A1779" s="277" t="s">
        <v>108</v>
      </c>
      <c r="B1779" s="977"/>
      <c r="C1779" s="306" t="s">
        <v>373</v>
      </c>
      <c r="D1779" s="306" t="s">
        <v>254</v>
      </c>
      <c r="E1779" s="509">
        <v>27.917000000000002</v>
      </c>
      <c r="F1779" s="863">
        <f>IFERROR(E1779*'01 Prod Physique Boites'!H1774,"-")</f>
        <v>0</v>
      </c>
      <c r="G1779" s="406">
        <f>IFERROR(E1779*'01 Prod Physique Boites'!L1774,"-")</f>
        <v>371882.35700000002</v>
      </c>
      <c r="H1779" s="388">
        <v>39</v>
      </c>
      <c r="I1779" s="424">
        <f>IFERROR(H1779*(F1779/E1779),"-")</f>
        <v>0</v>
      </c>
      <c r="J1779" s="425">
        <f t="shared" si="1083"/>
        <v>519519</v>
      </c>
    </row>
    <row r="1780" spans="1:10" ht="24" thickBot="1" x14ac:dyDescent="0.35">
      <c r="A1780" s="277" t="s">
        <v>108</v>
      </c>
      <c r="B1780" s="977"/>
      <c r="C1780" s="303" t="s">
        <v>547</v>
      </c>
      <c r="D1780" s="303" t="s">
        <v>507</v>
      </c>
      <c r="E1780" s="505">
        <v>23.697399999999998</v>
      </c>
      <c r="F1780" s="405">
        <f>IFERROR(E1780*'01 Prod Physique Boites'!H1775,"-")</f>
        <v>0</v>
      </c>
      <c r="G1780" s="406">
        <f>IFERROR(E1780*'01 Prod Physique Boites'!L1775,"-")</f>
        <v>20024.303</v>
      </c>
      <c r="H1780" s="390">
        <v>28.21</v>
      </c>
      <c r="I1780" s="426">
        <f>IFERROR(H1780*(F1780/E1780),"-")</f>
        <v>0</v>
      </c>
      <c r="J1780" s="427">
        <f t="shared" si="1083"/>
        <v>23837.450000000004</v>
      </c>
    </row>
    <row r="1781" spans="1:10" ht="24" thickBot="1" x14ac:dyDescent="0.35">
      <c r="A1781" s="277" t="s">
        <v>108</v>
      </c>
      <c r="B1781" s="977"/>
      <c r="C1781" s="307"/>
      <c r="D1781" s="308" t="s">
        <v>54</v>
      </c>
      <c r="E1781" s="400"/>
      <c r="F1781" s="417">
        <f t="shared" ref="F1781:G1781" si="1084">SUM(F1778:F1780)</f>
        <v>0</v>
      </c>
      <c r="G1781" s="418">
        <f t="shared" si="1084"/>
        <v>415099.88920000003</v>
      </c>
      <c r="H1781" s="401"/>
      <c r="I1781" s="417">
        <f t="shared" ref="I1781" si="1085">SUM(I1778:I1780)</f>
        <v>0</v>
      </c>
      <c r="J1781" s="433">
        <f>SUM(J1778:J1780)</f>
        <v>570420.80999999994</v>
      </c>
    </row>
    <row r="1782" spans="1:10" ht="24" thickBot="1" x14ac:dyDescent="0.35">
      <c r="A1782" s="277" t="s">
        <v>108</v>
      </c>
      <c r="B1782" s="978" t="s">
        <v>171</v>
      </c>
      <c r="C1782" s="979"/>
      <c r="D1782" s="980"/>
      <c r="E1782" s="402"/>
      <c r="F1782" s="419">
        <f t="shared" ref="F1782:G1782" si="1086">+F1777+F1781</f>
        <v>2795973.1488000001</v>
      </c>
      <c r="G1782" s="420">
        <f t="shared" si="1086"/>
        <v>10586657.378799999</v>
      </c>
      <c r="H1782" s="403"/>
      <c r="I1782" s="419">
        <f t="shared" ref="I1782:J1782" si="1087">+I1777+I1781</f>
        <v>4113944.64</v>
      </c>
      <c r="J1782" s="434">
        <f t="shared" si="1087"/>
        <v>15536667.689999999</v>
      </c>
    </row>
    <row r="1783" spans="1:10" ht="24" thickBot="1" x14ac:dyDescent="0.35">
      <c r="A1783" s="277" t="s">
        <v>108</v>
      </c>
      <c r="B1783" s="609" t="s">
        <v>32</v>
      </c>
      <c r="C1783" s="891"/>
      <c r="D1783" s="313"/>
      <c r="E1783" s="510">
        <v>12.2659</v>
      </c>
      <c r="F1783" s="411">
        <f>IFERROR(E1783*'01 Prod Physique Boites'!H1778,"-")</f>
        <v>0</v>
      </c>
      <c r="G1783" s="412">
        <f>IFERROR(E1783*'01 Prod Physique Boites'!L1778,"-")</f>
        <v>0</v>
      </c>
      <c r="H1783" s="395"/>
      <c r="I1783" s="429">
        <f>IFERROR(H1783*(F1783/E1783),"-")</f>
        <v>0</v>
      </c>
      <c r="J1783" s="430">
        <f>IFERROR(H1783*(G1783/E1783),"-")</f>
        <v>0</v>
      </c>
    </row>
    <row r="1784" spans="1:10" ht="24" thickBot="1" x14ac:dyDescent="0.35">
      <c r="A1784" s="277" t="s">
        <v>108</v>
      </c>
      <c r="B1784" s="981" t="s">
        <v>21</v>
      </c>
      <c r="C1784" s="982"/>
      <c r="D1784" s="983"/>
      <c r="E1784" s="396"/>
      <c r="F1784" s="413">
        <f t="shared" ref="F1784" si="1088">+F1773+F1782+F1783</f>
        <v>5437646.7911999999</v>
      </c>
      <c r="G1784" s="414">
        <f>+G1773+G1782+G1783</f>
        <v>54857299.345199995</v>
      </c>
      <c r="H1784" s="397"/>
      <c r="I1784" s="413">
        <f t="shared" ref="I1784:J1784" si="1089">+I1773+I1782+I1783</f>
        <v>7668645.6600000001</v>
      </c>
      <c r="J1784" s="431">
        <f t="shared" si="1089"/>
        <v>74139991.129999995</v>
      </c>
    </row>
    <row r="1785" spans="1:10" ht="24" thickBot="1" x14ac:dyDescent="0.35">
      <c r="A1785" s="277" t="s">
        <v>108</v>
      </c>
      <c r="B1785" s="984" t="s">
        <v>179</v>
      </c>
      <c r="C1785" s="962"/>
      <c r="D1785" s="963"/>
      <c r="E1785" s="398"/>
      <c r="F1785" s="415">
        <f t="shared" ref="F1785:G1785" si="1090">+F1784</f>
        <v>5437646.7911999999</v>
      </c>
      <c r="G1785" s="416">
        <f t="shared" si="1090"/>
        <v>54857299.345199995</v>
      </c>
      <c r="H1785" s="399"/>
      <c r="I1785" s="415">
        <f t="shared" ref="I1785:J1785" si="1091">+I1784</f>
        <v>7668645.6600000001</v>
      </c>
      <c r="J1785" s="432">
        <f t="shared" si="1091"/>
        <v>74139991.129999995</v>
      </c>
    </row>
    <row r="1786" spans="1:10" ht="23.4" x14ac:dyDescent="0.3">
      <c r="A1786" s="271" t="s">
        <v>109</v>
      </c>
      <c r="B1786" s="970" t="s">
        <v>482</v>
      </c>
      <c r="C1786" s="314" t="s">
        <v>120</v>
      </c>
      <c r="D1786" s="314"/>
      <c r="E1786" s="771">
        <v>254.89750000000001</v>
      </c>
      <c r="F1786" s="405">
        <f>IFERROR(E1786*'01 Prod Physique Boites'!H1781,"-")</f>
        <v>0</v>
      </c>
      <c r="G1786" s="406">
        <f>IFERROR(E1786*'01 Prod Physique Boites'!L1781,"-")</f>
        <v>0</v>
      </c>
      <c r="H1786" s="384">
        <v>445.38</v>
      </c>
      <c r="I1786" s="422">
        <f>IFERROR(H1786*(F1786/E1786),"-")</f>
        <v>0</v>
      </c>
      <c r="J1786" s="423">
        <f t="shared" ref="J1786:J1788" si="1092">IFERROR(H1786*(G1786/E1786),"-")</f>
        <v>0</v>
      </c>
    </row>
    <row r="1787" spans="1:10" ht="23.4" x14ac:dyDescent="0.3">
      <c r="A1787" s="277" t="s">
        <v>109</v>
      </c>
      <c r="B1787" s="972"/>
      <c r="C1787" s="315" t="s">
        <v>267</v>
      </c>
      <c r="D1787" s="315"/>
      <c r="E1787" s="507">
        <v>246.51390000000001</v>
      </c>
      <c r="F1787" s="405">
        <f>IFERROR(E1787*'01 Prod Physique Boites'!H1782,"-")</f>
        <v>373961.58630000002</v>
      </c>
      <c r="G1787" s="406">
        <f>IFERROR(E1787*'01 Prod Physique Boites'!L1782,"-")</f>
        <v>4949259.5702999998</v>
      </c>
      <c r="H1787" s="388">
        <v>430.02</v>
      </c>
      <c r="I1787" s="424">
        <f>IFERROR(H1787*(F1787/E1787),"-")</f>
        <v>652340.34</v>
      </c>
      <c r="J1787" s="425">
        <f t="shared" si="1092"/>
        <v>8633511.5399999991</v>
      </c>
    </row>
    <row r="1788" spans="1:10" ht="24" thickBot="1" x14ac:dyDescent="0.35">
      <c r="A1788" s="277" t="s">
        <v>109</v>
      </c>
      <c r="B1788" s="971"/>
      <c r="C1788" s="316" t="s">
        <v>34</v>
      </c>
      <c r="D1788" s="316"/>
      <c r="E1788" s="504">
        <v>225.7713</v>
      </c>
      <c r="F1788" s="405">
        <f>IFERROR(E1788*'01 Prod Physique Boites'!H1783,"-")</f>
        <v>0</v>
      </c>
      <c r="G1788" s="406">
        <f>IFERROR(E1788*'01 Prod Physique Boites'!L1783,"-")</f>
        <v>0</v>
      </c>
      <c r="H1788" s="390"/>
      <c r="I1788" s="426">
        <f>IFERROR(H1788*(F1788/E1788),"-")</f>
        <v>0</v>
      </c>
      <c r="J1788" s="427">
        <f t="shared" si="1092"/>
        <v>0</v>
      </c>
    </row>
    <row r="1789" spans="1:10" ht="24" thickBot="1" x14ac:dyDescent="0.35">
      <c r="A1789" s="277" t="s">
        <v>109</v>
      </c>
      <c r="B1789" s="967" t="s">
        <v>35</v>
      </c>
      <c r="C1789" s="968"/>
      <c r="D1789" s="969"/>
      <c r="E1789" s="393"/>
      <c r="F1789" s="409">
        <f t="shared" ref="F1789:G1789" si="1093">SUM(F1786:F1788)</f>
        <v>373961.58630000002</v>
      </c>
      <c r="G1789" s="410">
        <f t="shared" si="1093"/>
        <v>4949259.5702999998</v>
      </c>
      <c r="H1789" s="394"/>
      <c r="I1789" s="409">
        <f t="shared" ref="I1789:J1789" si="1094">SUM(I1786:I1788)</f>
        <v>652340.34</v>
      </c>
      <c r="J1789" s="428">
        <f t="shared" si="1094"/>
        <v>8633511.5399999991</v>
      </c>
    </row>
    <row r="1790" spans="1:10" ht="23.4" x14ac:dyDescent="0.3">
      <c r="A1790" s="277" t="s">
        <v>109</v>
      </c>
      <c r="B1790" s="970" t="s">
        <v>36</v>
      </c>
      <c r="C1790" s="314" t="s">
        <v>120</v>
      </c>
      <c r="D1790" s="314"/>
      <c r="E1790" s="506">
        <v>254.89750000000001</v>
      </c>
      <c r="F1790" s="405">
        <f>IFERROR(E1790*'01 Prod Physique Boites'!H1785,"-")</f>
        <v>0</v>
      </c>
      <c r="G1790" s="406">
        <f>IFERROR(E1790*'01 Prod Physique Boites'!L1785,"-")</f>
        <v>0</v>
      </c>
      <c r="H1790" s="384">
        <v>445.38</v>
      </c>
      <c r="I1790" s="422">
        <f>IFERROR(H1790*(F1790/E1790),"-")</f>
        <v>0</v>
      </c>
      <c r="J1790" s="423">
        <f t="shared" ref="J1790:J1793" si="1095">IFERROR(H1790*(G1790/E1790),"-")</f>
        <v>0</v>
      </c>
    </row>
    <row r="1791" spans="1:10" ht="23.4" x14ac:dyDescent="0.3">
      <c r="A1791" s="277" t="s">
        <v>109</v>
      </c>
      <c r="B1791" s="972"/>
      <c r="C1791" s="315" t="s">
        <v>267</v>
      </c>
      <c r="D1791" s="315"/>
      <c r="E1791" s="507">
        <v>246.51390000000001</v>
      </c>
      <c r="F1791" s="405">
        <f>IFERROR(E1791*'01 Prod Physique Boites'!H1786,"-")</f>
        <v>1669392.1308000002</v>
      </c>
      <c r="G1791" s="406">
        <f>IFERROR(E1791*'01 Prod Physique Boites'!L1786,"-")</f>
        <v>12475821.9651</v>
      </c>
      <c r="H1791" s="388">
        <v>430.02</v>
      </c>
      <c r="I1791" s="424">
        <f>IFERROR(H1791*(F1791/E1791),"-")</f>
        <v>2912095.4400000004</v>
      </c>
      <c r="J1791" s="425">
        <f t="shared" si="1095"/>
        <v>21762882.18</v>
      </c>
    </row>
    <row r="1792" spans="1:10" ht="23.4" x14ac:dyDescent="0.3">
      <c r="A1792" s="277" t="s">
        <v>109</v>
      </c>
      <c r="B1792" s="972"/>
      <c r="C1792" s="315" t="s">
        <v>198</v>
      </c>
      <c r="D1792" s="315" t="s">
        <v>197</v>
      </c>
      <c r="E1792" s="507">
        <v>254.89750000000001</v>
      </c>
      <c r="F1792" s="405">
        <f>IFERROR(E1792*'01 Prod Physique Boites'!H1787,"-")</f>
        <v>0</v>
      </c>
      <c r="G1792" s="406">
        <f>IFERROR(E1792*'01 Prod Physique Boites'!L1787,"-")</f>
        <v>0</v>
      </c>
      <c r="H1792" s="388"/>
      <c r="I1792" s="424">
        <f>IFERROR(H1792*(F1792/E1792),"-")</f>
        <v>0</v>
      </c>
      <c r="J1792" s="425">
        <f t="shared" si="1095"/>
        <v>0</v>
      </c>
    </row>
    <row r="1793" spans="1:10" ht="24" thickBot="1" x14ac:dyDescent="0.35">
      <c r="A1793" s="277" t="s">
        <v>109</v>
      </c>
      <c r="B1793" s="971"/>
      <c r="C1793" s="316" t="s">
        <v>37</v>
      </c>
      <c r="D1793" s="316"/>
      <c r="E1793" s="504">
        <v>229.99359999999999</v>
      </c>
      <c r="F1793" s="405">
        <f>IFERROR(E1793*'01 Prod Physique Boites'!H1788,"-")</f>
        <v>0</v>
      </c>
      <c r="G1793" s="406">
        <f>IFERROR(E1793*'01 Prod Physique Boites'!L1788,"-")</f>
        <v>0</v>
      </c>
      <c r="H1793" s="390"/>
      <c r="I1793" s="426">
        <f>IFERROR(H1793*(F1793/E1793),"-")</f>
        <v>0</v>
      </c>
      <c r="J1793" s="427">
        <f t="shared" si="1095"/>
        <v>0</v>
      </c>
    </row>
    <row r="1794" spans="1:10" ht="24" thickBot="1" x14ac:dyDescent="0.35">
      <c r="A1794" s="277" t="s">
        <v>109</v>
      </c>
      <c r="B1794" s="967" t="s">
        <v>38</v>
      </c>
      <c r="C1794" s="968"/>
      <c r="D1794" s="969"/>
      <c r="E1794" s="393"/>
      <c r="F1794" s="409">
        <f t="shared" ref="F1794:G1794" si="1096">SUM(F1790:F1793)</f>
        <v>1669392.1308000002</v>
      </c>
      <c r="G1794" s="410">
        <f t="shared" si="1096"/>
        <v>12475821.9651</v>
      </c>
      <c r="H1794" s="394"/>
      <c r="I1794" s="409">
        <f>SUM(I1790:I1793)</f>
        <v>2912095.4400000004</v>
      </c>
      <c r="J1794" s="428">
        <f>SUM(J1790:J1793)</f>
        <v>21762882.18</v>
      </c>
    </row>
    <row r="1795" spans="1:10" ht="23.4" x14ac:dyDescent="0.3">
      <c r="A1795" s="277" t="s">
        <v>109</v>
      </c>
      <c r="B1795" s="970" t="s">
        <v>483</v>
      </c>
      <c r="C1795" s="317" t="s">
        <v>123</v>
      </c>
      <c r="D1795" s="317"/>
      <c r="E1795" s="506">
        <v>195.2808</v>
      </c>
      <c r="F1795" s="405">
        <f>IFERROR(E1795*'01 Prod Physique Boites'!H1790,"-")</f>
        <v>0</v>
      </c>
      <c r="G1795" s="406">
        <f>IFERROR(E1795*'01 Prod Physique Boites'!L1790,"-")</f>
        <v>28120.4352</v>
      </c>
      <c r="H1795" s="715">
        <v>256.7</v>
      </c>
      <c r="I1795" s="422">
        <f>IFERROR(H1795*(F1795/E1795),"-")</f>
        <v>0</v>
      </c>
      <c r="J1795" s="423">
        <f t="shared" ref="J1795:J1796" si="1097">IFERROR(H1795*(G1795/E1795),"-")</f>
        <v>36964.799999999996</v>
      </c>
    </row>
    <row r="1796" spans="1:10" ht="24" thickBot="1" x14ac:dyDescent="0.35">
      <c r="A1796" s="277" t="s">
        <v>109</v>
      </c>
      <c r="B1796" s="971"/>
      <c r="C1796" s="289" t="s">
        <v>139</v>
      </c>
      <c r="D1796" s="289"/>
      <c r="E1796" s="504">
        <v>189.91890000000001</v>
      </c>
      <c r="F1796" s="405">
        <f>IFERROR(E1796*'01 Prod Physique Boites'!H1791,"-")</f>
        <v>759675.6</v>
      </c>
      <c r="G1796" s="406">
        <f>IFERROR(E1796*'01 Prod Physique Boites'!L1791,"-")</f>
        <v>1109126.3759999999</v>
      </c>
      <c r="H1796" s="390">
        <v>320.35000000000002</v>
      </c>
      <c r="I1796" s="426">
        <f>IFERROR(H1796*(F1796/E1796),"-")</f>
        <v>1281400</v>
      </c>
      <c r="J1796" s="427">
        <f t="shared" si="1097"/>
        <v>1870843.9999999998</v>
      </c>
    </row>
    <row r="1797" spans="1:10" ht="24" thickBot="1" x14ac:dyDescent="0.35">
      <c r="A1797" s="895" t="s">
        <v>109</v>
      </c>
      <c r="B1797" s="967" t="s">
        <v>40</v>
      </c>
      <c r="C1797" s="968"/>
      <c r="D1797" s="969"/>
      <c r="E1797" s="393"/>
      <c r="F1797" s="409">
        <f>SUM(F1795:F1796)</f>
        <v>759675.6</v>
      </c>
      <c r="G1797" s="410">
        <f t="shared" ref="G1797" si="1098">SUM(G1795:G1796)</f>
        <v>1137246.8111999999</v>
      </c>
      <c r="H1797" s="394"/>
      <c r="I1797" s="409">
        <f t="shared" ref="I1797:J1797" si="1099">SUM(I1795:I1796)</f>
        <v>1281400</v>
      </c>
      <c r="J1797" s="428">
        <f t="shared" si="1099"/>
        <v>1907808.7999999998</v>
      </c>
    </row>
    <row r="1798" spans="1:10" ht="23.4" x14ac:dyDescent="0.3">
      <c r="A1798" s="277" t="s">
        <v>109</v>
      </c>
      <c r="B1798" s="970" t="s">
        <v>484</v>
      </c>
      <c r="C1798" s="272" t="s">
        <v>335</v>
      </c>
      <c r="D1798" s="272" t="s">
        <v>258</v>
      </c>
      <c r="E1798" s="508">
        <v>37.248699999999999</v>
      </c>
      <c r="F1798" s="405">
        <f>IFERROR(E1798*'01 Prod Physique Boites'!H1793,"-")</f>
        <v>3067206.9528000001</v>
      </c>
      <c r="G1798" s="406">
        <f>IFERROR(E1798*'01 Prod Physique Boites'!L1793,"-")</f>
        <v>17981288.4432</v>
      </c>
      <c r="H1798" s="384">
        <v>71.44</v>
      </c>
      <c r="I1798" s="422">
        <f>IFERROR(H1798*(F1798/E1798),"-")</f>
        <v>5882655.3599999994</v>
      </c>
      <c r="J1798" s="423">
        <f>IFERROR(H1798*(G1798/E1798),"-")</f>
        <v>34486659.839999996</v>
      </c>
    </row>
    <row r="1799" spans="1:10" ht="23.4" x14ac:dyDescent="0.3">
      <c r="A1799" s="277" t="s">
        <v>109</v>
      </c>
      <c r="B1799" s="972"/>
      <c r="C1799" s="272" t="s">
        <v>164</v>
      </c>
      <c r="D1799" s="278"/>
      <c r="E1799" s="508">
        <v>37.248699999999999</v>
      </c>
      <c r="F1799" s="405">
        <f>IFERROR(E1799*'01 Prod Physique Boites'!H1794,"-")</f>
        <v>0</v>
      </c>
      <c r="G1799" s="406">
        <f>IFERROR(E1799*'01 Prod Physique Boites'!L1794,"-")</f>
        <v>0</v>
      </c>
      <c r="H1799" s="388"/>
      <c r="I1799" s="424">
        <f>IFERROR(H1799*(F1799/E1799),"-")</f>
        <v>0</v>
      </c>
      <c r="J1799" s="425">
        <f t="shared" ref="J1799:J1801" si="1100">IFERROR(H1799*(G1799/E1799),"-")</f>
        <v>0</v>
      </c>
    </row>
    <row r="1800" spans="1:10" ht="23.4" x14ac:dyDescent="0.3">
      <c r="A1800" s="277" t="s">
        <v>109</v>
      </c>
      <c r="B1800" s="972"/>
      <c r="C1800" s="278" t="s">
        <v>383</v>
      </c>
      <c r="D1800" s="272" t="s">
        <v>258</v>
      </c>
      <c r="E1800" s="508">
        <v>37.248699999999999</v>
      </c>
      <c r="F1800" s="405">
        <f>IFERROR(E1800*'01 Prod Physique Boites'!H1795,"-")</f>
        <v>0</v>
      </c>
      <c r="G1800" s="406">
        <f>IFERROR(E1800*'01 Prod Physique Boites'!L1795,"-")</f>
        <v>0</v>
      </c>
      <c r="H1800" s="388">
        <v>71.44</v>
      </c>
      <c r="I1800" s="424">
        <f>IFERROR(H1800*(F1800/E1800),"-")</f>
        <v>0</v>
      </c>
      <c r="J1800" s="425">
        <f t="shared" si="1100"/>
        <v>0</v>
      </c>
    </row>
    <row r="1801" spans="1:10" ht="24" thickBot="1" x14ac:dyDescent="0.35">
      <c r="A1801" s="277" t="s">
        <v>109</v>
      </c>
      <c r="B1801" s="972"/>
      <c r="C1801" s="278" t="s">
        <v>165</v>
      </c>
      <c r="D1801" s="278"/>
      <c r="E1801" s="509">
        <v>38.466099999999997</v>
      </c>
      <c r="F1801" s="405">
        <f>IFERROR(E1801*'01 Prod Physique Boites'!H1796,"-")</f>
        <v>0</v>
      </c>
      <c r="G1801" s="406">
        <f>IFERROR(E1801*'01 Prod Physique Boites'!L1796,"-")</f>
        <v>0</v>
      </c>
      <c r="H1801" s="388"/>
      <c r="I1801" s="424">
        <f>IFERROR(H1801*(F1801/E1801),"-")</f>
        <v>0</v>
      </c>
      <c r="J1801" s="425">
        <f t="shared" si="1100"/>
        <v>0</v>
      </c>
    </row>
    <row r="1802" spans="1:10" ht="24" thickBot="1" x14ac:dyDescent="0.35">
      <c r="A1802" s="277" t="s">
        <v>109</v>
      </c>
      <c r="B1802" s="967" t="s">
        <v>42</v>
      </c>
      <c r="C1802" s="968"/>
      <c r="D1802" s="969"/>
      <c r="E1802" s="393"/>
      <c r="F1802" s="409">
        <f>SUM(F1798:F1801)</f>
        <v>3067206.9528000001</v>
      </c>
      <c r="G1802" s="410">
        <f>SUM(G1798:G1801)</f>
        <v>17981288.4432</v>
      </c>
      <c r="H1802" s="394"/>
      <c r="I1802" s="409">
        <f>SUM(I1798:I1801)</f>
        <v>5882655.3599999994</v>
      </c>
      <c r="J1802" s="409">
        <f>SUM(J1798:J1801)</f>
        <v>34486659.839999996</v>
      </c>
    </row>
    <row r="1803" spans="1:10" ht="23.4" x14ac:dyDescent="0.3">
      <c r="A1803" s="277" t="s">
        <v>109</v>
      </c>
      <c r="B1803" s="970" t="s">
        <v>43</v>
      </c>
      <c r="C1803" s="272" t="s">
        <v>200</v>
      </c>
      <c r="D1803" s="272" t="s">
        <v>197</v>
      </c>
      <c r="E1803" s="508">
        <v>30.7499</v>
      </c>
      <c r="F1803" s="405">
        <f>IFERROR(E1803*'01 Prod Physique Boites'!H1799,"-")</f>
        <v>0</v>
      </c>
      <c r="G1803" s="406">
        <f>IFERROR(E1803*'01 Prod Physique Boites'!L1799,"-")</f>
        <v>0</v>
      </c>
      <c r="H1803" s="384"/>
      <c r="I1803" s="422">
        <f>IFERROR(H1803*(F1803/E1803),"-")</f>
        <v>0</v>
      </c>
      <c r="J1803" s="423">
        <f>IFERROR(H1803*(G1803/E1803),"-")</f>
        <v>0</v>
      </c>
    </row>
    <row r="1804" spans="1:10" ht="23.4" x14ac:dyDescent="0.3">
      <c r="A1804" s="277" t="s">
        <v>109</v>
      </c>
      <c r="B1804" s="972"/>
      <c r="C1804" s="278" t="s">
        <v>167</v>
      </c>
      <c r="D1804" s="278"/>
      <c r="E1804" s="727">
        <v>25.139099999999999</v>
      </c>
      <c r="F1804" s="405">
        <f>IFERROR(E1804*'01 Prod Physique Boites'!H1800,"-")</f>
        <v>0</v>
      </c>
      <c r="G1804" s="406">
        <f>IFERROR(E1804*'01 Prod Physique Boites'!L1800,"-")</f>
        <v>4328349.6815999998</v>
      </c>
      <c r="H1804" s="388">
        <v>59.96</v>
      </c>
      <c r="I1804" s="424">
        <f>IFERROR(H1804*(F1804/E1804),"-")</f>
        <v>0</v>
      </c>
      <c r="J1804" s="425">
        <f t="shared" ref="J1804:J1805" si="1101">IFERROR(H1804*(G1804/E1804),"-")</f>
        <v>10323672.960000001</v>
      </c>
    </row>
    <row r="1805" spans="1:10" ht="24" thickBot="1" x14ac:dyDescent="0.35">
      <c r="A1805" s="277" t="s">
        <v>109</v>
      </c>
      <c r="B1805" s="971"/>
      <c r="C1805" s="282" t="s">
        <v>200</v>
      </c>
      <c r="D1805" s="282" t="s">
        <v>199</v>
      </c>
      <c r="E1805" s="505">
        <v>30.073599999999999</v>
      </c>
      <c r="F1805" s="405">
        <f>IFERROR(E1805*'01 Prod Physique Boites'!H1801,"-")</f>
        <v>0</v>
      </c>
      <c r="G1805" s="406">
        <f>IFERROR(E1805*'01 Prod Physique Boites'!L1801,"-")</f>
        <v>0</v>
      </c>
      <c r="H1805" s="390"/>
      <c r="I1805" s="426">
        <f>IFERROR(H1805*(F1805/E1805),"-")</f>
        <v>0</v>
      </c>
      <c r="J1805" s="427">
        <f t="shared" si="1101"/>
        <v>0</v>
      </c>
    </row>
    <row r="1806" spans="1:10" ht="24" thickBot="1" x14ac:dyDescent="0.35">
      <c r="A1806" s="277" t="s">
        <v>109</v>
      </c>
      <c r="B1806" s="973" t="s">
        <v>44</v>
      </c>
      <c r="C1806" s="974"/>
      <c r="D1806" s="975"/>
      <c r="E1806" s="393"/>
      <c r="F1806" s="409">
        <f t="shared" ref="F1806:G1806" si="1102">SUM(F1803:F1805)</f>
        <v>0</v>
      </c>
      <c r="G1806" s="410">
        <f t="shared" si="1102"/>
        <v>4328349.6815999998</v>
      </c>
      <c r="H1806" s="394"/>
      <c r="I1806" s="409">
        <f t="shared" ref="I1806:J1806" si="1103">SUM(I1803:I1805)</f>
        <v>0</v>
      </c>
      <c r="J1806" s="428">
        <f t="shared" si="1103"/>
        <v>10323672.960000001</v>
      </c>
    </row>
    <row r="1807" spans="1:10" ht="23.4" x14ac:dyDescent="0.3">
      <c r="A1807" s="277" t="s">
        <v>109</v>
      </c>
      <c r="B1807" s="970" t="s">
        <v>45</v>
      </c>
      <c r="C1807" s="272" t="s">
        <v>168</v>
      </c>
      <c r="D1807" s="272"/>
      <c r="E1807" s="508">
        <v>36.684899999999999</v>
      </c>
      <c r="F1807" s="405">
        <f>IFERROR(E1807*'01 Prod Physique Boites'!H1803,"-")</f>
        <v>0</v>
      </c>
      <c r="G1807" s="406">
        <f>IFERROR(E1807*'01 Prod Physique Boites'!L1803,"-")</f>
        <v>0</v>
      </c>
      <c r="H1807" s="384"/>
      <c r="I1807" s="385" t="s">
        <v>204</v>
      </c>
      <c r="J1807" s="386" t="s">
        <v>204</v>
      </c>
    </row>
    <row r="1808" spans="1:10" ht="24" thickBot="1" x14ac:dyDescent="0.35">
      <c r="A1808" s="277" t="s">
        <v>109</v>
      </c>
      <c r="B1808" s="971"/>
      <c r="C1808" s="282" t="s">
        <v>169</v>
      </c>
      <c r="D1808" s="282"/>
      <c r="E1808" s="505">
        <v>37.002800000000001</v>
      </c>
      <c r="F1808" s="405">
        <f>IFERROR(E1808*'01 Prod Physique Boites'!H1804,"-")</f>
        <v>0</v>
      </c>
      <c r="G1808" s="406">
        <f>IFERROR(E1808*'01 Prod Physique Boites'!L1804,"-")</f>
        <v>0</v>
      </c>
      <c r="H1808" s="390"/>
      <c r="I1808" s="391" t="s">
        <v>204</v>
      </c>
      <c r="J1808" s="392" t="s">
        <v>204</v>
      </c>
    </row>
    <row r="1809" spans="1:15" ht="24" thickBot="1" x14ac:dyDescent="0.35">
      <c r="A1809" s="277" t="s">
        <v>109</v>
      </c>
      <c r="B1809" s="973" t="s">
        <v>46</v>
      </c>
      <c r="C1809" s="974"/>
      <c r="D1809" s="975"/>
      <c r="E1809" s="393"/>
      <c r="F1809" s="405">
        <f>IFERROR(E1809*'01 Prod Physique Boites'!H1805,"-")</f>
        <v>0</v>
      </c>
      <c r="G1809" s="410">
        <f>IFERROR(E1809*'01 Prod Physique Boites'!L1805,"-")</f>
        <v>0</v>
      </c>
      <c r="H1809" s="394"/>
      <c r="I1809" s="409">
        <f t="shared" ref="I1809:J1809" si="1104">SUM(I1807:I1808)</f>
        <v>0</v>
      </c>
      <c r="J1809" s="428">
        <f t="shared" si="1104"/>
        <v>0</v>
      </c>
    </row>
    <row r="1810" spans="1:15" ht="24" thickBot="1" x14ac:dyDescent="0.35">
      <c r="A1810" s="277" t="s">
        <v>109</v>
      </c>
      <c r="B1810" s="959" t="s">
        <v>25</v>
      </c>
      <c r="C1810" s="960"/>
      <c r="D1810" s="961"/>
      <c r="E1810" s="396"/>
      <c r="F1810" s="413">
        <f>+F1789+F1794+F1797+F1802+F1806+F1809</f>
        <v>5870236.2698999997</v>
      </c>
      <c r="G1810" s="414">
        <f>+G1789+G1794+G1797+G1802+G1806+G1809</f>
        <v>40871966.4714</v>
      </c>
      <c r="H1810" s="397"/>
      <c r="I1810" s="413">
        <f>+I1789+I1794+I1797+I1802+I1806+I1809</f>
        <v>10728491.140000001</v>
      </c>
      <c r="J1810" s="431">
        <f>+J1789+J1794+J1797+J1802+J1806+J1809</f>
        <v>77114535.319999993</v>
      </c>
    </row>
    <row r="1811" spans="1:15" ht="24" thickBot="1" x14ac:dyDescent="0.35">
      <c r="A1811" s="321" t="s">
        <v>109</v>
      </c>
      <c r="B1811" s="962" t="s">
        <v>181</v>
      </c>
      <c r="C1811" s="962"/>
      <c r="D1811" s="963"/>
      <c r="E1811" s="398"/>
      <c r="F1811" s="415">
        <f t="shared" ref="F1811:G1811" si="1105">+F1810</f>
        <v>5870236.2698999997</v>
      </c>
      <c r="G1811" s="416">
        <f t="shared" si="1105"/>
        <v>40871966.4714</v>
      </c>
      <c r="H1811" s="399"/>
      <c r="I1811" s="415">
        <f t="shared" ref="I1811" si="1106">+I1810</f>
        <v>10728491.140000001</v>
      </c>
      <c r="J1811" s="432">
        <f>+J1810</f>
        <v>77114535.319999993</v>
      </c>
    </row>
    <row r="1812" spans="1:15" ht="24.6" thickBot="1" x14ac:dyDescent="0.35">
      <c r="A1812" s="322"/>
      <c r="B1812" s="964" t="s">
        <v>182</v>
      </c>
      <c r="C1812" s="965"/>
      <c r="D1812" s="966"/>
      <c r="E1812" s="404"/>
      <c r="F1812" s="421">
        <f>+F1755+F1785+F1811</f>
        <v>16011216.092899999</v>
      </c>
      <c r="G1812" s="421">
        <f>+G1755+G1785+G1811</f>
        <v>162193629.41739997</v>
      </c>
      <c r="H1812" s="404"/>
      <c r="I1812" s="421">
        <f>+I1755+I1785+I1811</f>
        <v>25366931.216800001</v>
      </c>
      <c r="J1812" s="435">
        <f>+J1755+J1785+J1811</f>
        <v>243992705.28279999</v>
      </c>
    </row>
    <row r="1813" spans="1:15" ht="23.4" x14ac:dyDescent="0.3">
      <c r="A1813" s="991" t="s">
        <v>1</v>
      </c>
      <c r="B1813" s="994" t="s">
        <v>2</v>
      </c>
      <c r="C1813" s="997" t="s">
        <v>477</v>
      </c>
      <c r="D1813" s="997" t="s">
        <v>478</v>
      </c>
      <c r="E1813" s="1021" t="s">
        <v>486</v>
      </c>
      <c r="F1813" s="1022"/>
      <c r="G1813" s="1022"/>
      <c r="H1813" s="445"/>
      <c r="I1813" s="445"/>
      <c r="J1813" s="446"/>
    </row>
    <row r="1814" spans="1:15" ht="23.4" x14ac:dyDescent="0.3">
      <c r="A1814" s="992"/>
      <c r="B1814" s="995"/>
      <c r="C1814" s="998"/>
      <c r="D1814" s="998"/>
      <c r="E1814" s="1023" t="s">
        <v>489</v>
      </c>
      <c r="F1814" s="1024"/>
      <c r="G1814" s="1025"/>
      <c r="H1814" s="1023" t="s">
        <v>176</v>
      </c>
      <c r="I1814" s="1024"/>
      <c r="J1814" s="1025"/>
    </row>
    <row r="1815" spans="1:15" ht="46.8" x14ac:dyDescent="0.3">
      <c r="A1815" s="993"/>
      <c r="B1815" s="1019"/>
      <c r="C1815" s="1020"/>
      <c r="D1815" s="1020"/>
      <c r="E1815" s="382" t="s">
        <v>178</v>
      </c>
      <c r="F1815" s="902" t="s">
        <v>488</v>
      </c>
      <c r="G1815" s="903" t="s">
        <v>487</v>
      </c>
      <c r="H1815" s="1026" t="s">
        <v>178</v>
      </c>
      <c r="I1815" s="1028" t="s">
        <v>144</v>
      </c>
      <c r="J1815" s="1030" t="s">
        <v>487</v>
      </c>
    </row>
    <row r="1816" spans="1:15" ht="24" thickBot="1" x14ac:dyDescent="0.35">
      <c r="A1816" s="993"/>
      <c r="B1816" s="996"/>
      <c r="C1816" s="999"/>
      <c r="D1816" s="999"/>
      <c r="E1816" s="1032" t="s">
        <v>572</v>
      </c>
      <c r="F1816" s="1033"/>
      <c r="G1816" s="1034"/>
      <c r="H1816" s="1027"/>
      <c r="I1816" s="1029"/>
      <c r="J1816" s="1031"/>
    </row>
    <row r="1817" spans="1:15" ht="23.4" x14ac:dyDescent="0.3">
      <c r="A1817" s="271" t="s">
        <v>110</v>
      </c>
      <c r="B1817" s="956" t="s">
        <v>16</v>
      </c>
      <c r="C1817" s="272" t="s">
        <v>424</v>
      </c>
      <c r="D1817" s="272" t="s">
        <v>425</v>
      </c>
      <c r="E1817" s="758">
        <v>81.360699999999994</v>
      </c>
      <c r="F1817" s="405">
        <f>IFERROR(E1817*'01 Prod Physique Boites'!H1812,"-")</f>
        <v>0</v>
      </c>
      <c r="G1817" s="405">
        <f>IFERROR(E1817*'01 Prod Physique Boites'!L1812,"-")</f>
        <v>1614196.2879999999</v>
      </c>
      <c r="H1817" s="759">
        <v>143.28</v>
      </c>
      <c r="I1817" s="422">
        <f>IFERROR(H1817*(F1817/E1817),"-")</f>
        <v>0</v>
      </c>
      <c r="J1817" s="423">
        <f t="shared" ref="J1817:J1819" si="1107">IFERROR(H1817*(G1817/E1817),"-")</f>
        <v>2842675.2000000002</v>
      </c>
    </row>
    <row r="1818" spans="1:15" ht="23.4" x14ac:dyDescent="0.3">
      <c r="A1818" s="784"/>
      <c r="B1818" s="957"/>
      <c r="C1818" s="278" t="s">
        <v>188</v>
      </c>
      <c r="D1818" s="278" t="s">
        <v>101</v>
      </c>
      <c r="E1818" s="509">
        <v>81.360699999999994</v>
      </c>
      <c r="F1818" s="405">
        <f>IFERROR(E1818*'01 Prod Physique Boites'!H1813,"-")</f>
        <v>0</v>
      </c>
      <c r="G1818" s="405">
        <f>IFERROR(E1818*'01 Prod Physique Boites'!L1813,"-")</f>
        <v>3936312.0266999998</v>
      </c>
      <c r="H1818" s="770">
        <v>0</v>
      </c>
      <c r="I1818" s="422">
        <f>IFERROR(H1818*(F1818/E1818),"-")</f>
        <v>0</v>
      </c>
      <c r="J1818" s="423">
        <f t="shared" si="1107"/>
        <v>0</v>
      </c>
    </row>
    <row r="1819" spans="1:15" ht="23.4" x14ac:dyDescent="0.3">
      <c r="A1819" s="277" t="s">
        <v>110</v>
      </c>
      <c r="B1819" s="957"/>
      <c r="C1819" s="278" t="s">
        <v>539</v>
      </c>
      <c r="D1819" s="278" t="s">
        <v>454</v>
      </c>
      <c r="E1819" s="727">
        <v>77.170400000000001</v>
      </c>
      <c r="F1819" s="405">
        <f>IFERROR(E1819*'01 Prod Physique Boites'!H1814,"-")</f>
        <v>0</v>
      </c>
      <c r="G1819" s="728">
        <f>IFERROR(E1819*'01 Prod Physique Boites'!L1814,"-")</f>
        <v>2207073.44</v>
      </c>
      <c r="H1819" s="388">
        <v>0</v>
      </c>
      <c r="I1819" s="422">
        <f>IFERROR(H1819*(F1819/E1819),"-")</f>
        <v>0</v>
      </c>
      <c r="J1819" s="423">
        <f t="shared" si="1107"/>
        <v>0</v>
      </c>
    </row>
    <row r="1820" spans="1:15" ht="24" thickBot="1" x14ac:dyDescent="0.35">
      <c r="A1820" s="277" t="s">
        <v>110</v>
      </c>
      <c r="B1820" s="958"/>
      <c r="C1820" s="282" t="s">
        <v>282</v>
      </c>
      <c r="D1820" s="282" t="s">
        <v>251</v>
      </c>
      <c r="E1820" s="505">
        <v>60.703499999999998</v>
      </c>
      <c r="F1820" s="405">
        <f>IFERROR(E1820*'01 Prod Physique Boites'!H1815,"-")</f>
        <v>0</v>
      </c>
      <c r="G1820" s="405">
        <f>IFERROR(E1820*'01 Prod Physique Boites'!L1815,"-")</f>
        <v>1414148.736</v>
      </c>
      <c r="H1820" s="390">
        <v>111.09</v>
      </c>
      <c r="I1820" s="422">
        <f>IFERROR(H1820*(F1820/E1820),"-")</f>
        <v>0</v>
      </c>
      <c r="J1820" s="423">
        <f>IFERROR(H1820*(G1820/E1820),"-")</f>
        <v>2587952.64</v>
      </c>
    </row>
    <row r="1821" spans="1:15" ht="24" thickBot="1" x14ac:dyDescent="0.35">
      <c r="A1821" s="277" t="s">
        <v>110</v>
      </c>
      <c r="B1821" s="967" t="s">
        <v>47</v>
      </c>
      <c r="C1821" s="968"/>
      <c r="D1821" s="969"/>
      <c r="E1821" s="393"/>
      <c r="F1821" s="409">
        <f t="shared" ref="F1821" si="1108">SUM(F1817:F1820)</f>
        <v>0</v>
      </c>
      <c r="G1821" s="410">
        <f>SUM(G1817:G1820)</f>
        <v>9171730.490699999</v>
      </c>
      <c r="H1821" s="394"/>
      <c r="I1821" s="409">
        <f t="shared" ref="I1821:J1821" si="1109">SUM(I1817:I1820)</f>
        <v>0</v>
      </c>
      <c r="J1821" s="428">
        <f t="shared" si="1109"/>
        <v>5430627.8399999999</v>
      </c>
      <c r="K1821" s="757"/>
      <c r="L1821" s="757"/>
      <c r="M1821" s="757"/>
      <c r="N1821" s="757"/>
      <c r="O1821" s="757"/>
    </row>
    <row r="1822" spans="1:15" ht="23.4" x14ac:dyDescent="0.3">
      <c r="A1822" s="277" t="s">
        <v>110</v>
      </c>
      <c r="B1822" s="956" t="s">
        <v>17</v>
      </c>
      <c r="C1822" s="272" t="s">
        <v>320</v>
      </c>
      <c r="D1822" s="272"/>
      <c r="E1822" s="508">
        <v>12.5275</v>
      </c>
      <c r="F1822" s="405">
        <f>IFERROR(E1822*'01 Prod Physique Boites'!H1817,"-")</f>
        <v>0</v>
      </c>
      <c r="G1822" s="405">
        <f>IFERROR(E1822*'01 Prod Physique Boites'!L1817,"-")</f>
        <v>2501140.4300000002</v>
      </c>
      <c r="H1822" s="715">
        <v>18.836400000000001</v>
      </c>
      <c r="I1822" s="422">
        <f t="shared" ref="I1822:I1828" si="1110">IFERROR(H1822*(F1822/E1822),"-")</f>
        <v>0</v>
      </c>
      <c r="J1822" s="423">
        <f t="shared" ref="J1822:J1827" si="1111">IFERROR(H1822*(G1822/E1822),"-")</f>
        <v>3760724.932800001</v>
      </c>
    </row>
    <row r="1823" spans="1:15" ht="23.4" x14ac:dyDescent="0.3">
      <c r="A1823" s="277" t="s">
        <v>110</v>
      </c>
      <c r="B1823" s="957"/>
      <c r="C1823" s="278" t="s">
        <v>382</v>
      </c>
      <c r="D1823" s="278" t="s">
        <v>252</v>
      </c>
      <c r="E1823" s="698">
        <v>13.002700000000001</v>
      </c>
      <c r="F1823" s="405">
        <f>IFERROR(E1823*'01 Prod Physique Boites'!H1818,"-")</f>
        <v>1034494.812</v>
      </c>
      <c r="G1823" s="405">
        <f>IFERROR(E1823*'01 Prod Physique Boites'!L1818,"-")</f>
        <v>11418229.986100001</v>
      </c>
      <c r="H1823" s="388">
        <v>21.18</v>
      </c>
      <c r="I1823" s="424">
        <f t="shared" si="1110"/>
        <v>1685080.8</v>
      </c>
      <c r="J1823" s="425">
        <f t="shared" si="1111"/>
        <v>18599068.739999998</v>
      </c>
    </row>
    <row r="1824" spans="1:15" ht="23.4" x14ac:dyDescent="0.3">
      <c r="A1824" s="277" t="s">
        <v>110</v>
      </c>
      <c r="B1824" s="957"/>
      <c r="C1824" s="278" t="s">
        <v>391</v>
      </c>
      <c r="D1824" s="278" t="s">
        <v>201</v>
      </c>
      <c r="E1824" s="698">
        <v>12.9049</v>
      </c>
      <c r="F1824" s="405">
        <f>IFERROR(E1824*'01 Prod Physique Boites'!H1819,"-")</f>
        <v>0</v>
      </c>
      <c r="G1824" s="405">
        <f>IFERROR(E1824*'01 Prod Physique Boites'!L1819,"-")</f>
        <v>5868064.5083999997</v>
      </c>
      <c r="H1824" s="388">
        <v>20.5</v>
      </c>
      <c r="I1824" s="424">
        <f t="shared" si="1110"/>
        <v>0</v>
      </c>
      <c r="J1824" s="425">
        <f t="shared" si="1111"/>
        <v>9321678</v>
      </c>
    </row>
    <row r="1825" spans="1:15" ht="23.4" x14ac:dyDescent="0.3">
      <c r="A1825" s="277" t="s">
        <v>110</v>
      </c>
      <c r="B1825" s="957"/>
      <c r="C1825" s="278" t="s">
        <v>319</v>
      </c>
      <c r="D1825" s="278" t="s">
        <v>202</v>
      </c>
      <c r="E1825" s="509">
        <v>13.078200000000001</v>
      </c>
      <c r="F1825" s="405">
        <f>IFERROR(E1825*'01 Prod Physique Boites'!H1820,"-")</f>
        <v>0</v>
      </c>
      <c r="G1825" s="405">
        <f>IFERROR(E1825*'01 Prod Physique Boites'!L1820,"-")</f>
        <v>3873135.0864000004</v>
      </c>
      <c r="H1825" s="388">
        <v>20.6</v>
      </c>
      <c r="I1825" s="424">
        <f t="shared" si="1110"/>
        <v>0</v>
      </c>
      <c r="J1825" s="425">
        <f t="shared" si="1111"/>
        <v>6100731.2000000002</v>
      </c>
    </row>
    <row r="1826" spans="1:15" ht="23.4" x14ac:dyDescent="0.3">
      <c r="A1826" s="277" t="s">
        <v>110</v>
      </c>
      <c r="B1826" s="957"/>
      <c r="C1826" s="278" t="s">
        <v>358</v>
      </c>
      <c r="D1826" s="278" t="s">
        <v>352</v>
      </c>
      <c r="E1826" s="509">
        <v>13.1958</v>
      </c>
      <c r="F1826" s="405">
        <f>IFERROR(E1826*'01 Prod Physique Boites'!H1821,"-")</f>
        <v>0</v>
      </c>
      <c r="G1826" s="405">
        <f>IFERROR(E1826*'01 Prod Physique Boites'!L1821,"-")</f>
        <v>6609538.6956000002</v>
      </c>
      <c r="H1826" s="388">
        <v>21.28</v>
      </c>
      <c r="I1826" s="424">
        <f t="shared" si="1110"/>
        <v>0</v>
      </c>
      <c r="J1826" s="425">
        <f t="shared" si="1111"/>
        <v>10658768.960000001</v>
      </c>
    </row>
    <row r="1827" spans="1:15" ht="23.4" x14ac:dyDescent="0.3">
      <c r="A1827" s="277">
        <v>1</v>
      </c>
      <c r="B1827" s="957"/>
      <c r="C1827" s="278" t="s">
        <v>392</v>
      </c>
      <c r="D1827" s="278" t="s">
        <v>203</v>
      </c>
      <c r="E1827" s="698">
        <v>12.9049</v>
      </c>
      <c r="F1827" s="405">
        <f>IFERROR(E1827*'01 Prod Physique Boites'!H1822,"-")</f>
        <v>0</v>
      </c>
      <c r="G1827" s="405">
        <f>IFERROR(E1827*'01 Prod Physique Boites'!L1822,"-")</f>
        <v>0</v>
      </c>
      <c r="H1827" s="677">
        <v>20.5</v>
      </c>
      <c r="I1827" s="424">
        <f t="shared" si="1110"/>
        <v>0</v>
      </c>
      <c r="J1827" s="425">
        <f t="shared" si="1111"/>
        <v>0</v>
      </c>
    </row>
    <row r="1828" spans="1:15" ht="24" thickBot="1" x14ac:dyDescent="0.35">
      <c r="A1828" s="277" t="s">
        <v>110</v>
      </c>
      <c r="B1828" s="958"/>
      <c r="C1828" s="282" t="s">
        <v>379</v>
      </c>
      <c r="D1828" s="282" t="s">
        <v>187</v>
      </c>
      <c r="E1828" s="505">
        <v>13.6509</v>
      </c>
      <c r="F1828" s="405">
        <f>IFERROR(E1828*'01 Prod Physique Boites'!H1823,"-")</f>
        <v>0</v>
      </c>
      <c r="G1828" s="405">
        <f>IFERROR(E1828*'01 Prod Physique Boites'!L1823,"-")</f>
        <v>0</v>
      </c>
      <c r="H1828" s="390">
        <v>21.18</v>
      </c>
      <c r="I1828" s="426">
        <f t="shared" si="1110"/>
        <v>0</v>
      </c>
      <c r="J1828" s="427">
        <f>IFERROR(H1828*(G1828/E1828),"-")</f>
        <v>0</v>
      </c>
    </row>
    <row r="1829" spans="1:15" ht="24" thickBot="1" x14ac:dyDescent="0.35">
      <c r="A1829" s="277" t="s">
        <v>110</v>
      </c>
      <c r="B1829" s="967" t="s">
        <v>48</v>
      </c>
      <c r="C1829" s="968"/>
      <c r="D1829" s="969"/>
      <c r="E1829" s="393"/>
      <c r="F1829" s="409">
        <f t="shared" ref="F1829" si="1112">SUM(F1822:F1828)</f>
        <v>1034494.812</v>
      </c>
      <c r="G1829" s="410">
        <f>SUM(G1822:G1828)</f>
        <v>30270108.706499998</v>
      </c>
      <c r="H1829" s="394"/>
      <c r="I1829" s="409">
        <f t="shared" ref="I1829" si="1113">SUM(I1822:I1828)</f>
        <v>1685080.8</v>
      </c>
      <c r="J1829" s="428">
        <f>SUM(J1822:J1828)</f>
        <v>48440971.832800001</v>
      </c>
      <c r="K1829" s="757"/>
      <c r="L1829" s="757"/>
      <c r="M1829" s="757"/>
      <c r="N1829" s="757"/>
      <c r="O1829" s="757"/>
    </row>
    <row r="1830" spans="1:15" ht="23.4" x14ac:dyDescent="0.3">
      <c r="A1830" s="277" t="s">
        <v>110</v>
      </c>
      <c r="B1830" s="956" t="s">
        <v>18</v>
      </c>
      <c r="C1830" s="272" t="s">
        <v>344</v>
      </c>
      <c r="D1830" s="272" t="s">
        <v>99</v>
      </c>
      <c r="E1830" s="508">
        <v>17.8202</v>
      </c>
      <c r="F1830" s="405">
        <f>IFERROR(E1830*'01 Prod Physique Boites'!H1825,"-")</f>
        <v>0</v>
      </c>
      <c r="G1830" s="406">
        <f>IFERROR(E1830*'01 Prod Physique Boites'!L1825,"-")</f>
        <v>0</v>
      </c>
      <c r="H1830" s="384">
        <v>24.93</v>
      </c>
      <c r="I1830" s="422">
        <f t="shared" ref="I1830:I1836" si="1114">IFERROR(H1830*(F1830/E1830),"-")</f>
        <v>0</v>
      </c>
      <c r="J1830" s="423">
        <f t="shared" ref="J1830:J1832" si="1115">IFERROR(H1830*(G1830/E1830),"-")</f>
        <v>0</v>
      </c>
    </row>
    <row r="1831" spans="1:15" ht="23.4" x14ac:dyDescent="0.3">
      <c r="A1831" s="277" t="s">
        <v>110</v>
      </c>
      <c r="B1831" s="957"/>
      <c r="C1831" s="278" t="s">
        <v>137</v>
      </c>
      <c r="D1831" s="278"/>
      <c r="E1831" s="509">
        <v>17.8202</v>
      </c>
      <c r="F1831" s="405">
        <f>IFERROR(E1831*'01 Prod Physique Boites'!H1826,"-")</f>
        <v>0</v>
      </c>
      <c r="G1831" s="406">
        <f>IFERROR(E1831*'01 Prod Physique Boites'!L1826,"-")</f>
        <v>0</v>
      </c>
      <c r="H1831" s="388">
        <v>0</v>
      </c>
      <c r="I1831" s="424">
        <f t="shared" si="1114"/>
        <v>0</v>
      </c>
      <c r="J1831" s="425">
        <f t="shared" si="1115"/>
        <v>0</v>
      </c>
    </row>
    <row r="1832" spans="1:15" ht="23.4" x14ac:dyDescent="0.3">
      <c r="A1832" s="277" t="s">
        <v>110</v>
      </c>
      <c r="B1832" s="957"/>
      <c r="C1832" s="278" t="s">
        <v>122</v>
      </c>
      <c r="D1832" s="278"/>
      <c r="E1832" s="509">
        <v>16.4071</v>
      </c>
      <c r="F1832" s="405">
        <f>IFERROR(E1832*'01 Prod Physique Boites'!H1827,"-")</f>
        <v>0</v>
      </c>
      <c r="G1832" s="406">
        <f>IFERROR(E1832*'01 Prod Physique Boites'!L1827,"-")</f>
        <v>0</v>
      </c>
      <c r="H1832" s="388">
        <v>0</v>
      </c>
      <c r="I1832" s="424">
        <f t="shared" si="1114"/>
        <v>0</v>
      </c>
      <c r="J1832" s="425">
        <f t="shared" si="1115"/>
        <v>0</v>
      </c>
    </row>
    <row r="1833" spans="1:15" ht="23.4" x14ac:dyDescent="0.3">
      <c r="A1833" s="277" t="s">
        <v>110</v>
      </c>
      <c r="B1833" s="957"/>
      <c r="C1833" s="278" t="s">
        <v>129</v>
      </c>
      <c r="D1833" s="278"/>
      <c r="E1833" s="509">
        <v>17.8202</v>
      </c>
      <c r="F1833" s="405">
        <f>IFERROR(E1833*'01 Prod Physique Boites'!H1828,"-")</f>
        <v>0</v>
      </c>
      <c r="G1833" s="406">
        <f>IFERROR(E1833*'01 Prod Physique Boites'!L1828,"-")</f>
        <v>0</v>
      </c>
      <c r="H1833" s="388">
        <v>0</v>
      </c>
      <c r="I1833" s="424">
        <f t="shared" si="1114"/>
        <v>0</v>
      </c>
      <c r="J1833" s="425">
        <f>IFERROR(H1833*(G1833/E1833),"-")</f>
        <v>0</v>
      </c>
    </row>
    <row r="1834" spans="1:15" ht="23.4" x14ac:dyDescent="0.3">
      <c r="A1834" s="277" t="s">
        <v>110</v>
      </c>
      <c r="B1834" s="957"/>
      <c r="C1834" s="278" t="s">
        <v>189</v>
      </c>
      <c r="D1834" s="278" t="s">
        <v>190</v>
      </c>
      <c r="E1834" s="509">
        <v>17.8202</v>
      </c>
      <c r="F1834" s="405">
        <f>IFERROR(E1834*'01 Prod Physique Boites'!H1829,"-")</f>
        <v>0</v>
      </c>
      <c r="G1834" s="406">
        <f>IFERROR(E1834*'01 Prod Physique Boites'!L1829,"-")</f>
        <v>0</v>
      </c>
      <c r="H1834" s="388">
        <v>0</v>
      </c>
      <c r="I1834" s="424">
        <f t="shared" si="1114"/>
        <v>0</v>
      </c>
      <c r="J1834" s="425">
        <f t="shared" ref="J1834:J1836" si="1116">IFERROR(H1834*(G1834/E1834),"-")</f>
        <v>0</v>
      </c>
    </row>
    <row r="1835" spans="1:15" ht="23.4" x14ac:dyDescent="0.3">
      <c r="A1835" s="277" t="s">
        <v>110</v>
      </c>
      <c r="B1835" s="957"/>
      <c r="C1835" s="278" t="s">
        <v>192</v>
      </c>
      <c r="D1835" s="278" t="s">
        <v>191</v>
      </c>
      <c r="E1835" s="509">
        <v>16.7288</v>
      </c>
      <c r="F1835" s="405">
        <f>IFERROR(E1835*'01 Prod Physique Boites'!H1830,"-")</f>
        <v>0</v>
      </c>
      <c r="G1835" s="406">
        <f>IFERROR(E1835*'01 Prod Physique Boites'!L1830,"-")</f>
        <v>0</v>
      </c>
      <c r="H1835" s="388">
        <v>0</v>
      </c>
      <c r="I1835" s="424">
        <f t="shared" si="1114"/>
        <v>0</v>
      </c>
      <c r="J1835" s="425">
        <f t="shared" si="1116"/>
        <v>0</v>
      </c>
    </row>
    <row r="1836" spans="1:15" ht="24" thickBot="1" x14ac:dyDescent="0.35">
      <c r="A1836" s="277" t="s">
        <v>110</v>
      </c>
      <c r="B1836" s="958"/>
      <c r="C1836" s="289" t="s">
        <v>193</v>
      </c>
      <c r="D1836" s="289" t="s">
        <v>114</v>
      </c>
      <c r="E1836" s="505">
        <v>17.8202</v>
      </c>
      <c r="F1836" s="405">
        <f>IFERROR(E1836*'01 Prod Physique Boites'!H1831,"-")</f>
        <v>0</v>
      </c>
      <c r="G1836" s="406">
        <f>IFERROR(E1836*'01 Prod Physique Boites'!L1831,"-")</f>
        <v>0</v>
      </c>
      <c r="H1836" s="388">
        <v>0</v>
      </c>
      <c r="I1836" s="426">
        <f t="shared" si="1114"/>
        <v>0</v>
      </c>
      <c r="J1836" s="427">
        <f t="shared" si="1116"/>
        <v>0</v>
      </c>
    </row>
    <row r="1837" spans="1:15" ht="24" thickBot="1" x14ac:dyDescent="0.35">
      <c r="A1837" s="277" t="s">
        <v>110</v>
      </c>
      <c r="B1837" s="967" t="s">
        <v>29</v>
      </c>
      <c r="C1837" s="968"/>
      <c r="D1837" s="969"/>
      <c r="E1837" s="660"/>
      <c r="F1837" s="661">
        <f t="shared" ref="F1837:G1837" si="1117">SUM(F1830:F1836)</f>
        <v>0</v>
      </c>
      <c r="G1837" s="410">
        <f t="shared" si="1117"/>
        <v>0</v>
      </c>
      <c r="H1837" s="394"/>
      <c r="I1837" s="409">
        <f t="shared" ref="I1837:J1837" si="1118">SUM(I1830:I1836)</f>
        <v>0</v>
      </c>
      <c r="J1837" s="428">
        <f t="shared" si="1118"/>
        <v>0</v>
      </c>
    </row>
    <row r="1838" spans="1:15" ht="24" thickBot="1" x14ac:dyDescent="0.35">
      <c r="A1838" s="277"/>
      <c r="B1838" s="985" t="s">
        <v>19</v>
      </c>
      <c r="C1838" s="662" t="s">
        <v>255</v>
      </c>
      <c r="D1838" s="668" t="s">
        <v>190</v>
      </c>
      <c r="E1838" s="669">
        <v>12.2659</v>
      </c>
      <c r="F1838" s="670">
        <f>IFERROR(E1838*'01 Prod Physique Boites'!H1833,"-")</f>
        <v>0</v>
      </c>
      <c r="G1838" s="671">
        <f>IFERROR(E1838*'01 Prod Physique Boites'!L1833,"-")</f>
        <v>246103.01759999999</v>
      </c>
      <c r="H1838" s="665">
        <v>14.79</v>
      </c>
      <c r="I1838" s="650">
        <f t="shared" ref="I1838:I1840" si="1119">IFERROR(H1838*(F1838/E1838),"-")</f>
        <v>0</v>
      </c>
      <c r="J1838" s="650">
        <f>IFERROR(H1838*(G1838/E1838),"-")</f>
        <v>296746.56</v>
      </c>
    </row>
    <row r="1839" spans="1:15" ht="24" thickBot="1" x14ac:dyDescent="0.35">
      <c r="A1839" s="277"/>
      <c r="B1839" s="986"/>
      <c r="C1839" s="663" t="s">
        <v>399</v>
      </c>
      <c r="D1839" s="672" t="s">
        <v>507</v>
      </c>
      <c r="E1839" s="654">
        <v>12.2659</v>
      </c>
      <c r="F1839" s="670">
        <f>IFERROR(E1839*'01 Prod Physique Boites'!H1834,"-")</f>
        <v>1865201.8176</v>
      </c>
      <c r="G1839" s="645">
        <f>IFERROR(E1839*'01 Prod Physique Boites'!L1834,"-")</f>
        <v>3451918.6416000002</v>
      </c>
      <c r="H1839" s="666">
        <v>14.55</v>
      </c>
      <c r="I1839" s="655">
        <f t="shared" si="1119"/>
        <v>2212531.2000000002</v>
      </c>
      <c r="J1839" s="655">
        <f>IFERROR(H1839*(G1839/E1839),"-")</f>
        <v>4094719.2</v>
      </c>
    </row>
    <row r="1840" spans="1:15" ht="24" thickBot="1" x14ac:dyDescent="0.35">
      <c r="A1840" s="904" t="s">
        <v>110</v>
      </c>
      <c r="B1840" s="987"/>
      <c r="C1840" s="664" t="s">
        <v>380</v>
      </c>
      <c r="D1840" s="673"/>
      <c r="E1840" s="674">
        <v>0</v>
      </c>
      <c r="F1840" s="670">
        <f>IFERROR(E1840*'01 Prod Physique Boites'!H1835,"-")</f>
        <v>0</v>
      </c>
      <c r="G1840" s="676">
        <f>IFERROR(E1840*'01 Prod Physique Boites'!L1835,"-")</f>
        <v>0</v>
      </c>
      <c r="H1840" s="667">
        <v>0</v>
      </c>
      <c r="I1840" s="429" t="str">
        <f t="shared" si="1119"/>
        <v>-</v>
      </c>
      <c r="J1840" s="430" t="str">
        <f t="shared" ref="J1840" si="1120">IFERROR(I1840*(G1840/F1840),"-")</f>
        <v>-</v>
      </c>
    </row>
    <row r="1841" spans="1:10" ht="24" thickBot="1" x14ac:dyDescent="0.35">
      <c r="A1841" s="277" t="s">
        <v>110</v>
      </c>
      <c r="B1841" s="967" t="s">
        <v>49</v>
      </c>
      <c r="C1841" s="968"/>
      <c r="D1841" s="969"/>
      <c r="E1841" s="393"/>
      <c r="F1841" s="409">
        <f>SUM(F1838:F1840)</f>
        <v>1865201.8176</v>
      </c>
      <c r="G1841" s="409">
        <f>SUM(G1838:G1840)</f>
        <v>3698021.6592000001</v>
      </c>
      <c r="H1841" s="394"/>
      <c r="I1841" s="409">
        <f>SUM(I1838:I1840)</f>
        <v>2212531.2000000002</v>
      </c>
      <c r="J1841" s="428">
        <f>SUM(J1838:J1840)</f>
        <v>4391465.76</v>
      </c>
    </row>
    <row r="1842" spans="1:10" ht="23.4" x14ac:dyDescent="0.3">
      <c r="A1842" s="277" t="s">
        <v>110</v>
      </c>
      <c r="B1842" s="956" t="s">
        <v>20</v>
      </c>
      <c r="C1842" s="294" t="s">
        <v>351</v>
      </c>
      <c r="D1842" s="294" t="s">
        <v>313</v>
      </c>
      <c r="E1842" s="508">
        <v>26.032900000000001</v>
      </c>
      <c r="F1842" s="405">
        <f>IFERROR(E1842*'01 Prod Physique Boites'!H1837,"-")</f>
        <v>0</v>
      </c>
      <c r="G1842" s="406">
        <f>IFERROR(E1842*'01 Prod Physique Boites'!L1837,"-")</f>
        <v>0</v>
      </c>
      <c r="H1842" s="384">
        <v>36.44</v>
      </c>
      <c r="I1842" s="422">
        <f>IFERROR(H1842*(F1842/E1842),"-")</f>
        <v>0</v>
      </c>
      <c r="J1842" s="423">
        <f t="shared" ref="J1842:J1844" si="1121">IFERROR(H1842*(G1842/E1842),"-")</f>
        <v>0</v>
      </c>
    </row>
    <row r="1843" spans="1:10" ht="23.4" x14ac:dyDescent="0.3">
      <c r="A1843" s="277" t="s">
        <v>110</v>
      </c>
      <c r="B1843" s="957"/>
      <c r="C1843" s="295" t="s">
        <v>121</v>
      </c>
      <c r="D1843" s="295"/>
      <c r="E1843" s="387">
        <v>24.2607</v>
      </c>
      <c r="F1843" s="405">
        <f>IFERROR(E1843*'01 Prod Physique Boites'!H1838,"-")</f>
        <v>0</v>
      </c>
      <c r="G1843" s="406">
        <f>IFERROR(E1843*'01 Prod Physique Boites'!L1838,"-")</f>
        <v>0</v>
      </c>
      <c r="H1843" s="388">
        <v>37.369999999999997</v>
      </c>
      <c r="I1843" s="424">
        <f>IFERROR(H1843*(F1843/E1843),"-")</f>
        <v>0</v>
      </c>
      <c r="J1843" s="425">
        <f t="shared" si="1121"/>
        <v>0</v>
      </c>
    </row>
    <row r="1844" spans="1:10" ht="24" thickBot="1" x14ac:dyDescent="0.35">
      <c r="A1844" s="277" t="s">
        <v>110</v>
      </c>
      <c r="B1844" s="958"/>
      <c r="C1844" s="296" t="s">
        <v>127</v>
      </c>
      <c r="D1844" s="296"/>
      <c r="E1844" s="389">
        <v>26.035799999999998</v>
      </c>
      <c r="F1844" s="405">
        <f>IFERROR(E1844*'01 Prod Physique Boites'!H1839,"-")</f>
        <v>0</v>
      </c>
      <c r="G1844" s="406">
        <f>IFERROR(E1844*'01 Prod Physique Boites'!L1839,"-")</f>
        <v>0</v>
      </c>
      <c r="H1844" s="390">
        <v>37.11</v>
      </c>
      <c r="I1844" s="426">
        <f>IFERROR(H1844*(F1844/E1844),"-")</f>
        <v>0</v>
      </c>
      <c r="J1844" s="427">
        <f t="shared" si="1121"/>
        <v>0</v>
      </c>
    </row>
    <row r="1845" spans="1:10" ht="24" thickBot="1" x14ac:dyDescent="0.35">
      <c r="A1845" s="277" t="s">
        <v>110</v>
      </c>
      <c r="B1845" s="968" t="s">
        <v>50</v>
      </c>
      <c r="C1845" s="968"/>
      <c r="D1845" s="989"/>
      <c r="E1845" s="393"/>
      <c r="F1845" s="409">
        <f t="shared" ref="F1845:G1845" si="1122">SUM(F1842:F1844)</f>
        <v>0</v>
      </c>
      <c r="G1845" s="410">
        <f t="shared" si="1122"/>
        <v>0</v>
      </c>
      <c r="H1845" s="394"/>
      <c r="I1845" s="409">
        <f t="shared" ref="I1845:J1845" si="1123">SUM(I1842:I1844)</f>
        <v>0</v>
      </c>
      <c r="J1845" s="428">
        <f t="shared" si="1123"/>
        <v>0</v>
      </c>
    </row>
    <row r="1846" spans="1:10" ht="24" thickBot="1" x14ac:dyDescent="0.35">
      <c r="A1846" s="277" t="s">
        <v>110</v>
      </c>
      <c r="B1846" s="981" t="s">
        <v>21</v>
      </c>
      <c r="C1846" s="982"/>
      <c r="D1846" s="983"/>
      <c r="E1846" s="396"/>
      <c r="F1846" s="413">
        <f>+F1821+F1829+F1837+F1841+F1845</f>
        <v>2899696.6296000001</v>
      </c>
      <c r="G1846" s="414">
        <f>+G1821+G1829+G1837+G1841+G1845</f>
        <v>43139860.856399998</v>
      </c>
      <c r="H1846" s="397"/>
      <c r="I1846" s="413">
        <f>+I1821+I1829+I1837+I1841+I1845</f>
        <v>3897612</v>
      </c>
      <c r="J1846" s="431">
        <f>+J1821+J1829+J1837+J1841+J1845</f>
        <v>58263065.432800002</v>
      </c>
    </row>
    <row r="1847" spans="1:10" ht="23.4" x14ac:dyDescent="0.3">
      <c r="A1847" s="277" t="s">
        <v>110</v>
      </c>
      <c r="B1847" s="956" t="s">
        <v>481</v>
      </c>
      <c r="C1847" s="272" t="s">
        <v>132</v>
      </c>
      <c r="D1847" s="272"/>
      <c r="E1847" s="383">
        <v>22.820599999999999</v>
      </c>
      <c r="F1847" s="405">
        <f>IFERROR(E1847*'01 Prod Physique Boites'!H1842,"-")</f>
        <v>0</v>
      </c>
      <c r="G1847" s="406">
        <f>IFERROR(E1847*'01 Prod Physique Boites'!L1842,"-")</f>
        <v>0</v>
      </c>
      <c r="H1847" s="384">
        <v>27.5</v>
      </c>
      <c r="I1847" s="422">
        <f>IFERROR(H1847*(F1847/E1847),"-")</f>
        <v>0</v>
      </c>
      <c r="J1847" s="423">
        <f t="shared" ref="J1847:J1850" si="1124">IFERROR(H1847*(G1847/E1847),"-")</f>
        <v>0</v>
      </c>
    </row>
    <row r="1848" spans="1:10" ht="23.4" x14ac:dyDescent="0.3">
      <c r="A1848" s="277" t="s">
        <v>110</v>
      </c>
      <c r="B1848" s="957"/>
      <c r="C1848" s="298" t="s">
        <v>283</v>
      </c>
      <c r="D1848" s="298" t="s">
        <v>194</v>
      </c>
      <c r="E1848" s="387">
        <v>23.570699999999999</v>
      </c>
      <c r="F1848" s="405">
        <f>IFERROR(E1848*'01 Prod Physique Boites'!H1843,"-")</f>
        <v>0</v>
      </c>
      <c r="G1848" s="406">
        <f>IFERROR(E1848*'01 Prod Physique Boites'!L1843,"-")</f>
        <v>0</v>
      </c>
      <c r="H1848" s="388">
        <v>27.5</v>
      </c>
      <c r="I1848" s="424">
        <f>IFERROR(H1848*(F1848/E1848),"-")</f>
        <v>0</v>
      </c>
      <c r="J1848" s="425">
        <f t="shared" si="1124"/>
        <v>0</v>
      </c>
    </row>
    <row r="1849" spans="1:10" ht="23.4" x14ac:dyDescent="0.3">
      <c r="A1849" s="277" t="s">
        <v>110</v>
      </c>
      <c r="B1849" s="957"/>
      <c r="C1849" s="298" t="s">
        <v>405</v>
      </c>
      <c r="D1849" s="298" t="s">
        <v>194</v>
      </c>
      <c r="E1849" s="387">
        <v>22.820599999999999</v>
      </c>
      <c r="F1849" s="405">
        <f>IFERROR(E1849*'01 Prod Physique Boites'!H1844,"-")</f>
        <v>0</v>
      </c>
      <c r="G1849" s="406">
        <f>IFERROR(E1849*'01 Prod Physique Boites'!L1844,"-")</f>
        <v>8207885.2019999996</v>
      </c>
      <c r="H1849" s="388">
        <v>27.5</v>
      </c>
      <c r="I1849" s="424">
        <f>IFERROR(H1849*(F1849/E1849),"-")</f>
        <v>0</v>
      </c>
      <c r="J1849" s="425">
        <f t="shared" si="1124"/>
        <v>9890925</v>
      </c>
    </row>
    <row r="1850" spans="1:10" ht="24" thickBot="1" x14ac:dyDescent="0.35">
      <c r="A1850" s="277" t="s">
        <v>110</v>
      </c>
      <c r="B1850" s="958"/>
      <c r="C1850" s="282" t="s">
        <v>195</v>
      </c>
      <c r="D1850" s="282" t="s">
        <v>100</v>
      </c>
      <c r="E1850" s="389">
        <v>23.5685</v>
      </c>
      <c r="F1850" s="405">
        <f>IFERROR(E1850*'01 Prod Physique Boites'!H1845,"-")</f>
        <v>0</v>
      </c>
      <c r="G1850" s="406">
        <f>IFERROR(E1850*'01 Prod Physique Boites'!L1845,"-")</f>
        <v>0</v>
      </c>
      <c r="H1850" s="390">
        <v>24</v>
      </c>
      <c r="I1850" s="426">
        <f>IFERROR(H1850*(F1850/E1850),"-")</f>
        <v>0</v>
      </c>
      <c r="J1850" s="427">
        <f t="shared" si="1124"/>
        <v>0</v>
      </c>
    </row>
    <row r="1851" spans="1:10" ht="24" thickBot="1" x14ac:dyDescent="0.35">
      <c r="A1851" s="277" t="s">
        <v>110</v>
      </c>
      <c r="B1851" s="967" t="s">
        <v>51</v>
      </c>
      <c r="C1851" s="968"/>
      <c r="D1851" s="969"/>
      <c r="E1851" s="393"/>
      <c r="F1851" s="409">
        <f t="shared" ref="F1851:G1851" si="1125">SUM(F1847:F1850)</f>
        <v>0</v>
      </c>
      <c r="G1851" s="410">
        <f t="shared" si="1125"/>
        <v>8207885.2019999996</v>
      </c>
      <c r="H1851" s="394"/>
      <c r="I1851" s="409">
        <f t="shared" ref="I1851:J1851" si="1126">SUM(I1847:I1850)</f>
        <v>0</v>
      </c>
      <c r="J1851" s="428">
        <f t="shared" si="1126"/>
        <v>9890925</v>
      </c>
    </row>
    <row r="1852" spans="1:10" ht="23.4" x14ac:dyDescent="0.3">
      <c r="A1852" s="277" t="s">
        <v>110</v>
      </c>
      <c r="B1852" s="956" t="s">
        <v>23</v>
      </c>
      <c r="C1852" s="299" t="s">
        <v>337</v>
      </c>
      <c r="D1852" s="299" t="s">
        <v>258</v>
      </c>
      <c r="E1852" s="383">
        <v>101.4935</v>
      </c>
      <c r="F1852" s="405">
        <f>IFERROR(E1852*'01 Prod Physique Boites'!H1847,"-")</f>
        <v>0</v>
      </c>
      <c r="G1852" s="406">
        <f>IFERROR(E1852*'01 Prod Physique Boites'!L1847,"-")</f>
        <v>1117646.422</v>
      </c>
      <c r="H1852" s="388">
        <v>160.44999999999999</v>
      </c>
      <c r="I1852" s="422">
        <f t="shared" ref="I1852:I1859" si="1127">IFERROR(H1852*(F1852/E1852),"-")</f>
        <v>0</v>
      </c>
      <c r="J1852" s="423">
        <f t="shared" ref="J1852:J1859" si="1128">IFERROR(H1852*(G1852/E1852),"-")</f>
        <v>1766875.4</v>
      </c>
    </row>
    <row r="1853" spans="1:10" ht="23.4" x14ac:dyDescent="0.3">
      <c r="A1853" s="277" t="s">
        <v>110</v>
      </c>
      <c r="B1853" s="957"/>
      <c r="C1853" s="278" t="s">
        <v>24</v>
      </c>
      <c r="D1853" s="278" t="s">
        <v>258</v>
      </c>
      <c r="E1853" s="387">
        <v>101.4935</v>
      </c>
      <c r="F1853" s="405">
        <f>IFERROR(E1853*'01 Prod Physique Boites'!H1848,"-")</f>
        <v>1776136.25</v>
      </c>
      <c r="G1853" s="406">
        <f>IFERROR(E1853*'01 Prod Physique Boites'!L1848,"-")</f>
        <v>4717925.3475000001</v>
      </c>
      <c r="H1853" s="388">
        <v>160.44999999999999</v>
      </c>
      <c r="I1853" s="424">
        <f t="shared" si="1127"/>
        <v>2807875</v>
      </c>
      <c r="J1853" s="425">
        <f t="shared" si="1128"/>
        <v>7458518.2499999991</v>
      </c>
    </row>
    <row r="1854" spans="1:10" ht="23.4" x14ac:dyDescent="0.3">
      <c r="A1854" s="277" t="s">
        <v>110</v>
      </c>
      <c r="B1854" s="957"/>
      <c r="C1854" s="278" t="s">
        <v>256</v>
      </c>
      <c r="D1854" s="278" t="s">
        <v>258</v>
      </c>
      <c r="E1854" s="387">
        <v>101.4935</v>
      </c>
      <c r="F1854" s="405">
        <f>IFERROR(E1854*'01 Prod Physique Boites'!H1849,"-")</f>
        <v>0</v>
      </c>
      <c r="G1854" s="406">
        <f>IFERROR(E1854*'01 Prod Physique Boites'!L1849,"-")</f>
        <v>1983690.4575</v>
      </c>
      <c r="H1854" s="388">
        <v>160.44999999999999</v>
      </c>
      <c r="I1854" s="424">
        <f t="shared" si="1127"/>
        <v>0</v>
      </c>
      <c r="J1854" s="425">
        <f t="shared" si="1128"/>
        <v>3135995.25</v>
      </c>
    </row>
    <row r="1855" spans="1:10" ht="23.4" x14ac:dyDescent="0.3">
      <c r="A1855" s="277" t="s">
        <v>110</v>
      </c>
      <c r="B1855" s="957"/>
      <c r="C1855" s="278" t="s">
        <v>257</v>
      </c>
      <c r="D1855" s="278" t="s">
        <v>258</v>
      </c>
      <c r="E1855" s="387">
        <v>101.4935</v>
      </c>
      <c r="F1855" s="405">
        <f>IFERROR(E1855*'01 Prod Physique Boites'!H1850,"-")</f>
        <v>0</v>
      </c>
      <c r="G1855" s="406">
        <f>IFERROR(E1855*'01 Prod Physique Boites'!L1850,"-")</f>
        <v>2066509.1535</v>
      </c>
      <c r="H1855" s="388">
        <v>160.44999999999999</v>
      </c>
      <c r="I1855" s="424">
        <f t="shared" si="1127"/>
        <v>0</v>
      </c>
      <c r="J1855" s="425">
        <f t="shared" si="1128"/>
        <v>3266922.4499999997</v>
      </c>
    </row>
    <row r="1856" spans="1:10" ht="23.4" x14ac:dyDescent="0.3">
      <c r="A1856" s="277" t="s">
        <v>110</v>
      </c>
      <c r="B1856" s="957"/>
      <c r="C1856" s="298" t="s">
        <v>259</v>
      </c>
      <c r="D1856" s="278" t="s">
        <v>258</v>
      </c>
      <c r="E1856" s="387">
        <v>101.4935</v>
      </c>
      <c r="F1856" s="405">
        <f>IFERROR(E1856*'01 Prod Physique Boites'!H1851,"-")</f>
        <v>0</v>
      </c>
      <c r="G1856" s="406">
        <f>IFERROR(E1856*'01 Prod Physique Boites'!L1851,"-")</f>
        <v>1249080.5045</v>
      </c>
      <c r="H1856" s="388">
        <v>160.44999999999999</v>
      </c>
      <c r="I1856" s="424">
        <f t="shared" si="1127"/>
        <v>0</v>
      </c>
      <c r="J1856" s="425">
        <f t="shared" si="1128"/>
        <v>1974658.15</v>
      </c>
    </row>
    <row r="1857" spans="1:10" ht="23.4" x14ac:dyDescent="0.3">
      <c r="A1857" s="277" t="s">
        <v>110</v>
      </c>
      <c r="B1857" s="957"/>
      <c r="C1857" s="298" t="s">
        <v>260</v>
      </c>
      <c r="D1857" s="278" t="s">
        <v>258</v>
      </c>
      <c r="E1857" s="387">
        <v>101.4935</v>
      </c>
      <c r="F1857" s="405">
        <f>IFERROR(E1857*'01 Prod Physique Boites'!H1852,"-")</f>
        <v>0</v>
      </c>
      <c r="G1857" s="406">
        <f>IFERROR(E1857*'01 Prod Physique Boites'!L1852,"-")</f>
        <v>2708049.5669999998</v>
      </c>
      <c r="H1857" s="388">
        <v>160.44999999999999</v>
      </c>
      <c r="I1857" s="424">
        <f t="shared" si="1127"/>
        <v>0</v>
      </c>
      <c r="J1857" s="425">
        <f t="shared" si="1128"/>
        <v>4281126.8999999994</v>
      </c>
    </row>
    <row r="1858" spans="1:10" ht="23.4" x14ac:dyDescent="0.3">
      <c r="A1858" s="277" t="s">
        <v>110</v>
      </c>
      <c r="B1858" s="957"/>
      <c r="C1858" s="298" t="s">
        <v>261</v>
      </c>
      <c r="D1858" s="278" t="s">
        <v>263</v>
      </c>
      <c r="E1858" s="387">
        <v>101.4935</v>
      </c>
      <c r="F1858" s="405">
        <f>IFERROR(E1858*'01 Prod Physique Boites'!H1853,"-")</f>
        <v>0</v>
      </c>
      <c r="G1858" s="406">
        <f>IFERROR(E1858*'01 Prod Physique Boites'!L1853,"-")</f>
        <v>2384082.3149999999</v>
      </c>
      <c r="H1858" s="388">
        <v>160.44999999999999</v>
      </c>
      <c r="I1858" s="424">
        <f t="shared" si="1127"/>
        <v>0</v>
      </c>
      <c r="J1858" s="425">
        <f t="shared" si="1128"/>
        <v>3768970.4999999995</v>
      </c>
    </row>
    <row r="1859" spans="1:10" ht="24" thickBot="1" x14ac:dyDescent="0.35">
      <c r="A1859" s="277" t="s">
        <v>110</v>
      </c>
      <c r="B1859" s="958"/>
      <c r="C1859" s="298" t="s">
        <v>262</v>
      </c>
      <c r="D1859" s="278" t="s">
        <v>258</v>
      </c>
      <c r="E1859" s="389">
        <v>101.4935</v>
      </c>
      <c r="F1859" s="405">
        <f>IFERROR(E1859*'01 Prod Physique Boites'!H1854,"-")</f>
        <v>0</v>
      </c>
      <c r="G1859" s="406">
        <f>IFERROR(E1859*'01 Prod Physique Boites'!L1854,"-")</f>
        <v>3565466.6549999998</v>
      </c>
      <c r="H1859" s="388">
        <v>160.44999999999999</v>
      </c>
      <c r="I1859" s="426">
        <f t="shared" si="1127"/>
        <v>0</v>
      </c>
      <c r="J1859" s="427">
        <f t="shared" si="1128"/>
        <v>5636608.5</v>
      </c>
    </row>
    <row r="1860" spans="1:10" ht="24" thickBot="1" x14ac:dyDescent="0.35">
      <c r="A1860" s="277" t="s">
        <v>110</v>
      </c>
      <c r="B1860" s="967" t="s">
        <v>52</v>
      </c>
      <c r="C1860" s="968"/>
      <c r="D1860" s="969"/>
      <c r="E1860" s="393"/>
      <c r="F1860" s="409">
        <f t="shared" ref="F1860" si="1129">SUM(F1852:F1859)</f>
        <v>1776136.25</v>
      </c>
      <c r="G1860" s="410">
        <f>SUM(G1852:G1859)</f>
        <v>19792450.421999998</v>
      </c>
      <c r="H1860" s="394"/>
      <c r="I1860" s="409">
        <f t="shared" ref="I1860" si="1130">SUM(I1852:I1859)</f>
        <v>2807875</v>
      </c>
      <c r="J1860" s="428">
        <f>SUM(J1852:J1859)</f>
        <v>31289675.399999995</v>
      </c>
    </row>
    <row r="1861" spans="1:10" ht="24" thickBot="1" x14ac:dyDescent="0.35">
      <c r="A1861" s="277" t="s">
        <v>110</v>
      </c>
      <c r="B1861" s="981" t="s">
        <v>25</v>
      </c>
      <c r="C1861" s="982"/>
      <c r="D1861" s="983"/>
      <c r="E1861" s="396"/>
      <c r="F1861" s="413">
        <f t="shared" ref="F1861" si="1131">+F1851+F1860</f>
        <v>1776136.25</v>
      </c>
      <c r="G1861" s="414">
        <f>+G1851+G1860</f>
        <v>28000335.623999998</v>
      </c>
      <c r="H1861" s="397"/>
      <c r="I1861" s="413">
        <f t="shared" ref="I1861:J1861" si="1132">+I1851+I1860</f>
        <v>2807875</v>
      </c>
      <c r="J1861" s="431">
        <f t="shared" si="1132"/>
        <v>41180600.399999991</v>
      </c>
    </row>
    <row r="1862" spans="1:10" ht="24" thickBot="1" x14ac:dyDescent="0.35">
      <c r="A1862" s="277" t="s">
        <v>110</v>
      </c>
      <c r="B1862" s="984" t="s">
        <v>180</v>
      </c>
      <c r="C1862" s="962"/>
      <c r="D1862" s="963"/>
      <c r="E1862" s="398"/>
      <c r="F1862" s="415">
        <f t="shared" ref="F1862" si="1133">+F1846+F1861</f>
        <v>4675832.8795999996</v>
      </c>
      <c r="G1862" s="416">
        <f>+G1846+G1861</f>
        <v>71140196.480399996</v>
      </c>
      <c r="H1862" s="399"/>
      <c r="I1862" s="415">
        <f t="shared" ref="I1862:J1862" si="1134">+I1846+I1861</f>
        <v>6705487</v>
      </c>
      <c r="J1862" s="432">
        <f t="shared" si="1134"/>
        <v>99443665.832800001</v>
      </c>
    </row>
    <row r="1863" spans="1:10" ht="23.4" x14ac:dyDescent="0.3">
      <c r="A1863" s="271" t="s">
        <v>108</v>
      </c>
      <c r="B1863" s="977" t="s">
        <v>26</v>
      </c>
      <c r="C1863" s="300" t="s">
        <v>323</v>
      </c>
      <c r="D1863" s="302" t="s">
        <v>190</v>
      </c>
      <c r="E1863" s="508">
        <v>13.1272</v>
      </c>
      <c r="F1863" s="405">
        <f>+'01 Prod Physique Boites'!H1858</f>
        <v>0</v>
      </c>
      <c r="G1863" s="406">
        <f>IFERROR(E1863*'01 Prod Physique Boites'!L1858,"-")</f>
        <v>0</v>
      </c>
      <c r="H1863" s="384">
        <v>20.76</v>
      </c>
      <c r="I1863" s="422">
        <f t="shared" ref="I1863:I1872" si="1135">IFERROR(H1863*(F1863/E1863),"-")</f>
        <v>0</v>
      </c>
      <c r="J1863" s="644">
        <f t="shared" ref="J1863:J1872" si="1136">IFERROR(H1863*(G1863/E1863),"-")</f>
        <v>0</v>
      </c>
    </row>
    <row r="1864" spans="1:10" ht="23.4" x14ac:dyDescent="0.3">
      <c r="A1864" s="277" t="s">
        <v>108</v>
      </c>
      <c r="B1864" s="977"/>
      <c r="C1864" s="301" t="s">
        <v>508</v>
      </c>
      <c r="D1864" s="301" t="s">
        <v>507</v>
      </c>
      <c r="E1864" s="509">
        <v>16.7288</v>
      </c>
      <c r="F1864" s="405">
        <f>IFERROR(E1864*'01 Prod Physique Boites'!H1859,"-")</f>
        <v>0</v>
      </c>
      <c r="G1864" s="406">
        <f>IFERROR(E1864*'01 Prod Physique Boites'!L1859,"-")</f>
        <v>3127716.8207999999</v>
      </c>
      <c r="H1864" s="388">
        <v>20.76</v>
      </c>
      <c r="I1864" s="424">
        <f t="shared" si="1135"/>
        <v>0</v>
      </c>
      <c r="J1864" s="645">
        <f t="shared" si="1136"/>
        <v>3881414.16</v>
      </c>
    </row>
    <row r="1865" spans="1:10" ht="23.4" x14ac:dyDescent="0.3">
      <c r="A1865" s="277" t="s">
        <v>108</v>
      </c>
      <c r="B1865" s="977"/>
      <c r="C1865" s="302" t="s">
        <v>27</v>
      </c>
      <c r="D1865" s="302" t="s">
        <v>370</v>
      </c>
      <c r="E1865" s="505">
        <v>17.8202</v>
      </c>
      <c r="F1865" s="405">
        <f>IFERROR(E1865*'01 Prod Physique Boites'!H1860,"-")</f>
        <v>0</v>
      </c>
      <c r="G1865" s="406">
        <f>IFERROR(E1865*'01 Prod Physique Boites'!L1860,"-")</f>
        <v>258250.33840000001</v>
      </c>
      <c r="H1865" s="388">
        <v>21.22</v>
      </c>
      <c r="I1865" s="424">
        <f t="shared" si="1135"/>
        <v>0</v>
      </c>
      <c r="J1865" s="645">
        <f t="shared" si="1136"/>
        <v>307520.24</v>
      </c>
    </row>
    <row r="1866" spans="1:10" ht="23.4" x14ac:dyDescent="0.3">
      <c r="A1866" s="277" t="s">
        <v>108</v>
      </c>
      <c r="B1866" s="977"/>
      <c r="C1866" s="302" t="s">
        <v>27</v>
      </c>
      <c r="D1866" s="302" t="s">
        <v>254</v>
      </c>
      <c r="E1866" s="505">
        <v>17.8202</v>
      </c>
      <c r="F1866" s="405">
        <f>IFERROR(E1866*'01 Prod Physique Boites'!H1861,"-")</f>
        <v>0</v>
      </c>
      <c r="G1866" s="406">
        <f>IFERROR(E1866*'01 Prod Physique Boites'!L1861,"-")</f>
        <v>710651.75580000004</v>
      </c>
      <c r="H1866" s="388">
        <v>24.93</v>
      </c>
      <c r="I1866" s="424">
        <f t="shared" si="1135"/>
        <v>0</v>
      </c>
      <c r="J1866" s="645">
        <f t="shared" si="1136"/>
        <v>994183.47</v>
      </c>
    </row>
    <row r="1867" spans="1:10" ht="23.4" x14ac:dyDescent="0.3">
      <c r="A1867" s="277" t="s">
        <v>108</v>
      </c>
      <c r="B1867" s="977"/>
      <c r="C1867" s="302" t="s">
        <v>27</v>
      </c>
      <c r="D1867" s="302" t="s">
        <v>302</v>
      </c>
      <c r="E1867" s="505">
        <v>17.8202</v>
      </c>
      <c r="F1867" s="405">
        <f>IFERROR(E1867*'01 Prod Physique Boites'!H1862,"-")</f>
        <v>0</v>
      </c>
      <c r="G1867" s="406">
        <f>IFERROR(E1867*'01 Prod Physique Boites'!L1862,"-")</f>
        <v>103891.766</v>
      </c>
      <c r="H1867" s="388">
        <v>24.93</v>
      </c>
      <c r="I1867" s="424">
        <f t="shared" si="1135"/>
        <v>0</v>
      </c>
      <c r="J1867" s="645">
        <f t="shared" si="1136"/>
        <v>145341.9</v>
      </c>
    </row>
    <row r="1868" spans="1:10" ht="23.4" x14ac:dyDescent="0.3">
      <c r="A1868" s="277"/>
      <c r="B1868" s="977"/>
      <c r="C1868" s="302" t="s">
        <v>546</v>
      </c>
      <c r="D1868" s="302" t="s">
        <v>191</v>
      </c>
      <c r="E1868" s="505">
        <v>14.608000000000001</v>
      </c>
      <c r="F1868" s="405">
        <f>IFERROR(E1868*'01 Prod Physique Boites'!H1863,"-")</f>
        <v>0</v>
      </c>
      <c r="G1868" s="406">
        <f>IFERROR(E1868*'01 Prod Physique Boites'!L1863,"-")</f>
        <v>58110.624000000003</v>
      </c>
      <c r="H1868" s="390">
        <v>24.93</v>
      </c>
      <c r="I1868" s="424">
        <f t="shared" si="1135"/>
        <v>0</v>
      </c>
      <c r="J1868" s="646">
        <f t="shared" si="1136"/>
        <v>99171.54</v>
      </c>
    </row>
    <row r="1869" spans="1:10" ht="23.4" x14ac:dyDescent="0.3">
      <c r="A1869" s="277"/>
      <c r="B1869" s="977"/>
      <c r="C1869" s="302" t="s">
        <v>545</v>
      </c>
      <c r="D1869" s="302" t="s">
        <v>101</v>
      </c>
      <c r="E1869" s="505">
        <v>17.8202</v>
      </c>
      <c r="F1869" s="863">
        <f>IFERROR(E1869*'01 Prod Physique Boites'!H1864,"-")</f>
        <v>0</v>
      </c>
      <c r="G1869" s="406">
        <f>IFERROR(E1869*'01 Prod Physique Boites'!L1864,"-")</f>
        <v>105121.35980000001</v>
      </c>
      <c r="H1869" s="390">
        <v>24.93</v>
      </c>
      <c r="I1869" s="426">
        <f t="shared" si="1135"/>
        <v>0</v>
      </c>
      <c r="J1869" s="646">
        <f t="shared" si="1136"/>
        <v>147062.07</v>
      </c>
    </row>
    <row r="1870" spans="1:10" s="870" customFormat="1" ht="23.4" x14ac:dyDescent="0.3">
      <c r="A1870" s="864"/>
      <c r="B1870" s="977"/>
      <c r="C1870" s="865" t="s">
        <v>453</v>
      </c>
      <c r="D1870" s="865" t="s">
        <v>454</v>
      </c>
      <c r="E1870" s="866">
        <v>16.345199999999998</v>
      </c>
      <c r="F1870" s="863">
        <f>IFERROR(E1870*'01 Prod Physique Boites'!H1866,"-")</f>
        <v>0</v>
      </c>
      <c r="G1870" s="867">
        <f>IFERROR(E1870*'01 Prod Physique Boites'!L1866,"-")</f>
        <v>639375.18839999998</v>
      </c>
      <c r="H1870" s="868">
        <v>23.78</v>
      </c>
      <c r="I1870" s="869">
        <f t="shared" si="1135"/>
        <v>0</v>
      </c>
      <c r="J1870" s="646">
        <f t="shared" si="1136"/>
        <v>930202.26</v>
      </c>
    </row>
    <row r="1871" spans="1:10" s="870" customFormat="1" ht="23.4" x14ac:dyDescent="0.3">
      <c r="A1871" s="864"/>
      <c r="B1871" s="977"/>
      <c r="C1871" s="865"/>
      <c r="D1871" s="865"/>
      <c r="E1871" s="866">
        <v>16.7288</v>
      </c>
      <c r="F1871" s="863">
        <f>IFERROR(E1871*'01 Prod Physique Boites'!H1865,"-")</f>
        <v>0</v>
      </c>
      <c r="G1871" s="867">
        <f>IFERROR(E1871*'01 Prod Physique Boites'!L1865,"-")</f>
        <v>40952.102399999996</v>
      </c>
      <c r="H1871" s="868">
        <v>25.49</v>
      </c>
      <c r="I1871" s="869">
        <f t="shared" si="1135"/>
        <v>0</v>
      </c>
      <c r="J1871" s="646">
        <f t="shared" si="1136"/>
        <v>62399.519999999997</v>
      </c>
    </row>
    <row r="1872" spans="1:10" ht="24" thickBot="1" x14ac:dyDescent="0.35">
      <c r="A1872" s="277" t="s">
        <v>108</v>
      </c>
      <c r="B1872" s="977"/>
      <c r="C1872" s="303" t="s">
        <v>315</v>
      </c>
      <c r="D1872" s="302" t="s">
        <v>313</v>
      </c>
      <c r="E1872" s="505">
        <v>12.6997</v>
      </c>
      <c r="F1872" s="405">
        <f>IFERROR(E1872*'01 Prod Physique Boites'!H1867,"-")</f>
        <v>0</v>
      </c>
      <c r="G1872" s="867">
        <f>IFERROR(E1872*'01 Prod Physique Boites'!L1867,"-")</f>
        <v>202077.62640000001</v>
      </c>
      <c r="H1872" s="390">
        <v>13.25</v>
      </c>
      <c r="I1872" s="426">
        <f t="shared" si="1135"/>
        <v>0</v>
      </c>
      <c r="J1872" s="646">
        <f t="shared" si="1136"/>
        <v>210834</v>
      </c>
    </row>
    <row r="1873" spans="1:10" ht="24" thickBot="1" x14ac:dyDescent="0.35">
      <c r="A1873" s="277" t="s">
        <v>108</v>
      </c>
      <c r="B1873" s="990"/>
      <c r="C1873" s="304"/>
      <c r="D1873" s="305" t="s">
        <v>55</v>
      </c>
      <c r="E1873" s="393"/>
      <c r="F1873" s="409">
        <f>SUM(F1863:F1872)</f>
        <v>0</v>
      </c>
      <c r="G1873" s="410">
        <f>SUM(G1863:G1872)</f>
        <v>5246147.5820000004</v>
      </c>
      <c r="H1873" s="394"/>
      <c r="I1873" s="409">
        <f>SUM(I1863:I1872)</f>
        <v>0</v>
      </c>
      <c r="J1873" s="428">
        <f>SUM(J1863:J1872)</f>
        <v>6778129.1600000001</v>
      </c>
    </row>
    <row r="1874" spans="1:10" ht="23.4" x14ac:dyDescent="0.3">
      <c r="A1874" s="277" t="s">
        <v>108</v>
      </c>
      <c r="B1874" s="976" t="s">
        <v>28</v>
      </c>
      <c r="C1874" s="302" t="s">
        <v>27</v>
      </c>
      <c r="D1874" s="300" t="s">
        <v>302</v>
      </c>
      <c r="E1874" s="508">
        <v>17.8202</v>
      </c>
      <c r="F1874" s="405">
        <f>IFERROR(E1874*'01 Prod Physique Boites'!H1869,"-")</f>
        <v>0</v>
      </c>
      <c r="G1874" s="406">
        <f>IFERROR(E1874*'01 Prod Physique Boites'!L1869,"-")</f>
        <v>2906438.9796000002</v>
      </c>
      <c r="H1874" s="384">
        <v>24.93</v>
      </c>
      <c r="I1874" s="422">
        <f>IFERROR(H1874*(F1874/E1874),"-")</f>
        <v>0</v>
      </c>
      <c r="J1874" s="644">
        <f t="shared" ref="J1874:J1878" si="1137">IFERROR(H1874*(G1874/E1874),"-")</f>
        <v>4066033.14</v>
      </c>
    </row>
    <row r="1875" spans="1:10" ht="23.4" x14ac:dyDescent="0.3">
      <c r="A1875" s="277" t="s">
        <v>108</v>
      </c>
      <c r="B1875" s="977"/>
      <c r="C1875" s="302" t="s">
        <v>456</v>
      </c>
      <c r="D1875" s="302" t="s">
        <v>370</v>
      </c>
      <c r="E1875" s="773">
        <v>16.7288</v>
      </c>
      <c r="F1875" s="405">
        <f>IFERROR(E1875*'01 Prod Physique Boites'!H1870,"-")</f>
        <v>2728433.8223999999</v>
      </c>
      <c r="G1875" s="406">
        <f>IFERROR(E1875*'01 Prod Physique Boites'!L1870,"-")</f>
        <v>20092125.239999998</v>
      </c>
      <c r="H1875" s="770">
        <v>20.76</v>
      </c>
      <c r="I1875" s="424">
        <f>IFERROR(H1875*(F1875/E1875),"-")</f>
        <v>3385914.4800000004</v>
      </c>
      <c r="J1875" s="645">
        <f t="shared" si="1137"/>
        <v>24933798.000000004</v>
      </c>
    </row>
    <row r="1876" spans="1:10" ht="23.4" x14ac:dyDescent="0.3">
      <c r="A1876" s="277" t="s">
        <v>108</v>
      </c>
      <c r="B1876" s="977"/>
      <c r="C1876" s="302" t="s">
        <v>455</v>
      </c>
      <c r="D1876" s="302" t="s">
        <v>370</v>
      </c>
      <c r="E1876" s="505">
        <v>17.8202</v>
      </c>
      <c r="F1876" s="405">
        <f>IFERROR(E1876*'01 Prod Physique Boites'!H1871,"-")</f>
        <v>70888.755600000004</v>
      </c>
      <c r="G1876" s="406">
        <f>IFERROR(E1876*'01 Prod Physique Boites'!L1871,"-")</f>
        <v>1275997.6007999999</v>
      </c>
      <c r="H1876" s="388">
        <v>21.22</v>
      </c>
      <c r="I1876" s="424">
        <f>IFERROR(H1876*(F1876/E1876),"-")</f>
        <v>84413.16</v>
      </c>
      <c r="J1876" s="645">
        <f t="shared" si="1137"/>
        <v>1519436.88</v>
      </c>
    </row>
    <row r="1877" spans="1:10" ht="23.4" x14ac:dyDescent="0.3">
      <c r="A1877" s="277"/>
      <c r="B1877" s="977"/>
      <c r="C1877" s="302" t="s">
        <v>453</v>
      </c>
      <c r="D1877" s="302" t="s">
        <v>454</v>
      </c>
      <c r="E1877" s="773">
        <v>16.345199999999998</v>
      </c>
      <c r="F1877" s="405">
        <f>IFERROR(E1877*'01 Prod Physique Boites'!H1872,"-")</f>
        <v>0</v>
      </c>
      <c r="G1877" s="406">
        <f>IFERROR(E1877*'01 Prod Physique Boites'!L1872,"-")</f>
        <v>4031314.7471999996</v>
      </c>
      <c r="H1877" s="388">
        <v>23.78</v>
      </c>
      <c r="I1877" s="426">
        <f>IFERROR(H1877*(F1877/E1877),"-")</f>
        <v>0</v>
      </c>
      <c r="J1877" s="646">
        <f t="shared" si="1137"/>
        <v>5865004.0800000001</v>
      </c>
    </row>
    <row r="1878" spans="1:10" ht="24" thickBot="1" x14ac:dyDescent="0.35">
      <c r="A1878" s="277" t="s">
        <v>108</v>
      </c>
      <c r="B1878" s="977"/>
      <c r="C1878" s="302" t="s">
        <v>27</v>
      </c>
      <c r="D1878" s="303" t="s">
        <v>254</v>
      </c>
      <c r="E1878" s="505">
        <v>17.8202</v>
      </c>
      <c r="F1878" s="405">
        <f>IFERROR(E1878*'01 Prod Physique Boites'!H1873,"-")</f>
        <v>0</v>
      </c>
      <c r="G1878" s="406">
        <f>IFERROR(E1878*'01 Prod Physique Boites'!L1873,"-")</f>
        <v>13517940.3948</v>
      </c>
      <c r="H1878" s="388">
        <v>24.93</v>
      </c>
      <c r="I1878" s="426">
        <f>IFERROR(H1878*(F1878/E1878),"-")</f>
        <v>0</v>
      </c>
      <c r="J1878" s="646">
        <f t="shared" si="1137"/>
        <v>18911249.82</v>
      </c>
    </row>
    <row r="1879" spans="1:10" ht="24" thickBot="1" x14ac:dyDescent="0.35">
      <c r="A1879" s="277" t="s">
        <v>108</v>
      </c>
      <c r="B1879" s="977"/>
      <c r="C1879" s="307"/>
      <c r="D1879" s="308" t="s">
        <v>55</v>
      </c>
      <c r="E1879" s="400"/>
      <c r="F1879" s="417">
        <f t="shared" ref="F1879:G1879" si="1138">SUM(F1874:F1878)</f>
        <v>2799322.5779999997</v>
      </c>
      <c r="G1879" s="418">
        <f t="shared" si="1138"/>
        <v>41823816.962400004</v>
      </c>
      <c r="H1879" s="401"/>
      <c r="I1879" s="417">
        <f t="shared" ref="I1879:J1879" si="1139">SUM(I1874:I1878)</f>
        <v>3470327.6400000006</v>
      </c>
      <c r="J1879" s="433">
        <f t="shared" si="1139"/>
        <v>55295521.920000002</v>
      </c>
    </row>
    <row r="1880" spans="1:10" ht="24" thickBot="1" x14ac:dyDescent="0.35">
      <c r="A1880" s="904" t="s">
        <v>108</v>
      </c>
      <c r="B1880" s="978" t="s">
        <v>170</v>
      </c>
      <c r="C1880" s="979"/>
      <c r="D1880" s="980"/>
      <c r="E1880" s="402"/>
      <c r="F1880" s="419">
        <f t="shared" ref="F1880:G1880" si="1140">+F1873+F1879</f>
        <v>2799322.5779999997</v>
      </c>
      <c r="G1880" s="420">
        <f t="shared" si="1140"/>
        <v>47069964.544400007</v>
      </c>
      <c r="H1880" s="403"/>
      <c r="I1880" s="419">
        <f t="shared" ref="I1880:J1880" si="1141">+I1873+I1879</f>
        <v>3470327.6400000006</v>
      </c>
      <c r="J1880" s="434">
        <f t="shared" si="1141"/>
        <v>62073651.079999998</v>
      </c>
    </row>
    <row r="1881" spans="1:10" ht="23.4" x14ac:dyDescent="0.3">
      <c r="A1881" s="277" t="s">
        <v>108</v>
      </c>
      <c r="B1881" s="977" t="s">
        <v>30</v>
      </c>
      <c r="C1881" s="306" t="s">
        <v>582</v>
      </c>
      <c r="D1881" s="302" t="s">
        <v>370</v>
      </c>
      <c r="E1881" s="714">
        <v>27.917000000000002</v>
      </c>
      <c r="F1881" s="405">
        <f>IFERROR(E1881*'01 Prod Physique Boites'!H1876,"-")</f>
        <v>313563.74400000001</v>
      </c>
      <c r="G1881" s="913">
        <f>IFERROR(E1881*'01 Prod Physique Boites'!L1876,"-")</f>
        <v>313563.74400000001</v>
      </c>
      <c r="H1881" s="715">
        <v>28.31</v>
      </c>
      <c r="I1881" s="422">
        <f>IFERROR(H1881*(F1881/E1881),"-")</f>
        <v>317977.92</v>
      </c>
      <c r="J1881" s="423">
        <f t="shared" ref="J1881:J1883" si="1142">IFERROR(H1881*(G1881/E1881),"-")</f>
        <v>317977.92</v>
      </c>
    </row>
    <row r="1882" spans="1:10" ht="23.4" x14ac:dyDescent="0.3">
      <c r="A1882" s="277" t="s">
        <v>108</v>
      </c>
      <c r="B1882" s="977"/>
      <c r="C1882" s="303" t="s">
        <v>584</v>
      </c>
      <c r="D1882" s="306" t="s">
        <v>454</v>
      </c>
      <c r="E1882" s="727">
        <v>28.526700000000002</v>
      </c>
      <c r="F1882" s="405">
        <f>IFERROR(E1882*'01 Prod Physique Boites'!H1877,"-")</f>
        <v>320411.89440000005</v>
      </c>
      <c r="G1882" s="913">
        <f>IFERROR(E1882*'01 Prod Physique Boites'!L1877,"-")</f>
        <v>6835453.7472000001</v>
      </c>
      <c r="H1882" s="770">
        <v>37.89</v>
      </c>
      <c r="I1882" s="424">
        <f>IFERROR(H1882*(F1882/E1882),"-")</f>
        <v>425580.4800000001</v>
      </c>
      <c r="J1882" s="425">
        <f t="shared" si="1142"/>
        <v>9079050.2400000002</v>
      </c>
    </row>
    <row r="1883" spans="1:10" ht="24" thickBot="1" x14ac:dyDescent="0.35">
      <c r="A1883" s="277" t="s">
        <v>108</v>
      </c>
      <c r="B1883" s="977"/>
      <c r="C1883" s="303" t="s">
        <v>316</v>
      </c>
      <c r="D1883" s="303"/>
      <c r="E1883" s="505">
        <v>25.751300000000001</v>
      </c>
      <c r="F1883" s="863">
        <f>IFERROR(E1883*'01 Prod Physique Boites'!H1878,"-")</f>
        <v>0</v>
      </c>
      <c r="G1883" s="867">
        <f>IFERROR(E1883*'01 Prod Physique Boites'!L1878,"-")</f>
        <v>4290372.5904000001</v>
      </c>
      <c r="H1883" s="390">
        <v>37.89</v>
      </c>
      <c r="I1883" s="426">
        <f>IFERROR(H1883*(F1883/E1883),"-")</f>
        <v>0</v>
      </c>
      <c r="J1883" s="427">
        <f t="shared" si="1142"/>
        <v>6312777.1200000001</v>
      </c>
    </row>
    <row r="1884" spans="1:10" ht="24" thickBot="1" x14ac:dyDescent="0.35">
      <c r="A1884" s="277" t="s">
        <v>108</v>
      </c>
      <c r="B1884" s="977"/>
      <c r="C1884" s="304"/>
      <c r="D1884" s="305" t="s">
        <v>53</v>
      </c>
      <c r="E1884" s="393"/>
      <c r="F1884" s="409">
        <f t="shared" ref="F1884:G1884" si="1143">SUM(F1881:F1883)</f>
        <v>633975.63840000005</v>
      </c>
      <c r="G1884" s="410">
        <f t="shared" si="1143"/>
        <v>11439390.081599999</v>
      </c>
      <c r="H1884" s="394"/>
      <c r="I1884" s="409">
        <f t="shared" ref="I1884" si="1144">SUM(I1881:I1883)</f>
        <v>743558.40000000014</v>
      </c>
      <c r="J1884" s="428">
        <f>SUM(J1881:J1883)</f>
        <v>15709805.280000001</v>
      </c>
    </row>
    <row r="1885" spans="1:10" ht="23.4" x14ac:dyDescent="0.3">
      <c r="A1885" s="277" t="s">
        <v>108</v>
      </c>
      <c r="B1885" s="977"/>
      <c r="C1885" s="300" t="s">
        <v>548</v>
      </c>
      <c r="D1885" s="300" t="s">
        <v>99</v>
      </c>
      <c r="E1885" s="508">
        <v>24.2607</v>
      </c>
      <c r="F1885" s="405">
        <f>IFERROR(E1885*'01 Prod Physique Boites'!H1880,"-")</f>
        <v>0</v>
      </c>
      <c r="G1885" s="867">
        <f>IFERROR(E1885*'01 Prod Physique Boites'!L1880,"-")</f>
        <v>23193.229200000002</v>
      </c>
      <c r="H1885" s="384">
        <v>28.31</v>
      </c>
      <c r="I1885" s="422">
        <f>IFERROR(H1885*(F1885/E1885),"-")</f>
        <v>0</v>
      </c>
      <c r="J1885" s="423">
        <f t="shared" ref="J1885:J1887" si="1145">IFERROR(H1885*(G1885/E1885),"-")</f>
        <v>27064.36</v>
      </c>
    </row>
    <row r="1886" spans="1:10" ht="23.4" x14ac:dyDescent="0.3">
      <c r="A1886" s="277" t="s">
        <v>108</v>
      </c>
      <c r="B1886" s="977"/>
      <c r="C1886" s="306" t="s">
        <v>373</v>
      </c>
      <c r="D1886" s="306" t="s">
        <v>254</v>
      </c>
      <c r="E1886" s="509">
        <v>27.917000000000002</v>
      </c>
      <c r="F1886" s="863">
        <f>IFERROR(E1886*'01 Prod Physique Boites'!H1881,"-")</f>
        <v>0</v>
      </c>
      <c r="G1886" s="867">
        <f>IFERROR(E1886*'01 Prod Physique Boites'!L1881,"-")</f>
        <v>371882.35700000002</v>
      </c>
      <c r="H1886" s="388">
        <v>39</v>
      </c>
      <c r="I1886" s="424">
        <f>IFERROR(H1886*(F1886/E1886),"-")</f>
        <v>0</v>
      </c>
      <c r="J1886" s="425">
        <f t="shared" si="1145"/>
        <v>519519</v>
      </c>
    </row>
    <row r="1887" spans="1:10" ht="24" thickBot="1" x14ac:dyDescent="0.35">
      <c r="A1887" s="277" t="s">
        <v>108</v>
      </c>
      <c r="B1887" s="977"/>
      <c r="C1887" s="303" t="s">
        <v>547</v>
      </c>
      <c r="D1887" s="303" t="s">
        <v>507</v>
      </c>
      <c r="E1887" s="505">
        <v>23.697399999999998</v>
      </c>
      <c r="F1887" s="405">
        <f>IFERROR(E1887*'01 Prod Physique Boites'!H1882,"-")</f>
        <v>0</v>
      </c>
      <c r="G1887" s="867">
        <f>IFERROR(E1887*'01 Prod Physique Boites'!L1882,"-")</f>
        <v>20024.303</v>
      </c>
      <c r="H1887" s="390">
        <v>28.21</v>
      </c>
      <c r="I1887" s="426">
        <f>IFERROR(H1887*(F1887/E1887),"-")</f>
        <v>0</v>
      </c>
      <c r="J1887" s="427">
        <f t="shared" si="1145"/>
        <v>23837.450000000004</v>
      </c>
    </row>
    <row r="1888" spans="1:10" ht="24" thickBot="1" x14ac:dyDescent="0.35">
      <c r="A1888" s="277" t="s">
        <v>108</v>
      </c>
      <c r="B1888" s="977"/>
      <c r="C1888" s="307"/>
      <c r="D1888" s="308" t="s">
        <v>54</v>
      </c>
      <c r="E1888" s="400"/>
      <c r="F1888" s="417">
        <f t="shared" ref="F1888:G1888" si="1146">SUM(F1885:F1887)</f>
        <v>0</v>
      </c>
      <c r="G1888" s="418">
        <f t="shared" si="1146"/>
        <v>415099.88920000003</v>
      </c>
      <c r="H1888" s="401"/>
      <c r="I1888" s="417">
        <f t="shared" ref="I1888" si="1147">SUM(I1885:I1887)</f>
        <v>0</v>
      </c>
      <c r="J1888" s="433">
        <f>SUM(J1885:J1887)</f>
        <v>570420.80999999994</v>
      </c>
    </row>
    <row r="1889" spans="1:10" ht="24" thickBot="1" x14ac:dyDescent="0.35">
      <c r="A1889" s="277" t="s">
        <v>108</v>
      </c>
      <c r="B1889" s="978" t="s">
        <v>171</v>
      </c>
      <c r="C1889" s="979"/>
      <c r="D1889" s="980"/>
      <c r="E1889" s="402"/>
      <c r="F1889" s="419">
        <f t="shared" ref="F1889:G1889" si="1148">+F1884+F1888</f>
        <v>633975.63840000005</v>
      </c>
      <c r="G1889" s="420">
        <f t="shared" si="1148"/>
        <v>11854489.970799999</v>
      </c>
      <c r="H1889" s="403"/>
      <c r="I1889" s="419">
        <f t="shared" ref="I1889:J1889" si="1149">+I1884+I1888</f>
        <v>743558.40000000014</v>
      </c>
      <c r="J1889" s="434">
        <f t="shared" si="1149"/>
        <v>16280226.090000002</v>
      </c>
    </row>
    <row r="1890" spans="1:10" ht="24" thickBot="1" x14ac:dyDescent="0.35">
      <c r="A1890" s="277" t="s">
        <v>108</v>
      </c>
      <c r="B1890" s="609" t="s">
        <v>32</v>
      </c>
      <c r="C1890" s="900"/>
      <c r="D1890" s="313"/>
      <c r="E1890" s="510">
        <v>12.2659</v>
      </c>
      <c r="F1890" s="411">
        <f>IFERROR(E1890*'01 Prod Physique Boites'!H1885,"-")</f>
        <v>0</v>
      </c>
      <c r="G1890" s="412">
        <f>IFERROR(E1890*'01 Prod Physique Boites'!L1885,"-")</f>
        <v>0</v>
      </c>
      <c r="H1890" s="395"/>
      <c r="I1890" s="429">
        <f>IFERROR(H1890*(F1890/E1890),"-")</f>
        <v>0</v>
      </c>
      <c r="J1890" s="430">
        <f>IFERROR(H1890*(G1890/E1890),"-")</f>
        <v>0</v>
      </c>
    </row>
    <row r="1891" spans="1:10" ht="24" thickBot="1" x14ac:dyDescent="0.35">
      <c r="A1891" s="277" t="s">
        <v>108</v>
      </c>
      <c r="B1891" s="981" t="s">
        <v>21</v>
      </c>
      <c r="C1891" s="982"/>
      <c r="D1891" s="983"/>
      <c r="E1891" s="396"/>
      <c r="F1891" s="413">
        <f t="shared" ref="F1891" si="1150">+F1880+F1889+F1890</f>
        <v>3433298.2163999998</v>
      </c>
      <c r="G1891" s="414">
        <f>+G1880+G1889+G1890</f>
        <v>58924454.515200004</v>
      </c>
      <c r="H1891" s="397"/>
      <c r="I1891" s="413">
        <f t="shared" ref="I1891:J1891" si="1151">+I1880+I1889+I1890</f>
        <v>4213886.040000001</v>
      </c>
      <c r="J1891" s="431">
        <f t="shared" si="1151"/>
        <v>78353877.170000002</v>
      </c>
    </row>
    <row r="1892" spans="1:10" ht="24" thickBot="1" x14ac:dyDescent="0.35">
      <c r="A1892" s="277" t="s">
        <v>108</v>
      </c>
      <c r="B1892" s="984" t="s">
        <v>179</v>
      </c>
      <c r="C1892" s="962"/>
      <c r="D1892" s="963"/>
      <c r="E1892" s="398"/>
      <c r="F1892" s="415">
        <f t="shared" ref="F1892:G1892" si="1152">+F1891</f>
        <v>3433298.2163999998</v>
      </c>
      <c r="G1892" s="416">
        <f t="shared" si="1152"/>
        <v>58924454.515200004</v>
      </c>
      <c r="H1892" s="399"/>
      <c r="I1892" s="415">
        <f t="shared" ref="I1892:J1892" si="1153">+I1891</f>
        <v>4213886.040000001</v>
      </c>
      <c r="J1892" s="432">
        <f t="shared" si="1153"/>
        <v>78353877.170000002</v>
      </c>
    </row>
    <row r="1893" spans="1:10" ht="23.4" x14ac:dyDescent="0.3">
      <c r="A1893" s="271" t="s">
        <v>109</v>
      </c>
      <c r="B1893" s="970" t="s">
        <v>482</v>
      </c>
      <c r="C1893" s="314" t="s">
        <v>120</v>
      </c>
      <c r="D1893" s="314"/>
      <c r="E1893" s="771">
        <v>254.89750000000001</v>
      </c>
      <c r="F1893" s="405">
        <f>IFERROR(E1893*'01 Prod Physique Boites'!H1888,"-")</f>
        <v>0</v>
      </c>
      <c r="G1893" s="406">
        <f>IFERROR(E1893*'01 Prod Physique Boites'!L1888,"-")</f>
        <v>0</v>
      </c>
      <c r="H1893" s="384">
        <v>445.38</v>
      </c>
      <c r="I1893" s="422">
        <f>IFERROR(H1893*(F1893/E1893),"-")</f>
        <v>0</v>
      </c>
      <c r="J1893" s="423">
        <f t="shared" ref="J1893:J1895" si="1154">IFERROR(H1893*(G1893/E1893),"-")</f>
        <v>0</v>
      </c>
    </row>
    <row r="1894" spans="1:10" ht="23.4" x14ac:dyDescent="0.3">
      <c r="A1894" s="277" t="s">
        <v>109</v>
      </c>
      <c r="B1894" s="972"/>
      <c r="C1894" s="315" t="s">
        <v>267</v>
      </c>
      <c r="D1894" s="315"/>
      <c r="E1894" s="507">
        <v>246.51390000000001</v>
      </c>
      <c r="F1894" s="405">
        <f>IFERROR(E1894*'01 Prod Physique Boites'!H1889,"-")</f>
        <v>0</v>
      </c>
      <c r="G1894" s="406">
        <f>IFERROR(E1894*'01 Prod Physique Boites'!L1889,"-")</f>
        <v>4949259.5702999998</v>
      </c>
      <c r="H1894" s="388">
        <v>430.02</v>
      </c>
      <c r="I1894" s="424">
        <f>IFERROR(H1894*(F1894/E1894),"-")</f>
        <v>0</v>
      </c>
      <c r="J1894" s="425">
        <f t="shared" si="1154"/>
        <v>8633511.5399999991</v>
      </c>
    </row>
    <row r="1895" spans="1:10" ht="24" thickBot="1" x14ac:dyDescent="0.35">
      <c r="A1895" s="277" t="s">
        <v>109</v>
      </c>
      <c r="B1895" s="971"/>
      <c r="C1895" s="316" t="s">
        <v>34</v>
      </c>
      <c r="D1895" s="316"/>
      <c r="E1895" s="504">
        <v>225.7713</v>
      </c>
      <c r="F1895" s="405">
        <f>IFERROR(E1895*'01 Prod Physique Boites'!H1890,"-")</f>
        <v>0</v>
      </c>
      <c r="G1895" s="406">
        <f>IFERROR(E1895*'01 Prod Physique Boites'!L1890,"-")</f>
        <v>0</v>
      </c>
      <c r="H1895" s="390"/>
      <c r="I1895" s="426">
        <f>IFERROR(H1895*(F1895/E1895),"-")</f>
        <v>0</v>
      </c>
      <c r="J1895" s="427">
        <f t="shared" si="1154"/>
        <v>0</v>
      </c>
    </row>
    <row r="1896" spans="1:10" ht="24" thickBot="1" x14ac:dyDescent="0.35">
      <c r="A1896" s="277" t="s">
        <v>109</v>
      </c>
      <c r="B1896" s="967" t="s">
        <v>35</v>
      </c>
      <c r="C1896" s="968"/>
      <c r="D1896" s="969"/>
      <c r="E1896" s="393"/>
      <c r="F1896" s="409">
        <f t="shared" ref="F1896:G1896" si="1155">SUM(F1893:F1895)</f>
        <v>0</v>
      </c>
      <c r="G1896" s="410">
        <f t="shared" si="1155"/>
        <v>4949259.5702999998</v>
      </c>
      <c r="H1896" s="394"/>
      <c r="I1896" s="409">
        <f t="shared" ref="I1896:J1896" si="1156">SUM(I1893:I1895)</f>
        <v>0</v>
      </c>
      <c r="J1896" s="428">
        <f t="shared" si="1156"/>
        <v>8633511.5399999991</v>
      </c>
    </row>
    <row r="1897" spans="1:10" ht="23.4" x14ac:dyDescent="0.3">
      <c r="A1897" s="277" t="s">
        <v>109</v>
      </c>
      <c r="B1897" s="970" t="s">
        <v>36</v>
      </c>
      <c r="C1897" s="314" t="s">
        <v>120</v>
      </c>
      <c r="D1897" s="314"/>
      <c r="E1897" s="506">
        <v>254.89750000000001</v>
      </c>
      <c r="F1897" s="405">
        <f>IFERROR(E1897*'01 Prod Physique Boites'!H1892,"-")</f>
        <v>1468209.6</v>
      </c>
      <c r="G1897" s="406">
        <f>IFERROR(E1897*'01 Prod Physique Boites'!L1892,"-")</f>
        <v>1468209.6</v>
      </c>
      <c r="H1897" s="384">
        <v>445.38</v>
      </c>
      <c r="I1897" s="422">
        <f>IFERROR(H1897*(F1897/E1897),"-")</f>
        <v>2565388.7999999998</v>
      </c>
      <c r="J1897" s="423">
        <f t="shared" ref="J1897:J1900" si="1157">IFERROR(H1897*(G1897/E1897),"-")</f>
        <v>2565388.7999999998</v>
      </c>
    </row>
    <row r="1898" spans="1:10" ht="23.4" x14ac:dyDescent="0.3">
      <c r="A1898" s="277" t="s">
        <v>109</v>
      </c>
      <c r="B1898" s="972"/>
      <c r="C1898" s="315" t="s">
        <v>267</v>
      </c>
      <c r="D1898" s="315"/>
      <c r="E1898" s="507">
        <v>246.51390000000001</v>
      </c>
      <c r="F1898" s="405">
        <f>IFERROR(E1898*'01 Prod Physique Boites'!H1893,"-")</f>
        <v>187350.56400000001</v>
      </c>
      <c r="G1898" s="406">
        <f>IFERROR(E1898*'01 Prod Physique Boites'!L1893,"-")</f>
        <v>12663172.529100001</v>
      </c>
      <c r="H1898" s="388">
        <v>430.02</v>
      </c>
      <c r="I1898" s="424">
        <f>IFERROR(H1898*(F1898/E1898),"-")</f>
        <v>326815.2</v>
      </c>
      <c r="J1898" s="425">
        <f t="shared" si="1157"/>
        <v>22089697.379999999</v>
      </c>
    </row>
    <row r="1899" spans="1:10" ht="23.4" x14ac:dyDescent="0.3">
      <c r="A1899" s="277" t="s">
        <v>109</v>
      </c>
      <c r="B1899" s="972"/>
      <c r="C1899" s="315" t="s">
        <v>198</v>
      </c>
      <c r="D1899" s="315" t="s">
        <v>197</v>
      </c>
      <c r="E1899" s="507">
        <v>254.89750000000001</v>
      </c>
      <c r="F1899" s="405">
        <f>IFERROR(E1899*'01 Prod Physique Boites'!H1894,"-")</f>
        <v>0</v>
      </c>
      <c r="G1899" s="406">
        <f>IFERROR(E1899*'01 Prod Physique Boites'!L1894,"-")</f>
        <v>0</v>
      </c>
      <c r="H1899" s="388"/>
      <c r="I1899" s="424">
        <f>IFERROR(H1899*(F1899/E1899),"-")</f>
        <v>0</v>
      </c>
      <c r="J1899" s="425">
        <f t="shared" si="1157"/>
        <v>0</v>
      </c>
    </row>
    <row r="1900" spans="1:10" ht="24" thickBot="1" x14ac:dyDescent="0.35">
      <c r="A1900" s="277" t="s">
        <v>109</v>
      </c>
      <c r="B1900" s="971"/>
      <c r="C1900" s="316" t="s">
        <v>37</v>
      </c>
      <c r="D1900" s="316"/>
      <c r="E1900" s="504">
        <v>229.99359999999999</v>
      </c>
      <c r="F1900" s="405">
        <f>IFERROR(E1900*'01 Prod Physique Boites'!H1895,"-")</f>
        <v>0</v>
      </c>
      <c r="G1900" s="406">
        <f>IFERROR(E1900*'01 Prod Physique Boites'!L1895,"-")</f>
        <v>0</v>
      </c>
      <c r="H1900" s="390"/>
      <c r="I1900" s="426">
        <f>IFERROR(H1900*(F1900/E1900),"-")</f>
        <v>0</v>
      </c>
      <c r="J1900" s="427">
        <f t="shared" si="1157"/>
        <v>0</v>
      </c>
    </row>
    <row r="1901" spans="1:10" ht="24" thickBot="1" x14ac:dyDescent="0.35">
      <c r="A1901" s="277" t="s">
        <v>109</v>
      </c>
      <c r="B1901" s="967" t="s">
        <v>38</v>
      </c>
      <c r="C1901" s="968"/>
      <c r="D1901" s="969"/>
      <c r="E1901" s="393"/>
      <c r="F1901" s="409">
        <f t="shared" ref="F1901:G1901" si="1158">SUM(F1897:F1900)</f>
        <v>1655560.1640000001</v>
      </c>
      <c r="G1901" s="410">
        <f t="shared" si="1158"/>
        <v>14131382.1291</v>
      </c>
      <c r="H1901" s="394"/>
      <c r="I1901" s="409">
        <f>SUM(I1897:I1900)</f>
        <v>2892204</v>
      </c>
      <c r="J1901" s="428">
        <f>SUM(J1897:J1900)</f>
        <v>24655086.18</v>
      </c>
    </row>
    <row r="1902" spans="1:10" ht="23.4" x14ac:dyDescent="0.3">
      <c r="A1902" s="277" t="s">
        <v>109</v>
      </c>
      <c r="B1902" s="970" t="s">
        <v>483</v>
      </c>
      <c r="C1902" s="317" t="s">
        <v>123</v>
      </c>
      <c r="D1902" s="317"/>
      <c r="E1902" s="506">
        <v>195.2808</v>
      </c>
      <c r="F1902" s="405">
        <f>IFERROR(E1902*'01 Prod Physique Boites'!H1897,"-")</f>
        <v>0</v>
      </c>
      <c r="G1902" s="406">
        <f>IFERROR(E1902*'01 Prod Physique Boites'!L1897,"-")</f>
        <v>28120.4352</v>
      </c>
      <c r="H1902" s="715">
        <v>256.7</v>
      </c>
      <c r="I1902" s="422">
        <f>IFERROR(H1902*(F1902/E1902),"-")</f>
        <v>0</v>
      </c>
      <c r="J1902" s="423">
        <f t="shared" ref="J1902:J1903" si="1159">IFERROR(H1902*(G1902/E1902),"-")</f>
        <v>36964.799999999996</v>
      </c>
    </row>
    <row r="1903" spans="1:10" ht="24" thickBot="1" x14ac:dyDescent="0.35">
      <c r="A1903" s="277" t="s">
        <v>109</v>
      </c>
      <c r="B1903" s="971"/>
      <c r="C1903" s="289" t="s">
        <v>139</v>
      </c>
      <c r="D1903" s="289"/>
      <c r="E1903" s="504">
        <v>189.91890000000001</v>
      </c>
      <c r="F1903" s="405">
        <f>IFERROR(E1903*'01 Prod Physique Boites'!H1898,"-")</f>
        <v>227902.68000000002</v>
      </c>
      <c r="G1903" s="406">
        <f>IFERROR(E1903*'01 Prod Physique Boites'!L1898,"-")</f>
        <v>1337029.0560000001</v>
      </c>
      <c r="H1903" s="390">
        <v>320.35000000000002</v>
      </c>
      <c r="I1903" s="426">
        <f>IFERROR(H1903*(F1903/E1903),"-")</f>
        <v>384420</v>
      </c>
      <c r="J1903" s="427">
        <f t="shared" si="1159"/>
        <v>2255264</v>
      </c>
    </row>
    <row r="1904" spans="1:10" ht="24" thickBot="1" x14ac:dyDescent="0.35">
      <c r="A1904" s="904" t="s">
        <v>109</v>
      </c>
      <c r="B1904" s="967" t="s">
        <v>40</v>
      </c>
      <c r="C1904" s="968"/>
      <c r="D1904" s="969"/>
      <c r="E1904" s="393"/>
      <c r="F1904" s="409">
        <f>SUM(F1902:F1903)</f>
        <v>227902.68000000002</v>
      </c>
      <c r="G1904" s="410">
        <f t="shared" ref="G1904" si="1160">SUM(G1902:G1903)</f>
        <v>1365149.4912</v>
      </c>
      <c r="H1904" s="394"/>
      <c r="I1904" s="409">
        <f t="shared" ref="I1904:J1904" si="1161">SUM(I1902:I1903)</f>
        <v>384420</v>
      </c>
      <c r="J1904" s="428">
        <f t="shared" si="1161"/>
        <v>2292228.7999999998</v>
      </c>
    </row>
    <row r="1905" spans="1:10" ht="23.4" x14ac:dyDescent="0.3">
      <c r="A1905" s="277" t="s">
        <v>109</v>
      </c>
      <c r="B1905" s="970" t="s">
        <v>484</v>
      </c>
      <c r="C1905" s="272" t="s">
        <v>335</v>
      </c>
      <c r="D1905" s="272" t="s">
        <v>258</v>
      </c>
      <c r="E1905" s="508">
        <v>37.248699999999999</v>
      </c>
      <c r="F1905" s="405">
        <f>IFERROR(E1905*'01 Prod Physique Boites'!H1900,"-")</f>
        <v>938667.24</v>
      </c>
      <c r="G1905" s="406">
        <f>IFERROR(E1905*'01 Prod Physique Boites'!L1900,"-")</f>
        <v>18919955.683199998</v>
      </c>
      <c r="H1905" s="384">
        <v>71.44</v>
      </c>
      <c r="I1905" s="422">
        <f>IFERROR(H1905*(F1905/E1905),"-")</f>
        <v>1800288</v>
      </c>
      <c r="J1905" s="423">
        <f>IFERROR(H1905*(G1905/E1905),"-")</f>
        <v>36286947.839999996</v>
      </c>
    </row>
    <row r="1906" spans="1:10" ht="23.4" x14ac:dyDescent="0.3">
      <c r="A1906" s="277" t="s">
        <v>109</v>
      </c>
      <c r="B1906" s="972"/>
      <c r="C1906" s="272" t="s">
        <v>164</v>
      </c>
      <c r="D1906" s="278"/>
      <c r="E1906" s="508">
        <v>37.248699999999999</v>
      </c>
      <c r="F1906" s="405">
        <f>IFERROR(E1906*'01 Prod Physique Boites'!H1901,"-")</f>
        <v>0</v>
      </c>
      <c r="G1906" s="406">
        <f>IFERROR(E1906*'01 Prod Physique Boites'!L1901,"-")</f>
        <v>0</v>
      </c>
      <c r="H1906" s="388"/>
      <c r="I1906" s="424">
        <f>IFERROR(H1906*(F1906/E1906),"-")</f>
        <v>0</v>
      </c>
      <c r="J1906" s="425">
        <f t="shared" ref="J1906:J1908" si="1162">IFERROR(H1906*(G1906/E1906),"-")</f>
        <v>0</v>
      </c>
    </row>
    <row r="1907" spans="1:10" ht="23.4" x14ac:dyDescent="0.3">
      <c r="A1907" s="277" t="s">
        <v>109</v>
      </c>
      <c r="B1907" s="972"/>
      <c r="C1907" s="278" t="s">
        <v>383</v>
      </c>
      <c r="D1907" s="272" t="s">
        <v>258</v>
      </c>
      <c r="E1907" s="508">
        <v>37.248699999999999</v>
      </c>
      <c r="F1907" s="405">
        <f>IFERROR(E1907*'01 Prod Physique Boites'!H1902,"-")</f>
        <v>0</v>
      </c>
      <c r="G1907" s="406">
        <f>IFERROR(E1907*'01 Prod Physique Boites'!L1902,"-")</f>
        <v>0</v>
      </c>
      <c r="H1907" s="388">
        <v>71.44</v>
      </c>
      <c r="I1907" s="424">
        <f>IFERROR(H1907*(F1907/E1907),"-")</f>
        <v>0</v>
      </c>
      <c r="J1907" s="425">
        <f t="shared" si="1162"/>
        <v>0</v>
      </c>
    </row>
    <row r="1908" spans="1:10" ht="24" thickBot="1" x14ac:dyDescent="0.35">
      <c r="A1908" s="277" t="s">
        <v>109</v>
      </c>
      <c r="B1908" s="972"/>
      <c r="C1908" s="278" t="s">
        <v>165</v>
      </c>
      <c r="D1908" s="278"/>
      <c r="E1908" s="509">
        <v>38.466099999999997</v>
      </c>
      <c r="F1908" s="405">
        <f>IFERROR(E1908*'01 Prod Physique Boites'!H1903,"-")</f>
        <v>0</v>
      </c>
      <c r="G1908" s="406">
        <f>IFERROR(E1908*'01 Prod Physique Boites'!L1903,"-")</f>
        <v>0</v>
      </c>
      <c r="H1908" s="388"/>
      <c r="I1908" s="424">
        <f>IFERROR(H1908*(F1908/E1908),"-")</f>
        <v>0</v>
      </c>
      <c r="J1908" s="425">
        <f t="shared" si="1162"/>
        <v>0</v>
      </c>
    </row>
    <row r="1909" spans="1:10" ht="24" thickBot="1" x14ac:dyDescent="0.35">
      <c r="A1909" s="277" t="s">
        <v>109</v>
      </c>
      <c r="B1909" s="967" t="s">
        <v>42</v>
      </c>
      <c r="C1909" s="968"/>
      <c r="D1909" s="969"/>
      <c r="E1909" s="393"/>
      <c r="F1909" s="409">
        <f>SUM(F1905:F1908)</f>
        <v>938667.24</v>
      </c>
      <c r="G1909" s="410">
        <f>SUM(G1905:G1908)</f>
        <v>18919955.683199998</v>
      </c>
      <c r="H1909" s="394"/>
      <c r="I1909" s="409">
        <f>SUM(I1905:I1908)</f>
        <v>1800288</v>
      </c>
      <c r="J1909" s="409">
        <f>SUM(J1905:J1908)</f>
        <v>36286947.839999996</v>
      </c>
    </row>
    <row r="1910" spans="1:10" ht="23.4" x14ac:dyDescent="0.3">
      <c r="A1910" s="277" t="s">
        <v>109</v>
      </c>
      <c r="B1910" s="970" t="s">
        <v>43</v>
      </c>
      <c r="C1910" s="272" t="s">
        <v>200</v>
      </c>
      <c r="D1910" s="272" t="s">
        <v>197</v>
      </c>
      <c r="E1910" s="508">
        <v>30.7499</v>
      </c>
      <c r="F1910" s="405">
        <f>IFERROR(E1910*'01 Prod Physique Boites'!H1906,"-")</f>
        <v>0</v>
      </c>
      <c r="G1910" s="406">
        <f>IFERROR(E1910*'01 Prod Physique Boites'!L1906,"-")</f>
        <v>0</v>
      </c>
      <c r="H1910" s="384"/>
      <c r="I1910" s="422">
        <f>IFERROR(H1910*(F1910/E1910),"-")</f>
        <v>0</v>
      </c>
      <c r="J1910" s="423">
        <f>IFERROR(H1910*(G1910/E1910),"-")</f>
        <v>0</v>
      </c>
    </row>
    <row r="1911" spans="1:10" ht="23.4" x14ac:dyDescent="0.3">
      <c r="A1911" s="277" t="s">
        <v>109</v>
      </c>
      <c r="B1911" s="972"/>
      <c r="C1911" s="278" t="s">
        <v>167</v>
      </c>
      <c r="D1911" s="278"/>
      <c r="E1911" s="727">
        <v>25.139099999999999</v>
      </c>
      <c r="F1911" s="405">
        <f>IFERROR(E1911*'01 Prod Physique Boites'!H1907,"-")</f>
        <v>72400.607999999993</v>
      </c>
      <c r="G1911" s="406">
        <f>IFERROR(E1911*'01 Prod Physique Boites'!L1907,"-")</f>
        <v>4400750.2895999998</v>
      </c>
      <c r="H1911" s="388">
        <v>59.96</v>
      </c>
      <c r="I1911" s="424">
        <f>IFERROR(H1911*(F1911/E1911),"-")</f>
        <v>172684.79999999999</v>
      </c>
      <c r="J1911" s="425">
        <f t="shared" ref="J1911:J1912" si="1163">IFERROR(H1911*(G1911/E1911),"-")</f>
        <v>10496357.76</v>
      </c>
    </row>
    <row r="1912" spans="1:10" ht="24" thickBot="1" x14ac:dyDescent="0.35">
      <c r="A1912" s="277" t="s">
        <v>109</v>
      </c>
      <c r="B1912" s="971"/>
      <c r="C1912" s="282" t="s">
        <v>200</v>
      </c>
      <c r="D1912" s="282" t="s">
        <v>199</v>
      </c>
      <c r="E1912" s="505">
        <v>30.073599999999999</v>
      </c>
      <c r="F1912" s="405">
        <f>IFERROR(E1912*'01 Prod Physique Boites'!H1908,"-")</f>
        <v>0</v>
      </c>
      <c r="G1912" s="406">
        <f>IFERROR(E1912*'01 Prod Physique Boites'!L1908,"-")</f>
        <v>0</v>
      </c>
      <c r="H1912" s="390"/>
      <c r="I1912" s="426">
        <f>IFERROR(H1912*(F1912/E1912),"-")</f>
        <v>0</v>
      </c>
      <c r="J1912" s="427">
        <f t="shared" si="1163"/>
        <v>0</v>
      </c>
    </row>
    <row r="1913" spans="1:10" ht="24" thickBot="1" x14ac:dyDescent="0.35">
      <c r="A1913" s="277" t="s">
        <v>109</v>
      </c>
      <c r="B1913" s="973" t="s">
        <v>44</v>
      </c>
      <c r="C1913" s="974"/>
      <c r="D1913" s="975"/>
      <c r="E1913" s="393"/>
      <c r="F1913" s="409">
        <f t="shared" ref="F1913:G1913" si="1164">SUM(F1910:F1912)</f>
        <v>72400.607999999993</v>
      </c>
      <c r="G1913" s="410">
        <f t="shared" si="1164"/>
        <v>4400750.2895999998</v>
      </c>
      <c r="H1913" s="394"/>
      <c r="I1913" s="409">
        <f t="shared" ref="I1913:J1913" si="1165">SUM(I1910:I1912)</f>
        <v>172684.79999999999</v>
      </c>
      <c r="J1913" s="428">
        <f t="shared" si="1165"/>
        <v>10496357.76</v>
      </c>
    </row>
    <row r="1914" spans="1:10" ht="23.4" x14ac:dyDescent="0.3">
      <c r="A1914" s="277" t="s">
        <v>109</v>
      </c>
      <c r="B1914" s="970" t="s">
        <v>45</v>
      </c>
      <c r="C1914" s="272" t="s">
        <v>168</v>
      </c>
      <c r="D1914" s="272"/>
      <c r="E1914" s="508">
        <v>36.684899999999999</v>
      </c>
      <c r="F1914" s="405">
        <f>IFERROR(E1914*'01 Prod Physique Boites'!H1910,"-")</f>
        <v>0</v>
      </c>
      <c r="G1914" s="406">
        <f>IFERROR(E1914*'01 Prod Physique Boites'!L1910,"-")</f>
        <v>0</v>
      </c>
      <c r="H1914" s="384"/>
      <c r="I1914" s="385" t="s">
        <v>204</v>
      </c>
      <c r="J1914" s="386" t="s">
        <v>204</v>
      </c>
    </row>
    <row r="1915" spans="1:10" ht="24" thickBot="1" x14ac:dyDescent="0.35">
      <c r="A1915" s="277" t="s">
        <v>109</v>
      </c>
      <c r="B1915" s="971"/>
      <c r="C1915" s="282" t="s">
        <v>169</v>
      </c>
      <c r="D1915" s="282"/>
      <c r="E1915" s="505">
        <v>37.002800000000001</v>
      </c>
      <c r="F1915" s="405">
        <f>IFERROR(E1915*'01 Prod Physique Boites'!H1911,"-")</f>
        <v>0</v>
      </c>
      <c r="G1915" s="406">
        <f>IFERROR(E1915*'01 Prod Physique Boites'!L1911,"-")</f>
        <v>0</v>
      </c>
      <c r="H1915" s="390"/>
      <c r="I1915" s="391" t="s">
        <v>204</v>
      </c>
      <c r="J1915" s="392" t="s">
        <v>204</v>
      </c>
    </row>
    <row r="1916" spans="1:10" ht="24" thickBot="1" x14ac:dyDescent="0.35">
      <c r="A1916" s="277" t="s">
        <v>109</v>
      </c>
      <c r="B1916" s="973" t="s">
        <v>46</v>
      </c>
      <c r="C1916" s="974"/>
      <c r="D1916" s="975"/>
      <c r="E1916" s="393"/>
      <c r="F1916" s="405">
        <f>IFERROR(E1916*'01 Prod Physique Boites'!H1912,"-")</f>
        <v>0</v>
      </c>
      <c r="G1916" s="410">
        <f>IFERROR(E1916*'01 Prod Physique Boites'!L1912,"-")</f>
        <v>0</v>
      </c>
      <c r="H1916" s="394"/>
      <c r="I1916" s="409">
        <f t="shared" ref="I1916:J1916" si="1166">SUM(I1914:I1915)</f>
        <v>0</v>
      </c>
      <c r="J1916" s="428">
        <f t="shared" si="1166"/>
        <v>0</v>
      </c>
    </row>
    <row r="1917" spans="1:10" ht="24" thickBot="1" x14ac:dyDescent="0.35">
      <c r="A1917" s="277" t="s">
        <v>109</v>
      </c>
      <c r="B1917" s="959" t="s">
        <v>25</v>
      </c>
      <c r="C1917" s="960"/>
      <c r="D1917" s="961"/>
      <c r="E1917" s="396"/>
      <c r="F1917" s="413">
        <f>+F1896+F1901+F1904+F1909+F1913+F1916</f>
        <v>2894530.6919999998</v>
      </c>
      <c r="G1917" s="414">
        <f>+G1896+G1901+G1904+G1909+G1913+G1916</f>
        <v>43766497.163399994</v>
      </c>
      <c r="H1917" s="397"/>
      <c r="I1917" s="413">
        <f>+I1896+I1901+I1904+I1909+I1913+I1916</f>
        <v>5249596.8</v>
      </c>
      <c r="J1917" s="431">
        <f>+J1896+J1901+J1904+J1909+J1913+J1916</f>
        <v>82364132.11999999</v>
      </c>
    </row>
    <row r="1918" spans="1:10" ht="24" thickBot="1" x14ac:dyDescent="0.35">
      <c r="A1918" s="321" t="s">
        <v>109</v>
      </c>
      <c r="B1918" s="962" t="s">
        <v>181</v>
      </c>
      <c r="C1918" s="962"/>
      <c r="D1918" s="963"/>
      <c r="E1918" s="398"/>
      <c r="F1918" s="415">
        <f t="shared" ref="F1918:G1918" si="1167">+F1917</f>
        <v>2894530.6919999998</v>
      </c>
      <c r="G1918" s="416">
        <f t="shared" si="1167"/>
        <v>43766497.163399994</v>
      </c>
      <c r="H1918" s="399"/>
      <c r="I1918" s="415">
        <f t="shared" ref="I1918" si="1168">+I1917</f>
        <v>5249596.8</v>
      </c>
      <c r="J1918" s="432">
        <f>+J1917</f>
        <v>82364132.11999999</v>
      </c>
    </row>
    <row r="1919" spans="1:10" ht="24.6" thickBot="1" x14ac:dyDescent="0.35">
      <c r="A1919" s="322"/>
      <c r="B1919" s="964" t="s">
        <v>182</v>
      </c>
      <c r="C1919" s="965"/>
      <c r="D1919" s="966"/>
      <c r="E1919" s="404"/>
      <c r="F1919" s="421">
        <f>+F1862+F1892+F1918</f>
        <v>11003661.787999999</v>
      </c>
      <c r="G1919" s="421">
        <f>+G1862+G1892+G1918</f>
        <v>173831148.15899998</v>
      </c>
      <c r="H1919" s="404"/>
      <c r="I1919" s="421">
        <f>+I1862+I1892+I1918</f>
        <v>16168969.84</v>
      </c>
      <c r="J1919" s="435">
        <f>+J1862+J1892+J1918</f>
        <v>260161675.12279999</v>
      </c>
    </row>
    <row r="1920" spans="1:10" ht="23.4" x14ac:dyDescent="0.3">
      <c r="A1920" s="991" t="s">
        <v>1</v>
      </c>
      <c r="B1920" s="994" t="s">
        <v>2</v>
      </c>
      <c r="C1920" s="997" t="s">
        <v>477</v>
      </c>
      <c r="D1920" s="997" t="s">
        <v>478</v>
      </c>
      <c r="E1920" s="1021" t="s">
        <v>486</v>
      </c>
      <c r="F1920" s="1022"/>
      <c r="G1920" s="1022"/>
      <c r="H1920" s="445"/>
      <c r="I1920" s="445"/>
      <c r="J1920" s="446"/>
    </row>
    <row r="1921" spans="1:15" ht="23.4" x14ac:dyDescent="0.3">
      <c r="A1921" s="992"/>
      <c r="B1921" s="995"/>
      <c r="C1921" s="998"/>
      <c r="D1921" s="998"/>
      <c r="E1921" s="1023" t="s">
        <v>489</v>
      </c>
      <c r="F1921" s="1024"/>
      <c r="G1921" s="1025"/>
      <c r="H1921" s="1023" t="s">
        <v>176</v>
      </c>
      <c r="I1921" s="1024"/>
      <c r="J1921" s="1025"/>
    </row>
    <row r="1922" spans="1:15" ht="46.8" x14ac:dyDescent="0.3">
      <c r="A1922" s="993"/>
      <c r="B1922" s="1019"/>
      <c r="C1922" s="1020"/>
      <c r="D1922" s="1020"/>
      <c r="E1922" s="382" t="s">
        <v>178</v>
      </c>
      <c r="F1922" s="910" t="s">
        <v>488</v>
      </c>
      <c r="G1922" s="911" t="s">
        <v>487</v>
      </c>
      <c r="H1922" s="1026" t="s">
        <v>178</v>
      </c>
      <c r="I1922" s="1028" t="s">
        <v>144</v>
      </c>
      <c r="J1922" s="1030" t="s">
        <v>487</v>
      </c>
    </row>
    <row r="1923" spans="1:15" ht="24" thickBot="1" x14ac:dyDescent="0.35">
      <c r="A1923" s="993"/>
      <c r="B1923" s="996"/>
      <c r="C1923" s="999"/>
      <c r="D1923" s="999"/>
      <c r="E1923" s="1032" t="s">
        <v>577</v>
      </c>
      <c r="F1923" s="1033"/>
      <c r="G1923" s="1034"/>
      <c r="H1923" s="1027"/>
      <c r="I1923" s="1029"/>
      <c r="J1923" s="1031"/>
    </row>
    <row r="1924" spans="1:15" ht="23.4" x14ac:dyDescent="0.3">
      <c r="A1924" s="271" t="s">
        <v>110</v>
      </c>
      <c r="B1924" s="956" t="s">
        <v>16</v>
      </c>
      <c r="C1924" s="272" t="s">
        <v>424</v>
      </c>
      <c r="D1924" s="272" t="s">
        <v>425</v>
      </c>
      <c r="E1924" s="758">
        <v>81.360699999999994</v>
      </c>
      <c r="F1924" s="405">
        <f>IFERROR(E1924*'01 Prod Physique Boites'!H1919,"-")</f>
        <v>0</v>
      </c>
      <c r="G1924" s="405">
        <f>IFERROR(E1924*'01 Prod Physique Boites'!L1919,"-")</f>
        <v>1614196.2879999999</v>
      </c>
      <c r="H1924" s="759">
        <v>143.28</v>
      </c>
      <c r="I1924" s="422">
        <f>IFERROR(H1924*(F1924/E1924),"-")</f>
        <v>0</v>
      </c>
      <c r="J1924" s="423">
        <f t="shared" ref="J1924:J1926" si="1169">IFERROR(H1924*(G1924/E1924),"-")</f>
        <v>2842675.2000000002</v>
      </c>
    </row>
    <row r="1925" spans="1:15" ht="23.4" x14ac:dyDescent="0.3">
      <c r="A1925" s="784"/>
      <c r="B1925" s="957"/>
      <c r="C1925" s="278" t="s">
        <v>188</v>
      </c>
      <c r="D1925" s="278" t="s">
        <v>101</v>
      </c>
      <c r="E1925" s="509">
        <v>81.360699999999994</v>
      </c>
      <c r="F1925" s="405">
        <f>IFERROR(E1925*'01 Prod Physique Boites'!H1920,"-")</f>
        <v>0</v>
      </c>
      <c r="G1925" s="405">
        <f>IFERROR(E1925*'01 Prod Physique Boites'!L1920,"-")</f>
        <v>3936312.0266999998</v>
      </c>
      <c r="H1925" s="770">
        <v>0</v>
      </c>
      <c r="I1925" s="422">
        <f>IFERROR(H1925*(F1925/E1925),"-")</f>
        <v>0</v>
      </c>
      <c r="J1925" s="423">
        <f t="shared" si="1169"/>
        <v>0</v>
      </c>
    </row>
    <row r="1926" spans="1:15" ht="23.4" x14ac:dyDescent="0.3">
      <c r="A1926" s="277" t="s">
        <v>110</v>
      </c>
      <c r="B1926" s="957"/>
      <c r="C1926" s="278" t="s">
        <v>539</v>
      </c>
      <c r="D1926" s="278" t="s">
        <v>454</v>
      </c>
      <c r="E1926" s="727">
        <v>77.170400000000001</v>
      </c>
      <c r="F1926" s="405">
        <f>IFERROR(E1926*'01 Prod Physique Boites'!H1921,"-")</f>
        <v>0</v>
      </c>
      <c r="G1926" s="728">
        <f>IFERROR(E1926*'01 Prod Physique Boites'!L1921,"-")</f>
        <v>2207073.44</v>
      </c>
      <c r="H1926" s="388">
        <v>0</v>
      </c>
      <c r="I1926" s="422">
        <f>IFERROR(H1926*(F1926/E1926),"-")</f>
        <v>0</v>
      </c>
      <c r="J1926" s="423">
        <f t="shared" si="1169"/>
        <v>0</v>
      </c>
    </row>
    <row r="1927" spans="1:15" ht="24" thickBot="1" x14ac:dyDescent="0.35">
      <c r="A1927" s="277" t="s">
        <v>110</v>
      </c>
      <c r="B1927" s="958"/>
      <c r="C1927" s="282" t="s">
        <v>282</v>
      </c>
      <c r="D1927" s="282" t="s">
        <v>251</v>
      </c>
      <c r="E1927" s="505">
        <v>60.703499999999998</v>
      </c>
      <c r="F1927" s="405">
        <f>IFERROR(E1927*'01 Prod Physique Boites'!H1922,"-")</f>
        <v>0</v>
      </c>
      <c r="G1927" s="405">
        <f>IFERROR(E1927*'01 Prod Physique Boites'!L1922,"-")</f>
        <v>1414148.736</v>
      </c>
      <c r="H1927" s="390">
        <v>111.09</v>
      </c>
      <c r="I1927" s="422">
        <f>IFERROR(H1927*(F1927/E1927),"-")</f>
        <v>0</v>
      </c>
      <c r="J1927" s="423">
        <f>IFERROR(H1927*(G1927/E1927),"-")</f>
        <v>2587952.64</v>
      </c>
    </row>
    <row r="1928" spans="1:15" ht="24" thickBot="1" x14ac:dyDescent="0.35">
      <c r="A1928" s="277" t="s">
        <v>110</v>
      </c>
      <c r="B1928" s="967" t="s">
        <v>47</v>
      </c>
      <c r="C1928" s="968"/>
      <c r="D1928" s="969"/>
      <c r="E1928" s="393"/>
      <c r="F1928" s="409">
        <f t="shared" ref="F1928" si="1170">SUM(F1924:F1927)</f>
        <v>0</v>
      </c>
      <c r="G1928" s="410">
        <f>SUM(G1924:G1927)</f>
        <v>9171730.490699999</v>
      </c>
      <c r="H1928" s="394"/>
      <c r="I1928" s="409">
        <f t="shared" ref="I1928:J1928" si="1171">SUM(I1924:I1927)</f>
        <v>0</v>
      </c>
      <c r="J1928" s="428">
        <f t="shared" si="1171"/>
        <v>5430627.8399999999</v>
      </c>
      <c r="K1928" s="757"/>
      <c r="L1928" s="757"/>
      <c r="M1928" s="757"/>
      <c r="N1928" s="757"/>
      <c r="O1928" s="757"/>
    </row>
    <row r="1929" spans="1:15" ht="23.4" x14ac:dyDescent="0.3">
      <c r="A1929" s="277" t="s">
        <v>110</v>
      </c>
      <c r="B1929" s="956" t="s">
        <v>17</v>
      </c>
      <c r="C1929" s="272" t="s">
        <v>320</v>
      </c>
      <c r="D1929" s="272"/>
      <c r="E1929" s="508">
        <v>12.5275</v>
      </c>
      <c r="F1929" s="405">
        <f>IFERROR(E1929*'01 Prod Physique Boites'!H1924,"-")</f>
        <v>0</v>
      </c>
      <c r="G1929" s="405">
        <f>IFERROR(E1929*'01 Prod Physique Boites'!L1924,"-")</f>
        <v>2501140.4300000002</v>
      </c>
      <c r="H1929" s="715">
        <v>18.836400000000001</v>
      </c>
      <c r="I1929" s="422">
        <f t="shared" ref="I1929:I1935" si="1172">IFERROR(H1929*(F1929/E1929),"-")</f>
        <v>0</v>
      </c>
      <c r="J1929" s="423">
        <f t="shared" ref="J1929:J1934" si="1173">IFERROR(H1929*(G1929/E1929),"-")</f>
        <v>3760724.932800001</v>
      </c>
    </row>
    <row r="1930" spans="1:15" ht="23.4" x14ac:dyDescent="0.3">
      <c r="A1930" s="277" t="s">
        <v>110</v>
      </c>
      <c r="B1930" s="957"/>
      <c r="C1930" s="278" t="s">
        <v>382</v>
      </c>
      <c r="D1930" s="278" t="s">
        <v>252</v>
      </c>
      <c r="E1930" s="698">
        <v>13.002700000000001</v>
      </c>
      <c r="F1930" s="405">
        <f>IFERROR(E1930*'01 Prod Physique Boites'!H1925,"-")</f>
        <v>2068989.6240000001</v>
      </c>
      <c r="G1930" s="405">
        <f>IFERROR(E1930*'01 Prod Physique Boites'!L1925,"-")</f>
        <v>13487219.610100001</v>
      </c>
      <c r="H1930" s="388">
        <v>21.18</v>
      </c>
      <c r="I1930" s="424">
        <f t="shared" si="1172"/>
        <v>3370161.6</v>
      </c>
      <c r="J1930" s="425">
        <f t="shared" si="1173"/>
        <v>21969230.34</v>
      </c>
    </row>
    <row r="1931" spans="1:15" ht="23.4" x14ac:dyDescent="0.3">
      <c r="A1931" s="277" t="s">
        <v>110</v>
      </c>
      <c r="B1931" s="957"/>
      <c r="C1931" s="278" t="s">
        <v>391</v>
      </c>
      <c r="D1931" s="278" t="s">
        <v>201</v>
      </c>
      <c r="E1931" s="698">
        <v>12.9049</v>
      </c>
      <c r="F1931" s="405">
        <f>IFERROR(E1931*'01 Prod Physique Boites'!H1926,"-")</f>
        <v>0</v>
      </c>
      <c r="G1931" s="405">
        <f>IFERROR(E1931*'01 Prod Physique Boites'!L1926,"-")</f>
        <v>5868064.5083999997</v>
      </c>
      <c r="H1931" s="388">
        <v>20.5</v>
      </c>
      <c r="I1931" s="424">
        <f t="shared" si="1172"/>
        <v>0</v>
      </c>
      <c r="J1931" s="425">
        <f t="shared" si="1173"/>
        <v>9321678</v>
      </c>
    </row>
    <row r="1932" spans="1:15" ht="23.4" x14ac:dyDescent="0.3">
      <c r="A1932" s="277" t="s">
        <v>110</v>
      </c>
      <c r="B1932" s="957"/>
      <c r="C1932" s="278" t="s">
        <v>319</v>
      </c>
      <c r="D1932" s="278" t="s">
        <v>202</v>
      </c>
      <c r="E1932" s="509">
        <v>13.078200000000001</v>
      </c>
      <c r="F1932" s="405">
        <f>IFERROR(E1932*'01 Prod Physique Boites'!H1927,"-")</f>
        <v>0</v>
      </c>
      <c r="G1932" s="405">
        <f>IFERROR(E1932*'01 Prod Physique Boites'!L1927,"-")</f>
        <v>3873135.0864000004</v>
      </c>
      <c r="H1932" s="388">
        <v>20.6</v>
      </c>
      <c r="I1932" s="424">
        <f t="shared" si="1172"/>
        <v>0</v>
      </c>
      <c r="J1932" s="425">
        <f t="shared" si="1173"/>
        <v>6100731.2000000002</v>
      </c>
    </row>
    <row r="1933" spans="1:15" ht="23.4" x14ac:dyDescent="0.3">
      <c r="A1933" s="277" t="s">
        <v>110</v>
      </c>
      <c r="B1933" s="957"/>
      <c r="C1933" s="278" t="s">
        <v>358</v>
      </c>
      <c r="D1933" s="278" t="s">
        <v>352</v>
      </c>
      <c r="E1933" s="509">
        <v>13.1958</v>
      </c>
      <c r="F1933" s="405">
        <f>IFERROR(E1933*'01 Prod Physique Boites'!H1928,"-")</f>
        <v>0</v>
      </c>
      <c r="G1933" s="405">
        <f>IFERROR(E1933*'01 Prod Physique Boites'!L1928,"-")</f>
        <v>6609538.6956000002</v>
      </c>
      <c r="H1933" s="388">
        <v>21.28</v>
      </c>
      <c r="I1933" s="424">
        <f t="shared" si="1172"/>
        <v>0</v>
      </c>
      <c r="J1933" s="425">
        <f t="shared" si="1173"/>
        <v>10658768.960000001</v>
      </c>
    </row>
    <row r="1934" spans="1:15" ht="23.4" x14ac:dyDescent="0.3">
      <c r="A1934" s="277">
        <v>1</v>
      </c>
      <c r="B1934" s="957"/>
      <c r="C1934" s="278" t="s">
        <v>392</v>
      </c>
      <c r="D1934" s="278" t="s">
        <v>203</v>
      </c>
      <c r="E1934" s="698">
        <v>12.9049</v>
      </c>
      <c r="F1934" s="405">
        <f>IFERROR(E1934*'01 Prod Physique Boites'!H1929,"-")</f>
        <v>0</v>
      </c>
      <c r="G1934" s="405">
        <f>IFERROR(E1934*'01 Prod Physique Boites'!L1929,"-")</f>
        <v>0</v>
      </c>
      <c r="H1934" s="677">
        <v>20.5</v>
      </c>
      <c r="I1934" s="424">
        <f t="shared" si="1172"/>
        <v>0</v>
      </c>
      <c r="J1934" s="425">
        <f t="shared" si="1173"/>
        <v>0</v>
      </c>
    </row>
    <row r="1935" spans="1:15" ht="24" thickBot="1" x14ac:dyDescent="0.35">
      <c r="A1935" s="277" t="s">
        <v>110</v>
      </c>
      <c r="B1935" s="958"/>
      <c r="C1935" s="282" t="s">
        <v>379</v>
      </c>
      <c r="D1935" s="282" t="s">
        <v>187</v>
      </c>
      <c r="E1935" s="505">
        <v>13.6509</v>
      </c>
      <c r="F1935" s="405">
        <f>IFERROR(E1935*'01 Prod Physique Boites'!H1930,"-")</f>
        <v>0</v>
      </c>
      <c r="G1935" s="405">
        <f>IFERROR(E1935*'01 Prod Physique Boites'!L1930,"-")</f>
        <v>0</v>
      </c>
      <c r="H1935" s="390">
        <v>21.18</v>
      </c>
      <c r="I1935" s="426">
        <f t="shared" si="1172"/>
        <v>0</v>
      </c>
      <c r="J1935" s="427">
        <f>IFERROR(H1935*(G1935/E1935),"-")</f>
        <v>0</v>
      </c>
    </row>
    <row r="1936" spans="1:15" ht="24" thickBot="1" x14ac:dyDescent="0.35">
      <c r="A1936" s="277" t="s">
        <v>110</v>
      </c>
      <c r="B1936" s="967" t="s">
        <v>48</v>
      </c>
      <c r="C1936" s="968"/>
      <c r="D1936" s="969"/>
      <c r="E1936" s="393"/>
      <c r="F1936" s="409">
        <f t="shared" ref="F1936" si="1174">SUM(F1929:F1935)</f>
        <v>2068989.6240000001</v>
      </c>
      <c r="G1936" s="410">
        <f>SUM(G1929:G1935)</f>
        <v>32339098.330500003</v>
      </c>
      <c r="H1936" s="394"/>
      <c r="I1936" s="409">
        <f t="shared" ref="I1936" si="1175">SUM(I1929:I1935)</f>
        <v>3370161.6</v>
      </c>
      <c r="J1936" s="428">
        <f>SUM(J1929:J1935)</f>
        <v>51811133.432800002</v>
      </c>
      <c r="K1936" s="757"/>
      <c r="L1936" s="757"/>
      <c r="M1936" s="757"/>
      <c r="N1936" s="757"/>
      <c r="O1936" s="757"/>
    </row>
    <row r="1937" spans="1:10" ht="23.4" x14ac:dyDescent="0.3">
      <c r="A1937" s="277" t="s">
        <v>110</v>
      </c>
      <c r="B1937" s="956" t="s">
        <v>18</v>
      </c>
      <c r="C1937" s="272" t="s">
        <v>344</v>
      </c>
      <c r="D1937" s="272" t="s">
        <v>99</v>
      </c>
      <c r="E1937" s="508">
        <v>17.8202</v>
      </c>
      <c r="F1937" s="405">
        <f>IFERROR(E1937*'01 Prod Physique Boites'!H1932,"-")</f>
        <v>0</v>
      </c>
      <c r="G1937" s="406">
        <f>IFERROR(E1937*'01 Prod Physique Boites'!L1932,"-")</f>
        <v>0</v>
      </c>
      <c r="H1937" s="384">
        <v>24.93</v>
      </c>
      <c r="I1937" s="422">
        <f t="shared" ref="I1937:I1943" si="1176">IFERROR(H1937*(F1937/E1937),"-")</f>
        <v>0</v>
      </c>
      <c r="J1937" s="423">
        <f t="shared" ref="J1937:J1939" si="1177">IFERROR(H1937*(G1937/E1937),"-")</f>
        <v>0</v>
      </c>
    </row>
    <row r="1938" spans="1:10" ht="23.4" x14ac:dyDescent="0.3">
      <c r="A1938" s="277" t="s">
        <v>110</v>
      </c>
      <c r="B1938" s="957"/>
      <c r="C1938" s="278" t="s">
        <v>137</v>
      </c>
      <c r="D1938" s="278"/>
      <c r="E1938" s="509">
        <v>17.8202</v>
      </c>
      <c r="F1938" s="405">
        <f>IFERROR(E1938*'01 Prod Physique Boites'!H1933,"-")</f>
        <v>0</v>
      </c>
      <c r="G1938" s="406">
        <f>IFERROR(E1938*'01 Prod Physique Boites'!L1933,"-")</f>
        <v>0</v>
      </c>
      <c r="H1938" s="388">
        <v>0</v>
      </c>
      <c r="I1938" s="424">
        <f t="shared" si="1176"/>
        <v>0</v>
      </c>
      <c r="J1938" s="425">
        <f t="shared" si="1177"/>
        <v>0</v>
      </c>
    </row>
    <row r="1939" spans="1:10" ht="23.4" x14ac:dyDescent="0.3">
      <c r="A1939" s="277" t="s">
        <v>110</v>
      </c>
      <c r="B1939" s="957"/>
      <c r="C1939" s="278" t="s">
        <v>122</v>
      </c>
      <c r="D1939" s="278"/>
      <c r="E1939" s="509">
        <v>16.4071</v>
      </c>
      <c r="F1939" s="405">
        <f>IFERROR(E1939*'01 Prod Physique Boites'!H1934,"-")</f>
        <v>0</v>
      </c>
      <c r="G1939" s="406">
        <f>IFERROR(E1939*'01 Prod Physique Boites'!L1934,"-")</f>
        <v>0</v>
      </c>
      <c r="H1939" s="388">
        <v>0</v>
      </c>
      <c r="I1939" s="424">
        <f t="shared" si="1176"/>
        <v>0</v>
      </c>
      <c r="J1939" s="425">
        <f t="shared" si="1177"/>
        <v>0</v>
      </c>
    </row>
    <row r="1940" spans="1:10" ht="23.4" x14ac:dyDescent="0.3">
      <c r="A1940" s="277" t="s">
        <v>110</v>
      </c>
      <c r="B1940" s="957"/>
      <c r="C1940" s="278" t="s">
        <v>129</v>
      </c>
      <c r="D1940" s="278"/>
      <c r="E1940" s="509">
        <v>17.8202</v>
      </c>
      <c r="F1940" s="405">
        <f>IFERROR(E1940*'01 Prod Physique Boites'!H1935,"-")</f>
        <v>0</v>
      </c>
      <c r="G1940" s="406">
        <f>IFERROR(E1940*'01 Prod Physique Boites'!L1935,"-")</f>
        <v>0</v>
      </c>
      <c r="H1940" s="388">
        <v>0</v>
      </c>
      <c r="I1940" s="424">
        <f t="shared" si="1176"/>
        <v>0</v>
      </c>
      <c r="J1940" s="425">
        <f>IFERROR(H1940*(G1940/E1940),"-")</f>
        <v>0</v>
      </c>
    </row>
    <row r="1941" spans="1:10" ht="23.4" x14ac:dyDescent="0.3">
      <c r="A1941" s="277" t="s">
        <v>110</v>
      </c>
      <c r="B1941" s="957"/>
      <c r="C1941" s="278" t="s">
        <v>189</v>
      </c>
      <c r="D1941" s="278" t="s">
        <v>190</v>
      </c>
      <c r="E1941" s="509">
        <v>17.8202</v>
      </c>
      <c r="F1941" s="405">
        <f>IFERROR(E1941*'01 Prod Physique Boites'!H1936,"-")</f>
        <v>0</v>
      </c>
      <c r="G1941" s="406">
        <f>IFERROR(E1941*'01 Prod Physique Boites'!L1936,"-")</f>
        <v>0</v>
      </c>
      <c r="H1941" s="388">
        <v>0</v>
      </c>
      <c r="I1941" s="424">
        <f t="shared" si="1176"/>
        <v>0</v>
      </c>
      <c r="J1941" s="425">
        <f t="shared" ref="J1941:J1943" si="1178">IFERROR(H1941*(G1941/E1941),"-")</f>
        <v>0</v>
      </c>
    </row>
    <row r="1942" spans="1:10" ht="23.4" x14ac:dyDescent="0.3">
      <c r="A1942" s="277" t="s">
        <v>110</v>
      </c>
      <c r="B1942" s="957"/>
      <c r="C1942" s="278" t="s">
        <v>192</v>
      </c>
      <c r="D1942" s="278" t="s">
        <v>191</v>
      </c>
      <c r="E1942" s="509">
        <v>16.7288</v>
      </c>
      <c r="F1942" s="405">
        <f>IFERROR(E1942*'01 Prod Physique Boites'!H1937,"-")</f>
        <v>0</v>
      </c>
      <c r="G1942" s="406">
        <f>IFERROR(E1942*'01 Prod Physique Boites'!L1937,"-")</f>
        <v>0</v>
      </c>
      <c r="H1942" s="388">
        <v>0</v>
      </c>
      <c r="I1942" s="424">
        <f t="shared" si="1176"/>
        <v>0</v>
      </c>
      <c r="J1942" s="425">
        <f t="shared" si="1178"/>
        <v>0</v>
      </c>
    </row>
    <row r="1943" spans="1:10" ht="24" thickBot="1" x14ac:dyDescent="0.35">
      <c r="A1943" s="277" t="s">
        <v>110</v>
      </c>
      <c r="B1943" s="958"/>
      <c r="C1943" s="289" t="s">
        <v>193</v>
      </c>
      <c r="D1943" s="289" t="s">
        <v>114</v>
      </c>
      <c r="E1943" s="505">
        <v>17.8202</v>
      </c>
      <c r="F1943" s="405">
        <f>IFERROR(E1943*'01 Prod Physique Boites'!H1938,"-")</f>
        <v>0</v>
      </c>
      <c r="G1943" s="406">
        <f>IFERROR(E1943*'01 Prod Physique Boites'!L1938,"-")</f>
        <v>0</v>
      </c>
      <c r="H1943" s="388">
        <v>0</v>
      </c>
      <c r="I1943" s="426">
        <f t="shared" si="1176"/>
        <v>0</v>
      </c>
      <c r="J1943" s="427">
        <f t="shared" si="1178"/>
        <v>0</v>
      </c>
    </row>
    <row r="1944" spans="1:10" ht="24" thickBot="1" x14ac:dyDescent="0.35">
      <c r="A1944" s="277" t="s">
        <v>110</v>
      </c>
      <c r="B1944" s="967" t="s">
        <v>29</v>
      </c>
      <c r="C1944" s="968"/>
      <c r="D1944" s="969"/>
      <c r="E1944" s="660"/>
      <c r="F1944" s="661">
        <f t="shared" ref="F1944:G1944" si="1179">SUM(F1937:F1943)</f>
        <v>0</v>
      </c>
      <c r="G1944" s="410">
        <f t="shared" si="1179"/>
        <v>0</v>
      </c>
      <c r="H1944" s="394"/>
      <c r="I1944" s="409">
        <f t="shared" ref="I1944:J1944" si="1180">SUM(I1937:I1943)</f>
        <v>0</v>
      </c>
      <c r="J1944" s="428">
        <f t="shared" si="1180"/>
        <v>0</v>
      </c>
    </row>
    <row r="1945" spans="1:10" ht="24" thickBot="1" x14ac:dyDescent="0.35">
      <c r="A1945" s="277"/>
      <c r="B1945" s="985" t="s">
        <v>19</v>
      </c>
      <c r="C1945" s="662" t="s">
        <v>255</v>
      </c>
      <c r="D1945" s="668" t="s">
        <v>190</v>
      </c>
      <c r="E1945" s="669">
        <v>12.2659</v>
      </c>
      <c r="F1945" s="670">
        <f>IFERROR(E1945*'01 Prod Physique Boites'!H1940,"-")</f>
        <v>0</v>
      </c>
      <c r="G1945" s="671">
        <f>IFERROR(E1945*'01 Prod Physique Boites'!L1940,"-")</f>
        <v>246103.01759999999</v>
      </c>
      <c r="H1945" s="665">
        <v>14.79</v>
      </c>
      <c r="I1945" s="650">
        <f t="shared" ref="I1945:I1947" si="1181">IFERROR(H1945*(F1945/E1945),"-")</f>
        <v>0</v>
      </c>
      <c r="J1945" s="650">
        <f>IFERROR(H1945*(G1945/E1945),"-")</f>
        <v>296746.56</v>
      </c>
    </row>
    <row r="1946" spans="1:10" ht="24" thickBot="1" x14ac:dyDescent="0.35">
      <c r="A1946" s="277"/>
      <c r="B1946" s="986"/>
      <c r="C1946" s="663" t="s">
        <v>399</v>
      </c>
      <c r="D1946" s="672" t="s">
        <v>507</v>
      </c>
      <c r="E1946" s="654">
        <v>12.2659</v>
      </c>
      <c r="F1946" s="670">
        <f>IFERROR(E1946*'01 Prod Physique Boites'!H1941,"-")</f>
        <v>518111.61600000004</v>
      </c>
      <c r="G1946" s="645">
        <f>IFERROR(E1946*'01 Prod Physique Boites'!L1941,"-")</f>
        <v>3970030.2576000001</v>
      </c>
      <c r="H1946" s="666">
        <v>14.55</v>
      </c>
      <c r="I1946" s="655">
        <f t="shared" si="1181"/>
        <v>614592</v>
      </c>
      <c r="J1946" s="655">
        <f>IFERROR(H1946*(G1946/E1946),"-")</f>
        <v>4709311.2</v>
      </c>
    </row>
    <row r="1947" spans="1:10" ht="24" thickBot="1" x14ac:dyDescent="0.35">
      <c r="A1947" s="912" t="s">
        <v>110</v>
      </c>
      <c r="B1947" s="987"/>
      <c r="C1947" s="664" t="s">
        <v>380</v>
      </c>
      <c r="D1947" s="673"/>
      <c r="E1947" s="674">
        <v>0</v>
      </c>
      <c r="F1947" s="670">
        <f>IFERROR(E1947*'01 Prod Physique Boites'!H1942,"-")</f>
        <v>0</v>
      </c>
      <c r="G1947" s="676">
        <f>IFERROR(E1947*'01 Prod Physique Boites'!L1942,"-")</f>
        <v>0</v>
      </c>
      <c r="H1947" s="667">
        <v>0</v>
      </c>
      <c r="I1947" s="429" t="str">
        <f t="shared" si="1181"/>
        <v>-</v>
      </c>
      <c r="J1947" s="430" t="str">
        <f t="shared" ref="J1947" si="1182">IFERROR(I1947*(G1947/F1947),"-")</f>
        <v>-</v>
      </c>
    </row>
    <row r="1948" spans="1:10" ht="24" thickBot="1" x14ac:dyDescent="0.35">
      <c r="A1948" s="277" t="s">
        <v>110</v>
      </c>
      <c r="B1948" s="967" t="s">
        <v>49</v>
      </c>
      <c r="C1948" s="968"/>
      <c r="D1948" s="969"/>
      <c r="E1948" s="393"/>
      <c r="F1948" s="409">
        <f>SUM(F1945:F1947)</f>
        <v>518111.61600000004</v>
      </c>
      <c r="G1948" s="409">
        <f>SUM(G1945:G1947)</f>
        <v>4216133.2752</v>
      </c>
      <c r="H1948" s="394"/>
      <c r="I1948" s="409">
        <f>SUM(I1945:I1947)</f>
        <v>614592</v>
      </c>
      <c r="J1948" s="428">
        <f>SUM(J1945:J1947)</f>
        <v>5006057.76</v>
      </c>
    </row>
    <row r="1949" spans="1:10" ht="23.4" x14ac:dyDescent="0.3">
      <c r="A1949" s="277" t="s">
        <v>110</v>
      </c>
      <c r="B1949" s="956" t="s">
        <v>20</v>
      </c>
      <c r="C1949" s="294" t="s">
        <v>351</v>
      </c>
      <c r="D1949" s="294" t="s">
        <v>313</v>
      </c>
      <c r="E1949" s="508">
        <v>26.032900000000001</v>
      </c>
      <c r="F1949" s="405">
        <f>IFERROR(E1949*'01 Prod Physique Boites'!H1944,"-")</f>
        <v>0</v>
      </c>
      <c r="G1949" s="406">
        <f>IFERROR(E1949*'01 Prod Physique Boites'!L1944,"-")</f>
        <v>0</v>
      </c>
      <c r="H1949" s="384">
        <v>36.44</v>
      </c>
      <c r="I1949" s="422">
        <f>IFERROR(H1949*(F1949/E1949),"-")</f>
        <v>0</v>
      </c>
      <c r="J1949" s="423">
        <f t="shared" ref="J1949:J1951" si="1183">IFERROR(H1949*(G1949/E1949),"-")</f>
        <v>0</v>
      </c>
    </row>
    <row r="1950" spans="1:10" ht="23.4" x14ac:dyDescent="0.3">
      <c r="A1950" s="277" t="s">
        <v>110</v>
      </c>
      <c r="B1950" s="957"/>
      <c r="C1950" s="295" t="s">
        <v>121</v>
      </c>
      <c r="D1950" s="295"/>
      <c r="E1950" s="387">
        <v>24.2607</v>
      </c>
      <c r="F1950" s="405">
        <f>IFERROR(E1950*'01 Prod Physique Boites'!H1945,"-")</f>
        <v>0</v>
      </c>
      <c r="G1950" s="406">
        <f>IFERROR(E1950*'01 Prod Physique Boites'!L1945,"-")</f>
        <v>0</v>
      </c>
      <c r="H1950" s="388">
        <v>37.369999999999997</v>
      </c>
      <c r="I1950" s="424">
        <f>IFERROR(H1950*(F1950/E1950),"-")</f>
        <v>0</v>
      </c>
      <c r="J1950" s="425">
        <f t="shared" si="1183"/>
        <v>0</v>
      </c>
    </row>
    <row r="1951" spans="1:10" ht="24" thickBot="1" x14ac:dyDescent="0.35">
      <c r="A1951" s="277" t="s">
        <v>110</v>
      </c>
      <c r="B1951" s="958"/>
      <c r="C1951" s="296" t="s">
        <v>127</v>
      </c>
      <c r="D1951" s="296"/>
      <c r="E1951" s="389">
        <v>26.035799999999998</v>
      </c>
      <c r="F1951" s="405">
        <f>IFERROR(E1951*'01 Prod Physique Boites'!H1946,"-")</f>
        <v>0</v>
      </c>
      <c r="G1951" s="406">
        <f>IFERROR(E1951*'01 Prod Physique Boites'!L1946,"-")</f>
        <v>0</v>
      </c>
      <c r="H1951" s="390">
        <v>37.11</v>
      </c>
      <c r="I1951" s="426">
        <f>IFERROR(H1951*(F1951/E1951),"-")</f>
        <v>0</v>
      </c>
      <c r="J1951" s="427">
        <f t="shared" si="1183"/>
        <v>0</v>
      </c>
    </row>
    <row r="1952" spans="1:10" ht="24" thickBot="1" x14ac:dyDescent="0.35">
      <c r="A1952" s="277" t="s">
        <v>110</v>
      </c>
      <c r="B1952" s="968" t="s">
        <v>50</v>
      </c>
      <c r="C1952" s="968"/>
      <c r="D1952" s="989"/>
      <c r="E1952" s="393"/>
      <c r="F1952" s="409">
        <f t="shared" ref="F1952:G1952" si="1184">SUM(F1949:F1951)</f>
        <v>0</v>
      </c>
      <c r="G1952" s="410">
        <f t="shared" si="1184"/>
        <v>0</v>
      </c>
      <c r="H1952" s="394"/>
      <c r="I1952" s="409">
        <f t="shared" ref="I1952:J1952" si="1185">SUM(I1949:I1951)</f>
        <v>0</v>
      </c>
      <c r="J1952" s="428">
        <f t="shared" si="1185"/>
        <v>0</v>
      </c>
    </row>
    <row r="1953" spans="1:10" ht="24" thickBot="1" x14ac:dyDescent="0.35">
      <c r="A1953" s="277" t="s">
        <v>110</v>
      </c>
      <c r="B1953" s="981" t="s">
        <v>21</v>
      </c>
      <c r="C1953" s="982"/>
      <c r="D1953" s="983"/>
      <c r="E1953" s="396"/>
      <c r="F1953" s="413">
        <f>+F1928+F1936+F1944+F1948+F1952</f>
        <v>2587101.2400000002</v>
      </c>
      <c r="G1953" s="414">
        <f>+G1928+G1936+G1944+G1948+G1952</f>
        <v>45726962.0964</v>
      </c>
      <c r="H1953" s="397"/>
      <c r="I1953" s="413">
        <f>+I1928+I1936+I1944+I1948+I1952</f>
        <v>3984753.6</v>
      </c>
      <c r="J1953" s="431">
        <f>+J1928+J1936+J1944+J1948+J1952</f>
        <v>62247819.032799996</v>
      </c>
    </row>
    <row r="1954" spans="1:10" ht="23.4" x14ac:dyDescent="0.3">
      <c r="A1954" s="277" t="s">
        <v>110</v>
      </c>
      <c r="B1954" s="956" t="s">
        <v>481</v>
      </c>
      <c r="C1954" s="272" t="s">
        <v>132</v>
      </c>
      <c r="D1954" s="272"/>
      <c r="E1954" s="383">
        <v>22.820599999999999</v>
      </c>
      <c r="F1954" s="405">
        <f>IFERROR(E1954*'01 Prod Physique Boites'!H1949,"-")</f>
        <v>0</v>
      </c>
      <c r="G1954" s="406">
        <f>IFERROR(E1954*'01 Prod Physique Boites'!L1949,"-")</f>
        <v>0</v>
      </c>
      <c r="H1954" s="384">
        <v>27.5</v>
      </c>
      <c r="I1954" s="422">
        <f>IFERROR(H1954*(F1954/E1954),"-")</f>
        <v>0</v>
      </c>
      <c r="J1954" s="423">
        <f t="shared" ref="J1954:J1957" si="1186">IFERROR(H1954*(G1954/E1954),"-")</f>
        <v>0</v>
      </c>
    </row>
    <row r="1955" spans="1:10" ht="23.4" x14ac:dyDescent="0.3">
      <c r="A1955" s="277" t="s">
        <v>110</v>
      </c>
      <c r="B1955" s="957"/>
      <c r="C1955" s="298" t="s">
        <v>283</v>
      </c>
      <c r="D1955" s="298" t="s">
        <v>194</v>
      </c>
      <c r="E1955" s="387">
        <v>23.570699999999999</v>
      </c>
      <c r="F1955" s="405">
        <f>IFERROR(E1955*'01 Prod Physique Boites'!H1950,"-")</f>
        <v>0</v>
      </c>
      <c r="G1955" s="406">
        <f>IFERROR(E1955*'01 Prod Physique Boites'!L1950,"-")</f>
        <v>0</v>
      </c>
      <c r="H1955" s="388">
        <v>27.5</v>
      </c>
      <c r="I1955" s="424">
        <f>IFERROR(H1955*(F1955/E1955),"-")</f>
        <v>0</v>
      </c>
      <c r="J1955" s="425">
        <f t="shared" si="1186"/>
        <v>0</v>
      </c>
    </row>
    <row r="1956" spans="1:10" ht="23.4" x14ac:dyDescent="0.3">
      <c r="A1956" s="277" t="s">
        <v>110</v>
      </c>
      <c r="B1956" s="957"/>
      <c r="C1956" s="298" t="s">
        <v>405</v>
      </c>
      <c r="D1956" s="298" t="s">
        <v>194</v>
      </c>
      <c r="E1956" s="387">
        <v>22.820599999999999</v>
      </c>
      <c r="F1956" s="405">
        <f>IFERROR(E1956*'01 Prod Physique Boites'!H1951,"-")</f>
        <v>0</v>
      </c>
      <c r="G1956" s="406">
        <f>IFERROR(E1956*'01 Prod Physique Boites'!L1951,"-")</f>
        <v>8207885.2019999996</v>
      </c>
      <c r="H1956" s="388">
        <v>27.5</v>
      </c>
      <c r="I1956" s="424">
        <f>IFERROR(H1956*(F1956/E1956),"-")</f>
        <v>0</v>
      </c>
      <c r="J1956" s="425">
        <f t="shared" si="1186"/>
        <v>9890925</v>
      </c>
    </row>
    <row r="1957" spans="1:10" ht="24" thickBot="1" x14ac:dyDescent="0.35">
      <c r="A1957" s="277" t="s">
        <v>110</v>
      </c>
      <c r="B1957" s="958"/>
      <c r="C1957" s="282" t="s">
        <v>195</v>
      </c>
      <c r="D1957" s="282" t="s">
        <v>100</v>
      </c>
      <c r="E1957" s="389">
        <v>23.5685</v>
      </c>
      <c r="F1957" s="405">
        <f>IFERROR(E1957*'01 Prod Physique Boites'!H1952,"-")</f>
        <v>0</v>
      </c>
      <c r="G1957" s="406">
        <f>IFERROR(E1957*'01 Prod Physique Boites'!L1952,"-")</f>
        <v>0</v>
      </c>
      <c r="H1957" s="390">
        <v>24</v>
      </c>
      <c r="I1957" s="426">
        <f>IFERROR(H1957*(F1957/E1957),"-")</f>
        <v>0</v>
      </c>
      <c r="J1957" s="427">
        <f t="shared" si="1186"/>
        <v>0</v>
      </c>
    </row>
    <row r="1958" spans="1:10" ht="24" thickBot="1" x14ac:dyDescent="0.35">
      <c r="A1958" s="277" t="s">
        <v>110</v>
      </c>
      <c r="B1958" s="967" t="s">
        <v>51</v>
      </c>
      <c r="C1958" s="968"/>
      <c r="D1958" s="969"/>
      <c r="E1958" s="393"/>
      <c r="F1958" s="409">
        <f t="shared" ref="F1958:G1958" si="1187">SUM(F1954:F1957)</f>
        <v>0</v>
      </c>
      <c r="G1958" s="410">
        <f t="shared" si="1187"/>
        <v>8207885.2019999996</v>
      </c>
      <c r="H1958" s="394"/>
      <c r="I1958" s="409">
        <f t="shared" ref="I1958:J1958" si="1188">SUM(I1954:I1957)</f>
        <v>0</v>
      </c>
      <c r="J1958" s="428">
        <f t="shared" si="1188"/>
        <v>9890925</v>
      </c>
    </row>
    <row r="1959" spans="1:10" ht="23.4" x14ac:dyDescent="0.3">
      <c r="A1959" s="277" t="s">
        <v>110</v>
      </c>
      <c r="B1959" s="956" t="s">
        <v>23</v>
      </c>
      <c r="C1959" s="299" t="s">
        <v>337</v>
      </c>
      <c r="D1959" s="299" t="s">
        <v>258</v>
      </c>
      <c r="E1959" s="383">
        <v>101.4935</v>
      </c>
      <c r="F1959" s="405">
        <f>IFERROR(E1959*'01 Prod Physique Boites'!H1954,"-")</f>
        <v>0</v>
      </c>
      <c r="G1959" s="406">
        <f>IFERROR(E1959*'01 Prod Physique Boites'!L1954,"-")</f>
        <v>1117646.422</v>
      </c>
      <c r="H1959" s="388">
        <v>160.44999999999999</v>
      </c>
      <c r="I1959" s="422">
        <f t="shared" ref="I1959:I1966" si="1189">IFERROR(H1959*(F1959/E1959),"-")</f>
        <v>0</v>
      </c>
      <c r="J1959" s="423">
        <f t="shared" ref="J1959:J1966" si="1190">IFERROR(H1959*(G1959/E1959),"-")</f>
        <v>1766875.4</v>
      </c>
    </row>
    <row r="1960" spans="1:10" ht="23.4" x14ac:dyDescent="0.3">
      <c r="A1960" s="277" t="s">
        <v>110</v>
      </c>
      <c r="B1960" s="957"/>
      <c r="C1960" s="278" t="s">
        <v>24</v>
      </c>
      <c r="D1960" s="278" t="s">
        <v>258</v>
      </c>
      <c r="E1960" s="387">
        <v>101.4935</v>
      </c>
      <c r="F1960" s="405">
        <f>IFERROR(E1960*'01 Prod Physique Boites'!H1955,"-")</f>
        <v>1776136.25</v>
      </c>
      <c r="G1960" s="406">
        <f>IFERROR(E1960*'01 Prod Physique Boites'!L1955,"-")</f>
        <v>6494061.5975000001</v>
      </c>
      <c r="H1960" s="388">
        <v>160.44999999999999</v>
      </c>
      <c r="I1960" s="424">
        <f t="shared" si="1189"/>
        <v>2807875</v>
      </c>
      <c r="J1960" s="425">
        <f t="shared" si="1190"/>
        <v>10266393.25</v>
      </c>
    </row>
    <row r="1961" spans="1:10" ht="23.4" x14ac:dyDescent="0.3">
      <c r="A1961" s="277" t="s">
        <v>110</v>
      </c>
      <c r="B1961" s="957"/>
      <c r="C1961" s="278" t="s">
        <v>256</v>
      </c>
      <c r="D1961" s="278" t="s">
        <v>258</v>
      </c>
      <c r="E1961" s="387">
        <v>101.4935</v>
      </c>
      <c r="F1961" s="405">
        <f>IFERROR(E1961*'01 Prod Physique Boites'!H1956,"-")</f>
        <v>0</v>
      </c>
      <c r="G1961" s="406">
        <f>IFERROR(E1961*'01 Prod Physique Boites'!L1956,"-")</f>
        <v>1983690.4575</v>
      </c>
      <c r="H1961" s="388">
        <v>160.44999999999999</v>
      </c>
      <c r="I1961" s="424">
        <f t="shared" si="1189"/>
        <v>0</v>
      </c>
      <c r="J1961" s="425">
        <f t="shared" si="1190"/>
        <v>3135995.25</v>
      </c>
    </row>
    <row r="1962" spans="1:10" ht="23.4" x14ac:dyDescent="0.3">
      <c r="A1962" s="277" t="s">
        <v>110</v>
      </c>
      <c r="B1962" s="957"/>
      <c r="C1962" s="278" t="s">
        <v>257</v>
      </c>
      <c r="D1962" s="278" t="s">
        <v>258</v>
      </c>
      <c r="E1962" s="387">
        <v>101.4935</v>
      </c>
      <c r="F1962" s="405">
        <f>IFERROR(E1962*'01 Prod Physique Boites'!H1957,"-")</f>
        <v>0</v>
      </c>
      <c r="G1962" s="406">
        <f>IFERROR(E1962*'01 Prod Physique Boites'!L1957,"-")</f>
        <v>2066509.1535</v>
      </c>
      <c r="H1962" s="388">
        <v>160.44999999999999</v>
      </c>
      <c r="I1962" s="424">
        <f t="shared" si="1189"/>
        <v>0</v>
      </c>
      <c r="J1962" s="425">
        <f t="shared" si="1190"/>
        <v>3266922.4499999997</v>
      </c>
    </row>
    <row r="1963" spans="1:10" ht="23.4" x14ac:dyDescent="0.3">
      <c r="A1963" s="277" t="s">
        <v>110</v>
      </c>
      <c r="B1963" s="957"/>
      <c r="C1963" s="298" t="s">
        <v>259</v>
      </c>
      <c r="D1963" s="278" t="s">
        <v>258</v>
      </c>
      <c r="E1963" s="387">
        <v>101.4935</v>
      </c>
      <c r="F1963" s="405">
        <f>IFERROR(E1963*'01 Prod Physique Boites'!H1958,"-")</f>
        <v>0</v>
      </c>
      <c r="G1963" s="406">
        <f>IFERROR(E1963*'01 Prod Physique Boites'!L1958,"-")</f>
        <v>1249080.5045</v>
      </c>
      <c r="H1963" s="388">
        <v>160.44999999999999</v>
      </c>
      <c r="I1963" s="424">
        <f t="shared" si="1189"/>
        <v>0</v>
      </c>
      <c r="J1963" s="425">
        <f t="shared" si="1190"/>
        <v>1974658.15</v>
      </c>
    </row>
    <row r="1964" spans="1:10" ht="23.4" x14ac:dyDescent="0.3">
      <c r="A1964" s="277" t="s">
        <v>110</v>
      </c>
      <c r="B1964" s="957"/>
      <c r="C1964" s="298" t="s">
        <v>260</v>
      </c>
      <c r="D1964" s="278" t="s">
        <v>258</v>
      </c>
      <c r="E1964" s="387">
        <v>101.4935</v>
      </c>
      <c r="F1964" s="405">
        <f>IFERROR(E1964*'01 Prod Physique Boites'!H1959,"-")</f>
        <v>0</v>
      </c>
      <c r="G1964" s="406">
        <f>IFERROR(E1964*'01 Prod Physique Boites'!L1959,"-")</f>
        <v>2708049.5669999998</v>
      </c>
      <c r="H1964" s="388">
        <v>160.44999999999999</v>
      </c>
      <c r="I1964" s="424">
        <f t="shared" si="1189"/>
        <v>0</v>
      </c>
      <c r="J1964" s="425">
        <f t="shared" si="1190"/>
        <v>4281126.8999999994</v>
      </c>
    </row>
    <row r="1965" spans="1:10" ht="23.4" x14ac:dyDescent="0.3">
      <c r="A1965" s="277" t="s">
        <v>110</v>
      </c>
      <c r="B1965" s="957"/>
      <c r="C1965" s="298" t="s">
        <v>261</v>
      </c>
      <c r="D1965" s="278" t="s">
        <v>263</v>
      </c>
      <c r="E1965" s="387">
        <v>101.4935</v>
      </c>
      <c r="F1965" s="405">
        <f>IFERROR(E1965*'01 Prod Physique Boites'!H1960,"-")</f>
        <v>0</v>
      </c>
      <c r="G1965" s="406">
        <f>IFERROR(E1965*'01 Prod Physique Boites'!L1960,"-")</f>
        <v>2384082.3149999999</v>
      </c>
      <c r="H1965" s="388">
        <v>160.44999999999999</v>
      </c>
      <c r="I1965" s="424">
        <f t="shared" si="1189"/>
        <v>0</v>
      </c>
      <c r="J1965" s="425">
        <f t="shared" si="1190"/>
        <v>3768970.4999999995</v>
      </c>
    </row>
    <row r="1966" spans="1:10" ht="24" thickBot="1" x14ac:dyDescent="0.35">
      <c r="A1966" s="277" t="s">
        <v>110</v>
      </c>
      <c r="B1966" s="958"/>
      <c r="C1966" s="298" t="s">
        <v>262</v>
      </c>
      <c r="D1966" s="278" t="s">
        <v>258</v>
      </c>
      <c r="E1966" s="389">
        <v>101.4935</v>
      </c>
      <c r="F1966" s="405">
        <f>IFERROR(E1966*'01 Prod Physique Boites'!H1961,"-")</f>
        <v>0</v>
      </c>
      <c r="G1966" s="406">
        <f>IFERROR(E1966*'01 Prod Physique Boites'!L1961,"-")</f>
        <v>3565466.6549999998</v>
      </c>
      <c r="H1966" s="388">
        <v>160.44999999999999</v>
      </c>
      <c r="I1966" s="426">
        <f t="shared" si="1189"/>
        <v>0</v>
      </c>
      <c r="J1966" s="427">
        <f t="shared" si="1190"/>
        <v>5636608.5</v>
      </c>
    </row>
    <row r="1967" spans="1:10" ht="24" thickBot="1" x14ac:dyDescent="0.35">
      <c r="A1967" s="277" t="s">
        <v>110</v>
      </c>
      <c r="B1967" s="967" t="s">
        <v>52</v>
      </c>
      <c r="C1967" s="968"/>
      <c r="D1967" s="969"/>
      <c r="E1967" s="393"/>
      <c r="F1967" s="409">
        <f t="shared" ref="F1967" si="1191">SUM(F1959:F1966)</f>
        <v>1776136.25</v>
      </c>
      <c r="G1967" s="410">
        <f>SUM(G1959:G1966)</f>
        <v>21568586.672000002</v>
      </c>
      <c r="H1967" s="394"/>
      <c r="I1967" s="409">
        <f t="shared" ref="I1967" si="1192">SUM(I1959:I1966)</f>
        <v>2807875</v>
      </c>
      <c r="J1967" s="428">
        <f>SUM(J1959:J1966)</f>
        <v>34097550.399999999</v>
      </c>
    </row>
    <row r="1968" spans="1:10" ht="24" thickBot="1" x14ac:dyDescent="0.35">
      <c r="A1968" s="277" t="s">
        <v>110</v>
      </c>
      <c r="B1968" s="981" t="s">
        <v>25</v>
      </c>
      <c r="C1968" s="982"/>
      <c r="D1968" s="983"/>
      <c r="E1968" s="396"/>
      <c r="F1968" s="413">
        <f t="shared" ref="F1968" si="1193">+F1958+F1967</f>
        <v>1776136.25</v>
      </c>
      <c r="G1968" s="414">
        <f>+G1958+G1967</f>
        <v>29776471.874000002</v>
      </c>
      <c r="H1968" s="397"/>
      <c r="I1968" s="413">
        <f t="shared" ref="I1968:J1968" si="1194">+I1958+I1967</f>
        <v>2807875</v>
      </c>
      <c r="J1968" s="431">
        <f t="shared" si="1194"/>
        <v>43988475.399999999</v>
      </c>
    </row>
    <row r="1969" spans="1:10" ht="24" thickBot="1" x14ac:dyDescent="0.35">
      <c r="A1969" s="277" t="s">
        <v>110</v>
      </c>
      <c r="B1969" s="984" t="s">
        <v>180</v>
      </c>
      <c r="C1969" s="962"/>
      <c r="D1969" s="963"/>
      <c r="E1969" s="398"/>
      <c r="F1969" s="415">
        <f t="shared" ref="F1969" si="1195">+F1953+F1968</f>
        <v>4363237.49</v>
      </c>
      <c r="G1969" s="416">
        <f>+G1953+G1968</f>
        <v>75503433.970400006</v>
      </c>
      <c r="H1969" s="399"/>
      <c r="I1969" s="415">
        <f t="shared" ref="I1969:J1969" si="1196">+I1953+I1968</f>
        <v>6792628.5999999996</v>
      </c>
      <c r="J1969" s="432">
        <f t="shared" si="1196"/>
        <v>106236294.43279999</v>
      </c>
    </row>
    <row r="1970" spans="1:10" ht="23.4" x14ac:dyDescent="0.3">
      <c r="A1970" s="271" t="s">
        <v>108</v>
      </c>
      <c r="B1970" s="977" t="s">
        <v>26</v>
      </c>
      <c r="C1970" s="300" t="s">
        <v>323</v>
      </c>
      <c r="D1970" s="302" t="s">
        <v>190</v>
      </c>
      <c r="E1970" s="508">
        <v>13.1272</v>
      </c>
      <c r="F1970" s="405">
        <f>+'01 Prod Physique Boites'!H1965</f>
        <v>0</v>
      </c>
      <c r="G1970" s="406">
        <f>IFERROR(E1970*'01 Prod Physique Boites'!L1965,"-")</f>
        <v>0</v>
      </c>
      <c r="H1970" s="384">
        <v>20.76</v>
      </c>
      <c r="I1970" s="422">
        <f t="shared" ref="I1970:I1979" si="1197">IFERROR(H1970*(F1970/E1970),"-")</f>
        <v>0</v>
      </c>
      <c r="J1970" s="644">
        <f t="shared" ref="J1970:J1979" si="1198">IFERROR(H1970*(G1970/E1970),"-")</f>
        <v>0</v>
      </c>
    </row>
    <row r="1971" spans="1:10" ht="23.4" x14ac:dyDescent="0.3">
      <c r="A1971" s="277" t="s">
        <v>108</v>
      </c>
      <c r="B1971" s="977"/>
      <c r="C1971" s="301" t="s">
        <v>508</v>
      </c>
      <c r="D1971" s="301" t="s">
        <v>507</v>
      </c>
      <c r="E1971" s="509">
        <v>16.7288</v>
      </c>
      <c r="F1971" s="405">
        <f>IFERROR(E1971*'01 Prod Physique Boites'!H1966,"-")</f>
        <v>0</v>
      </c>
      <c r="G1971" s="406">
        <f>IFERROR(E1971*'01 Prod Physique Boites'!L1966,"-")</f>
        <v>3127716.8207999999</v>
      </c>
      <c r="H1971" s="388">
        <v>20.76</v>
      </c>
      <c r="I1971" s="424">
        <f t="shared" si="1197"/>
        <v>0</v>
      </c>
      <c r="J1971" s="645">
        <f t="shared" si="1198"/>
        <v>3881414.16</v>
      </c>
    </row>
    <row r="1972" spans="1:10" ht="23.4" x14ac:dyDescent="0.3">
      <c r="A1972" s="277" t="s">
        <v>108</v>
      </c>
      <c r="B1972" s="977"/>
      <c r="C1972" s="302" t="s">
        <v>27</v>
      </c>
      <c r="D1972" s="302" t="s">
        <v>370</v>
      </c>
      <c r="E1972" s="505">
        <v>17.8202</v>
      </c>
      <c r="F1972" s="405">
        <f>IFERROR(E1972*'01 Prod Physique Boites'!H1967,"-")</f>
        <v>0</v>
      </c>
      <c r="G1972" s="406">
        <f>IFERROR(E1972*'01 Prod Physique Boites'!L1967,"-")</f>
        <v>258250.33840000001</v>
      </c>
      <c r="H1972" s="388">
        <v>21.22</v>
      </c>
      <c r="I1972" s="424">
        <f t="shared" si="1197"/>
        <v>0</v>
      </c>
      <c r="J1972" s="645">
        <f t="shared" si="1198"/>
        <v>307520.24</v>
      </c>
    </row>
    <row r="1973" spans="1:10" ht="23.4" x14ac:dyDescent="0.3">
      <c r="A1973" s="277" t="s">
        <v>108</v>
      </c>
      <c r="B1973" s="977"/>
      <c r="C1973" s="302" t="s">
        <v>27</v>
      </c>
      <c r="D1973" s="302" t="s">
        <v>254</v>
      </c>
      <c r="E1973" s="505">
        <v>17.8202</v>
      </c>
      <c r="F1973" s="405">
        <f>IFERROR(E1973*'01 Prod Physique Boites'!H1968,"-")</f>
        <v>0</v>
      </c>
      <c r="G1973" s="406">
        <f>IFERROR(E1973*'01 Prod Physique Boites'!L1968,"-")</f>
        <v>710651.75580000004</v>
      </c>
      <c r="H1973" s="388">
        <v>24.93</v>
      </c>
      <c r="I1973" s="424">
        <f t="shared" si="1197"/>
        <v>0</v>
      </c>
      <c r="J1973" s="645">
        <f t="shared" si="1198"/>
        <v>994183.47</v>
      </c>
    </row>
    <row r="1974" spans="1:10" ht="23.4" x14ac:dyDescent="0.3">
      <c r="A1974" s="277" t="s">
        <v>108</v>
      </c>
      <c r="B1974" s="977"/>
      <c r="C1974" s="302" t="s">
        <v>27</v>
      </c>
      <c r="D1974" s="302" t="s">
        <v>302</v>
      </c>
      <c r="E1974" s="505">
        <v>17.8202</v>
      </c>
      <c r="F1974" s="405">
        <f>IFERROR(E1974*'01 Prod Physique Boites'!H1969,"-")</f>
        <v>0</v>
      </c>
      <c r="G1974" s="406">
        <f>IFERROR(E1974*'01 Prod Physique Boites'!L1969,"-")</f>
        <v>103891.766</v>
      </c>
      <c r="H1974" s="388">
        <v>24.93</v>
      </c>
      <c r="I1974" s="424">
        <f t="shared" si="1197"/>
        <v>0</v>
      </c>
      <c r="J1974" s="645">
        <f t="shared" si="1198"/>
        <v>145341.9</v>
      </c>
    </row>
    <row r="1975" spans="1:10" ht="23.4" x14ac:dyDescent="0.3">
      <c r="A1975" s="277"/>
      <c r="B1975" s="977"/>
      <c r="C1975" s="302" t="s">
        <v>546</v>
      </c>
      <c r="D1975" s="302" t="s">
        <v>191</v>
      </c>
      <c r="E1975" s="505">
        <v>14.608000000000001</v>
      </c>
      <c r="F1975" s="405">
        <f>IFERROR(E1975*'01 Prod Physique Boites'!H1970,"-")</f>
        <v>0</v>
      </c>
      <c r="G1975" s="406">
        <f>IFERROR(E1975*'01 Prod Physique Boites'!L1970,"-")</f>
        <v>58110.624000000003</v>
      </c>
      <c r="H1975" s="390">
        <v>24.93</v>
      </c>
      <c r="I1975" s="424">
        <f t="shared" si="1197"/>
        <v>0</v>
      </c>
      <c r="J1975" s="646">
        <f t="shared" si="1198"/>
        <v>99171.54</v>
      </c>
    </row>
    <row r="1976" spans="1:10" ht="23.4" x14ac:dyDescent="0.3">
      <c r="A1976" s="277"/>
      <c r="B1976" s="977"/>
      <c r="C1976" s="302" t="s">
        <v>545</v>
      </c>
      <c r="D1976" s="302" t="s">
        <v>101</v>
      </c>
      <c r="E1976" s="505">
        <v>17.8202</v>
      </c>
      <c r="F1976" s="863">
        <f>IFERROR(E1976*'01 Prod Physique Boites'!H1971,"-")</f>
        <v>0</v>
      </c>
      <c r="G1976" s="406">
        <f>IFERROR(E1976*'01 Prod Physique Boites'!L1971,"-")</f>
        <v>105121.35980000001</v>
      </c>
      <c r="H1976" s="390">
        <v>24.93</v>
      </c>
      <c r="I1976" s="426">
        <f t="shared" si="1197"/>
        <v>0</v>
      </c>
      <c r="J1976" s="646">
        <f t="shared" si="1198"/>
        <v>147062.07</v>
      </c>
    </row>
    <row r="1977" spans="1:10" s="870" customFormat="1" ht="23.4" x14ac:dyDescent="0.3">
      <c r="A1977" s="864"/>
      <c r="B1977" s="977"/>
      <c r="C1977" s="865" t="s">
        <v>453</v>
      </c>
      <c r="D1977" s="865" t="s">
        <v>454</v>
      </c>
      <c r="E1977" s="866">
        <v>16.345199999999998</v>
      </c>
      <c r="F1977" s="863">
        <f>IFERROR(E1977*'01 Prod Physique Boites'!H1973,"-")</f>
        <v>0</v>
      </c>
      <c r="G1977" s="867">
        <f>IFERROR(E1977*'01 Prod Physique Boites'!L1973,"-")</f>
        <v>639375.18839999998</v>
      </c>
      <c r="H1977" s="868">
        <v>23.78</v>
      </c>
      <c r="I1977" s="869">
        <f t="shared" si="1197"/>
        <v>0</v>
      </c>
      <c r="J1977" s="646">
        <f t="shared" si="1198"/>
        <v>930202.26</v>
      </c>
    </row>
    <row r="1978" spans="1:10" s="870" customFormat="1" ht="23.4" x14ac:dyDescent="0.3">
      <c r="A1978" s="864"/>
      <c r="B1978" s="977"/>
      <c r="C1978" s="865"/>
      <c r="D1978" s="865"/>
      <c r="E1978" s="866">
        <v>16.7288</v>
      </c>
      <c r="F1978" s="863">
        <f>IFERROR(E1978*'01 Prod Physique Boites'!H1972,"-")</f>
        <v>0</v>
      </c>
      <c r="G1978" s="867">
        <f>IFERROR(E1978*'01 Prod Physique Boites'!L1972,"-")</f>
        <v>40952.102399999996</v>
      </c>
      <c r="H1978" s="868">
        <v>25.49</v>
      </c>
      <c r="I1978" s="869">
        <f t="shared" si="1197"/>
        <v>0</v>
      </c>
      <c r="J1978" s="646">
        <f t="shared" si="1198"/>
        <v>62399.519999999997</v>
      </c>
    </row>
    <row r="1979" spans="1:10" ht="24" thickBot="1" x14ac:dyDescent="0.35">
      <c r="A1979" s="277" t="s">
        <v>108</v>
      </c>
      <c r="B1979" s="977"/>
      <c r="C1979" s="303" t="s">
        <v>315</v>
      </c>
      <c r="D1979" s="302" t="s">
        <v>313</v>
      </c>
      <c r="E1979" s="505">
        <v>12.6997</v>
      </c>
      <c r="F1979" s="405">
        <f>IFERROR(E1979*'01 Prod Physique Boites'!H1974,"-")</f>
        <v>0</v>
      </c>
      <c r="G1979" s="867">
        <f>IFERROR(E1979*'01 Prod Physique Boites'!L1974,"-")</f>
        <v>202077.62640000001</v>
      </c>
      <c r="H1979" s="390">
        <v>13.25</v>
      </c>
      <c r="I1979" s="426">
        <f t="shared" si="1197"/>
        <v>0</v>
      </c>
      <c r="J1979" s="646">
        <f t="shared" si="1198"/>
        <v>210834</v>
      </c>
    </row>
    <row r="1980" spans="1:10" ht="24" thickBot="1" x14ac:dyDescent="0.35">
      <c r="A1980" s="277" t="s">
        <v>108</v>
      </c>
      <c r="B1980" s="990"/>
      <c r="C1980" s="304"/>
      <c r="D1980" s="305" t="s">
        <v>55</v>
      </c>
      <c r="E1980" s="393"/>
      <c r="F1980" s="409">
        <f>SUM(F1970:F1979)</f>
        <v>0</v>
      </c>
      <c r="G1980" s="410">
        <f>SUM(G1970:G1979)</f>
        <v>5246147.5820000004</v>
      </c>
      <c r="H1980" s="394"/>
      <c r="I1980" s="409">
        <f>SUM(I1970:I1979)</f>
        <v>0</v>
      </c>
      <c r="J1980" s="428">
        <f>SUM(J1970:J1979)</f>
        <v>6778129.1600000001</v>
      </c>
    </row>
    <row r="1981" spans="1:10" ht="23.4" x14ac:dyDescent="0.3">
      <c r="A1981" s="277" t="s">
        <v>108</v>
      </c>
      <c r="B1981" s="976" t="s">
        <v>28</v>
      </c>
      <c r="C1981" s="302" t="s">
        <v>27</v>
      </c>
      <c r="D1981" s="300" t="s">
        <v>302</v>
      </c>
      <c r="E1981" s="508">
        <v>17.8202</v>
      </c>
      <c r="F1981" s="405">
        <f>IFERROR(E1981*'01 Prod Physique Boites'!H1976,"-")</f>
        <v>0</v>
      </c>
      <c r="G1981" s="406">
        <f>IFERROR(E1981*'01 Prod Physique Boites'!L1976,"-")</f>
        <v>2906438.9796000002</v>
      </c>
      <c r="H1981" s="384">
        <v>24.93</v>
      </c>
      <c r="I1981" s="422">
        <f>IFERROR(H1981*(F1981/E1981),"-")</f>
        <v>0</v>
      </c>
      <c r="J1981" s="644">
        <f t="shared" ref="J1981:J1985" si="1199">IFERROR(H1981*(G1981/E1981),"-")</f>
        <v>4066033.14</v>
      </c>
    </row>
    <row r="1982" spans="1:10" ht="23.4" x14ac:dyDescent="0.3">
      <c r="A1982" s="277" t="s">
        <v>108</v>
      </c>
      <c r="B1982" s="977"/>
      <c r="C1982" s="302" t="s">
        <v>456</v>
      </c>
      <c r="D1982" s="302" t="s">
        <v>370</v>
      </c>
      <c r="E1982" s="773">
        <v>16.7288</v>
      </c>
      <c r="F1982" s="405">
        <f>IFERROR(E1982*'01 Prod Physique Boites'!H1977,"-")</f>
        <v>998207.49599999993</v>
      </c>
      <c r="G1982" s="406">
        <f>IFERROR(E1982*'01 Prod Physique Boites'!L1977,"-")</f>
        <v>21090332.736000001</v>
      </c>
      <c r="H1982" s="770">
        <v>20.76</v>
      </c>
      <c r="I1982" s="424">
        <f>IFERROR(H1982*(F1982/E1982),"-")</f>
        <v>1238749.2000000002</v>
      </c>
      <c r="J1982" s="645">
        <f t="shared" si="1199"/>
        <v>26172547.200000003</v>
      </c>
    </row>
    <row r="1983" spans="1:10" ht="23.4" x14ac:dyDescent="0.3">
      <c r="A1983" s="277" t="s">
        <v>108</v>
      </c>
      <c r="B1983" s="977"/>
      <c r="C1983" s="302" t="s">
        <v>455</v>
      </c>
      <c r="D1983" s="302" t="s">
        <v>370</v>
      </c>
      <c r="E1983" s="505">
        <v>17.8202</v>
      </c>
      <c r="F1983" s="405">
        <f>IFERROR(E1983*'01 Prod Physique Boites'!H1978,"-")</f>
        <v>0</v>
      </c>
      <c r="G1983" s="406">
        <f>IFERROR(E1983*'01 Prod Physique Boites'!L1978,"-")</f>
        <v>1275997.6007999999</v>
      </c>
      <c r="H1983" s="388">
        <v>21.22</v>
      </c>
      <c r="I1983" s="424">
        <f>IFERROR(H1983*(F1983/E1983),"-")</f>
        <v>0</v>
      </c>
      <c r="J1983" s="645">
        <f t="shared" si="1199"/>
        <v>1519436.88</v>
      </c>
    </row>
    <row r="1984" spans="1:10" ht="23.4" x14ac:dyDescent="0.3">
      <c r="A1984" s="277"/>
      <c r="B1984" s="977"/>
      <c r="C1984" s="302" t="s">
        <v>453</v>
      </c>
      <c r="D1984" s="302" t="s">
        <v>454</v>
      </c>
      <c r="E1984" s="773">
        <v>16.345199999999998</v>
      </c>
      <c r="F1984" s="405">
        <f>IFERROR(E1984*'01 Prod Physique Boites'!H1979,"-")</f>
        <v>0</v>
      </c>
      <c r="G1984" s="406">
        <f>IFERROR(E1984*'01 Prod Physique Boites'!L1979,"-")</f>
        <v>4031314.7471999996</v>
      </c>
      <c r="H1984" s="388">
        <v>23.78</v>
      </c>
      <c r="I1984" s="426">
        <f>IFERROR(H1984*(F1984/E1984),"-")</f>
        <v>0</v>
      </c>
      <c r="J1984" s="646">
        <f t="shared" si="1199"/>
        <v>5865004.0800000001</v>
      </c>
    </row>
    <row r="1985" spans="1:10" ht="24" thickBot="1" x14ac:dyDescent="0.35">
      <c r="A1985" s="277" t="s">
        <v>108</v>
      </c>
      <c r="B1985" s="977"/>
      <c r="C1985" s="302" t="s">
        <v>27</v>
      </c>
      <c r="D1985" s="303" t="s">
        <v>254</v>
      </c>
      <c r="E1985" s="505">
        <v>17.8202</v>
      </c>
      <c r="F1985" s="405">
        <f>IFERROR(E1985*'01 Prod Physique Boites'!H1980,"-")</f>
        <v>0</v>
      </c>
      <c r="G1985" s="406">
        <f>IFERROR(E1985*'01 Prod Physique Boites'!L1980,"-")</f>
        <v>13517940.3948</v>
      </c>
      <c r="H1985" s="388">
        <v>24.93</v>
      </c>
      <c r="I1985" s="426">
        <f>IFERROR(H1985*(F1985/E1985),"-")</f>
        <v>0</v>
      </c>
      <c r="J1985" s="646">
        <f t="shared" si="1199"/>
        <v>18911249.82</v>
      </c>
    </row>
    <row r="1986" spans="1:10" ht="24" thickBot="1" x14ac:dyDescent="0.35">
      <c r="A1986" s="277" t="s">
        <v>108</v>
      </c>
      <c r="B1986" s="977"/>
      <c r="C1986" s="307"/>
      <c r="D1986" s="308" t="s">
        <v>55</v>
      </c>
      <c r="E1986" s="400"/>
      <c r="F1986" s="417">
        <f t="shared" ref="F1986:G1986" si="1200">SUM(F1981:F1985)</f>
        <v>998207.49599999993</v>
      </c>
      <c r="G1986" s="418">
        <f t="shared" si="1200"/>
        <v>42822024.458400004</v>
      </c>
      <c r="H1986" s="401"/>
      <c r="I1986" s="417">
        <f t="shared" ref="I1986:J1986" si="1201">SUM(I1981:I1985)</f>
        <v>1238749.2000000002</v>
      </c>
      <c r="J1986" s="433">
        <f t="shared" si="1201"/>
        <v>56534271.120000005</v>
      </c>
    </row>
    <row r="1987" spans="1:10" ht="24" thickBot="1" x14ac:dyDescent="0.35">
      <c r="A1987" s="912" t="s">
        <v>108</v>
      </c>
      <c r="B1987" s="978" t="s">
        <v>170</v>
      </c>
      <c r="C1987" s="979"/>
      <c r="D1987" s="980"/>
      <c r="E1987" s="402"/>
      <c r="F1987" s="419">
        <f t="shared" ref="F1987:G1987" si="1202">+F1980+F1986</f>
        <v>998207.49599999993</v>
      </c>
      <c r="G1987" s="420">
        <f t="shared" si="1202"/>
        <v>48068172.040400006</v>
      </c>
      <c r="H1987" s="403"/>
      <c r="I1987" s="419">
        <f t="shared" ref="I1987:J1987" si="1203">+I1980+I1986</f>
        <v>1238749.2000000002</v>
      </c>
      <c r="J1987" s="434">
        <f t="shared" si="1203"/>
        <v>63312400.280000001</v>
      </c>
    </row>
    <row r="1988" spans="1:10" ht="23.4" x14ac:dyDescent="0.3">
      <c r="A1988" s="277" t="s">
        <v>108</v>
      </c>
      <c r="B1988" s="977" t="s">
        <v>30</v>
      </c>
      <c r="C1988" s="306" t="s">
        <v>586</v>
      </c>
      <c r="D1988" s="302" t="s">
        <v>370</v>
      </c>
      <c r="E1988" s="917">
        <v>27.917000000000002</v>
      </c>
      <c r="F1988" s="405">
        <f>IFERROR(E1988*'01 Prod Physique Boites'!H1983,"-")</f>
        <v>0</v>
      </c>
      <c r="G1988" s="867">
        <f>IFERROR(E1988*'01 Prod Physique Boites'!L1983,"-")</f>
        <v>313563.74400000001</v>
      </c>
      <c r="H1988" s="915">
        <v>33.299999999999997</v>
      </c>
      <c r="I1988" s="422">
        <f>IFERROR(H1988*(F1988/E1988),"-")</f>
        <v>0</v>
      </c>
      <c r="J1988" s="423">
        <f t="shared" ref="J1988" si="1204">IFERROR(H1988*(G1988/E1988),"-")</f>
        <v>374025.6</v>
      </c>
    </row>
    <row r="1989" spans="1:10" ht="23.4" x14ac:dyDescent="0.3">
      <c r="A1989" s="277" t="s">
        <v>108</v>
      </c>
      <c r="B1989" s="977"/>
      <c r="C1989" s="303" t="s">
        <v>584</v>
      </c>
      <c r="D1989" s="306" t="s">
        <v>454</v>
      </c>
      <c r="E1989" s="914">
        <v>28.526700000000002</v>
      </c>
      <c r="F1989" s="405">
        <f>IFERROR(E1989*'01 Prod Physique Boites'!H1984,"-")</f>
        <v>0</v>
      </c>
      <c r="G1989" s="867">
        <f>IFERROR(E1989*'01 Prod Physique Boites'!L1984,"-")</f>
        <v>6835453.7472000001</v>
      </c>
      <c r="H1989" s="916">
        <v>37.89</v>
      </c>
      <c r="I1989" s="424">
        <f>IFERROR(H1989*(F1989/E1989),"-")</f>
        <v>0</v>
      </c>
      <c r="J1989" s="425">
        <f t="shared" ref="J1989:J1990" si="1205">IFERROR(H1989*(G1989/E1989),"-")</f>
        <v>9079050.2400000002</v>
      </c>
    </row>
    <row r="1990" spans="1:10" ht="24" thickBot="1" x14ac:dyDescent="0.35">
      <c r="A1990" s="277" t="s">
        <v>108</v>
      </c>
      <c r="B1990" s="977"/>
      <c r="C1990" s="303" t="s">
        <v>316</v>
      </c>
      <c r="D1990" s="303"/>
      <c r="E1990" s="505">
        <v>25.751300000000001</v>
      </c>
      <c r="F1990" s="863">
        <f>IFERROR(E1990*'01 Prod Physique Boites'!H1985,"-")</f>
        <v>0</v>
      </c>
      <c r="G1990" s="867">
        <f>IFERROR(E1990*'01 Prod Physique Boites'!L1985,"-")</f>
        <v>4290372.5904000001</v>
      </c>
      <c r="H1990" s="390">
        <v>37.89</v>
      </c>
      <c r="I1990" s="426">
        <f>IFERROR(H1990*(F1990/E1990),"-")</f>
        <v>0</v>
      </c>
      <c r="J1990" s="427">
        <f t="shared" si="1205"/>
        <v>6312777.1200000001</v>
      </c>
    </row>
    <row r="1991" spans="1:10" ht="24" thickBot="1" x14ac:dyDescent="0.35">
      <c r="A1991" s="277" t="s">
        <v>108</v>
      </c>
      <c r="B1991" s="977"/>
      <c r="C1991" s="304"/>
      <c r="D1991" s="305" t="s">
        <v>53</v>
      </c>
      <c r="E1991" s="393"/>
      <c r="F1991" s="409">
        <f t="shared" ref="F1991:G1991" si="1206">SUM(F1988:F1990)</f>
        <v>0</v>
      </c>
      <c r="G1991" s="410">
        <f t="shared" si="1206"/>
        <v>11439390.081599999</v>
      </c>
      <c r="H1991" s="394"/>
      <c r="I1991" s="409">
        <f t="shared" ref="I1991" si="1207">SUM(I1988:I1990)</f>
        <v>0</v>
      </c>
      <c r="J1991" s="428">
        <f>SUM(J1988:J1990)</f>
        <v>15765852.960000001</v>
      </c>
    </row>
    <row r="1992" spans="1:10" ht="23.4" x14ac:dyDescent="0.3">
      <c r="A1992" s="277" t="s">
        <v>108</v>
      </c>
      <c r="B1992" s="977"/>
      <c r="C1992" s="300" t="s">
        <v>548</v>
      </c>
      <c r="D1992" s="300" t="s">
        <v>99</v>
      </c>
      <c r="E1992" s="508">
        <v>24.2607</v>
      </c>
      <c r="F1992" s="405">
        <f>IFERROR(E1992*'01 Prod Physique Boites'!H1987,"-")</f>
        <v>363328.24320000003</v>
      </c>
      <c r="G1992" s="867">
        <f>IFERROR(E1992*'01 Prod Physique Boites'!L1987,"-")</f>
        <v>386521.47240000003</v>
      </c>
      <c r="H1992" s="384">
        <v>28.31</v>
      </c>
      <c r="I1992" s="422">
        <f>IFERROR(H1992*(F1992/E1992),"-")</f>
        <v>423970.56000000006</v>
      </c>
      <c r="J1992" s="423">
        <f t="shared" ref="J1992" si="1208">IFERROR(H1992*(G1992/E1992),"-")</f>
        <v>451034.92000000004</v>
      </c>
    </row>
    <row r="1993" spans="1:10" ht="23.4" x14ac:dyDescent="0.3">
      <c r="A1993" s="277"/>
      <c r="B1993" s="977"/>
      <c r="C1993" s="306" t="s">
        <v>585</v>
      </c>
      <c r="D1993" s="302" t="s">
        <v>370</v>
      </c>
      <c r="E1993" s="508">
        <v>24.2607</v>
      </c>
      <c r="F1993" s="405">
        <f>IFERROR(E1993*'01 Prod Physique Boites'!H1988,"-")</f>
        <v>1135400.76</v>
      </c>
      <c r="G1993" s="867">
        <f>IFERROR(E1993*'01 Prod Physique Boites'!L1988,"-")</f>
        <v>1135400.76</v>
      </c>
      <c r="H1993" s="384">
        <v>28.31</v>
      </c>
      <c r="I1993" s="422">
        <f t="shared" ref="I1993:I1996" si="1209">IFERROR(H1993*(F1993/E1993),"-")</f>
        <v>1324908</v>
      </c>
      <c r="J1993" s="423">
        <f t="shared" ref="J1993:J1996" si="1210">IFERROR(H1993*(G1993/E1993),"-")</f>
        <v>1324908</v>
      </c>
    </row>
    <row r="1994" spans="1:10" ht="23.4" x14ac:dyDescent="0.3">
      <c r="A1994" s="277"/>
      <c r="B1994" s="977"/>
      <c r="C1994" s="306" t="s">
        <v>588</v>
      </c>
      <c r="D1994" s="302" t="s">
        <v>370</v>
      </c>
      <c r="E1994" s="508">
        <v>23.697399999999998</v>
      </c>
      <c r="F1994" s="405">
        <f>IFERROR(E1994*'01 Prod Physique Boites'!H1989,"-")</f>
        <v>44361.532799999994</v>
      </c>
      <c r="G1994" s="867">
        <f>IFERROR(E1994*'01 Prod Physique Boites'!L1989,"-")</f>
        <v>44361.532799999994</v>
      </c>
      <c r="H1994" s="384">
        <v>28.21</v>
      </c>
      <c r="I1994" s="422">
        <f t="shared" si="1209"/>
        <v>52809.119999999995</v>
      </c>
      <c r="J1994" s="423">
        <f t="shared" si="1210"/>
        <v>52809.119999999995</v>
      </c>
    </row>
    <row r="1995" spans="1:10" ht="23.4" x14ac:dyDescent="0.3">
      <c r="A1995" s="277" t="s">
        <v>108</v>
      </c>
      <c r="B1995" s="977"/>
      <c r="C1995" s="306" t="s">
        <v>373</v>
      </c>
      <c r="D1995" s="306" t="s">
        <v>254</v>
      </c>
      <c r="E1995" s="509">
        <v>27.917000000000002</v>
      </c>
      <c r="F1995" s="863">
        <f>IFERROR(E1995*'01 Prod Physique Boites'!H1990,"-")</f>
        <v>0</v>
      </c>
      <c r="G1995" s="867">
        <f>IFERROR(E1995*'01 Prod Physique Boites'!L1990,"-")</f>
        <v>371882.35700000002</v>
      </c>
      <c r="H1995" s="388">
        <v>39</v>
      </c>
      <c r="I1995" s="422">
        <f t="shared" si="1209"/>
        <v>0</v>
      </c>
      <c r="J1995" s="423">
        <f t="shared" si="1210"/>
        <v>519519</v>
      </c>
    </row>
    <row r="1996" spans="1:10" ht="24" thickBot="1" x14ac:dyDescent="0.35">
      <c r="A1996" s="277" t="s">
        <v>108</v>
      </c>
      <c r="B1996" s="977"/>
      <c r="C1996" s="303" t="s">
        <v>547</v>
      </c>
      <c r="D1996" s="303" t="s">
        <v>507</v>
      </c>
      <c r="E1996" s="505">
        <v>23.697399999999998</v>
      </c>
      <c r="F1996" s="405">
        <f>IFERROR(E1996*'01 Prod Physique Boites'!H1991,"-")</f>
        <v>0</v>
      </c>
      <c r="G1996" s="406">
        <f>IFERROR(E1996*'01 Prod Physique Boites'!L1991,"-")</f>
        <v>20024.303</v>
      </c>
      <c r="H1996" s="390">
        <v>28.21</v>
      </c>
      <c r="I1996" s="422">
        <f t="shared" si="1209"/>
        <v>0</v>
      </c>
      <c r="J1996" s="423">
        <f t="shared" si="1210"/>
        <v>23837.450000000004</v>
      </c>
    </row>
    <row r="1997" spans="1:10" ht="24" thickBot="1" x14ac:dyDescent="0.35">
      <c r="A1997" s="277" t="s">
        <v>108</v>
      </c>
      <c r="B1997" s="977"/>
      <c r="C1997" s="307"/>
      <c r="D1997" s="308" t="s">
        <v>54</v>
      </c>
      <c r="E1997" s="400"/>
      <c r="F1997" s="417">
        <f t="shared" ref="F1997:G1997" si="1211">SUM(F1992:F1996)</f>
        <v>1543090.5360000001</v>
      </c>
      <c r="G1997" s="418">
        <f t="shared" si="1211"/>
        <v>1958190.4252000002</v>
      </c>
      <c r="H1997" s="401"/>
      <c r="I1997" s="417">
        <f t="shared" ref="I1997" si="1212">SUM(I1992:I1996)</f>
        <v>1801687.6800000002</v>
      </c>
      <c r="J1997" s="433">
        <f>SUM(J1992:J1996)</f>
        <v>2372108.4900000002</v>
      </c>
    </row>
    <row r="1998" spans="1:10" ht="24" thickBot="1" x14ac:dyDescent="0.35">
      <c r="A1998" s="277" t="s">
        <v>108</v>
      </c>
      <c r="B1998" s="978" t="s">
        <v>171</v>
      </c>
      <c r="C1998" s="979"/>
      <c r="D1998" s="980"/>
      <c r="E1998" s="402"/>
      <c r="F1998" s="419">
        <f t="shared" ref="F1998:G1998" si="1213">+F1991+F1997</f>
        <v>1543090.5360000001</v>
      </c>
      <c r="G1998" s="420">
        <f t="shared" si="1213"/>
        <v>13397580.5068</v>
      </c>
      <c r="H1998" s="403"/>
      <c r="I1998" s="419">
        <f t="shared" ref="I1998:J1998" si="1214">+I1991+I1997</f>
        <v>1801687.6800000002</v>
      </c>
      <c r="J1998" s="434">
        <f t="shared" si="1214"/>
        <v>18137961.450000003</v>
      </c>
    </row>
    <row r="1999" spans="1:10" ht="24" thickBot="1" x14ac:dyDescent="0.35">
      <c r="A1999" s="277" t="s">
        <v>108</v>
      </c>
      <c r="B1999" s="609" t="s">
        <v>32</v>
      </c>
      <c r="C1999" s="908"/>
      <c r="D1999" s="313"/>
      <c r="E1999" s="510">
        <v>12.2659</v>
      </c>
      <c r="F1999" s="411">
        <f>IFERROR(E1999*'01 Prod Physique Boites'!H1994,"-")</f>
        <v>0</v>
      </c>
      <c r="G1999" s="412">
        <f>IFERROR(E1999*'01 Prod Physique Boites'!L1994,"-")</f>
        <v>0</v>
      </c>
      <c r="H1999" s="395"/>
      <c r="I1999" s="429">
        <f>IFERROR(H1999*(F1999/E1999),"-")</f>
        <v>0</v>
      </c>
      <c r="J1999" s="430">
        <f>IFERROR(H1999*(G1999/E1999),"-")</f>
        <v>0</v>
      </c>
    </row>
    <row r="2000" spans="1:10" ht="24" thickBot="1" x14ac:dyDescent="0.35">
      <c r="A2000" s="277" t="s">
        <v>108</v>
      </c>
      <c r="B2000" s="981" t="s">
        <v>21</v>
      </c>
      <c r="C2000" s="982"/>
      <c r="D2000" s="983"/>
      <c r="E2000" s="396"/>
      <c r="F2000" s="413">
        <f t="shared" ref="F2000" si="1215">+F1987+F1998+F1999</f>
        <v>2541298.0320000001</v>
      </c>
      <c r="G2000" s="414">
        <f>+G1987+G1998+G1999</f>
        <v>61465752.547200009</v>
      </c>
      <c r="H2000" s="397"/>
      <c r="I2000" s="413">
        <f t="shared" ref="I2000:J2000" si="1216">+I1987+I1998+I1999</f>
        <v>3040436.8800000004</v>
      </c>
      <c r="J2000" s="431">
        <f t="shared" si="1216"/>
        <v>81450361.730000004</v>
      </c>
    </row>
    <row r="2001" spans="1:10" ht="24" thickBot="1" x14ac:dyDescent="0.35">
      <c r="A2001" s="277" t="s">
        <v>108</v>
      </c>
      <c r="B2001" s="984" t="s">
        <v>179</v>
      </c>
      <c r="C2001" s="962"/>
      <c r="D2001" s="963"/>
      <c r="E2001" s="398"/>
      <c r="F2001" s="415">
        <f t="shared" ref="F2001:G2001" si="1217">+F2000</f>
        <v>2541298.0320000001</v>
      </c>
      <c r="G2001" s="416">
        <f t="shared" si="1217"/>
        <v>61465752.547200009</v>
      </c>
      <c r="H2001" s="399"/>
      <c r="I2001" s="415">
        <f t="shared" ref="I2001:J2001" si="1218">+I2000</f>
        <v>3040436.8800000004</v>
      </c>
      <c r="J2001" s="432">
        <f t="shared" si="1218"/>
        <v>81450361.730000004</v>
      </c>
    </row>
    <row r="2002" spans="1:10" ht="23.4" x14ac:dyDescent="0.3">
      <c r="A2002" s="271" t="s">
        <v>109</v>
      </c>
      <c r="B2002" s="970" t="s">
        <v>482</v>
      </c>
      <c r="C2002" s="314" t="s">
        <v>120</v>
      </c>
      <c r="D2002" s="314"/>
      <c r="E2002" s="771">
        <v>254.89750000000001</v>
      </c>
      <c r="F2002" s="405">
        <f>IFERROR(E2002*'01 Prod Physique Boites'!H1997,"-")</f>
        <v>0</v>
      </c>
      <c r="G2002" s="406">
        <f>IFERROR(E2002*'01 Prod Physique Boites'!L1997,"-")</f>
        <v>0</v>
      </c>
      <c r="H2002" s="384">
        <v>445.38</v>
      </c>
      <c r="I2002" s="422">
        <f>IFERROR(H2002*(F2002/E2002),"-")</f>
        <v>0</v>
      </c>
      <c r="J2002" s="423">
        <f t="shared" ref="J2002:J2004" si="1219">IFERROR(H2002*(G2002/E2002),"-")</f>
        <v>0</v>
      </c>
    </row>
    <row r="2003" spans="1:10" ht="23.4" x14ac:dyDescent="0.3">
      <c r="A2003" s="277" t="s">
        <v>109</v>
      </c>
      <c r="B2003" s="972"/>
      <c r="C2003" s="315" t="s">
        <v>267</v>
      </c>
      <c r="D2003" s="315"/>
      <c r="E2003" s="507">
        <v>246.51390000000001</v>
      </c>
      <c r="F2003" s="405">
        <f>IFERROR(E2003*'01 Prod Physique Boites'!H1998,"-")</f>
        <v>0</v>
      </c>
      <c r="G2003" s="406">
        <f>IFERROR(E2003*'01 Prod Physique Boites'!L1998,"-")</f>
        <v>4949259.5702999998</v>
      </c>
      <c r="H2003" s="388">
        <v>430.02</v>
      </c>
      <c r="I2003" s="424">
        <f>IFERROR(H2003*(F2003/E2003),"-")</f>
        <v>0</v>
      </c>
      <c r="J2003" s="425">
        <f t="shared" si="1219"/>
        <v>8633511.5399999991</v>
      </c>
    </row>
    <row r="2004" spans="1:10" ht="24" thickBot="1" x14ac:dyDescent="0.35">
      <c r="A2004" s="277" t="s">
        <v>109</v>
      </c>
      <c r="B2004" s="971"/>
      <c r="C2004" s="316" t="s">
        <v>34</v>
      </c>
      <c r="D2004" s="316"/>
      <c r="E2004" s="504">
        <v>225.7713</v>
      </c>
      <c r="F2004" s="405">
        <f>IFERROR(E2004*'01 Prod Physique Boites'!H1999,"-")</f>
        <v>0</v>
      </c>
      <c r="G2004" s="406">
        <f>IFERROR(E2004*'01 Prod Physique Boites'!L1999,"-")</f>
        <v>0</v>
      </c>
      <c r="H2004" s="390"/>
      <c r="I2004" s="426">
        <f>IFERROR(H2004*(F2004/E2004),"-")</f>
        <v>0</v>
      </c>
      <c r="J2004" s="427">
        <f t="shared" si="1219"/>
        <v>0</v>
      </c>
    </row>
    <row r="2005" spans="1:10" ht="24" thickBot="1" x14ac:dyDescent="0.35">
      <c r="A2005" s="277" t="s">
        <v>109</v>
      </c>
      <c r="B2005" s="967" t="s">
        <v>35</v>
      </c>
      <c r="C2005" s="968"/>
      <c r="D2005" s="969"/>
      <c r="E2005" s="393"/>
      <c r="F2005" s="409">
        <f t="shared" ref="F2005:G2005" si="1220">SUM(F2002:F2004)</f>
        <v>0</v>
      </c>
      <c r="G2005" s="410">
        <f t="shared" si="1220"/>
        <v>4949259.5702999998</v>
      </c>
      <c r="H2005" s="394"/>
      <c r="I2005" s="409">
        <f t="shared" ref="I2005:J2005" si="1221">SUM(I2002:I2004)</f>
        <v>0</v>
      </c>
      <c r="J2005" s="428">
        <f t="shared" si="1221"/>
        <v>8633511.5399999991</v>
      </c>
    </row>
    <row r="2006" spans="1:10" ht="23.4" x14ac:dyDescent="0.3">
      <c r="A2006" s="277" t="s">
        <v>109</v>
      </c>
      <c r="B2006" s="970" t="s">
        <v>36</v>
      </c>
      <c r="C2006" s="314" t="s">
        <v>120</v>
      </c>
      <c r="D2006" s="314"/>
      <c r="E2006" s="506">
        <v>254.89750000000001</v>
      </c>
      <c r="F2006" s="405">
        <f>IFERROR(E2006*'01 Prod Physique Boites'!H2001,"-")</f>
        <v>0</v>
      </c>
      <c r="G2006" s="406">
        <f>IFERROR(E2006*'01 Prod Physique Boites'!L2001,"-")</f>
        <v>1468209.6</v>
      </c>
      <c r="H2006" s="384">
        <v>445.38</v>
      </c>
      <c r="I2006" s="422">
        <f>IFERROR(H2006*(F2006/E2006),"-")</f>
        <v>0</v>
      </c>
      <c r="J2006" s="423">
        <f t="shared" ref="J2006:J2009" si="1222">IFERROR(H2006*(G2006/E2006),"-")</f>
        <v>2565388.7999999998</v>
      </c>
    </row>
    <row r="2007" spans="1:10" ht="23.4" x14ac:dyDescent="0.3">
      <c r="A2007" s="277" t="s">
        <v>109</v>
      </c>
      <c r="B2007" s="972"/>
      <c r="C2007" s="315" t="s">
        <v>267</v>
      </c>
      <c r="D2007" s="315"/>
      <c r="E2007" s="507">
        <v>246.51390000000001</v>
      </c>
      <c r="F2007" s="405">
        <f>IFERROR(E2007*'01 Prod Physique Boites'!H2002,"-")</f>
        <v>631075.58400000003</v>
      </c>
      <c r="G2007" s="406">
        <f>IFERROR(E2007*'01 Prod Physique Boites'!L2002,"-")</f>
        <v>13294248.1131</v>
      </c>
      <c r="H2007" s="388">
        <v>430.02</v>
      </c>
      <c r="I2007" s="424">
        <f>IFERROR(H2007*(F2007/E2007),"-")</f>
        <v>1100851.2</v>
      </c>
      <c r="J2007" s="425">
        <f t="shared" si="1222"/>
        <v>23190548.579999998</v>
      </c>
    </row>
    <row r="2008" spans="1:10" ht="23.4" x14ac:dyDescent="0.3">
      <c r="A2008" s="277" t="s">
        <v>109</v>
      </c>
      <c r="B2008" s="972"/>
      <c r="C2008" s="315" t="s">
        <v>198</v>
      </c>
      <c r="D2008" s="315" t="s">
        <v>197</v>
      </c>
      <c r="E2008" s="507">
        <v>254.89750000000001</v>
      </c>
      <c r="F2008" s="405">
        <f>IFERROR(E2008*'01 Prod Physique Boites'!H2003,"-")</f>
        <v>0</v>
      </c>
      <c r="G2008" s="406">
        <f>IFERROR(E2008*'01 Prod Physique Boites'!L2003,"-")</f>
        <v>0</v>
      </c>
      <c r="H2008" s="388"/>
      <c r="I2008" s="424">
        <f>IFERROR(H2008*(F2008/E2008),"-")</f>
        <v>0</v>
      </c>
      <c r="J2008" s="425">
        <f t="shared" si="1222"/>
        <v>0</v>
      </c>
    </row>
    <row r="2009" spans="1:10" ht="24" thickBot="1" x14ac:dyDescent="0.35">
      <c r="A2009" s="277" t="s">
        <v>109</v>
      </c>
      <c r="B2009" s="971"/>
      <c r="C2009" s="316" t="s">
        <v>37</v>
      </c>
      <c r="D2009" s="316"/>
      <c r="E2009" s="504">
        <v>229.99359999999999</v>
      </c>
      <c r="F2009" s="405">
        <f>IFERROR(E2009*'01 Prod Physique Boites'!H2004,"-")</f>
        <v>0</v>
      </c>
      <c r="G2009" s="406">
        <f>IFERROR(E2009*'01 Prod Physique Boites'!L2004,"-")</f>
        <v>0</v>
      </c>
      <c r="H2009" s="390"/>
      <c r="I2009" s="426">
        <f>IFERROR(H2009*(F2009/E2009),"-")</f>
        <v>0</v>
      </c>
      <c r="J2009" s="427">
        <f t="shared" si="1222"/>
        <v>0</v>
      </c>
    </row>
    <row r="2010" spans="1:10" ht="24" thickBot="1" x14ac:dyDescent="0.35">
      <c r="A2010" s="277" t="s">
        <v>109</v>
      </c>
      <c r="B2010" s="967" t="s">
        <v>38</v>
      </c>
      <c r="C2010" s="968"/>
      <c r="D2010" s="969"/>
      <c r="E2010" s="393"/>
      <c r="F2010" s="409">
        <f t="shared" ref="F2010:G2010" si="1223">SUM(F2006:F2009)</f>
        <v>631075.58400000003</v>
      </c>
      <c r="G2010" s="410">
        <f t="shared" si="1223"/>
        <v>14762457.713099999</v>
      </c>
      <c r="H2010" s="394"/>
      <c r="I2010" s="409">
        <f>SUM(I2006:I2009)</f>
        <v>1100851.2</v>
      </c>
      <c r="J2010" s="428">
        <f>SUM(J2006:J2009)</f>
        <v>25755937.379999999</v>
      </c>
    </row>
    <row r="2011" spans="1:10" ht="23.4" x14ac:dyDescent="0.3">
      <c r="A2011" s="277" t="s">
        <v>109</v>
      </c>
      <c r="B2011" s="970" t="s">
        <v>483</v>
      </c>
      <c r="C2011" s="317" t="s">
        <v>123</v>
      </c>
      <c r="D2011" s="317"/>
      <c r="E2011" s="506">
        <v>195.2808</v>
      </c>
      <c r="F2011" s="405">
        <f>IFERROR(E2011*'01 Prod Physique Boites'!H2006,"-")</f>
        <v>0</v>
      </c>
      <c r="G2011" s="406">
        <f>IFERROR(E2011*'01 Prod Physique Boites'!L2006,"-")</f>
        <v>28120.4352</v>
      </c>
      <c r="H2011" s="715">
        <v>256.7</v>
      </c>
      <c r="I2011" s="422">
        <f>IFERROR(H2011*(F2011/E2011),"-")</f>
        <v>0</v>
      </c>
      <c r="J2011" s="423">
        <f t="shared" ref="J2011:J2012" si="1224">IFERROR(H2011*(G2011/E2011),"-")</f>
        <v>36964.799999999996</v>
      </c>
    </row>
    <row r="2012" spans="1:10" ht="24" thickBot="1" x14ac:dyDescent="0.35">
      <c r="A2012" s="277" t="s">
        <v>109</v>
      </c>
      <c r="B2012" s="971"/>
      <c r="C2012" s="289" t="s">
        <v>139</v>
      </c>
      <c r="D2012" s="289"/>
      <c r="E2012" s="504">
        <v>189.91890000000001</v>
      </c>
      <c r="F2012" s="405">
        <f>IFERROR(E2012*'01 Prod Physique Boites'!H2007,"-")</f>
        <v>227902.68000000002</v>
      </c>
      <c r="G2012" s="406">
        <f>IFERROR(E2012*'01 Prod Physique Boites'!L2007,"-")</f>
        <v>1564931.736</v>
      </c>
      <c r="H2012" s="390">
        <v>320.35000000000002</v>
      </c>
      <c r="I2012" s="426">
        <f>IFERROR(H2012*(F2012/E2012),"-")</f>
        <v>384420</v>
      </c>
      <c r="J2012" s="427">
        <f t="shared" si="1224"/>
        <v>2639684</v>
      </c>
    </row>
    <row r="2013" spans="1:10" ht="24" thickBot="1" x14ac:dyDescent="0.35">
      <c r="A2013" s="912" t="s">
        <v>109</v>
      </c>
      <c r="B2013" s="967" t="s">
        <v>40</v>
      </c>
      <c r="C2013" s="968"/>
      <c r="D2013" s="969"/>
      <c r="E2013" s="393"/>
      <c r="F2013" s="409">
        <f>SUM(F2011:F2012)</f>
        <v>227902.68000000002</v>
      </c>
      <c r="G2013" s="410">
        <f t="shared" ref="G2013" si="1225">SUM(G2011:G2012)</f>
        <v>1593052.1712</v>
      </c>
      <c r="H2013" s="394"/>
      <c r="I2013" s="409">
        <f t="shared" ref="I2013:J2013" si="1226">SUM(I2011:I2012)</f>
        <v>384420</v>
      </c>
      <c r="J2013" s="428">
        <f t="shared" si="1226"/>
        <v>2676648.7999999998</v>
      </c>
    </row>
    <row r="2014" spans="1:10" ht="23.4" x14ac:dyDescent="0.3">
      <c r="A2014" s="277" t="s">
        <v>109</v>
      </c>
      <c r="B2014" s="970" t="s">
        <v>484</v>
      </c>
      <c r="C2014" s="272" t="s">
        <v>335</v>
      </c>
      <c r="D2014" s="272" t="s">
        <v>258</v>
      </c>
      <c r="E2014" s="508">
        <v>37.248699999999999</v>
      </c>
      <c r="F2014" s="405">
        <f>IFERROR(E2014*'01 Prod Physique Boites'!H2009,"-")</f>
        <v>690143.91359999997</v>
      </c>
      <c r="G2014" s="406">
        <f>IFERROR(E2014*'01 Prod Physique Boites'!L2009,"-")</f>
        <v>19610099.596799999</v>
      </c>
      <c r="H2014" s="384">
        <v>71.44</v>
      </c>
      <c r="I2014" s="422">
        <f>IFERROR(H2014*(F2014/E2014),"-")</f>
        <v>1323640.3200000001</v>
      </c>
      <c r="J2014" s="423">
        <f>IFERROR(H2014*(G2014/E2014),"-")</f>
        <v>37610588.159999996</v>
      </c>
    </row>
    <row r="2015" spans="1:10" ht="23.4" x14ac:dyDescent="0.3">
      <c r="A2015" s="277" t="s">
        <v>109</v>
      </c>
      <c r="B2015" s="972"/>
      <c r="C2015" s="272" t="s">
        <v>164</v>
      </c>
      <c r="D2015" s="278"/>
      <c r="E2015" s="508">
        <v>37.248699999999999</v>
      </c>
      <c r="F2015" s="405">
        <f>IFERROR(E2015*'01 Prod Physique Boites'!H2010,"-")</f>
        <v>0</v>
      </c>
      <c r="G2015" s="406">
        <f>IFERROR(E2015*'01 Prod Physique Boites'!L2010,"-")</f>
        <v>0</v>
      </c>
      <c r="H2015" s="388"/>
      <c r="I2015" s="424">
        <f>IFERROR(H2015*(F2015/E2015),"-")</f>
        <v>0</v>
      </c>
      <c r="J2015" s="425">
        <f t="shared" ref="J2015:J2017" si="1227">IFERROR(H2015*(G2015/E2015),"-")</f>
        <v>0</v>
      </c>
    </row>
    <row r="2016" spans="1:10" ht="23.4" x14ac:dyDescent="0.3">
      <c r="A2016" s="277" t="s">
        <v>109</v>
      </c>
      <c r="B2016" s="972"/>
      <c r="C2016" s="278" t="s">
        <v>383</v>
      </c>
      <c r="D2016" s="272" t="s">
        <v>258</v>
      </c>
      <c r="E2016" s="508">
        <v>37.248699999999999</v>
      </c>
      <c r="F2016" s="405">
        <f>IFERROR(E2016*'01 Prod Physique Boites'!H2011,"-")</f>
        <v>0</v>
      </c>
      <c r="G2016" s="406">
        <f>IFERROR(E2016*'01 Prod Physique Boites'!L2011,"-")</f>
        <v>0</v>
      </c>
      <c r="H2016" s="388">
        <v>71.44</v>
      </c>
      <c r="I2016" s="424">
        <f>IFERROR(H2016*(F2016/E2016),"-")</f>
        <v>0</v>
      </c>
      <c r="J2016" s="425">
        <f t="shared" si="1227"/>
        <v>0</v>
      </c>
    </row>
    <row r="2017" spans="1:10" ht="24" thickBot="1" x14ac:dyDescent="0.35">
      <c r="A2017" s="277" t="s">
        <v>109</v>
      </c>
      <c r="B2017" s="972"/>
      <c r="C2017" s="278" t="s">
        <v>165</v>
      </c>
      <c r="D2017" s="278"/>
      <c r="E2017" s="509">
        <v>38.466099999999997</v>
      </c>
      <c r="F2017" s="405">
        <f>IFERROR(E2017*'01 Prod Physique Boites'!H2012,"-")</f>
        <v>0</v>
      </c>
      <c r="G2017" s="406">
        <f>IFERROR(E2017*'01 Prod Physique Boites'!L2012,"-")</f>
        <v>0</v>
      </c>
      <c r="H2017" s="388"/>
      <c r="I2017" s="424">
        <f>IFERROR(H2017*(F2017/E2017),"-")</f>
        <v>0</v>
      </c>
      <c r="J2017" s="425">
        <f t="shared" si="1227"/>
        <v>0</v>
      </c>
    </row>
    <row r="2018" spans="1:10" ht="24" thickBot="1" x14ac:dyDescent="0.35">
      <c r="A2018" s="277" t="s">
        <v>109</v>
      </c>
      <c r="B2018" s="967" t="s">
        <v>42</v>
      </c>
      <c r="C2018" s="968"/>
      <c r="D2018" s="969"/>
      <c r="E2018" s="393"/>
      <c r="F2018" s="409">
        <f>SUM(F2014:F2017)</f>
        <v>690143.91359999997</v>
      </c>
      <c r="G2018" s="410">
        <f>SUM(G2014:G2017)</f>
        <v>19610099.596799999</v>
      </c>
      <c r="H2018" s="394"/>
      <c r="I2018" s="409">
        <f>SUM(I2014:I2017)</f>
        <v>1323640.3200000001</v>
      </c>
      <c r="J2018" s="409">
        <f>SUM(J2014:J2017)</f>
        <v>37610588.159999996</v>
      </c>
    </row>
    <row r="2019" spans="1:10" ht="23.4" x14ac:dyDescent="0.3">
      <c r="A2019" s="277" t="s">
        <v>109</v>
      </c>
      <c r="B2019" s="970" t="s">
        <v>43</v>
      </c>
      <c r="C2019" s="272" t="s">
        <v>200</v>
      </c>
      <c r="D2019" s="272" t="s">
        <v>197</v>
      </c>
      <c r="E2019" s="508">
        <v>30.7499</v>
      </c>
      <c r="F2019" s="405">
        <f>IFERROR(E2019*'01 Prod Physique Boites'!H2015,"-")</f>
        <v>0</v>
      </c>
      <c r="G2019" s="406">
        <f>IFERROR(E2019*'01 Prod Physique Boites'!L2015,"-")</f>
        <v>0</v>
      </c>
      <c r="H2019" s="384"/>
      <c r="I2019" s="422">
        <f>IFERROR(H2019*(F2019/E2019),"-")</f>
        <v>0</v>
      </c>
      <c r="J2019" s="423">
        <f>IFERROR(H2019*(G2019/E2019),"-")</f>
        <v>0</v>
      </c>
    </row>
    <row r="2020" spans="1:10" ht="23.4" x14ac:dyDescent="0.3">
      <c r="A2020" s="277" t="s">
        <v>109</v>
      </c>
      <c r="B2020" s="972"/>
      <c r="C2020" s="278" t="s">
        <v>167</v>
      </c>
      <c r="D2020" s="278"/>
      <c r="E2020" s="727">
        <v>25.139099999999999</v>
      </c>
      <c r="F2020" s="405">
        <f>IFERROR(E2020*'01 Prod Physique Boites'!H2016,"-")</f>
        <v>289602.43199999997</v>
      </c>
      <c r="G2020" s="406">
        <f>IFERROR(E2020*'01 Prod Physique Boites'!L2016,"-")</f>
        <v>4690352.7215999998</v>
      </c>
      <c r="H2020" s="388">
        <v>59.96</v>
      </c>
      <c r="I2020" s="424">
        <f>IFERROR(H2020*(F2020/E2020),"-")</f>
        <v>690739.19999999995</v>
      </c>
      <c r="J2020" s="425">
        <f t="shared" ref="J2020:J2021" si="1228">IFERROR(H2020*(G2020/E2020),"-")</f>
        <v>11187096.960000001</v>
      </c>
    </row>
    <row r="2021" spans="1:10" ht="24" thickBot="1" x14ac:dyDescent="0.35">
      <c r="A2021" s="277" t="s">
        <v>109</v>
      </c>
      <c r="B2021" s="971"/>
      <c r="C2021" s="282" t="s">
        <v>200</v>
      </c>
      <c r="D2021" s="282" t="s">
        <v>199</v>
      </c>
      <c r="E2021" s="505">
        <v>30.073599999999999</v>
      </c>
      <c r="F2021" s="405">
        <f>IFERROR(E2021*'01 Prod Physique Boites'!H2017,"-")</f>
        <v>0</v>
      </c>
      <c r="G2021" s="406">
        <f>IFERROR(E2021*'01 Prod Physique Boites'!L2017,"-")</f>
        <v>0</v>
      </c>
      <c r="H2021" s="390"/>
      <c r="I2021" s="426">
        <f>IFERROR(H2021*(F2021/E2021),"-")</f>
        <v>0</v>
      </c>
      <c r="J2021" s="427">
        <f t="shared" si="1228"/>
        <v>0</v>
      </c>
    </row>
    <row r="2022" spans="1:10" ht="24" thickBot="1" x14ac:dyDescent="0.35">
      <c r="A2022" s="277" t="s">
        <v>109</v>
      </c>
      <c r="B2022" s="973" t="s">
        <v>44</v>
      </c>
      <c r="C2022" s="974"/>
      <c r="D2022" s="975"/>
      <c r="E2022" s="393"/>
      <c r="F2022" s="409">
        <f t="shared" ref="F2022:G2022" si="1229">SUM(F2019:F2021)</f>
        <v>289602.43199999997</v>
      </c>
      <c r="G2022" s="410">
        <f t="shared" si="1229"/>
        <v>4690352.7215999998</v>
      </c>
      <c r="H2022" s="394"/>
      <c r="I2022" s="409">
        <f t="shared" ref="I2022:J2022" si="1230">SUM(I2019:I2021)</f>
        <v>690739.19999999995</v>
      </c>
      <c r="J2022" s="428">
        <f t="shared" si="1230"/>
        <v>11187096.960000001</v>
      </c>
    </row>
    <row r="2023" spans="1:10" ht="23.4" x14ac:dyDescent="0.3">
      <c r="A2023" s="277" t="s">
        <v>109</v>
      </c>
      <c r="B2023" s="970" t="s">
        <v>45</v>
      </c>
      <c r="C2023" s="272" t="s">
        <v>168</v>
      </c>
      <c r="D2023" s="272"/>
      <c r="E2023" s="508">
        <v>36.684899999999999</v>
      </c>
      <c r="F2023" s="405">
        <f>IFERROR(E2023*'01 Prod Physique Boites'!H2019,"-")</f>
        <v>0</v>
      </c>
      <c r="G2023" s="406">
        <f>IFERROR(E2023*'01 Prod Physique Boites'!L2019,"-")</f>
        <v>0</v>
      </c>
      <c r="H2023" s="384"/>
      <c r="I2023" s="385" t="s">
        <v>204</v>
      </c>
      <c r="J2023" s="386" t="s">
        <v>204</v>
      </c>
    </row>
    <row r="2024" spans="1:10" ht="24" thickBot="1" x14ac:dyDescent="0.35">
      <c r="A2024" s="277" t="s">
        <v>109</v>
      </c>
      <c r="B2024" s="971"/>
      <c r="C2024" s="282" t="s">
        <v>169</v>
      </c>
      <c r="D2024" s="282"/>
      <c r="E2024" s="505">
        <v>37.002800000000001</v>
      </c>
      <c r="F2024" s="405">
        <f>IFERROR(E2024*'01 Prod Physique Boites'!H2020,"-")</f>
        <v>0</v>
      </c>
      <c r="G2024" s="406">
        <f>IFERROR(E2024*'01 Prod Physique Boites'!L2020,"-")</f>
        <v>0</v>
      </c>
      <c r="H2024" s="390"/>
      <c r="I2024" s="391" t="s">
        <v>204</v>
      </c>
      <c r="J2024" s="392" t="s">
        <v>204</v>
      </c>
    </row>
    <row r="2025" spans="1:10" ht="24" thickBot="1" x14ac:dyDescent="0.35">
      <c r="A2025" s="277" t="s">
        <v>109</v>
      </c>
      <c r="B2025" s="973" t="s">
        <v>46</v>
      </c>
      <c r="C2025" s="974"/>
      <c r="D2025" s="975"/>
      <c r="E2025" s="393"/>
      <c r="F2025" s="405">
        <f>IFERROR(E2025*'01 Prod Physique Boites'!H2021,"-")</f>
        <v>0</v>
      </c>
      <c r="G2025" s="410">
        <f>IFERROR(E2025*'01 Prod Physique Boites'!L2021,"-")</f>
        <v>0</v>
      </c>
      <c r="H2025" s="394"/>
      <c r="I2025" s="409">
        <f t="shared" ref="I2025:J2025" si="1231">SUM(I2023:I2024)</f>
        <v>0</v>
      </c>
      <c r="J2025" s="428">
        <f t="shared" si="1231"/>
        <v>0</v>
      </c>
    </row>
    <row r="2026" spans="1:10" ht="24" thickBot="1" x14ac:dyDescent="0.35">
      <c r="A2026" s="277" t="s">
        <v>109</v>
      </c>
      <c r="B2026" s="959" t="s">
        <v>25</v>
      </c>
      <c r="C2026" s="960"/>
      <c r="D2026" s="961"/>
      <c r="E2026" s="396"/>
      <c r="F2026" s="413">
        <f>+F2005+F2010+F2013+F2018+F2022+F2025</f>
        <v>1838724.6096000001</v>
      </c>
      <c r="G2026" s="414">
        <f>+G2005+G2010+G2013+G2018+G2022+G2025</f>
        <v>45605221.773000002</v>
      </c>
      <c r="H2026" s="397"/>
      <c r="I2026" s="413">
        <f>+I2005+I2010+I2013+I2018+I2022+I2025</f>
        <v>3499650.7199999997</v>
      </c>
      <c r="J2026" s="431">
        <f>+J2005+J2010+J2013+J2018+J2022+J2025</f>
        <v>85863782.840000004</v>
      </c>
    </row>
    <row r="2027" spans="1:10" ht="24" thickBot="1" x14ac:dyDescent="0.35">
      <c r="A2027" s="321" t="s">
        <v>109</v>
      </c>
      <c r="B2027" s="962" t="s">
        <v>181</v>
      </c>
      <c r="C2027" s="962"/>
      <c r="D2027" s="963"/>
      <c r="E2027" s="398"/>
      <c r="F2027" s="415">
        <f t="shared" ref="F2027:G2027" si="1232">+F2026</f>
        <v>1838724.6096000001</v>
      </c>
      <c r="G2027" s="416">
        <f t="shared" si="1232"/>
        <v>45605221.773000002</v>
      </c>
      <c r="H2027" s="399"/>
      <c r="I2027" s="415">
        <f t="shared" ref="I2027" si="1233">+I2026</f>
        <v>3499650.7199999997</v>
      </c>
      <c r="J2027" s="432">
        <f>+J2026</f>
        <v>85863782.840000004</v>
      </c>
    </row>
    <row r="2028" spans="1:10" ht="24.6" thickBot="1" x14ac:dyDescent="0.35">
      <c r="A2028" s="322"/>
      <c r="B2028" s="964" t="s">
        <v>182</v>
      </c>
      <c r="C2028" s="965"/>
      <c r="D2028" s="966"/>
      <c r="E2028" s="404"/>
      <c r="F2028" s="421">
        <f>+F1969+F2001+F2027</f>
        <v>8743260.1316</v>
      </c>
      <c r="G2028" s="421">
        <f>+G1969+G2001+G2027</f>
        <v>182574408.2906</v>
      </c>
      <c r="H2028" s="404"/>
      <c r="I2028" s="421">
        <f>+I1969+I2001+I2027</f>
        <v>13332716.199999999</v>
      </c>
      <c r="J2028" s="435">
        <f>+J1969+J2001+J2027</f>
        <v>273550439.00279999</v>
      </c>
    </row>
    <row r="2029" spans="1:10" ht="23.4" x14ac:dyDescent="0.3">
      <c r="A2029" s="991" t="s">
        <v>1</v>
      </c>
      <c r="B2029" s="994" t="s">
        <v>2</v>
      </c>
      <c r="C2029" s="997" t="s">
        <v>477</v>
      </c>
      <c r="D2029" s="997" t="s">
        <v>478</v>
      </c>
      <c r="E2029" s="1021" t="s">
        <v>486</v>
      </c>
      <c r="F2029" s="1022"/>
      <c r="G2029" s="1022"/>
      <c r="H2029" s="445"/>
      <c r="I2029" s="445"/>
      <c r="J2029" s="446"/>
    </row>
    <row r="2030" spans="1:10" ht="23.4" x14ac:dyDescent="0.3">
      <c r="A2030" s="992"/>
      <c r="B2030" s="995"/>
      <c r="C2030" s="998"/>
      <c r="D2030" s="998"/>
      <c r="E2030" s="1023" t="s">
        <v>489</v>
      </c>
      <c r="F2030" s="1024"/>
      <c r="G2030" s="1025"/>
      <c r="H2030" s="1023" t="s">
        <v>176</v>
      </c>
      <c r="I2030" s="1024"/>
      <c r="J2030" s="1025"/>
    </row>
    <row r="2031" spans="1:10" ht="46.8" x14ac:dyDescent="0.3">
      <c r="A2031" s="993"/>
      <c r="B2031" s="1019"/>
      <c r="C2031" s="1020"/>
      <c r="D2031" s="1020"/>
      <c r="E2031" s="382" t="s">
        <v>178</v>
      </c>
      <c r="F2031" s="923" t="s">
        <v>488</v>
      </c>
      <c r="G2031" s="924" t="s">
        <v>487</v>
      </c>
      <c r="H2031" s="1026" t="s">
        <v>178</v>
      </c>
      <c r="I2031" s="1028" t="s">
        <v>144</v>
      </c>
      <c r="J2031" s="1030" t="s">
        <v>487</v>
      </c>
    </row>
    <row r="2032" spans="1:10" ht="24" thickBot="1" x14ac:dyDescent="0.35">
      <c r="A2032" s="993"/>
      <c r="B2032" s="996"/>
      <c r="C2032" s="999"/>
      <c r="D2032" s="999"/>
      <c r="E2032" s="1032" t="s">
        <v>589</v>
      </c>
      <c r="F2032" s="1033"/>
      <c r="G2032" s="1034"/>
      <c r="H2032" s="1027"/>
      <c r="I2032" s="1029"/>
      <c r="J2032" s="1031"/>
    </row>
    <row r="2033" spans="1:15" ht="23.4" x14ac:dyDescent="0.3">
      <c r="A2033" s="271" t="s">
        <v>110</v>
      </c>
      <c r="B2033" s="956" t="s">
        <v>16</v>
      </c>
      <c r="C2033" s="272" t="s">
        <v>424</v>
      </c>
      <c r="D2033" s="272" t="s">
        <v>425</v>
      </c>
      <c r="E2033" s="758">
        <v>81.360699999999994</v>
      </c>
      <c r="F2033" s="405">
        <f>IFERROR(E2033*'01 Prod Physique Boites'!H2028,"-")</f>
        <v>0</v>
      </c>
      <c r="G2033" s="405">
        <f>IFERROR(E2033*'01 Prod Physique Boites'!L2028,"-")</f>
        <v>1614196.2879999999</v>
      </c>
      <c r="H2033" s="759">
        <v>143.28</v>
      </c>
      <c r="I2033" s="422">
        <f>IFERROR(H2033*(F2033/E2033),"-")</f>
        <v>0</v>
      </c>
      <c r="J2033" s="423">
        <f t="shared" ref="J2033:J2035" si="1234">IFERROR(H2033*(G2033/E2033),"-")</f>
        <v>2842675.2000000002</v>
      </c>
    </row>
    <row r="2034" spans="1:15" ht="23.4" x14ac:dyDescent="0.3">
      <c r="A2034" s="784"/>
      <c r="B2034" s="957"/>
      <c r="C2034" s="278" t="s">
        <v>188</v>
      </c>
      <c r="D2034" s="278" t="s">
        <v>101</v>
      </c>
      <c r="E2034" s="509">
        <v>81.360699999999994</v>
      </c>
      <c r="F2034" s="405">
        <f>IFERROR(E2034*'01 Prod Physique Boites'!H2029,"-")</f>
        <v>0</v>
      </c>
      <c r="G2034" s="405">
        <f>IFERROR(E2034*'01 Prod Physique Boites'!L2029,"-")</f>
        <v>3936312.0266999998</v>
      </c>
      <c r="H2034" s="770">
        <v>0</v>
      </c>
      <c r="I2034" s="422">
        <f>IFERROR(H2034*(F2034/E2034),"-")</f>
        <v>0</v>
      </c>
      <c r="J2034" s="423">
        <f t="shared" si="1234"/>
        <v>0</v>
      </c>
    </row>
    <row r="2035" spans="1:15" ht="23.4" x14ac:dyDescent="0.3">
      <c r="A2035" s="277" t="s">
        <v>110</v>
      </c>
      <c r="B2035" s="957"/>
      <c r="C2035" s="278" t="s">
        <v>539</v>
      </c>
      <c r="D2035" s="278" t="s">
        <v>454</v>
      </c>
      <c r="E2035" s="727">
        <v>77.170400000000001</v>
      </c>
      <c r="F2035" s="405">
        <f>IFERROR(E2035*'01 Prod Physique Boites'!H2030,"-")</f>
        <v>0</v>
      </c>
      <c r="G2035" s="728">
        <f>IFERROR(E2035*'01 Prod Physique Boites'!L2030,"-")</f>
        <v>2207073.44</v>
      </c>
      <c r="H2035" s="388">
        <v>0</v>
      </c>
      <c r="I2035" s="422">
        <f>IFERROR(H2035*(F2035/E2035),"-")</f>
        <v>0</v>
      </c>
      <c r="J2035" s="423">
        <f t="shared" si="1234"/>
        <v>0</v>
      </c>
    </row>
    <row r="2036" spans="1:15" ht="24" thickBot="1" x14ac:dyDescent="0.35">
      <c r="A2036" s="277" t="s">
        <v>110</v>
      </c>
      <c r="B2036" s="958"/>
      <c r="C2036" s="282" t="s">
        <v>282</v>
      </c>
      <c r="D2036" s="282" t="s">
        <v>251</v>
      </c>
      <c r="E2036" s="505">
        <v>60.703499999999998</v>
      </c>
      <c r="F2036" s="405">
        <f>IFERROR(E2036*'01 Prod Physique Boites'!H2031,"-")</f>
        <v>0</v>
      </c>
      <c r="G2036" s="405">
        <f>IFERROR(E2036*'01 Prod Physique Boites'!L2031,"-")</f>
        <v>1414148.736</v>
      </c>
      <c r="H2036" s="390">
        <v>111.09</v>
      </c>
      <c r="I2036" s="422">
        <f>IFERROR(H2036*(F2036/E2036),"-")</f>
        <v>0</v>
      </c>
      <c r="J2036" s="423">
        <f>IFERROR(H2036*(G2036/E2036),"-")</f>
        <v>2587952.64</v>
      </c>
    </row>
    <row r="2037" spans="1:15" ht="24" thickBot="1" x14ac:dyDescent="0.35">
      <c r="A2037" s="277" t="s">
        <v>110</v>
      </c>
      <c r="B2037" s="967" t="s">
        <v>47</v>
      </c>
      <c r="C2037" s="968"/>
      <c r="D2037" s="969"/>
      <c r="E2037" s="393"/>
      <c r="F2037" s="409">
        <f t="shared" ref="F2037" si="1235">SUM(F2033:F2036)</f>
        <v>0</v>
      </c>
      <c r="G2037" s="410">
        <f>SUM(G2033:G2036)</f>
        <v>9171730.490699999</v>
      </c>
      <c r="H2037" s="394"/>
      <c r="I2037" s="409">
        <f t="shared" ref="I2037:J2037" si="1236">SUM(I2033:I2036)</f>
        <v>0</v>
      </c>
      <c r="J2037" s="428">
        <f t="shared" si="1236"/>
        <v>5430627.8399999999</v>
      </c>
      <c r="K2037" s="757"/>
      <c r="L2037" s="757"/>
      <c r="M2037" s="757"/>
      <c r="N2037" s="757"/>
      <c r="O2037" s="757"/>
    </row>
    <row r="2038" spans="1:15" ht="23.4" x14ac:dyDescent="0.3">
      <c r="A2038" s="277" t="s">
        <v>110</v>
      </c>
      <c r="B2038" s="956" t="s">
        <v>17</v>
      </c>
      <c r="C2038" s="272" t="s">
        <v>320</v>
      </c>
      <c r="D2038" s="272"/>
      <c r="E2038" s="508">
        <v>12.5275</v>
      </c>
      <c r="F2038" s="405">
        <f>IFERROR(E2038*'01 Prod Physique Boites'!H2033,"-")</f>
        <v>0</v>
      </c>
      <c r="G2038" s="405">
        <f>IFERROR(E2038*'01 Prod Physique Boites'!L2033,"-")</f>
        <v>2501140.4300000002</v>
      </c>
      <c r="H2038" s="715">
        <v>18.836400000000001</v>
      </c>
      <c r="I2038" s="422">
        <f t="shared" ref="I2038:I2044" si="1237">IFERROR(H2038*(F2038/E2038),"-")</f>
        <v>0</v>
      </c>
      <c r="J2038" s="423">
        <f t="shared" ref="J2038:J2043" si="1238">IFERROR(H2038*(G2038/E2038),"-")</f>
        <v>3760724.932800001</v>
      </c>
    </row>
    <row r="2039" spans="1:15" ht="23.4" x14ac:dyDescent="0.3">
      <c r="A2039" s="277" t="s">
        <v>110</v>
      </c>
      <c r="B2039" s="957"/>
      <c r="C2039" s="278" t="s">
        <v>382</v>
      </c>
      <c r="D2039" s="278" t="s">
        <v>252</v>
      </c>
      <c r="E2039" s="698">
        <v>13.002700000000001</v>
      </c>
      <c r="F2039" s="405">
        <f>IFERROR(E2039*'01 Prod Physique Boites'!H2034,"-")</f>
        <v>1074283.074</v>
      </c>
      <c r="G2039" s="405">
        <f>IFERROR(E2039*'01 Prod Physique Boites'!L2034,"-")</f>
        <v>14561502.6841</v>
      </c>
      <c r="H2039" s="388">
        <v>21.18</v>
      </c>
      <c r="I2039" s="424">
        <f t="shared" si="1237"/>
        <v>1749891.5999999999</v>
      </c>
      <c r="J2039" s="425">
        <f t="shared" si="1238"/>
        <v>23719121.940000001</v>
      </c>
    </row>
    <row r="2040" spans="1:15" ht="23.4" x14ac:dyDescent="0.3">
      <c r="A2040" s="277" t="s">
        <v>110</v>
      </c>
      <c r="B2040" s="957"/>
      <c r="C2040" s="278" t="s">
        <v>391</v>
      </c>
      <c r="D2040" s="278" t="s">
        <v>201</v>
      </c>
      <c r="E2040" s="698">
        <v>12.9049</v>
      </c>
      <c r="F2040" s="405">
        <f>IFERROR(E2040*'01 Prod Physique Boites'!H2035,"-")</f>
        <v>0</v>
      </c>
      <c r="G2040" s="405">
        <f>IFERROR(E2040*'01 Prod Physique Boites'!L2035,"-")</f>
        <v>5868064.5083999997</v>
      </c>
      <c r="H2040" s="388">
        <v>20.5</v>
      </c>
      <c r="I2040" s="424">
        <f t="shared" si="1237"/>
        <v>0</v>
      </c>
      <c r="J2040" s="425">
        <f t="shared" si="1238"/>
        <v>9321678</v>
      </c>
    </row>
    <row r="2041" spans="1:15" ht="23.4" x14ac:dyDescent="0.3">
      <c r="A2041" s="277" t="s">
        <v>110</v>
      </c>
      <c r="B2041" s="957"/>
      <c r="C2041" s="278" t="s">
        <v>319</v>
      </c>
      <c r="D2041" s="278" t="s">
        <v>202</v>
      </c>
      <c r="E2041" s="509">
        <v>13.078200000000001</v>
      </c>
      <c r="F2041" s="405">
        <f>IFERROR(E2041*'01 Prod Physique Boites'!H2036,"-")</f>
        <v>0</v>
      </c>
      <c r="G2041" s="405">
        <f>IFERROR(E2041*'01 Prod Physique Boites'!L2036,"-")</f>
        <v>3873135.0864000004</v>
      </c>
      <c r="H2041" s="388">
        <v>20.6</v>
      </c>
      <c r="I2041" s="424">
        <f t="shared" si="1237"/>
        <v>0</v>
      </c>
      <c r="J2041" s="425">
        <f t="shared" si="1238"/>
        <v>6100731.2000000002</v>
      </c>
    </row>
    <row r="2042" spans="1:15" ht="23.4" x14ac:dyDescent="0.3">
      <c r="A2042" s="277" t="s">
        <v>110</v>
      </c>
      <c r="B2042" s="957"/>
      <c r="C2042" s="278" t="s">
        <v>358</v>
      </c>
      <c r="D2042" s="278" t="s">
        <v>352</v>
      </c>
      <c r="E2042" s="509">
        <v>13.1958</v>
      </c>
      <c r="F2042" s="405">
        <f>IFERROR(E2042*'01 Prod Physique Boites'!H2037,"-")</f>
        <v>0</v>
      </c>
      <c r="G2042" s="405">
        <f>IFERROR(E2042*'01 Prod Physique Boites'!L2037,"-")</f>
        <v>6609538.6956000002</v>
      </c>
      <c r="H2042" s="388">
        <v>21.28</v>
      </c>
      <c r="I2042" s="424">
        <f t="shared" si="1237"/>
        <v>0</v>
      </c>
      <c r="J2042" s="425">
        <f t="shared" si="1238"/>
        <v>10658768.960000001</v>
      </c>
    </row>
    <row r="2043" spans="1:15" ht="23.4" x14ac:dyDescent="0.3">
      <c r="A2043" s="277">
        <v>1</v>
      </c>
      <c r="B2043" s="957"/>
      <c r="C2043" s="278" t="s">
        <v>392</v>
      </c>
      <c r="D2043" s="278" t="s">
        <v>203</v>
      </c>
      <c r="E2043" s="698">
        <v>12.9049</v>
      </c>
      <c r="F2043" s="405">
        <f>IFERROR(E2043*'01 Prod Physique Boites'!H2038,"-")</f>
        <v>0</v>
      </c>
      <c r="G2043" s="405">
        <f>IFERROR(E2043*'01 Prod Physique Boites'!L2038,"-")</f>
        <v>0</v>
      </c>
      <c r="H2043" s="677">
        <v>20.5</v>
      </c>
      <c r="I2043" s="424">
        <f t="shared" si="1237"/>
        <v>0</v>
      </c>
      <c r="J2043" s="425">
        <f t="shared" si="1238"/>
        <v>0</v>
      </c>
    </row>
    <row r="2044" spans="1:15" ht="24" thickBot="1" x14ac:dyDescent="0.35">
      <c r="A2044" s="277" t="s">
        <v>110</v>
      </c>
      <c r="B2044" s="958"/>
      <c r="C2044" s="282" t="s">
        <v>379</v>
      </c>
      <c r="D2044" s="282" t="s">
        <v>187</v>
      </c>
      <c r="E2044" s="505">
        <v>13.6509</v>
      </c>
      <c r="F2044" s="405">
        <f>IFERROR(E2044*'01 Prod Physique Boites'!H2039,"-")</f>
        <v>0</v>
      </c>
      <c r="G2044" s="405">
        <f>IFERROR(E2044*'01 Prod Physique Boites'!L2039,"-")</f>
        <v>0</v>
      </c>
      <c r="H2044" s="390">
        <v>21.18</v>
      </c>
      <c r="I2044" s="426">
        <f t="shared" si="1237"/>
        <v>0</v>
      </c>
      <c r="J2044" s="427">
        <f>IFERROR(H2044*(G2044/E2044),"-")</f>
        <v>0</v>
      </c>
    </row>
    <row r="2045" spans="1:15" ht="24" thickBot="1" x14ac:dyDescent="0.35">
      <c r="A2045" s="277" t="s">
        <v>110</v>
      </c>
      <c r="B2045" s="967" t="s">
        <v>48</v>
      </c>
      <c r="C2045" s="968"/>
      <c r="D2045" s="969"/>
      <c r="E2045" s="393"/>
      <c r="F2045" s="409">
        <f t="shared" ref="F2045" si="1239">SUM(F2038:F2044)</f>
        <v>1074283.074</v>
      </c>
      <c r="G2045" s="410">
        <f>SUM(G2038:G2044)</f>
        <v>33413381.404500004</v>
      </c>
      <c r="H2045" s="394"/>
      <c r="I2045" s="409">
        <f t="shared" ref="I2045" si="1240">SUM(I2038:I2044)</f>
        <v>1749891.5999999999</v>
      </c>
      <c r="J2045" s="428">
        <f>SUM(J2038:J2044)</f>
        <v>53561025.032800011</v>
      </c>
      <c r="K2045" s="757"/>
      <c r="L2045" s="757"/>
      <c r="M2045" s="757"/>
      <c r="N2045" s="757"/>
      <c r="O2045" s="757"/>
    </row>
    <row r="2046" spans="1:15" ht="23.4" x14ac:dyDescent="0.3">
      <c r="A2046" s="277" t="s">
        <v>110</v>
      </c>
      <c r="B2046" s="956" t="s">
        <v>18</v>
      </c>
      <c r="C2046" s="272" t="s">
        <v>344</v>
      </c>
      <c r="D2046" s="272" t="s">
        <v>99</v>
      </c>
      <c r="E2046" s="508">
        <v>17.8202</v>
      </c>
      <c r="F2046" s="405">
        <f>IFERROR(E2046*'01 Prod Physique Boites'!H2041,"-")</f>
        <v>0</v>
      </c>
      <c r="G2046" s="406">
        <f>IFERROR(E2046*'01 Prod Physique Boites'!L2041,"-")</f>
        <v>0</v>
      </c>
      <c r="H2046" s="384">
        <v>24.93</v>
      </c>
      <c r="I2046" s="422">
        <f t="shared" ref="I2046:I2052" si="1241">IFERROR(H2046*(F2046/E2046),"-")</f>
        <v>0</v>
      </c>
      <c r="J2046" s="423">
        <f t="shared" ref="J2046:J2048" si="1242">IFERROR(H2046*(G2046/E2046),"-")</f>
        <v>0</v>
      </c>
    </row>
    <row r="2047" spans="1:15" ht="23.4" x14ac:dyDescent="0.3">
      <c r="A2047" s="277" t="s">
        <v>110</v>
      </c>
      <c r="B2047" s="957"/>
      <c r="C2047" s="278" t="s">
        <v>137</v>
      </c>
      <c r="D2047" s="278"/>
      <c r="E2047" s="509">
        <v>17.8202</v>
      </c>
      <c r="F2047" s="405">
        <f>IFERROR(E2047*'01 Prod Physique Boites'!H2042,"-")</f>
        <v>0</v>
      </c>
      <c r="G2047" s="406">
        <f>IFERROR(E2047*'01 Prod Physique Boites'!L2042,"-")</f>
        <v>0</v>
      </c>
      <c r="H2047" s="388">
        <v>0</v>
      </c>
      <c r="I2047" s="424">
        <f t="shared" si="1241"/>
        <v>0</v>
      </c>
      <c r="J2047" s="425">
        <f t="shared" si="1242"/>
        <v>0</v>
      </c>
    </row>
    <row r="2048" spans="1:15" ht="23.4" x14ac:dyDescent="0.3">
      <c r="A2048" s="277" t="s">
        <v>110</v>
      </c>
      <c r="B2048" s="957"/>
      <c r="C2048" s="278" t="s">
        <v>122</v>
      </c>
      <c r="D2048" s="278"/>
      <c r="E2048" s="509">
        <v>16.4071</v>
      </c>
      <c r="F2048" s="405">
        <f>IFERROR(E2048*'01 Prod Physique Boites'!H2043,"-")</f>
        <v>0</v>
      </c>
      <c r="G2048" s="406">
        <f>IFERROR(E2048*'01 Prod Physique Boites'!L2043,"-")</f>
        <v>0</v>
      </c>
      <c r="H2048" s="388">
        <v>0</v>
      </c>
      <c r="I2048" s="424">
        <f t="shared" si="1241"/>
        <v>0</v>
      </c>
      <c r="J2048" s="425">
        <f t="shared" si="1242"/>
        <v>0</v>
      </c>
    </row>
    <row r="2049" spans="1:10" ht="23.4" x14ac:dyDescent="0.3">
      <c r="A2049" s="277" t="s">
        <v>110</v>
      </c>
      <c r="B2049" s="957"/>
      <c r="C2049" s="278" t="s">
        <v>129</v>
      </c>
      <c r="D2049" s="278"/>
      <c r="E2049" s="509">
        <v>17.8202</v>
      </c>
      <c r="F2049" s="405">
        <f>IFERROR(E2049*'01 Prod Physique Boites'!H2044,"-")</f>
        <v>0</v>
      </c>
      <c r="G2049" s="406">
        <f>IFERROR(E2049*'01 Prod Physique Boites'!L2044,"-")</f>
        <v>0</v>
      </c>
      <c r="H2049" s="388">
        <v>0</v>
      </c>
      <c r="I2049" s="424">
        <f t="shared" si="1241"/>
        <v>0</v>
      </c>
      <c r="J2049" s="425">
        <f>IFERROR(H2049*(G2049/E2049),"-")</f>
        <v>0</v>
      </c>
    </row>
    <row r="2050" spans="1:10" ht="23.4" x14ac:dyDescent="0.3">
      <c r="A2050" s="277" t="s">
        <v>110</v>
      </c>
      <c r="B2050" s="957"/>
      <c r="C2050" s="278" t="s">
        <v>189</v>
      </c>
      <c r="D2050" s="278" t="s">
        <v>190</v>
      </c>
      <c r="E2050" s="509">
        <v>17.8202</v>
      </c>
      <c r="F2050" s="405">
        <f>IFERROR(E2050*'01 Prod Physique Boites'!H2045,"-")</f>
        <v>0</v>
      </c>
      <c r="G2050" s="406">
        <f>IFERROR(E2050*'01 Prod Physique Boites'!L2045,"-")</f>
        <v>0</v>
      </c>
      <c r="H2050" s="388">
        <v>0</v>
      </c>
      <c r="I2050" s="424">
        <f t="shared" si="1241"/>
        <v>0</v>
      </c>
      <c r="J2050" s="425">
        <f t="shared" ref="J2050:J2052" si="1243">IFERROR(H2050*(G2050/E2050),"-")</f>
        <v>0</v>
      </c>
    </row>
    <row r="2051" spans="1:10" ht="23.4" x14ac:dyDescent="0.3">
      <c r="A2051" s="277" t="s">
        <v>110</v>
      </c>
      <c r="B2051" s="957"/>
      <c r="C2051" s="278" t="s">
        <v>192</v>
      </c>
      <c r="D2051" s="278" t="s">
        <v>191</v>
      </c>
      <c r="E2051" s="509">
        <v>16.7288</v>
      </c>
      <c r="F2051" s="405">
        <f>IFERROR(E2051*'01 Prod Physique Boites'!H2046,"-")</f>
        <v>0</v>
      </c>
      <c r="G2051" s="406">
        <f>IFERROR(E2051*'01 Prod Physique Boites'!L2046,"-")</f>
        <v>0</v>
      </c>
      <c r="H2051" s="388">
        <v>0</v>
      </c>
      <c r="I2051" s="424">
        <f t="shared" si="1241"/>
        <v>0</v>
      </c>
      <c r="J2051" s="425">
        <f t="shared" si="1243"/>
        <v>0</v>
      </c>
    </row>
    <row r="2052" spans="1:10" ht="24" thickBot="1" x14ac:dyDescent="0.35">
      <c r="A2052" s="277" t="s">
        <v>110</v>
      </c>
      <c r="B2052" s="958"/>
      <c r="C2052" s="289" t="s">
        <v>193</v>
      </c>
      <c r="D2052" s="289" t="s">
        <v>114</v>
      </c>
      <c r="E2052" s="505">
        <v>17.8202</v>
      </c>
      <c r="F2052" s="405">
        <f>IFERROR(E2052*'01 Prod Physique Boites'!H2047,"-")</f>
        <v>0</v>
      </c>
      <c r="G2052" s="406">
        <f>IFERROR(E2052*'01 Prod Physique Boites'!L2047,"-")</f>
        <v>0</v>
      </c>
      <c r="H2052" s="388">
        <v>0</v>
      </c>
      <c r="I2052" s="426">
        <f t="shared" si="1241"/>
        <v>0</v>
      </c>
      <c r="J2052" s="427">
        <f t="shared" si="1243"/>
        <v>0</v>
      </c>
    </row>
    <row r="2053" spans="1:10" ht="24" thickBot="1" x14ac:dyDescent="0.35">
      <c r="A2053" s="277" t="s">
        <v>110</v>
      </c>
      <c r="B2053" s="967" t="s">
        <v>29</v>
      </c>
      <c r="C2053" s="968"/>
      <c r="D2053" s="969"/>
      <c r="E2053" s="660"/>
      <c r="F2053" s="661">
        <f t="shared" ref="F2053:G2053" si="1244">SUM(F2046:F2052)</f>
        <v>0</v>
      </c>
      <c r="G2053" s="410">
        <f t="shared" si="1244"/>
        <v>0</v>
      </c>
      <c r="H2053" s="394"/>
      <c r="I2053" s="409">
        <f t="shared" ref="I2053:J2053" si="1245">SUM(I2046:I2052)</f>
        <v>0</v>
      </c>
      <c r="J2053" s="428">
        <f t="shared" si="1245"/>
        <v>0</v>
      </c>
    </row>
    <row r="2054" spans="1:10" ht="24" thickBot="1" x14ac:dyDescent="0.35">
      <c r="A2054" s="277"/>
      <c r="B2054" s="985" t="s">
        <v>19</v>
      </c>
      <c r="C2054" s="662" t="s">
        <v>255</v>
      </c>
      <c r="D2054" s="668" t="s">
        <v>190</v>
      </c>
      <c r="E2054" s="669">
        <v>12.2659</v>
      </c>
      <c r="F2054" s="670">
        <f>IFERROR(E2054*'01 Prod Physique Boites'!H2049,"-")</f>
        <v>0</v>
      </c>
      <c r="G2054" s="671">
        <f>IFERROR(E2054*'01 Prod Physique Boites'!L2049,"-")</f>
        <v>246103.01759999999</v>
      </c>
      <c r="H2054" s="665">
        <v>14.79</v>
      </c>
      <c r="I2054" s="650">
        <f t="shared" ref="I2054:I2056" si="1246">IFERROR(H2054*(F2054/E2054),"-")</f>
        <v>0</v>
      </c>
      <c r="J2054" s="650">
        <f>IFERROR(H2054*(G2054/E2054),"-")</f>
        <v>296746.56</v>
      </c>
    </row>
    <row r="2055" spans="1:10" ht="24" thickBot="1" x14ac:dyDescent="0.35">
      <c r="A2055" s="277"/>
      <c r="B2055" s="986"/>
      <c r="C2055" s="663" t="s">
        <v>399</v>
      </c>
      <c r="D2055" s="672" t="s">
        <v>507</v>
      </c>
      <c r="E2055" s="654">
        <v>12.2659</v>
      </c>
      <c r="F2055" s="670">
        <f>IFERROR(E2055*'01 Prod Physique Boites'!H2050,"-")</f>
        <v>1036223.2320000001</v>
      </c>
      <c r="G2055" s="645">
        <f>IFERROR(E2055*'01 Prod Physique Boites'!L2050,"-")</f>
        <v>5006253.4896</v>
      </c>
      <c r="H2055" s="666">
        <v>14.55</v>
      </c>
      <c r="I2055" s="655">
        <f t="shared" si="1246"/>
        <v>1229184</v>
      </c>
      <c r="J2055" s="655">
        <f>IFERROR(H2055*(G2055/E2055),"-")</f>
        <v>5938495.2000000002</v>
      </c>
    </row>
    <row r="2056" spans="1:10" ht="24" thickBot="1" x14ac:dyDescent="0.35">
      <c r="A2056" s="925" t="s">
        <v>110</v>
      </c>
      <c r="B2056" s="987"/>
      <c r="C2056" s="664" t="s">
        <v>380</v>
      </c>
      <c r="D2056" s="673"/>
      <c r="E2056" s="674">
        <v>0</v>
      </c>
      <c r="F2056" s="670">
        <f>IFERROR(E2056*'01 Prod Physique Boites'!H2051,"-")</f>
        <v>0</v>
      </c>
      <c r="G2056" s="676">
        <f>IFERROR(E2056*'01 Prod Physique Boites'!L2051,"-")</f>
        <v>0</v>
      </c>
      <c r="H2056" s="667">
        <v>0</v>
      </c>
      <c r="I2056" s="429" t="str">
        <f t="shared" si="1246"/>
        <v>-</v>
      </c>
      <c r="J2056" s="430" t="str">
        <f t="shared" ref="J2056" si="1247">IFERROR(I2056*(G2056/F2056),"-")</f>
        <v>-</v>
      </c>
    </row>
    <row r="2057" spans="1:10" ht="24" thickBot="1" x14ac:dyDescent="0.35">
      <c r="A2057" s="277" t="s">
        <v>110</v>
      </c>
      <c r="B2057" s="967" t="s">
        <v>49</v>
      </c>
      <c r="C2057" s="968"/>
      <c r="D2057" s="969"/>
      <c r="E2057" s="393"/>
      <c r="F2057" s="409">
        <f>SUM(F2054:F2056)</f>
        <v>1036223.2320000001</v>
      </c>
      <c r="G2057" s="409">
        <f>SUM(G2054:G2056)</f>
        <v>5252356.5071999999</v>
      </c>
      <c r="H2057" s="394"/>
      <c r="I2057" s="409">
        <f>SUM(I2054:I2056)</f>
        <v>1229184</v>
      </c>
      <c r="J2057" s="428">
        <f>SUM(J2054:J2056)</f>
        <v>6235241.7599999998</v>
      </c>
    </row>
    <row r="2058" spans="1:10" ht="23.4" x14ac:dyDescent="0.3">
      <c r="A2058" s="277" t="s">
        <v>110</v>
      </c>
      <c r="B2058" s="956" t="s">
        <v>20</v>
      </c>
      <c r="C2058" s="294" t="s">
        <v>351</v>
      </c>
      <c r="D2058" s="294" t="s">
        <v>313</v>
      </c>
      <c r="E2058" s="508">
        <v>26.032900000000001</v>
      </c>
      <c r="F2058" s="405">
        <f>IFERROR(E2058*'01 Prod Physique Boites'!H2053,"-")</f>
        <v>0</v>
      </c>
      <c r="G2058" s="406">
        <f>IFERROR(E2058*'01 Prod Physique Boites'!L2053,"-")</f>
        <v>0</v>
      </c>
      <c r="H2058" s="384">
        <v>36.44</v>
      </c>
      <c r="I2058" s="422">
        <f>IFERROR(H2058*(F2058/E2058),"-")</f>
        <v>0</v>
      </c>
      <c r="J2058" s="423">
        <f t="shared" ref="J2058:J2060" si="1248">IFERROR(H2058*(G2058/E2058),"-")</f>
        <v>0</v>
      </c>
    </row>
    <row r="2059" spans="1:10" ht="23.4" x14ac:dyDescent="0.3">
      <c r="A2059" s="277" t="s">
        <v>110</v>
      </c>
      <c r="B2059" s="957"/>
      <c r="C2059" s="295" t="s">
        <v>121</v>
      </c>
      <c r="D2059" s="295"/>
      <c r="E2059" s="387">
        <v>24.2607</v>
      </c>
      <c r="F2059" s="405">
        <f>IFERROR(E2059*'01 Prod Physique Boites'!H2054,"-")</f>
        <v>0</v>
      </c>
      <c r="G2059" s="406">
        <f>IFERROR(E2059*'01 Prod Physique Boites'!L2054,"-")</f>
        <v>0</v>
      </c>
      <c r="H2059" s="388">
        <v>37.369999999999997</v>
      </c>
      <c r="I2059" s="424">
        <f>IFERROR(H2059*(F2059/E2059),"-")</f>
        <v>0</v>
      </c>
      <c r="J2059" s="425">
        <f t="shared" si="1248"/>
        <v>0</v>
      </c>
    </row>
    <row r="2060" spans="1:10" ht="24" thickBot="1" x14ac:dyDescent="0.35">
      <c r="A2060" s="277" t="s">
        <v>110</v>
      </c>
      <c r="B2060" s="958"/>
      <c r="C2060" s="296" t="s">
        <v>127</v>
      </c>
      <c r="D2060" s="296"/>
      <c r="E2060" s="389">
        <v>26.035799999999998</v>
      </c>
      <c r="F2060" s="405">
        <f>IFERROR(E2060*'01 Prod Physique Boites'!H2055,"-")</f>
        <v>0</v>
      </c>
      <c r="G2060" s="406">
        <f>IFERROR(E2060*'01 Prod Physique Boites'!L2055,"-")</f>
        <v>0</v>
      </c>
      <c r="H2060" s="390">
        <v>37.11</v>
      </c>
      <c r="I2060" s="426">
        <f>IFERROR(H2060*(F2060/E2060),"-")</f>
        <v>0</v>
      </c>
      <c r="J2060" s="427">
        <f t="shared" si="1248"/>
        <v>0</v>
      </c>
    </row>
    <row r="2061" spans="1:10" ht="24" thickBot="1" x14ac:dyDescent="0.35">
      <c r="A2061" s="277" t="s">
        <v>110</v>
      </c>
      <c r="B2061" s="968" t="s">
        <v>50</v>
      </c>
      <c r="C2061" s="968"/>
      <c r="D2061" s="989"/>
      <c r="E2061" s="393"/>
      <c r="F2061" s="409">
        <f t="shared" ref="F2061:G2061" si="1249">SUM(F2058:F2060)</f>
        <v>0</v>
      </c>
      <c r="G2061" s="410">
        <f t="shared" si="1249"/>
        <v>0</v>
      </c>
      <c r="H2061" s="394"/>
      <c r="I2061" s="409">
        <f t="shared" ref="I2061:J2061" si="1250">SUM(I2058:I2060)</f>
        <v>0</v>
      </c>
      <c r="J2061" s="428">
        <f t="shared" si="1250"/>
        <v>0</v>
      </c>
    </row>
    <row r="2062" spans="1:10" ht="24" thickBot="1" x14ac:dyDescent="0.35">
      <c r="A2062" s="277" t="s">
        <v>110</v>
      </c>
      <c r="B2062" s="981" t="s">
        <v>21</v>
      </c>
      <c r="C2062" s="982"/>
      <c r="D2062" s="983"/>
      <c r="E2062" s="396"/>
      <c r="F2062" s="413">
        <f>+F2037+F2045+F2053+F2057+F2061</f>
        <v>2110506.3059999999</v>
      </c>
      <c r="G2062" s="414">
        <f>+G2037+G2045+G2053+G2057+G2061</f>
        <v>47837468.402400002</v>
      </c>
      <c r="H2062" s="397"/>
      <c r="I2062" s="413">
        <f>+I2037+I2045+I2053+I2057+I2061</f>
        <v>2979075.5999999996</v>
      </c>
      <c r="J2062" s="431">
        <f>+J2037+J2045+J2053+J2057+J2061</f>
        <v>65226894.632800005</v>
      </c>
    </row>
    <row r="2063" spans="1:10" ht="23.4" x14ac:dyDescent="0.3">
      <c r="A2063" s="277" t="s">
        <v>110</v>
      </c>
      <c r="B2063" s="956" t="s">
        <v>481</v>
      </c>
      <c r="C2063" s="272" t="s">
        <v>132</v>
      </c>
      <c r="D2063" s="272"/>
      <c r="E2063" s="383">
        <v>22.820599999999999</v>
      </c>
      <c r="F2063" s="405">
        <f>IFERROR(E2063*'01 Prod Physique Boites'!H2058,"-")</f>
        <v>0</v>
      </c>
      <c r="G2063" s="406">
        <f>IFERROR(E2063*'01 Prod Physique Boites'!L2058,"-")</f>
        <v>0</v>
      </c>
      <c r="H2063" s="384">
        <v>27.5</v>
      </c>
      <c r="I2063" s="422">
        <f>IFERROR(H2063*(F2063/E2063),"-")</f>
        <v>0</v>
      </c>
      <c r="J2063" s="423">
        <f t="shared" ref="J2063:J2066" si="1251">IFERROR(H2063*(G2063/E2063),"-")</f>
        <v>0</v>
      </c>
    </row>
    <row r="2064" spans="1:10" ht="23.4" x14ac:dyDescent="0.3">
      <c r="A2064" s="277" t="s">
        <v>110</v>
      </c>
      <c r="B2064" s="957"/>
      <c r="C2064" s="298" t="s">
        <v>283</v>
      </c>
      <c r="D2064" s="298" t="s">
        <v>194</v>
      </c>
      <c r="E2064" s="387">
        <v>23.570699999999999</v>
      </c>
      <c r="F2064" s="405">
        <f>IFERROR(E2064*'01 Prod Physique Boites'!H2059,"-")</f>
        <v>0</v>
      </c>
      <c r="G2064" s="406">
        <f>IFERROR(E2064*'01 Prod Physique Boites'!L2059,"-")</f>
        <v>0</v>
      </c>
      <c r="H2064" s="388">
        <v>27.5</v>
      </c>
      <c r="I2064" s="424">
        <f>IFERROR(H2064*(F2064/E2064),"-")</f>
        <v>0</v>
      </c>
      <c r="J2064" s="425">
        <f t="shared" si="1251"/>
        <v>0</v>
      </c>
    </row>
    <row r="2065" spans="1:10" ht="23.4" x14ac:dyDescent="0.3">
      <c r="A2065" s="277" t="s">
        <v>110</v>
      </c>
      <c r="B2065" s="957"/>
      <c r="C2065" s="298" t="s">
        <v>405</v>
      </c>
      <c r="D2065" s="298" t="s">
        <v>194</v>
      </c>
      <c r="E2065" s="387">
        <v>22.820599999999999</v>
      </c>
      <c r="F2065" s="405">
        <f>IFERROR(E2065*'01 Prod Physique Boites'!H2060,"-")</f>
        <v>0</v>
      </c>
      <c r="G2065" s="406">
        <f>IFERROR(E2065*'01 Prod Physique Boites'!L2060,"-")</f>
        <v>8207885.2019999996</v>
      </c>
      <c r="H2065" s="388">
        <v>27.5</v>
      </c>
      <c r="I2065" s="424">
        <f>IFERROR(H2065*(F2065/E2065),"-")</f>
        <v>0</v>
      </c>
      <c r="J2065" s="425">
        <f t="shared" si="1251"/>
        <v>9890925</v>
      </c>
    </row>
    <row r="2066" spans="1:10" ht="24" thickBot="1" x14ac:dyDescent="0.35">
      <c r="A2066" s="277" t="s">
        <v>110</v>
      </c>
      <c r="B2066" s="958"/>
      <c r="C2066" s="282" t="s">
        <v>195</v>
      </c>
      <c r="D2066" s="282" t="s">
        <v>100</v>
      </c>
      <c r="E2066" s="389">
        <v>23.5685</v>
      </c>
      <c r="F2066" s="405">
        <f>IFERROR(E2066*'01 Prod Physique Boites'!H2061,"-")</f>
        <v>0</v>
      </c>
      <c r="G2066" s="406">
        <f>IFERROR(E2066*'01 Prod Physique Boites'!L2061,"-")</f>
        <v>0</v>
      </c>
      <c r="H2066" s="390">
        <v>24</v>
      </c>
      <c r="I2066" s="426">
        <f>IFERROR(H2066*(F2066/E2066),"-")</f>
        <v>0</v>
      </c>
      <c r="J2066" s="427">
        <f t="shared" si="1251"/>
        <v>0</v>
      </c>
    </row>
    <row r="2067" spans="1:10" ht="24" thickBot="1" x14ac:dyDescent="0.35">
      <c r="A2067" s="277" t="s">
        <v>110</v>
      </c>
      <c r="B2067" s="967" t="s">
        <v>51</v>
      </c>
      <c r="C2067" s="968"/>
      <c r="D2067" s="969"/>
      <c r="E2067" s="393"/>
      <c r="F2067" s="409">
        <f t="shared" ref="F2067:G2067" si="1252">SUM(F2063:F2066)</f>
        <v>0</v>
      </c>
      <c r="G2067" s="410">
        <f t="shared" si="1252"/>
        <v>8207885.2019999996</v>
      </c>
      <c r="H2067" s="394"/>
      <c r="I2067" s="409">
        <f t="shared" ref="I2067:J2067" si="1253">SUM(I2063:I2066)</f>
        <v>0</v>
      </c>
      <c r="J2067" s="428">
        <f t="shared" si="1253"/>
        <v>9890925</v>
      </c>
    </row>
    <row r="2068" spans="1:10" ht="23.4" x14ac:dyDescent="0.3">
      <c r="A2068" s="277" t="s">
        <v>110</v>
      </c>
      <c r="B2068" s="956" t="s">
        <v>23</v>
      </c>
      <c r="C2068" s="299" t="s">
        <v>337</v>
      </c>
      <c r="D2068" s="299" t="s">
        <v>258</v>
      </c>
      <c r="E2068" s="383">
        <v>101.4935</v>
      </c>
      <c r="F2068" s="405">
        <f>IFERROR(E2068*'01 Prod Physique Boites'!H2063,"-")</f>
        <v>0</v>
      </c>
      <c r="G2068" s="406">
        <f>IFERROR(E2068*'01 Prod Physique Boites'!L2063,"-")</f>
        <v>1117646.422</v>
      </c>
      <c r="H2068" s="388">
        <v>160.44999999999999</v>
      </c>
      <c r="I2068" s="422">
        <f t="shared" ref="I2068:I2075" si="1254">IFERROR(H2068*(F2068/E2068),"-")</f>
        <v>0</v>
      </c>
      <c r="J2068" s="423">
        <f t="shared" ref="J2068:J2075" si="1255">IFERROR(H2068*(G2068/E2068),"-")</f>
        <v>1766875.4</v>
      </c>
    </row>
    <row r="2069" spans="1:10" ht="23.4" x14ac:dyDescent="0.3">
      <c r="A2069" s="277" t="s">
        <v>110</v>
      </c>
      <c r="B2069" s="957"/>
      <c r="C2069" s="278" t="s">
        <v>24</v>
      </c>
      <c r="D2069" s="278" t="s">
        <v>258</v>
      </c>
      <c r="E2069" s="387">
        <v>101.4935</v>
      </c>
      <c r="F2069" s="405">
        <f>IFERROR(E2069*'01 Prod Physique Boites'!H2064,"-")</f>
        <v>1509715.8125</v>
      </c>
      <c r="G2069" s="406">
        <f>IFERROR(E2069*'01 Prod Physique Boites'!L2064,"-")</f>
        <v>8003777.4100000001</v>
      </c>
      <c r="H2069" s="388">
        <v>160.44999999999999</v>
      </c>
      <c r="I2069" s="424">
        <f t="shared" si="1254"/>
        <v>2386693.75</v>
      </c>
      <c r="J2069" s="425">
        <f t="shared" si="1255"/>
        <v>12653087</v>
      </c>
    </row>
    <row r="2070" spans="1:10" ht="23.4" x14ac:dyDescent="0.3">
      <c r="A2070" s="277" t="s">
        <v>110</v>
      </c>
      <c r="B2070" s="957"/>
      <c r="C2070" s="278" t="s">
        <v>256</v>
      </c>
      <c r="D2070" s="278" t="s">
        <v>258</v>
      </c>
      <c r="E2070" s="387">
        <v>101.4935</v>
      </c>
      <c r="F2070" s="405">
        <f>IFERROR(E2070*'01 Prod Physique Boites'!H2065,"-")</f>
        <v>0</v>
      </c>
      <c r="G2070" s="406">
        <f>IFERROR(E2070*'01 Prod Physique Boites'!L2065,"-")</f>
        <v>1983690.4575</v>
      </c>
      <c r="H2070" s="388">
        <v>160.44999999999999</v>
      </c>
      <c r="I2070" s="424">
        <f t="shared" si="1254"/>
        <v>0</v>
      </c>
      <c r="J2070" s="425">
        <f t="shared" si="1255"/>
        <v>3135995.25</v>
      </c>
    </row>
    <row r="2071" spans="1:10" ht="23.4" x14ac:dyDescent="0.3">
      <c r="A2071" s="277" t="s">
        <v>110</v>
      </c>
      <c r="B2071" s="957"/>
      <c r="C2071" s="278" t="s">
        <v>257</v>
      </c>
      <c r="D2071" s="278" t="s">
        <v>258</v>
      </c>
      <c r="E2071" s="387">
        <v>101.4935</v>
      </c>
      <c r="F2071" s="405">
        <f>IFERROR(E2071*'01 Prod Physique Boites'!H2066,"-")</f>
        <v>0</v>
      </c>
      <c r="G2071" s="406">
        <f>IFERROR(E2071*'01 Prod Physique Boites'!L2066,"-")</f>
        <v>2066509.1535</v>
      </c>
      <c r="H2071" s="388">
        <v>160.44999999999999</v>
      </c>
      <c r="I2071" s="424">
        <f t="shared" si="1254"/>
        <v>0</v>
      </c>
      <c r="J2071" s="425">
        <f t="shared" si="1255"/>
        <v>3266922.4499999997</v>
      </c>
    </row>
    <row r="2072" spans="1:10" ht="23.4" x14ac:dyDescent="0.3">
      <c r="A2072" s="277" t="s">
        <v>110</v>
      </c>
      <c r="B2072" s="957"/>
      <c r="C2072" s="298" t="s">
        <v>259</v>
      </c>
      <c r="D2072" s="278" t="s">
        <v>258</v>
      </c>
      <c r="E2072" s="387">
        <v>101.4935</v>
      </c>
      <c r="F2072" s="405">
        <f>IFERROR(E2072*'01 Prod Physique Boites'!H2067,"-")</f>
        <v>0</v>
      </c>
      <c r="G2072" s="406">
        <f>IFERROR(E2072*'01 Prod Physique Boites'!L2067,"-")</f>
        <v>1249080.5045</v>
      </c>
      <c r="H2072" s="388">
        <v>160.44999999999999</v>
      </c>
      <c r="I2072" s="424">
        <f t="shared" si="1254"/>
        <v>0</v>
      </c>
      <c r="J2072" s="425">
        <f t="shared" si="1255"/>
        <v>1974658.15</v>
      </c>
    </row>
    <row r="2073" spans="1:10" ht="23.4" x14ac:dyDescent="0.3">
      <c r="A2073" s="277" t="s">
        <v>110</v>
      </c>
      <c r="B2073" s="957"/>
      <c r="C2073" s="298" t="s">
        <v>260</v>
      </c>
      <c r="D2073" s="278" t="s">
        <v>258</v>
      </c>
      <c r="E2073" s="387">
        <v>101.4935</v>
      </c>
      <c r="F2073" s="405">
        <f>IFERROR(E2073*'01 Prod Physique Boites'!H2068,"-")</f>
        <v>0</v>
      </c>
      <c r="G2073" s="406">
        <f>IFERROR(E2073*'01 Prod Physique Boites'!L2068,"-")</f>
        <v>2708049.5669999998</v>
      </c>
      <c r="H2073" s="388">
        <v>160.44999999999999</v>
      </c>
      <c r="I2073" s="424">
        <f t="shared" si="1254"/>
        <v>0</v>
      </c>
      <c r="J2073" s="425">
        <f t="shared" si="1255"/>
        <v>4281126.8999999994</v>
      </c>
    </row>
    <row r="2074" spans="1:10" ht="23.4" x14ac:dyDescent="0.3">
      <c r="A2074" s="277" t="s">
        <v>110</v>
      </c>
      <c r="B2074" s="957"/>
      <c r="C2074" s="298" t="s">
        <v>261</v>
      </c>
      <c r="D2074" s="278" t="s">
        <v>263</v>
      </c>
      <c r="E2074" s="387">
        <v>101.4935</v>
      </c>
      <c r="F2074" s="405">
        <f>IFERROR(E2074*'01 Prod Physique Boites'!H2069,"-")</f>
        <v>0</v>
      </c>
      <c r="G2074" s="406">
        <f>IFERROR(E2074*'01 Prod Physique Boites'!L2069,"-")</f>
        <v>2384082.3149999999</v>
      </c>
      <c r="H2074" s="388">
        <v>160.44999999999999</v>
      </c>
      <c r="I2074" s="424">
        <f t="shared" si="1254"/>
        <v>0</v>
      </c>
      <c r="J2074" s="425">
        <f t="shared" si="1255"/>
        <v>3768970.4999999995</v>
      </c>
    </row>
    <row r="2075" spans="1:10" ht="24" thickBot="1" x14ac:dyDescent="0.35">
      <c r="A2075" s="277" t="s">
        <v>110</v>
      </c>
      <c r="B2075" s="958"/>
      <c r="C2075" s="298" t="s">
        <v>262</v>
      </c>
      <c r="D2075" s="278" t="s">
        <v>258</v>
      </c>
      <c r="E2075" s="389">
        <v>101.4935</v>
      </c>
      <c r="F2075" s="405">
        <f>IFERROR(E2075*'01 Prod Physique Boites'!H2070,"-")</f>
        <v>0</v>
      </c>
      <c r="G2075" s="406">
        <f>IFERROR(E2075*'01 Prod Physique Boites'!L2070,"-")</f>
        <v>3565466.6549999998</v>
      </c>
      <c r="H2075" s="388">
        <v>160.44999999999999</v>
      </c>
      <c r="I2075" s="426">
        <f t="shared" si="1254"/>
        <v>0</v>
      </c>
      <c r="J2075" s="427">
        <f t="shared" si="1255"/>
        <v>5636608.5</v>
      </c>
    </row>
    <row r="2076" spans="1:10" ht="24" thickBot="1" x14ac:dyDescent="0.35">
      <c r="A2076" s="277" t="s">
        <v>110</v>
      </c>
      <c r="B2076" s="967" t="s">
        <v>52</v>
      </c>
      <c r="C2076" s="968"/>
      <c r="D2076" s="969"/>
      <c r="E2076" s="393"/>
      <c r="F2076" s="409">
        <f t="shared" ref="F2076" si="1256">SUM(F2068:F2075)</f>
        <v>1509715.8125</v>
      </c>
      <c r="G2076" s="410">
        <f>SUM(G2068:G2075)</f>
        <v>23078302.484500002</v>
      </c>
      <c r="H2076" s="394"/>
      <c r="I2076" s="409">
        <f t="shared" ref="I2076" si="1257">SUM(I2068:I2075)</f>
        <v>2386693.75</v>
      </c>
      <c r="J2076" s="428">
        <f>SUM(J2068:J2075)</f>
        <v>36484244.149999991</v>
      </c>
    </row>
    <row r="2077" spans="1:10" ht="24" thickBot="1" x14ac:dyDescent="0.35">
      <c r="A2077" s="277" t="s">
        <v>110</v>
      </c>
      <c r="B2077" s="981" t="s">
        <v>25</v>
      </c>
      <c r="C2077" s="982"/>
      <c r="D2077" s="983"/>
      <c r="E2077" s="396"/>
      <c r="F2077" s="413">
        <f t="shared" ref="F2077" si="1258">+F2067+F2076</f>
        <v>1509715.8125</v>
      </c>
      <c r="G2077" s="414">
        <f>+G2067+G2076</f>
        <v>31286187.686500002</v>
      </c>
      <c r="H2077" s="397"/>
      <c r="I2077" s="413">
        <f t="shared" ref="I2077:J2077" si="1259">+I2067+I2076</f>
        <v>2386693.75</v>
      </c>
      <c r="J2077" s="431">
        <f t="shared" si="1259"/>
        <v>46375169.149999991</v>
      </c>
    </row>
    <row r="2078" spans="1:10" ht="24" thickBot="1" x14ac:dyDescent="0.35">
      <c r="A2078" s="277" t="s">
        <v>110</v>
      </c>
      <c r="B2078" s="984" t="s">
        <v>180</v>
      </c>
      <c r="C2078" s="962"/>
      <c r="D2078" s="963"/>
      <c r="E2078" s="398"/>
      <c r="F2078" s="415">
        <f t="shared" ref="F2078" si="1260">+F2062+F2077</f>
        <v>3620222.1184999999</v>
      </c>
      <c r="G2078" s="416">
        <f>+G2062+G2077</f>
        <v>79123656.0889</v>
      </c>
      <c r="H2078" s="399"/>
      <c r="I2078" s="415">
        <f t="shared" ref="I2078:J2078" si="1261">+I2062+I2077</f>
        <v>5365769.3499999996</v>
      </c>
      <c r="J2078" s="432">
        <f t="shared" si="1261"/>
        <v>111602063.78279999</v>
      </c>
    </row>
    <row r="2079" spans="1:10" ht="23.4" x14ac:dyDescent="0.3">
      <c r="A2079" s="271" t="s">
        <v>108</v>
      </c>
      <c r="B2079" s="977" t="s">
        <v>26</v>
      </c>
      <c r="C2079" s="300" t="s">
        <v>323</v>
      </c>
      <c r="D2079" s="302" t="s">
        <v>190</v>
      </c>
      <c r="E2079" s="508">
        <v>13.1272</v>
      </c>
      <c r="F2079" s="405">
        <f>+'01 Prod Physique Boites'!H2074</f>
        <v>0</v>
      </c>
      <c r="G2079" s="406">
        <f>IFERROR(E2079*'01 Prod Physique Boites'!L2074,"-")</f>
        <v>0</v>
      </c>
      <c r="H2079" s="384">
        <v>20.76</v>
      </c>
      <c r="I2079" s="422">
        <f t="shared" ref="I2079:I2088" si="1262">IFERROR(H2079*(F2079/E2079),"-")</f>
        <v>0</v>
      </c>
      <c r="J2079" s="644">
        <f t="shared" ref="J2079:J2088" si="1263">IFERROR(H2079*(G2079/E2079),"-")</f>
        <v>0</v>
      </c>
    </row>
    <row r="2080" spans="1:10" ht="23.4" x14ac:dyDescent="0.3">
      <c r="A2080" s="277" t="s">
        <v>108</v>
      </c>
      <c r="B2080" s="977"/>
      <c r="C2080" s="301" t="s">
        <v>508</v>
      </c>
      <c r="D2080" s="301" t="s">
        <v>507</v>
      </c>
      <c r="E2080" s="509">
        <v>16.7288</v>
      </c>
      <c r="F2080" s="405">
        <f>IFERROR(E2080*'01 Prod Physique Boites'!H2075,"-")</f>
        <v>0</v>
      </c>
      <c r="G2080" s="406">
        <f>IFERROR(E2080*'01 Prod Physique Boites'!L2075,"-")</f>
        <v>3127716.8207999999</v>
      </c>
      <c r="H2080" s="388">
        <v>20.76</v>
      </c>
      <c r="I2080" s="424">
        <f t="shared" si="1262"/>
        <v>0</v>
      </c>
      <c r="J2080" s="645">
        <f t="shared" si="1263"/>
        <v>3881414.16</v>
      </c>
    </row>
    <row r="2081" spans="1:10" ht="23.4" x14ac:dyDescent="0.3">
      <c r="A2081" s="277" t="s">
        <v>108</v>
      </c>
      <c r="B2081" s="977"/>
      <c r="C2081" s="302" t="s">
        <v>27</v>
      </c>
      <c r="D2081" s="302" t="s">
        <v>370</v>
      </c>
      <c r="E2081" s="505">
        <v>17.8202</v>
      </c>
      <c r="F2081" s="405">
        <f>IFERROR(E2081*'01 Prod Physique Boites'!H2076,"-")</f>
        <v>0</v>
      </c>
      <c r="G2081" s="406">
        <f>IFERROR(E2081*'01 Prod Physique Boites'!L2076,"-")</f>
        <v>258250.33840000001</v>
      </c>
      <c r="H2081" s="388">
        <v>21.22</v>
      </c>
      <c r="I2081" s="424">
        <f t="shared" si="1262"/>
        <v>0</v>
      </c>
      <c r="J2081" s="645">
        <f t="shared" si="1263"/>
        <v>307520.24</v>
      </c>
    </row>
    <row r="2082" spans="1:10" ht="23.4" x14ac:dyDescent="0.3">
      <c r="A2082" s="277" t="s">
        <v>108</v>
      </c>
      <c r="B2082" s="977"/>
      <c r="C2082" s="302" t="s">
        <v>27</v>
      </c>
      <c r="D2082" s="302" t="s">
        <v>254</v>
      </c>
      <c r="E2082" s="505">
        <v>17.8202</v>
      </c>
      <c r="F2082" s="405">
        <f>IFERROR(E2082*'01 Prod Physique Boites'!H2077,"-")</f>
        <v>0</v>
      </c>
      <c r="G2082" s="406">
        <f>IFERROR(E2082*'01 Prod Physique Boites'!L2077,"-")</f>
        <v>710651.75580000004</v>
      </c>
      <c r="H2082" s="388">
        <v>24.93</v>
      </c>
      <c r="I2082" s="424">
        <f t="shared" si="1262"/>
        <v>0</v>
      </c>
      <c r="J2082" s="645">
        <f t="shared" si="1263"/>
        <v>994183.47</v>
      </c>
    </row>
    <row r="2083" spans="1:10" ht="23.4" x14ac:dyDescent="0.3">
      <c r="A2083" s="277" t="s">
        <v>108</v>
      </c>
      <c r="B2083" s="977"/>
      <c r="C2083" s="302" t="s">
        <v>27</v>
      </c>
      <c r="D2083" s="302" t="s">
        <v>302</v>
      </c>
      <c r="E2083" s="505">
        <v>17.8202</v>
      </c>
      <c r="F2083" s="405">
        <f>IFERROR(E2083*'01 Prod Physique Boites'!H2078,"-")</f>
        <v>0</v>
      </c>
      <c r="G2083" s="406">
        <f>IFERROR(E2083*'01 Prod Physique Boites'!L2078,"-")</f>
        <v>103891.766</v>
      </c>
      <c r="H2083" s="388">
        <v>24.93</v>
      </c>
      <c r="I2083" s="424">
        <f t="shared" si="1262"/>
        <v>0</v>
      </c>
      <c r="J2083" s="645">
        <f t="shared" si="1263"/>
        <v>145341.9</v>
      </c>
    </row>
    <row r="2084" spans="1:10" ht="23.4" x14ac:dyDescent="0.3">
      <c r="A2084" s="277"/>
      <c r="B2084" s="977"/>
      <c r="C2084" s="302" t="s">
        <v>546</v>
      </c>
      <c r="D2084" s="302" t="s">
        <v>191</v>
      </c>
      <c r="E2084" s="505">
        <v>14.608000000000001</v>
      </c>
      <c r="F2084" s="405">
        <f>IFERROR(E2084*'01 Prod Physique Boites'!H2079,"-")</f>
        <v>0</v>
      </c>
      <c r="G2084" s="406">
        <f>IFERROR(E2084*'01 Prod Physique Boites'!L2079,"-")</f>
        <v>58110.624000000003</v>
      </c>
      <c r="H2084" s="390">
        <v>24.93</v>
      </c>
      <c r="I2084" s="424">
        <f t="shared" si="1262"/>
        <v>0</v>
      </c>
      <c r="J2084" s="646">
        <f t="shared" si="1263"/>
        <v>99171.54</v>
      </c>
    </row>
    <row r="2085" spans="1:10" ht="23.4" x14ac:dyDescent="0.3">
      <c r="A2085" s="277"/>
      <c r="B2085" s="977"/>
      <c r="C2085" s="302" t="s">
        <v>545</v>
      </c>
      <c r="D2085" s="302" t="s">
        <v>101</v>
      </c>
      <c r="E2085" s="505">
        <v>17.8202</v>
      </c>
      <c r="F2085" s="863">
        <f>IFERROR(E2085*'01 Prod Physique Boites'!H2080,"-")</f>
        <v>0</v>
      </c>
      <c r="G2085" s="406">
        <f>IFERROR(E2085*'01 Prod Physique Boites'!L2080,"-")</f>
        <v>105121.35980000001</v>
      </c>
      <c r="H2085" s="390">
        <v>24.93</v>
      </c>
      <c r="I2085" s="426">
        <f t="shared" si="1262"/>
        <v>0</v>
      </c>
      <c r="J2085" s="646">
        <f t="shared" si="1263"/>
        <v>147062.07</v>
      </c>
    </row>
    <row r="2086" spans="1:10" s="870" customFormat="1" ht="23.4" x14ac:dyDescent="0.3">
      <c r="A2086" s="864"/>
      <c r="B2086" s="977"/>
      <c r="C2086" s="865" t="s">
        <v>453</v>
      </c>
      <c r="D2086" s="865" t="s">
        <v>454</v>
      </c>
      <c r="E2086" s="866">
        <v>16.345199999999998</v>
      </c>
      <c r="F2086" s="863">
        <f>IFERROR(E2086*'01 Prod Physique Boites'!H2082,"-")</f>
        <v>0</v>
      </c>
      <c r="G2086" s="867">
        <f>IFERROR(E2086*'01 Prod Physique Boites'!L2082,"-")</f>
        <v>639375.18839999998</v>
      </c>
      <c r="H2086" s="868">
        <v>23.78</v>
      </c>
      <c r="I2086" s="869">
        <f t="shared" si="1262"/>
        <v>0</v>
      </c>
      <c r="J2086" s="646">
        <f t="shared" si="1263"/>
        <v>930202.26</v>
      </c>
    </row>
    <row r="2087" spans="1:10" s="870" customFormat="1" ht="23.4" x14ac:dyDescent="0.3">
      <c r="A2087" s="864"/>
      <c r="B2087" s="977"/>
      <c r="C2087" s="865"/>
      <c r="D2087" s="865"/>
      <c r="E2087" s="866">
        <v>16.7288</v>
      </c>
      <c r="F2087" s="863">
        <f>IFERROR(E2087*'01 Prod Physique Boites'!H2081,"-")</f>
        <v>0</v>
      </c>
      <c r="G2087" s="867">
        <f>IFERROR(E2087*'01 Prod Physique Boites'!L2081,"-")</f>
        <v>40952.102399999996</v>
      </c>
      <c r="H2087" s="868">
        <v>25.49</v>
      </c>
      <c r="I2087" s="869">
        <f t="shared" si="1262"/>
        <v>0</v>
      </c>
      <c r="J2087" s="646">
        <f t="shared" si="1263"/>
        <v>62399.519999999997</v>
      </c>
    </row>
    <row r="2088" spans="1:10" ht="24" thickBot="1" x14ac:dyDescent="0.35">
      <c r="A2088" s="277" t="s">
        <v>108</v>
      </c>
      <c r="B2088" s="977"/>
      <c r="C2088" s="303" t="s">
        <v>315</v>
      </c>
      <c r="D2088" s="302" t="s">
        <v>313</v>
      </c>
      <c r="E2088" s="505">
        <v>12.6997</v>
      </c>
      <c r="F2088" s="405">
        <f>IFERROR(E2088*'01 Prod Physique Boites'!H2083,"-")</f>
        <v>0</v>
      </c>
      <c r="G2088" s="867">
        <f>IFERROR(E2088*'01 Prod Physique Boites'!L2083,"-")</f>
        <v>202077.62640000001</v>
      </c>
      <c r="H2088" s="390">
        <v>13.25</v>
      </c>
      <c r="I2088" s="426">
        <f t="shared" si="1262"/>
        <v>0</v>
      </c>
      <c r="J2088" s="646">
        <f t="shared" si="1263"/>
        <v>210834</v>
      </c>
    </row>
    <row r="2089" spans="1:10" ht="24" thickBot="1" x14ac:dyDescent="0.35">
      <c r="A2089" s="277" t="s">
        <v>108</v>
      </c>
      <c r="B2089" s="990"/>
      <c r="C2089" s="304"/>
      <c r="D2089" s="305" t="s">
        <v>55</v>
      </c>
      <c r="E2089" s="393"/>
      <c r="F2089" s="409">
        <f>SUM(F2079:F2088)</f>
        <v>0</v>
      </c>
      <c r="G2089" s="410">
        <f>SUM(G2079:G2088)</f>
        <v>5246147.5820000004</v>
      </c>
      <c r="H2089" s="394"/>
      <c r="I2089" s="409">
        <f>SUM(I2079:I2088)</f>
        <v>0</v>
      </c>
      <c r="J2089" s="428">
        <f>SUM(J2079:J2088)</f>
        <v>6778129.1600000001</v>
      </c>
    </row>
    <row r="2090" spans="1:10" ht="23.4" x14ac:dyDescent="0.3">
      <c r="A2090" s="277" t="s">
        <v>108</v>
      </c>
      <c r="B2090" s="976" t="s">
        <v>28</v>
      </c>
      <c r="C2090" s="302" t="s">
        <v>27</v>
      </c>
      <c r="D2090" s="300" t="s">
        <v>302</v>
      </c>
      <c r="E2090" s="508">
        <v>17.8202</v>
      </c>
      <c r="F2090" s="405">
        <f>IFERROR(E2090*'01 Prod Physique Boites'!H2085,"-")</f>
        <v>0</v>
      </c>
      <c r="G2090" s="406">
        <f>IFERROR(E2090*'01 Prod Physique Boites'!L2085,"-")</f>
        <v>2906438.9796000002</v>
      </c>
      <c r="H2090" s="384">
        <v>24.93</v>
      </c>
      <c r="I2090" s="422">
        <f>IFERROR(H2090*(F2090/E2090),"-")</f>
        <v>0</v>
      </c>
      <c r="J2090" s="644">
        <f t="shared" ref="J2090:J2094" si="1264">IFERROR(H2090*(G2090/E2090),"-")</f>
        <v>4066033.14</v>
      </c>
    </row>
    <row r="2091" spans="1:10" ht="23.4" x14ac:dyDescent="0.3">
      <c r="A2091" s="277" t="s">
        <v>108</v>
      </c>
      <c r="B2091" s="977"/>
      <c r="C2091" s="302" t="s">
        <v>456</v>
      </c>
      <c r="D2091" s="302" t="s">
        <v>370</v>
      </c>
      <c r="E2091" s="773">
        <v>16.7288</v>
      </c>
      <c r="F2091" s="405">
        <f>IFERROR(E2091*'01 Prod Physique Boites'!H2086,"-")</f>
        <v>2262603.6576</v>
      </c>
      <c r="G2091" s="867">
        <f>IFERROR(E2091*'01 Prod Physique Boites'!L2086,"-")</f>
        <v>23352936.393599998</v>
      </c>
      <c r="H2091" s="770">
        <v>20.76</v>
      </c>
      <c r="I2091" s="424">
        <f>IFERROR(H2091*(F2091/E2091),"-")</f>
        <v>2807831.52</v>
      </c>
      <c r="J2091" s="645">
        <f t="shared" si="1264"/>
        <v>28980378.720000003</v>
      </c>
    </row>
    <row r="2092" spans="1:10" ht="23.4" x14ac:dyDescent="0.3">
      <c r="A2092" s="277" t="s">
        <v>108</v>
      </c>
      <c r="B2092" s="977"/>
      <c r="C2092" s="302" t="s">
        <v>455</v>
      </c>
      <c r="D2092" s="302" t="s">
        <v>370</v>
      </c>
      <c r="E2092" s="505">
        <v>17.8202</v>
      </c>
      <c r="F2092" s="405">
        <f>IFERROR(E2092*'01 Prod Physique Boites'!H2087,"-")</f>
        <v>0</v>
      </c>
      <c r="G2092" s="406">
        <f>IFERROR(E2092*'01 Prod Physique Boites'!L2087,"-")</f>
        <v>1275997.6007999999</v>
      </c>
      <c r="H2092" s="388">
        <v>21.22</v>
      </c>
      <c r="I2092" s="424">
        <f>IFERROR(H2092*(F2092/E2092),"-")</f>
        <v>0</v>
      </c>
      <c r="J2092" s="645">
        <f t="shared" si="1264"/>
        <v>1519436.88</v>
      </c>
    </row>
    <row r="2093" spans="1:10" ht="23.4" x14ac:dyDescent="0.3">
      <c r="A2093" s="277"/>
      <c r="B2093" s="977"/>
      <c r="C2093" s="302" t="s">
        <v>453</v>
      </c>
      <c r="D2093" s="302" t="s">
        <v>454</v>
      </c>
      <c r="E2093" s="773">
        <v>16.345199999999998</v>
      </c>
      <c r="F2093" s="405">
        <f>IFERROR(E2093*'01 Prod Physique Boites'!H2088,"-")</f>
        <v>0</v>
      </c>
      <c r="G2093" s="406">
        <f>IFERROR(E2093*'01 Prod Physique Boites'!L2088,"-")</f>
        <v>4031314.7471999996</v>
      </c>
      <c r="H2093" s="388">
        <v>23.78</v>
      </c>
      <c r="I2093" s="426">
        <f>IFERROR(H2093*(F2093/E2093),"-")</f>
        <v>0</v>
      </c>
      <c r="J2093" s="646">
        <f t="shared" si="1264"/>
        <v>5865004.0800000001</v>
      </c>
    </row>
    <row r="2094" spans="1:10" ht="24" thickBot="1" x14ac:dyDescent="0.35">
      <c r="A2094" s="277" t="s">
        <v>108</v>
      </c>
      <c r="B2094" s="977"/>
      <c r="C2094" s="302" t="s">
        <v>27</v>
      </c>
      <c r="D2094" s="303" t="s">
        <v>254</v>
      </c>
      <c r="E2094" s="505">
        <v>17.8202</v>
      </c>
      <c r="F2094" s="405">
        <f>IFERROR(E2094*'01 Prod Physique Boites'!H2089,"-")</f>
        <v>0</v>
      </c>
      <c r="G2094" s="406">
        <f>IFERROR(E2094*'01 Prod Physique Boites'!L2089,"-")</f>
        <v>13517940.3948</v>
      </c>
      <c r="H2094" s="388">
        <v>24.93</v>
      </c>
      <c r="I2094" s="426">
        <f>IFERROR(H2094*(F2094/E2094),"-")</f>
        <v>0</v>
      </c>
      <c r="J2094" s="646">
        <f t="shared" si="1264"/>
        <v>18911249.82</v>
      </c>
    </row>
    <row r="2095" spans="1:10" ht="24" thickBot="1" x14ac:dyDescent="0.35">
      <c r="A2095" s="277" t="s">
        <v>108</v>
      </c>
      <c r="B2095" s="977"/>
      <c r="C2095" s="307"/>
      <c r="D2095" s="308" t="s">
        <v>55</v>
      </c>
      <c r="E2095" s="400"/>
      <c r="F2095" s="417">
        <f t="shared" ref="F2095:G2095" si="1265">SUM(F2090:F2094)</f>
        <v>2262603.6576</v>
      </c>
      <c r="G2095" s="418">
        <f t="shared" si="1265"/>
        <v>45084628.115999997</v>
      </c>
      <c r="H2095" s="401"/>
      <c r="I2095" s="417">
        <f t="shared" ref="I2095:J2095" si="1266">SUM(I2090:I2094)</f>
        <v>2807831.52</v>
      </c>
      <c r="J2095" s="433">
        <f t="shared" si="1266"/>
        <v>59342102.640000001</v>
      </c>
    </row>
    <row r="2096" spans="1:10" ht="24" thickBot="1" x14ac:dyDescent="0.35">
      <c r="A2096" s="925" t="s">
        <v>108</v>
      </c>
      <c r="B2096" s="978" t="s">
        <v>170</v>
      </c>
      <c r="C2096" s="979"/>
      <c r="D2096" s="980"/>
      <c r="E2096" s="402"/>
      <c r="F2096" s="419">
        <f t="shared" ref="F2096:G2096" si="1267">+F2089+F2095</f>
        <v>2262603.6576</v>
      </c>
      <c r="G2096" s="420">
        <f t="shared" si="1267"/>
        <v>50330775.697999999</v>
      </c>
      <c r="H2096" s="403"/>
      <c r="I2096" s="419">
        <f t="shared" ref="I2096:J2096" si="1268">+I2089+I2095</f>
        <v>2807831.52</v>
      </c>
      <c r="J2096" s="434">
        <f t="shared" si="1268"/>
        <v>66120231.799999997</v>
      </c>
    </row>
    <row r="2097" spans="1:10" ht="23.4" x14ac:dyDescent="0.3">
      <c r="A2097" s="277" t="s">
        <v>108</v>
      </c>
      <c r="B2097" s="977" t="s">
        <v>30</v>
      </c>
      <c r="C2097" s="306" t="s">
        <v>586</v>
      </c>
      <c r="D2097" s="302" t="s">
        <v>370</v>
      </c>
      <c r="E2097" s="917">
        <v>27.917000000000002</v>
      </c>
      <c r="F2097" s="405">
        <f>IFERROR(E2097*'01 Prod Physique Boites'!H2092,"-")</f>
        <v>0</v>
      </c>
      <c r="G2097" s="867">
        <f>IFERROR(E2097*'01 Prod Physique Boites'!L2092,"-")</f>
        <v>313563.74400000001</v>
      </c>
      <c r="H2097" s="915">
        <v>33.299999999999997</v>
      </c>
      <c r="I2097" s="422">
        <f>IFERROR(H2097*(F2097/E2097),"-")</f>
        <v>0</v>
      </c>
      <c r="J2097" s="423">
        <f t="shared" ref="J2097:J2099" si="1269">IFERROR(H2097*(G2097/E2097),"-")</f>
        <v>374025.6</v>
      </c>
    </row>
    <row r="2098" spans="1:10" ht="23.4" x14ac:dyDescent="0.3">
      <c r="A2098" s="277" t="s">
        <v>108</v>
      </c>
      <c r="B2098" s="977"/>
      <c r="C2098" s="303" t="s">
        <v>584</v>
      </c>
      <c r="D2098" s="306" t="s">
        <v>454</v>
      </c>
      <c r="E2098" s="914">
        <v>28.526700000000002</v>
      </c>
      <c r="F2098" s="405">
        <f>IFERROR(E2098*'01 Prod Physique Boites'!H2093,"-")</f>
        <v>0</v>
      </c>
      <c r="G2098" s="867">
        <f>IFERROR(E2098*'01 Prod Physique Boites'!L2093,"-")</f>
        <v>6835453.7472000001</v>
      </c>
      <c r="H2098" s="916">
        <v>37.89</v>
      </c>
      <c r="I2098" s="424">
        <f>IFERROR(H2098*(F2098/E2098),"-")</f>
        <v>0</v>
      </c>
      <c r="J2098" s="425">
        <f t="shared" si="1269"/>
        <v>9079050.2400000002</v>
      </c>
    </row>
    <row r="2099" spans="1:10" ht="24" thickBot="1" x14ac:dyDescent="0.35">
      <c r="A2099" s="277" t="s">
        <v>108</v>
      </c>
      <c r="B2099" s="977"/>
      <c r="C2099" s="303" t="s">
        <v>316</v>
      </c>
      <c r="D2099" s="303" t="s">
        <v>454</v>
      </c>
      <c r="E2099" s="505">
        <v>25.751300000000001</v>
      </c>
      <c r="F2099" s="863">
        <f>IFERROR(E2099*'01 Prod Physique Boites'!H2094,"-")</f>
        <v>0</v>
      </c>
      <c r="G2099" s="867">
        <f>IFERROR(E2099*'01 Prod Physique Boites'!L2094,"-")</f>
        <v>4290372.5904000001</v>
      </c>
      <c r="H2099" s="390">
        <v>37.89</v>
      </c>
      <c r="I2099" s="426">
        <f>IFERROR(H2099*(F2099/E2099),"-")</f>
        <v>0</v>
      </c>
      <c r="J2099" s="427">
        <f t="shared" si="1269"/>
        <v>6312777.1200000001</v>
      </c>
    </row>
    <row r="2100" spans="1:10" ht="24" thickBot="1" x14ac:dyDescent="0.35">
      <c r="A2100" s="277" t="s">
        <v>108</v>
      </c>
      <c r="B2100" s="977"/>
      <c r="C2100" s="304"/>
      <c r="D2100" s="305" t="s">
        <v>53</v>
      </c>
      <c r="E2100" s="393"/>
      <c r="F2100" s="409">
        <f t="shared" ref="F2100:G2100" si="1270">SUM(F2097:F2099)</f>
        <v>0</v>
      </c>
      <c r="G2100" s="410">
        <f t="shared" si="1270"/>
        <v>11439390.081599999</v>
      </c>
      <c r="H2100" s="394"/>
      <c r="I2100" s="409">
        <f t="shared" ref="I2100" si="1271">SUM(I2097:I2099)</f>
        <v>0</v>
      </c>
      <c r="J2100" s="428">
        <f>SUM(J2097:J2099)</f>
        <v>15765852.960000001</v>
      </c>
    </row>
    <row r="2101" spans="1:10" ht="23.4" x14ac:dyDescent="0.3">
      <c r="A2101" s="277" t="s">
        <v>108</v>
      </c>
      <c r="B2101" s="977"/>
      <c r="C2101" s="300" t="s">
        <v>548</v>
      </c>
      <c r="D2101" s="300" t="s">
        <v>99</v>
      </c>
      <c r="E2101" s="508">
        <v>24.2607</v>
      </c>
      <c r="F2101" s="405">
        <f>IFERROR(E2101*'01 Prod Physique Boites'!H2096,"-")</f>
        <v>0</v>
      </c>
      <c r="G2101" s="867">
        <f>IFERROR(E2101*'01 Prod Physique Boites'!L2096,"-")</f>
        <v>386521.47240000003</v>
      </c>
      <c r="H2101" s="384">
        <v>28.31</v>
      </c>
      <c r="I2101" s="422">
        <f>IFERROR(H2101*(F2101/E2101),"-")</f>
        <v>0</v>
      </c>
      <c r="J2101" s="423">
        <f t="shared" ref="J2101:J2105" si="1272">IFERROR(H2101*(G2101/E2101),"-")</f>
        <v>451034.92000000004</v>
      </c>
    </row>
    <row r="2102" spans="1:10" ht="23.4" x14ac:dyDescent="0.3">
      <c r="A2102" s="277"/>
      <c r="B2102" s="977"/>
      <c r="C2102" s="306" t="s">
        <v>585</v>
      </c>
      <c r="D2102" s="302" t="s">
        <v>370</v>
      </c>
      <c r="E2102" s="508">
        <v>24.2607</v>
      </c>
      <c r="F2102" s="405">
        <f>IFERROR(E2102*'01 Prod Physique Boites'!H2097,"-")</f>
        <v>0</v>
      </c>
      <c r="G2102" s="867">
        <f>IFERROR(E2102*'01 Prod Physique Boites'!L2097,"-")</f>
        <v>1135400.76</v>
      </c>
      <c r="H2102" s="384">
        <v>28.31</v>
      </c>
      <c r="I2102" s="422">
        <f t="shared" ref="I2102:I2105" si="1273">IFERROR(H2102*(F2102/E2102),"-")</f>
        <v>0</v>
      </c>
      <c r="J2102" s="423">
        <f t="shared" si="1272"/>
        <v>1324908</v>
      </c>
    </row>
    <row r="2103" spans="1:10" ht="23.4" x14ac:dyDescent="0.3">
      <c r="A2103" s="277"/>
      <c r="B2103" s="977"/>
      <c r="C2103" s="306" t="s">
        <v>588</v>
      </c>
      <c r="D2103" s="302" t="s">
        <v>370</v>
      </c>
      <c r="E2103" s="508">
        <v>23.697399999999998</v>
      </c>
      <c r="F2103" s="405">
        <f>IFERROR(E2103*'01 Prod Physique Boites'!H2098,"-")</f>
        <v>0</v>
      </c>
      <c r="G2103" s="867">
        <f>IFERROR(E2103*'01 Prod Physique Boites'!L2098,"-")</f>
        <v>44361.532799999994</v>
      </c>
      <c r="H2103" s="384">
        <v>28.21</v>
      </c>
      <c r="I2103" s="422">
        <f t="shared" si="1273"/>
        <v>0</v>
      </c>
      <c r="J2103" s="423">
        <f t="shared" si="1272"/>
        <v>52809.119999999995</v>
      </c>
    </row>
    <row r="2104" spans="1:10" ht="23.4" x14ac:dyDescent="0.3">
      <c r="A2104" s="277" t="s">
        <v>108</v>
      </c>
      <c r="B2104" s="977"/>
      <c r="C2104" s="306" t="s">
        <v>373</v>
      </c>
      <c r="D2104" s="306" t="s">
        <v>254</v>
      </c>
      <c r="E2104" s="509">
        <v>27.917000000000002</v>
      </c>
      <c r="F2104" s="863">
        <f>IFERROR(E2104*'01 Prod Physique Boites'!H2099,"-")</f>
        <v>0</v>
      </c>
      <c r="G2104" s="867">
        <f>IFERROR(E2104*'01 Prod Physique Boites'!L2099,"-")</f>
        <v>371882.35700000002</v>
      </c>
      <c r="H2104" s="388">
        <v>39</v>
      </c>
      <c r="I2104" s="422">
        <f t="shared" si="1273"/>
        <v>0</v>
      </c>
      <c r="J2104" s="423">
        <f t="shared" si="1272"/>
        <v>519519</v>
      </c>
    </row>
    <row r="2105" spans="1:10" ht="24" thickBot="1" x14ac:dyDescent="0.35">
      <c r="A2105" s="277" t="s">
        <v>108</v>
      </c>
      <c r="B2105" s="977"/>
      <c r="C2105" s="303" t="s">
        <v>547</v>
      </c>
      <c r="D2105" s="303" t="s">
        <v>507</v>
      </c>
      <c r="E2105" s="505">
        <v>23.697399999999998</v>
      </c>
      <c r="F2105" s="405">
        <f>IFERROR(E2105*'01 Prod Physique Boites'!H2100,"-")</f>
        <v>0</v>
      </c>
      <c r="G2105" s="406">
        <f>IFERROR(E2105*'01 Prod Physique Boites'!L2100,"-")</f>
        <v>20024.303</v>
      </c>
      <c r="H2105" s="390">
        <v>28.21</v>
      </c>
      <c r="I2105" s="422">
        <f t="shared" si="1273"/>
        <v>0</v>
      </c>
      <c r="J2105" s="423">
        <f t="shared" si="1272"/>
        <v>23837.450000000004</v>
      </c>
    </row>
    <row r="2106" spans="1:10" ht="24" thickBot="1" x14ac:dyDescent="0.35">
      <c r="A2106" s="277" t="s">
        <v>108</v>
      </c>
      <c r="B2106" s="977"/>
      <c r="C2106" s="307"/>
      <c r="D2106" s="308" t="s">
        <v>54</v>
      </c>
      <c r="E2106" s="400"/>
      <c r="F2106" s="417">
        <f t="shared" ref="F2106:G2106" si="1274">SUM(F2101:F2105)</f>
        <v>0</v>
      </c>
      <c r="G2106" s="418">
        <f t="shared" si="1274"/>
        <v>1958190.4252000002</v>
      </c>
      <c r="H2106" s="401"/>
      <c r="I2106" s="417">
        <f t="shared" ref="I2106" si="1275">SUM(I2101:I2105)</f>
        <v>0</v>
      </c>
      <c r="J2106" s="433">
        <f>SUM(J2101:J2105)</f>
        <v>2372108.4900000002</v>
      </c>
    </row>
    <row r="2107" spans="1:10" ht="24" thickBot="1" x14ac:dyDescent="0.35">
      <c r="A2107" s="277" t="s">
        <v>108</v>
      </c>
      <c r="B2107" s="978" t="s">
        <v>171</v>
      </c>
      <c r="C2107" s="979"/>
      <c r="D2107" s="980"/>
      <c r="E2107" s="402"/>
      <c r="F2107" s="419">
        <f t="shared" ref="F2107:G2107" si="1276">+F2100+F2106</f>
        <v>0</v>
      </c>
      <c r="G2107" s="420">
        <f t="shared" si="1276"/>
        <v>13397580.5068</v>
      </c>
      <c r="H2107" s="403"/>
      <c r="I2107" s="419">
        <f t="shared" ref="I2107:J2107" si="1277">+I2100+I2106</f>
        <v>0</v>
      </c>
      <c r="J2107" s="434">
        <f t="shared" si="1277"/>
        <v>18137961.450000003</v>
      </c>
    </row>
    <row r="2108" spans="1:10" ht="24" thickBot="1" x14ac:dyDescent="0.35">
      <c r="A2108" s="277" t="s">
        <v>108</v>
      </c>
      <c r="B2108" s="609" t="s">
        <v>32</v>
      </c>
      <c r="C2108" s="921"/>
      <c r="D2108" s="313"/>
      <c r="E2108" s="510">
        <v>12.2659</v>
      </c>
      <c r="F2108" s="411">
        <f>IFERROR(E2108*'01 Prod Physique Boites'!H2103,"-")</f>
        <v>0</v>
      </c>
      <c r="G2108" s="412">
        <f>IFERROR(E2108*'01 Prod Physique Boites'!L2103,"-")</f>
        <v>0</v>
      </c>
      <c r="H2108" s="395"/>
      <c r="I2108" s="429">
        <f>IFERROR(H2108*(F2108/E2108),"-")</f>
        <v>0</v>
      </c>
      <c r="J2108" s="430">
        <f>IFERROR(H2108*(G2108/E2108),"-")</f>
        <v>0</v>
      </c>
    </row>
    <row r="2109" spans="1:10" ht="24" thickBot="1" x14ac:dyDescent="0.35">
      <c r="A2109" s="277" t="s">
        <v>108</v>
      </c>
      <c r="B2109" s="981" t="s">
        <v>21</v>
      </c>
      <c r="C2109" s="982"/>
      <c r="D2109" s="983"/>
      <c r="E2109" s="396"/>
      <c r="F2109" s="413">
        <f t="shared" ref="F2109" si="1278">+F2096+F2107+F2108</f>
        <v>2262603.6576</v>
      </c>
      <c r="G2109" s="414">
        <f>+G2096+G2107+G2108</f>
        <v>63728356.204799995</v>
      </c>
      <c r="H2109" s="397"/>
      <c r="I2109" s="413">
        <f t="shared" ref="I2109:J2109" si="1279">+I2096+I2107+I2108</f>
        <v>2807831.52</v>
      </c>
      <c r="J2109" s="431">
        <f t="shared" si="1279"/>
        <v>84258193.25</v>
      </c>
    </row>
    <row r="2110" spans="1:10" ht="24" thickBot="1" x14ac:dyDescent="0.35">
      <c r="A2110" s="277" t="s">
        <v>108</v>
      </c>
      <c r="B2110" s="984" t="s">
        <v>179</v>
      </c>
      <c r="C2110" s="962"/>
      <c r="D2110" s="963"/>
      <c r="E2110" s="398"/>
      <c r="F2110" s="415">
        <f t="shared" ref="F2110:G2110" si="1280">+F2109</f>
        <v>2262603.6576</v>
      </c>
      <c r="G2110" s="416">
        <f t="shared" si="1280"/>
        <v>63728356.204799995</v>
      </c>
      <c r="H2110" s="399"/>
      <c r="I2110" s="415">
        <f t="shared" ref="I2110:J2110" si="1281">+I2109</f>
        <v>2807831.52</v>
      </c>
      <c r="J2110" s="432">
        <f t="shared" si="1281"/>
        <v>84258193.25</v>
      </c>
    </row>
    <row r="2111" spans="1:10" ht="23.4" x14ac:dyDescent="0.3">
      <c r="A2111" s="271" t="s">
        <v>109</v>
      </c>
      <c r="B2111" s="970" t="s">
        <v>482</v>
      </c>
      <c r="C2111" s="314" t="s">
        <v>120</v>
      </c>
      <c r="D2111" s="314"/>
      <c r="E2111" s="771">
        <v>254.89750000000001</v>
      </c>
      <c r="F2111" s="405">
        <f>IFERROR(E2111*'01 Prod Physique Boites'!H2106,"-")</f>
        <v>0</v>
      </c>
      <c r="G2111" s="406">
        <f>IFERROR(E2111*'01 Prod Physique Boites'!L2106,"-")</f>
        <v>0</v>
      </c>
      <c r="H2111" s="384">
        <v>445.38</v>
      </c>
      <c r="I2111" s="422">
        <f>IFERROR(H2111*(F2111/E2111),"-")</f>
        <v>0</v>
      </c>
      <c r="J2111" s="423">
        <f t="shared" ref="J2111:J2113" si="1282">IFERROR(H2111*(G2111/E2111),"-")</f>
        <v>0</v>
      </c>
    </row>
    <row r="2112" spans="1:10" ht="23.4" x14ac:dyDescent="0.3">
      <c r="A2112" s="277" t="s">
        <v>109</v>
      </c>
      <c r="B2112" s="972"/>
      <c r="C2112" s="315" t="s">
        <v>267</v>
      </c>
      <c r="D2112" s="315"/>
      <c r="E2112" s="507">
        <v>246.51390000000001</v>
      </c>
      <c r="F2112" s="405">
        <f>IFERROR(E2112*'01 Prod Physique Boites'!H2107,"-")</f>
        <v>34018.9182</v>
      </c>
      <c r="G2112" s="406">
        <f>IFERROR(E2112*'01 Prod Physique Boites'!L2107,"-")</f>
        <v>4983278.4885</v>
      </c>
      <c r="H2112" s="388">
        <v>430.02</v>
      </c>
      <c r="I2112" s="424">
        <f>IFERROR(H2112*(F2112/E2112),"-")</f>
        <v>59342.759999999995</v>
      </c>
      <c r="J2112" s="425">
        <f t="shared" si="1282"/>
        <v>8692854.2999999989</v>
      </c>
    </row>
    <row r="2113" spans="1:10" ht="24" thickBot="1" x14ac:dyDescent="0.35">
      <c r="A2113" s="277" t="s">
        <v>109</v>
      </c>
      <c r="B2113" s="971"/>
      <c r="C2113" s="316" t="s">
        <v>34</v>
      </c>
      <c r="D2113" s="316"/>
      <c r="E2113" s="504">
        <v>225.7713</v>
      </c>
      <c r="F2113" s="405">
        <f>IFERROR(E2113*'01 Prod Physique Boites'!H2108,"-")</f>
        <v>0</v>
      </c>
      <c r="G2113" s="406">
        <f>IFERROR(E2113*'01 Prod Physique Boites'!L2108,"-")</f>
        <v>0</v>
      </c>
      <c r="H2113" s="390"/>
      <c r="I2113" s="426">
        <f>IFERROR(H2113*(F2113/E2113),"-")</f>
        <v>0</v>
      </c>
      <c r="J2113" s="427">
        <f t="shared" si="1282"/>
        <v>0</v>
      </c>
    </row>
    <row r="2114" spans="1:10" ht="24" thickBot="1" x14ac:dyDescent="0.35">
      <c r="A2114" s="277" t="s">
        <v>109</v>
      </c>
      <c r="B2114" s="967" t="s">
        <v>35</v>
      </c>
      <c r="C2114" s="968"/>
      <c r="D2114" s="969"/>
      <c r="E2114" s="393"/>
      <c r="F2114" s="409">
        <f t="shared" ref="F2114:G2114" si="1283">SUM(F2111:F2113)</f>
        <v>34018.9182</v>
      </c>
      <c r="G2114" s="410">
        <f t="shared" si="1283"/>
        <v>4983278.4885</v>
      </c>
      <c r="H2114" s="394"/>
      <c r="I2114" s="409">
        <f t="shared" ref="I2114:J2114" si="1284">SUM(I2111:I2113)</f>
        <v>59342.759999999995</v>
      </c>
      <c r="J2114" s="428">
        <f t="shared" si="1284"/>
        <v>8692854.2999999989</v>
      </c>
    </row>
    <row r="2115" spans="1:10" ht="23.4" x14ac:dyDescent="0.3">
      <c r="A2115" s="277" t="s">
        <v>109</v>
      </c>
      <c r="B2115" s="970" t="s">
        <v>36</v>
      </c>
      <c r="C2115" s="314" t="s">
        <v>120</v>
      </c>
      <c r="D2115" s="314"/>
      <c r="E2115" s="506">
        <v>254.89750000000001</v>
      </c>
      <c r="F2115" s="405">
        <f>IFERROR(E2115*'01 Prod Physique Boites'!H2110,"-")</f>
        <v>0</v>
      </c>
      <c r="G2115" s="406">
        <f>IFERROR(E2115*'01 Prod Physique Boites'!L2110,"-")</f>
        <v>1468209.6</v>
      </c>
      <c r="H2115" s="384">
        <v>445.38</v>
      </c>
      <c r="I2115" s="422">
        <f>IFERROR(H2115*(F2115/E2115),"-")</f>
        <v>0</v>
      </c>
      <c r="J2115" s="423">
        <f t="shared" ref="J2115:J2118" si="1285">IFERROR(H2115*(G2115/E2115),"-")</f>
        <v>2565388.7999999998</v>
      </c>
    </row>
    <row r="2116" spans="1:10" ht="23.4" x14ac:dyDescent="0.3">
      <c r="A2116" s="277" t="s">
        <v>109</v>
      </c>
      <c r="B2116" s="972"/>
      <c r="C2116" s="315" t="s">
        <v>267</v>
      </c>
      <c r="D2116" s="315"/>
      <c r="E2116" s="507">
        <v>246.51390000000001</v>
      </c>
      <c r="F2116" s="405">
        <f>IFERROR(E2116*'01 Prod Physique Boites'!H2111,"-")</f>
        <v>786132.82709999999</v>
      </c>
      <c r="G2116" s="406">
        <f>IFERROR(E2116*'01 Prod Physique Boites'!L2111,"-")</f>
        <v>14080380.940200001</v>
      </c>
      <c r="H2116" s="388">
        <v>430.02</v>
      </c>
      <c r="I2116" s="424">
        <f>IFERROR(H2116*(F2116/E2116),"-")</f>
        <v>1371333.78</v>
      </c>
      <c r="J2116" s="425">
        <f t="shared" si="1285"/>
        <v>24561882.359999999</v>
      </c>
    </row>
    <row r="2117" spans="1:10" ht="23.4" x14ac:dyDescent="0.3">
      <c r="A2117" s="277" t="s">
        <v>109</v>
      </c>
      <c r="B2117" s="972"/>
      <c r="C2117" s="315" t="s">
        <v>198</v>
      </c>
      <c r="D2117" s="315" t="s">
        <v>197</v>
      </c>
      <c r="E2117" s="507">
        <v>254.89750000000001</v>
      </c>
      <c r="F2117" s="405">
        <f>IFERROR(E2117*'01 Prod Physique Boites'!H2112,"-")</f>
        <v>0</v>
      </c>
      <c r="G2117" s="406">
        <f>IFERROR(E2117*'01 Prod Physique Boites'!L2112,"-")</f>
        <v>0</v>
      </c>
      <c r="H2117" s="388"/>
      <c r="I2117" s="424">
        <f>IFERROR(H2117*(F2117/E2117),"-")</f>
        <v>0</v>
      </c>
      <c r="J2117" s="425">
        <f t="shared" si="1285"/>
        <v>0</v>
      </c>
    </row>
    <row r="2118" spans="1:10" ht="24" thickBot="1" x14ac:dyDescent="0.35">
      <c r="A2118" s="277" t="s">
        <v>109</v>
      </c>
      <c r="B2118" s="971"/>
      <c r="C2118" s="316" t="s">
        <v>37</v>
      </c>
      <c r="D2118" s="316"/>
      <c r="E2118" s="504">
        <v>229.99359999999999</v>
      </c>
      <c r="F2118" s="405">
        <f>IFERROR(E2118*'01 Prod Physique Boites'!H2113,"-")</f>
        <v>0</v>
      </c>
      <c r="G2118" s="406">
        <f>IFERROR(E2118*'01 Prod Physique Boites'!L2113,"-")</f>
        <v>0</v>
      </c>
      <c r="H2118" s="390"/>
      <c r="I2118" s="426">
        <f>IFERROR(H2118*(F2118/E2118),"-")</f>
        <v>0</v>
      </c>
      <c r="J2118" s="427">
        <f t="shared" si="1285"/>
        <v>0</v>
      </c>
    </row>
    <row r="2119" spans="1:10" ht="24" thickBot="1" x14ac:dyDescent="0.35">
      <c r="A2119" s="277" t="s">
        <v>109</v>
      </c>
      <c r="B2119" s="967" t="s">
        <v>38</v>
      </c>
      <c r="C2119" s="968"/>
      <c r="D2119" s="969"/>
      <c r="E2119" s="393"/>
      <c r="F2119" s="409">
        <f t="shared" ref="F2119:G2119" si="1286">SUM(F2115:F2118)</f>
        <v>786132.82709999999</v>
      </c>
      <c r="G2119" s="410">
        <f t="shared" si="1286"/>
        <v>15548590.540200001</v>
      </c>
      <c r="H2119" s="394"/>
      <c r="I2119" s="409">
        <f>SUM(I2115:I2118)</f>
        <v>1371333.78</v>
      </c>
      <c r="J2119" s="428">
        <f>SUM(J2115:J2118)</f>
        <v>27127271.16</v>
      </c>
    </row>
    <row r="2120" spans="1:10" ht="23.4" x14ac:dyDescent="0.3">
      <c r="A2120" s="277" t="s">
        <v>109</v>
      </c>
      <c r="B2120" s="970" t="s">
        <v>483</v>
      </c>
      <c r="C2120" s="317" t="s">
        <v>123</v>
      </c>
      <c r="D2120" s="317"/>
      <c r="E2120" s="506">
        <v>195.2808</v>
      </c>
      <c r="F2120" s="405">
        <f>IFERROR(E2120*'01 Prod Physique Boites'!H2115,"-")</f>
        <v>0</v>
      </c>
      <c r="G2120" s="406">
        <f>IFERROR(E2120*'01 Prod Physique Boites'!L2115,"-")</f>
        <v>28120.4352</v>
      </c>
      <c r="H2120" s="715">
        <v>256.7</v>
      </c>
      <c r="I2120" s="422">
        <f>IFERROR(H2120*(F2120/E2120),"-")</f>
        <v>0</v>
      </c>
      <c r="J2120" s="423">
        <f t="shared" ref="J2120:J2121" si="1287">IFERROR(H2120*(G2120/E2120),"-")</f>
        <v>36964.799999999996</v>
      </c>
    </row>
    <row r="2121" spans="1:10" ht="24" thickBot="1" x14ac:dyDescent="0.35">
      <c r="A2121" s="277" t="s">
        <v>109</v>
      </c>
      <c r="B2121" s="971"/>
      <c r="C2121" s="289" t="s">
        <v>139</v>
      </c>
      <c r="D2121" s="289"/>
      <c r="E2121" s="504">
        <v>189.91890000000001</v>
      </c>
      <c r="F2121" s="405">
        <f>IFERROR(E2121*'01 Prod Physique Boites'!H2116,"-")</f>
        <v>303870.24</v>
      </c>
      <c r="G2121" s="406">
        <f>IFERROR(E2121*'01 Prod Physique Boites'!L2116,"-")</f>
        <v>1868801.976</v>
      </c>
      <c r="H2121" s="390">
        <v>320.35000000000002</v>
      </c>
      <c r="I2121" s="426">
        <f>IFERROR(H2121*(F2121/E2121),"-")</f>
        <v>512559.99999999994</v>
      </c>
      <c r="J2121" s="427">
        <f t="shared" si="1287"/>
        <v>3152244</v>
      </c>
    </row>
    <row r="2122" spans="1:10" ht="24" thickBot="1" x14ac:dyDescent="0.35">
      <c r="A2122" s="925" t="s">
        <v>109</v>
      </c>
      <c r="B2122" s="967" t="s">
        <v>40</v>
      </c>
      <c r="C2122" s="968"/>
      <c r="D2122" s="969"/>
      <c r="E2122" s="393"/>
      <c r="F2122" s="409">
        <f>SUM(F2120:F2121)</f>
        <v>303870.24</v>
      </c>
      <c r="G2122" s="410">
        <f t="shared" ref="G2122" si="1288">SUM(G2120:G2121)</f>
        <v>1896922.4112</v>
      </c>
      <c r="H2122" s="394"/>
      <c r="I2122" s="409">
        <f t="shared" ref="I2122:J2122" si="1289">SUM(I2120:I2121)</f>
        <v>512559.99999999994</v>
      </c>
      <c r="J2122" s="428">
        <f t="shared" si="1289"/>
        <v>3189208.8</v>
      </c>
    </row>
    <row r="2123" spans="1:10" ht="23.4" x14ac:dyDescent="0.3">
      <c r="A2123" s="277" t="s">
        <v>109</v>
      </c>
      <c r="B2123" s="970" t="s">
        <v>484</v>
      </c>
      <c r="C2123" s="272" t="s">
        <v>335</v>
      </c>
      <c r="D2123" s="272" t="s">
        <v>258</v>
      </c>
      <c r="E2123" s="508">
        <v>37.248699999999999</v>
      </c>
      <c r="F2123" s="405">
        <f>IFERROR(E2123*'01 Prod Physique Boites'!H2118,"-")</f>
        <v>1001245.056</v>
      </c>
      <c r="G2123" s="406">
        <f>IFERROR(E2123*'01 Prod Physique Boites'!L2118,"-")</f>
        <v>20611344.652800001</v>
      </c>
      <c r="H2123" s="384">
        <v>71.44</v>
      </c>
      <c r="I2123" s="422">
        <f>IFERROR(H2123*(F2123/E2123),"-")</f>
        <v>1920307.2</v>
      </c>
      <c r="J2123" s="423">
        <f>IFERROR(H2123*(G2123/E2123),"-")</f>
        <v>39530895.359999999</v>
      </c>
    </row>
    <row r="2124" spans="1:10" ht="23.4" x14ac:dyDescent="0.3">
      <c r="A2124" s="277" t="s">
        <v>109</v>
      </c>
      <c r="B2124" s="972"/>
      <c r="C2124" s="272" t="s">
        <v>164</v>
      </c>
      <c r="D2124" s="278"/>
      <c r="E2124" s="508">
        <v>37.248699999999999</v>
      </c>
      <c r="F2124" s="405">
        <f>IFERROR(E2124*'01 Prod Physique Boites'!H2119,"-")</f>
        <v>0</v>
      </c>
      <c r="G2124" s="406">
        <f>IFERROR(E2124*'01 Prod Physique Boites'!L2119,"-")</f>
        <v>0</v>
      </c>
      <c r="H2124" s="388"/>
      <c r="I2124" s="424">
        <f>IFERROR(H2124*(F2124/E2124),"-")</f>
        <v>0</v>
      </c>
      <c r="J2124" s="425">
        <f t="shared" ref="J2124:J2126" si="1290">IFERROR(H2124*(G2124/E2124),"-")</f>
        <v>0</v>
      </c>
    </row>
    <row r="2125" spans="1:10" ht="23.4" x14ac:dyDescent="0.3">
      <c r="A2125" s="277" t="s">
        <v>109</v>
      </c>
      <c r="B2125" s="972"/>
      <c r="C2125" s="278" t="s">
        <v>383</v>
      </c>
      <c r="D2125" s="272" t="s">
        <v>258</v>
      </c>
      <c r="E2125" s="508">
        <v>37.248699999999999</v>
      </c>
      <c r="F2125" s="405">
        <f>IFERROR(E2125*'01 Prod Physique Boites'!H2120,"-")</f>
        <v>0</v>
      </c>
      <c r="G2125" s="406">
        <f>IFERROR(E2125*'01 Prod Physique Boites'!L2120,"-")</f>
        <v>0</v>
      </c>
      <c r="H2125" s="388">
        <v>71.44</v>
      </c>
      <c r="I2125" s="424">
        <f>IFERROR(H2125*(F2125/E2125),"-")</f>
        <v>0</v>
      </c>
      <c r="J2125" s="425">
        <f t="shared" si="1290"/>
        <v>0</v>
      </c>
    </row>
    <row r="2126" spans="1:10" ht="24" thickBot="1" x14ac:dyDescent="0.35">
      <c r="A2126" s="277" t="s">
        <v>109</v>
      </c>
      <c r="B2126" s="972"/>
      <c r="C2126" s="278" t="s">
        <v>165</v>
      </c>
      <c r="D2126" s="278"/>
      <c r="E2126" s="509">
        <v>38.466099999999997</v>
      </c>
      <c r="F2126" s="405">
        <f>IFERROR(E2126*'01 Prod Physique Boites'!H2121,"-")</f>
        <v>0</v>
      </c>
      <c r="G2126" s="406">
        <f>IFERROR(E2126*'01 Prod Physique Boites'!L2121,"-")</f>
        <v>0</v>
      </c>
      <c r="H2126" s="388"/>
      <c r="I2126" s="424">
        <f>IFERROR(H2126*(F2126/E2126),"-")</f>
        <v>0</v>
      </c>
      <c r="J2126" s="425">
        <f t="shared" si="1290"/>
        <v>0</v>
      </c>
    </row>
    <row r="2127" spans="1:10" ht="24" thickBot="1" x14ac:dyDescent="0.35">
      <c r="A2127" s="277" t="s">
        <v>109</v>
      </c>
      <c r="B2127" s="967" t="s">
        <v>42</v>
      </c>
      <c r="C2127" s="968"/>
      <c r="D2127" s="969"/>
      <c r="E2127" s="393"/>
      <c r="F2127" s="409">
        <f>SUM(F2123:F2126)</f>
        <v>1001245.056</v>
      </c>
      <c r="G2127" s="410">
        <f>SUM(G2123:G2126)</f>
        <v>20611344.652800001</v>
      </c>
      <c r="H2127" s="394"/>
      <c r="I2127" s="409">
        <f>SUM(I2123:I2126)</f>
        <v>1920307.2</v>
      </c>
      <c r="J2127" s="409">
        <f>SUM(J2123:J2126)</f>
        <v>39530895.359999999</v>
      </c>
    </row>
    <row r="2128" spans="1:10" ht="23.4" x14ac:dyDescent="0.3">
      <c r="A2128" s="277" t="s">
        <v>109</v>
      </c>
      <c r="B2128" s="970" t="s">
        <v>43</v>
      </c>
      <c r="C2128" s="272" t="s">
        <v>200</v>
      </c>
      <c r="D2128" s="272" t="s">
        <v>197</v>
      </c>
      <c r="E2128" s="508">
        <v>30.7499</v>
      </c>
      <c r="F2128" s="405">
        <f>IFERROR(E2128*'01 Prod Physique Boites'!H2124,"-")</f>
        <v>0</v>
      </c>
      <c r="G2128" s="406">
        <f>IFERROR(E2128*'01 Prod Physique Boites'!L2124,"-")</f>
        <v>0</v>
      </c>
      <c r="H2128" s="384"/>
      <c r="I2128" s="422">
        <f>IFERROR(H2128*(F2128/E2128),"-")</f>
        <v>0</v>
      </c>
      <c r="J2128" s="423">
        <f>IFERROR(H2128*(G2128/E2128),"-")</f>
        <v>0</v>
      </c>
    </row>
    <row r="2129" spans="1:10" ht="23.4" x14ac:dyDescent="0.3">
      <c r="A2129" s="277" t="s">
        <v>109</v>
      </c>
      <c r="B2129" s="972"/>
      <c r="C2129" s="278" t="s">
        <v>167</v>
      </c>
      <c r="D2129" s="278"/>
      <c r="E2129" s="727">
        <v>25.139099999999999</v>
      </c>
      <c r="F2129" s="405">
        <f>IFERROR(E2129*'01 Prod Physique Boites'!H2125,"-")</f>
        <v>217201.82399999999</v>
      </c>
      <c r="G2129" s="406">
        <f>IFERROR(E2129*'01 Prod Physique Boites'!L2125,"-")</f>
        <v>4907554.5455999998</v>
      </c>
      <c r="H2129" s="388">
        <v>59.96</v>
      </c>
      <c r="I2129" s="424">
        <f>IFERROR(H2129*(F2129/E2129),"-")</f>
        <v>518054.40000000002</v>
      </c>
      <c r="J2129" s="425">
        <f t="shared" ref="J2129:J2130" si="1291">IFERROR(H2129*(G2129/E2129),"-")</f>
        <v>11705151.359999999</v>
      </c>
    </row>
    <row r="2130" spans="1:10" ht="24" thickBot="1" x14ac:dyDescent="0.35">
      <c r="A2130" s="277" t="s">
        <v>109</v>
      </c>
      <c r="B2130" s="971"/>
      <c r="C2130" s="282" t="s">
        <v>200</v>
      </c>
      <c r="D2130" s="282" t="s">
        <v>199</v>
      </c>
      <c r="E2130" s="505">
        <v>30.073599999999999</v>
      </c>
      <c r="F2130" s="405">
        <f>IFERROR(E2130*'01 Prod Physique Boites'!H2126,"-")</f>
        <v>0</v>
      </c>
      <c r="G2130" s="406">
        <f>IFERROR(E2130*'01 Prod Physique Boites'!L2126,"-")</f>
        <v>0</v>
      </c>
      <c r="H2130" s="390"/>
      <c r="I2130" s="426">
        <f>IFERROR(H2130*(F2130/E2130),"-")</f>
        <v>0</v>
      </c>
      <c r="J2130" s="427">
        <f t="shared" si="1291"/>
        <v>0</v>
      </c>
    </row>
    <row r="2131" spans="1:10" ht="24" thickBot="1" x14ac:dyDescent="0.35">
      <c r="A2131" s="277" t="s">
        <v>109</v>
      </c>
      <c r="B2131" s="973" t="s">
        <v>44</v>
      </c>
      <c r="C2131" s="974"/>
      <c r="D2131" s="975"/>
      <c r="E2131" s="393"/>
      <c r="F2131" s="409">
        <f t="shared" ref="F2131:G2131" si="1292">SUM(F2128:F2130)</f>
        <v>217201.82399999999</v>
      </c>
      <c r="G2131" s="410">
        <f t="shared" si="1292"/>
        <v>4907554.5455999998</v>
      </c>
      <c r="H2131" s="394"/>
      <c r="I2131" s="409">
        <f t="shared" ref="I2131:J2131" si="1293">SUM(I2128:I2130)</f>
        <v>518054.40000000002</v>
      </c>
      <c r="J2131" s="428">
        <f t="shared" si="1293"/>
        <v>11705151.359999999</v>
      </c>
    </row>
    <row r="2132" spans="1:10" ht="23.4" x14ac:dyDescent="0.3">
      <c r="A2132" s="277" t="s">
        <v>109</v>
      </c>
      <c r="B2132" s="970" t="s">
        <v>45</v>
      </c>
      <c r="C2132" s="272" t="s">
        <v>168</v>
      </c>
      <c r="D2132" s="272"/>
      <c r="E2132" s="508">
        <v>36.684899999999999</v>
      </c>
      <c r="F2132" s="405">
        <f>IFERROR(E2132*'01 Prod Physique Boites'!H2128,"-")</f>
        <v>0</v>
      </c>
      <c r="G2132" s="406">
        <f>IFERROR(E2132*'01 Prod Physique Boites'!L2128,"-")</f>
        <v>0</v>
      </c>
      <c r="H2132" s="384"/>
      <c r="I2132" s="385" t="s">
        <v>204</v>
      </c>
      <c r="J2132" s="386" t="s">
        <v>204</v>
      </c>
    </row>
    <row r="2133" spans="1:10" ht="24" thickBot="1" x14ac:dyDescent="0.35">
      <c r="A2133" s="277" t="s">
        <v>109</v>
      </c>
      <c r="B2133" s="971"/>
      <c r="C2133" s="282" t="s">
        <v>169</v>
      </c>
      <c r="D2133" s="282"/>
      <c r="E2133" s="505">
        <v>37.002800000000001</v>
      </c>
      <c r="F2133" s="405">
        <f>IFERROR(E2133*'01 Prod Physique Boites'!H2129,"-")</f>
        <v>0</v>
      </c>
      <c r="G2133" s="406">
        <f>IFERROR(E2133*'01 Prod Physique Boites'!L2129,"-")</f>
        <v>0</v>
      </c>
      <c r="H2133" s="390"/>
      <c r="I2133" s="391" t="s">
        <v>204</v>
      </c>
      <c r="J2133" s="392" t="s">
        <v>204</v>
      </c>
    </row>
    <row r="2134" spans="1:10" ht="24" thickBot="1" x14ac:dyDescent="0.35">
      <c r="A2134" s="277" t="s">
        <v>109</v>
      </c>
      <c r="B2134" s="973" t="s">
        <v>46</v>
      </c>
      <c r="C2134" s="974"/>
      <c r="D2134" s="975"/>
      <c r="E2134" s="393"/>
      <c r="F2134" s="405">
        <f>IFERROR(E2134*'01 Prod Physique Boites'!H2130,"-")</f>
        <v>0</v>
      </c>
      <c r="G2134" s="410">
        <f>IFERROR(E2134*'01 Prod Physique Boites'!L2130,"-")</f>
        <v>0</v>
      </c>
      <c r="H2134" s="394"/>
      <c r="I2134" s="409">
        <f t="shared" ref="I2134:J2134" si="1294">SUM(I2132:I2133)</f>
        <v>0</v>
      </c>
      <c r="J2134" s="428">
        <f t="shared" si="1294"/>
        <v>0</v>
      </c>
    </row>
    <row r="2135" spans="1:10" ht="24" thickBot="1" x14ac:dyDescent="0.35">
      <c r="A2135" s="277" t="s">
        <v>109</v>
      </c>
      <c r="B2135" s="959" t="s">
        <v>25</v>
      </c>
      <c r="C2135" s="960"/>
      <c r="D2135" s="961"/>
      <c r="E2135" s="396"/>
      <c r="F2135" s="413">
        <f>+F2114+F2119+F2122+F2127+F2131+F2134</f>
        <v>2342468.8652999997</v>
      </c>
      <c r="G2135" s="414">
        <f>+G2114+G2119+G2122+G2127+G2131+G2134</f>
        <v>47947690.638300002</v>
      </c>
      <c r="H2135" s="397"/>
      <c r="I2135" s="413">
        <f>+I2114+I2119+I2122+I2127+I2131+I2134</f>
        <v>4381598.1400000006</v>
      </c>
      <c r="J2135" s="431">
        <f>+J2114+J2119+J2122+J2127+J2131+J2134</f>
        <v>90245380.980000004</v>
      </c>
    </row>
    <row r="2136" spans="1:10" ht="24" thickBot="1" x14ac:dyDescent="0.35">
      <c r="A2136" s="321" t="s">
        <v>109</v>
      </c>
      <c r="B2136" s="962" t="s">
        <v>181</v>
      </c>
      <c r="C2136" s="962"/>
      <c r="D2136" s="963"/>
      <c r="E2136" s="398"/>
      <c r="F2136" s="415">
        <f t="shared" ref="F2136:G2136" si="1295">+F2135</f>
        <v>2342468.8652999997</v>
      </c>
      <c r="G2136" s="416">
        <f t="shared" si="1295"/>
        <v>47947690.638300002</v>
      </c>
      <c r="H2136" s="399"/>
      <c r="I2136" s="415">
        <f t="shared" ref="I2136" si="1296">+I2135</f>
        <v>4381598.1400000006</v>
      </c>
      <c r="J2136" s="432">
        <f>+J2135</f>
        <v>90245380.980000004</v>
      </c>
    </row>
    <row r="2137" spans="1:10" ht="24.6" thickBot="1" x14ac:dyDescent="0.35">
      <c r="A2137" s="322"/>
      <c r="B2137" s="964" t="s">
        <v>182</v>
      </c>
      <c r="C2137" s="965"/>
      <c r="D2137" s="966"/>
      <c r="E2137" s="404"/>
      <c r="F2137" s="421">
        <f>+F2078+F2110+F2136</f>
        <v>8225294.6414000001</v>
      </c>
      <c r="G2137" s="421">
        <f>+G2078+G2110+G2136</f>
        <v>190799702.93199998</v>
      </c>
      <c r="H2137" s="404"/>
      <c r="I2137" s="421">
        <f>+I2078+I2110+I2136</f>
        <v>12555199.01</v>
      </c>
      <c r="J2137" s="435">
        <f>+J2078+J2110+J2136</f>
        <v>286105638.01279998</v>
      </c>
    </row>
    <row r="2138" spans="1:10" ht="23.4" x14ac:dyDescent="0.3">
      <c r="A2138" s="991" t="s">
        <v>1</v>
      </c>
      <c r="B2138" s="994" t="s">
        <v>2</v>
      </c>
      <c r="C2138" s="997" t="s">
        <v>477</v>
      </c>
      <c r="D2138" s="997" t="s">
        <v>478</v>
      </c>
      <c r="E2138" s="1021" t="s">
        <v>486</v>
      </c>
      <c r="F2138" s="1022"/>
      <c r="G2138" s="1022"/>
      <c r="H2138" s="445"/>
      <c r="I2138" s="445"/>
      <c r="J2138" s="446"/>
    </row>
    <row r="2139" spans="1:10" ht="23.4" x14ac:dyDescent="0.3">
      <c r="A2139" s="992"/>
      <c r="B2139" s="995"/>
      <c r="C2139" s="998"/>
      <c r="D2139" s="998"/>
      <c r="E2139" s="1023" t="s">
        <v>489</v>
      </c>
      <c r="F2139" s="1024"/>
      <c r="G2139" s="1025"/>
      <c r="H2139" s="1023" t="s">
        <v>176</v>
      </c>
      <c r="I2139" s="1024"/>
      <c r="J2139" s="1025"/>
    </row>
    <row r="2140" spans="1:10" ht="46.8" x14ac:dyDescent="0.3">
      <c r="A2140" s="993"/>
      <c r="B2140" s="1019"/>
      <c r="C2140" s="1020"/>
      <c r="D2140" s="1020"/>
      <c r="E2140" s="382" t="s">
        <v>178</v>
      </c>
      <c r="F2140" s="932" t="s">
        <v>488</v>
      </c>
      <c r="G2140" s="933" t="s">
        <v>487</v>
      </c>
      <c r="H2140" s="1026" t="s">
        <v>178</v>
      </c>
      <c r="I2140" s="1028" t="s">
        <v>144</v>
      </c>
      <c r="J2140" s="1030" t="s">
        <v>487</v>
      </c>
    </row>
    <row r="2141" spans="1:10" ht="24" thickBot="1" x14ac:dyDescent="0.35">
      <c r="A2141" s="993"/>
      <c r="B2141" s="996"/>
      <c r="C2141" s="999"/>
      <c r="D2141" s="999"/>
      <c r="E2141" s="1032" t="s">
        <v>595</v>
      </c>
      <c r="F2141" s="1033"/>
      <c r="G2141" s="1034"/>
      <c r="H2141" s="1027"/>
      <c r="I2141" s="1029"/>
      <c r="J2141" s="1031"/>
    </row>
    <row r="2142" spans="1:10" ht="23.4" x14ac:dyDescent="0.3">
      <c r="A2142" s="271" t="s">
        <v>110</v>
      </c>
      <c r="B2142" s="956" t="s">
        <v>16</v>
      </c>
      <c r="C2142" s="272" t="s">
        <v>424</v>
      </c>
      <c r="D2142" s="272" t="s">
        <v>425</v>
      </c>
      <c r="E2142" s="758">
        <v>81.360699999999994</v>
      </c>
      <c r="F2142" s="405">
        <f>IFERROR(E2142*'01 Prod Physique Boites'!H2137,"-")</f>
        <v>0</v>
      </c>
      <c r="G2142" s="405">
        <f>IFERROR(E2142*'01 Prod Physique Boites'!L2137,"-")</f>
        <v>1614196.2879999999</v>
      </c>
      <c r="H2142" s="759">
        <v>143.28</v>
      </c>
      <c r="I2142" s="422">
        <f>IFERROR(H2142*(F2142/E2142),"-")</f>
        <v>0</v>
      </c>
      <c r="J2142" s="423">
        <f t="shared" ref="J2142:J2144" si="1297">IFERROR(H2142*(G2142/E2142),"-")</f>
        <v>2842675.2000000002</v>
      </c>
    </row>
    <row r="2143" spans="1:10" ht="23.4" x14ac:dyDescent="0.3">
      <c r="A2143" s="784"/>
      <c r="B2143" s="957"/>
      <c r="C2143" s="278" t="s">
        <v>188</v>
      </c>
      <c r="D2143" s="278" t="s">
        <v>101</v>
      </c>
      <c r="E2143" s="509">
        <v>81.360699999999994</v>
      </c>
      <c r="F2143" s="405">
        <f>IFERROR(E2143*'01 Prod Physique Boites'!H2138,"-")</f>
        <v>0</v>
      </c>
      <c r="G2143" s="405">
        <f>IFERROR(E2143*'01 Prod Physique Boites'!L2138,"-")</f>
        <v>3936312.0266999998</v>
      </c>
      <c r="H2143" s="770">
        <v>0</v>
      </c>
      <c r="I2143" s="422">
        <f>IFERROR(H2143*(F2143/E2143),"-")</f>
        <v>0</v>
      </c>
      <c r="J2143" s="423">
        <f t="shared" si="1297"/>
        <v>0</v>
      </c>
    </row>
    <row r="2144" spans="1:10" ht="23.4" x14ac:dyDescent="0.3">
      <c r="A2144" s="277" t="s">
        <v>110</v>
      </c>
      <c r="B2144" s="957"/>
      <c r="C2144" s="278" t="s">
        <v>539</v>
      </c>
      <c r="D2144" s="278" t="s">
        <v>454</v>
      </c>
      <c r="E2144" s="727">
        <v>77.170400000000001</v>
      </c>
      <c r="F2144" s="405">
        <f>IFERROR(E2144*'01 Prod Physique Boites'!H2139,"-")</f>
        <v>0</v>
      </c>
      <c r="G2144" s="728">
        <f>IFERROR(E2144*'01 Prod Physique Boites'!L2139,"-")</f>
        <v>2207073.44</v>
      </c>
      <c r="H2144" s="388">
        <v>0</v>
      </c>
      <c r="I2144" s="422">
        <f>IFERROR(H2144*(F2144/E2144),"-")</f>
        <v>0</v>
      </c>
      <c r="J2144" s="423">
        <f t="shared" si="1297"/>
        <v>0</v>
      </c>
    </row>
    <row r="2145" spans="1:15" ht="24" thickBot="1" x14ac:dyDescent="0.35">
      <c r="A2145" s="277" t="s">
        <v>110</v>
      </c>
      <c r="B2145" s="958"/>
      <c r="C2145" s="282" t="s">
        <v>282</v>
      </c>
      <c r="D2145" s="282" t="s">
        <v>251</v>
      </c>
      <c r="E2145" s="505">
        <v>60.703499999999998</v>
      </c>
      <c r="F2145" s="405">
        <f>IFERROR(E2145*'01 Prod Physique Boites'!H2140,"-")</f>
        <v>0</v>
      </c>
      <c r="G2145" s="405">
        <f>IFERROR(E2145*'01 Prod Physique Boites'!L2140,"-")</f>
        <v>1414148.736</v>
      </c>
      <c r="H2145" s="390">
        <v>111.09</v>
      </c>
      <c r="I2145" s="422">
        <f>IFERROR(H2145*(F2145/E2145),"-")</f>
        <v>0</v>
      </c>
      <c r="J2145" s="423">
        <f>IFERROR(H2145*(G2145/E2145),"-")</f>
        <v>2587952.64</v>
      </c>
    </row>
    <row r="2146" spans="1:15" ht="24" thickBot="1" x14ac:dyDescent="0.35">
      <c r="A2146" s="277" t="s">
        <v>110</v>
      </c>
      <c r="B2146" s="967" t="s">
        <v>47</v>
      </c>
      <c r="C2146" s="968"/>
      <c r="D2146" s="969"/>
      <c r="E2146" s="393"/>
      <c r="F2146" s="409">
        <f t="shared" ref="F2146" si="1298">SUM(F2142:F2145)</f>
        <v>0</v>
      </c>
      <c r="G2146" s="410">
        <f>SUM(G2142:G2145)</f>
        <v>9171730.490699999</v>
      </c>
      <c r="H2146" s="394"/>
      <c r="I2146" s="409">
        <f t="shared" ref="I2146:J2146" si="1299">SUM(I2142:I2145)</f>
        <v>0</v>
      </c>
      <c r="J2146" s="428">
        <f t="shared" si="1299"/>
        <v>5430627.8399999999</v>
      </c>
      <c r="K2146" s="757"/>
      <c r="L2146" s="757"/>
      <c r="M2146" s="757"/>
      <c r="N2146" s="757"/>
      <c r="O2146" s="757"/>
    </row>
    <row r="2147" spans="1:15" ht="23.4" x14ac:dyDescent="0.3">
      <c r="A2147" s="277" t="s">
        <v>110</v>
      </c>
      <c r="B2147" s="956" t="s">
        <v>17</v>
      </c>
      <c r="C2147" s="272" t="s">
        <v>320</v>
      </c>
      <c r="D2147" s="272"/>
      <c r="E2147" s="508">
        <v>12.5275</v>
      </c>
      <c r="F2147" s="405">
        <f>IFERROR(E2147*'01 Prod Physique Boites'!H2142,"-")</f>
        <v>0</v>
      </c>
      <c r="G2147" s="405">
        <f>IFERROR(E2147*'01 Prod Physique Boites'!L2142,"-")</f>
        <v>2501140.4300000002</v>
      </c>
      <c r="H2147" s="715">
        <v>18.836400000000001</v>
      </c>
      <c r="I2147" s="422">
        <f t="shared" ref="I2147:I2153" si="1300">IFERROR(H2147*(F2147/E2147),"-")</f>
        <v>0</v>
      </c>
      <c r="J2147" s="423">
        <f t="shared" ref="J2147:J2152" si="1301">IFERROR(H2147*(G2147/E2147),"-")</f>
        <v>3760724.932800001</v>
      </c>
    </row>
    <row r="2148" spans="1:15" ht="23.4" x14ac:dyDescent="0.3">
      <c r="A2148" s="277" t="s">
        <v>110</v>
      </c>
      <c r="B2148" s="957"/>
      <c r="C2148" s="278" t="s">
        <v>382</v>
      </c>
      <c r="D2148" s="278" t="s">
        <v>252</v>
      </c>
      <c r="E2148" s="698">
        <v>13.002700000000001</v>
      </c>
      <c r="F2148" s="405">
        <f>IFERROR(E2148*'01 Prod Physique Boites'!H2143,"-")</f>
        <v>0</v>
      </c>
      <c r="G2148" s="405">
        <f>IFERROR(E2148*'01 Prod Physique Boites'!L2143,"-")</f>
        <v>14561502.6841</v>
      </c>
      <c r="H2148" s="388">
        <v>21.18</v>
      </c>
      <c r="I2148" s="424">
        <f t="shared" si="1300"/>
        <v>0</v>
      </c>
      <c r="J2148" s="425">
        <f t="shared" si="1301"/>
        <v>23719121.940000001</v>
      </c>
    </row>
    <row r="2149" spans="1:15" ht="23.4" x14ac:dyDescent="0.3">
      <c r="A2149" s="277" t="s">
        <v>110</v>
      </c>
      <c r="B2149" s="957"/>
      <c r="C2149" s="278" t="s">
        <v>391</v>
      </c>
      <c r="D2149" s="278" t="s">
        <v>201</v>
      </c>
      <c r="E2149" s="698">
        <v>12.9049</v>
      </c>
      <c r="F2149" s="405">
        <f>IFERROR(E2149*'01 Prod Physique Boites'!H2144,"-")</f>
        <v>991173.74939999997</v>
      </c>
      <c r="G2149" s="405">
        <f>IFERROR(E2149*'01 Prod Physique Boites'!L2144,"-")</f>
        <v>6859238.2577999998</v>
      </c>
      <c r="H2149" s="388">
        <v>20.5</v>
      </c>
      <c r="I2149" s="424">
        <f t="shared" si="1300"/>
        <v>1574523</v>
      </c>
      <c r="J2149" s="425">
        <f t="shared" si="1301"/>
        <v>10896201</v>
      </c>
    </row>
    <row r="2150" spans="1:15" ht="23.4" x14ac:dyDescent="0.3">
      <c r="A2150" s="277" t="s">
        <v>110</v>
      </c>
      <c r="B2150" s="957"/>
      <c r="C2150" s="278" t="s">
        <v>319</v>
      </c>
      <c r="D2150" s="278" t="s">
        <v>202</v>
      </c>
      <c r="E2150" s="509">
        <v>13.078200000000001</v>
      </c>
      <c r="F2150" s="405">
        <f>IFERROR(E2150*'01 Prod Physique Boites'!H2145,"-")</f>
        <v>0</v>
      </c>
      <c r="G2150" s="405">
        <f>IFERROR(E2150*'01 Prod Physique Boites'!L2145,"-")</f>
        <v>3873135.0864000004</v>
      </c>
      <c r="H2150" s="388">
        <v>20.6</v>
      </c>
      <c r="I2150" s="424">
        <f t="shared" si="1300"/>
        <v>0</v>
      </c>
      <c r="J2150" s="425">
        <f t="shared" si="1301"/>
        <v>6100731.2000000002</v>
      </c>
    </row>
    <row r="2151" spans="1:15" ht="23.4" x14ac:dyDescent="0.3">
      <c r="A2151" s="277" t="s">
        <v>110</v>
      </c>
      <c r="B2151" s="957"/>
      <c r="C2151" s="278" t="s">
        <v>358</v>
      </c>
      <c r="D2151" s="278" t="s">
        <v>352</v>
      </c>
      <c r="E2151" s="509">
        <v>13.1958</v>
      </c>
      <c r="F2151" s="405">
        <f>IFERROR(E2151*'01 Prod Physique Boites'!H2146,"-")</f>
        <v>0</v>
      </c>
      <c r="G2151" s="405">
        <f>IFERROR(E2151*'01 Prod Physique Boites'!L2146,"-")</f>
        <v>6609538.6956000002</v>
      </c>
      <c r="H2151" s="388">
        <v>21.28</v>
      </c>
      <c r="I2151" s="424">
        <f t="shared" si="1300"/>
        <v>0</v>
      </c>
      <c r="J2151" s="425">
        <f t="shared" si="1301"/>
        <v>10658768.960000001</v>
      </c>
    </row>
    <row r="2152" spans="1:15" ht="23.4" x14ac:dyDescent="0.3">
      <c r="A2152" s="277">
        <v>1</v>
      </c>
      <c r="B2152" s="957"/>
      <c r="C2152" s="278" t="s">
        <v>392</v>
      </c>
      <c r="D2152" s="278" t="s">
        <v>203</v>
      </c>
      <c r="E2152" s="698">
        <v>12.9049</v>
      </c>
      <c r="F2152" s="405">
        <f>IFERROR(E2152*'01 Prod Physique Boites'!H2147,"-")</f>
        <v>0</v>
      </c>
      <c r="G2152" s="405">
        <f>IFERROR(E2152*'01 Prod Physique Boites'!L2147,"-")</f>
        <v>0</v>
      </c>
      <c r="H2152" s="677">
        <v>20.5</v>
      </c>
      <c r="I2152" s="424">
        <f t="shared" si="1300"/>
        <v>0</v>
      </c>
      <c r="J2152" s="425">
        <f t="shared" si="1301"/>
        <v>0</v>
      </c>
    </row>
    <row r="2153" spans="1:15" ht="24" thickBot="1" x14ac:dyDescent="0.35">
      <c r="A2153" s="277" t="s">
        <v>110</v>
      </c>
      <c r="B2153" s="958"/>
      <c r="C2153" s="282" t="s">
        <v>379</v>
      </c>
      <c r="D2153" s="282" t="s">
        <v>187</v>
      </c>
      <c r="E2153" s="505">
        <v>13.6509</v>
      </c>
      <c r="F2153" s="405">
        <f>IFERROR(E2153*'01 Prod Physique Boites'!H2148,"-")</f>
        <v>0</v>
      </c>
      <c r="G2153" s="405">
        <f>IFERROR(E2153*'01 Prod Physique Boites'!L2148,"-")</f>
        <v>0</v>
      </c>
      <c r="H2153" s="390">
        <v>21.18</v>
      </c>
      <c r="I2153" s="426">
        <f t="shared" si="1300"/>
        <v>0</v>
      </c>
      <c r="J2153" s="427">
        <f>IFERROR(H2153*(G2153/E2153),"-")</f>
        <v>0</v>
      </c>
    </row>
    <row r="2154" spans="1:15" ht="24" thickBot="1" x14ac:dyDescent="0.35">
      <c r="A2154" s="277" t="s">
        <v>110</v>
      </c>
      <c r="B2154" s="967" t="s">
        <v>48</v>
      </c>
      <c r="C2154" s="968"/>
      <c r="D2154" s="969"/>
      <c r="E2154" s="393"/>
      <c r="F2154" s="409">
        <f t="shared" ref="F2154" si="1302">SUM(F2147:F2153)</f>
        <v>991173.74939999997</v>
      </c>
      <c r="G2154" s="410">
        <f>SUM(G2147:G2153)</f>
        <v>34404555.153900005</v>
      </c>
      <c r="H2154" s="394"/>
      <c r="I2154" s="409">
        <f t="shared" ref="I2154" si="1303">SUM(I2147:I2153)</f>
        <v>1574523</v>
      </c>
      <c r="J2154" s="428">
        <f>SUM(J2147:J2153)</f>
        <v>55135548.032800011</v>
      </c>
      <c r="K2154" s="757"/>
      <c r="L2154" s="757"/>
      <c r="M2154" s="757"/>
      <c r="N2154" s="757"/>
      <c r="O2154" s="757"/>
    </row>
    <row r="2155" spans="1:15" ht="23.4" x14ac:dyDescent="0.3">
      <c r="A2155" s="277" t="s">
        <v>110</v>
      </c>
      <c r="B2155" s="956" t="s">
        <v>18</v>
      </c>
      <c r="C2155" s="272" t="s">
        <v>344</v>
      </c>
      <c r="D2155" s="272" t="s">
        <v>99</v>
      </c>
      <c r="E2155" s="508">
        <v>17.8202</v>
      </c>
      <c r="F2155" s="405">
        <f>IFERROR(E2155*'01 Prod Physique Boites'!H2150,"-")</f>
        <v>0</v>
      </c>
      <c r="G2155" s="406">
        <f>IFERROR(E2155*'01 Prod Physique Boites'!L2150,"-")</f>
        <v>0</v>
      </c>
      <c r="H2155" s="384">
        <v>24.93</v>
      </c>
      <c r="I2155" s="422">
        <f t="shared" ref="I2155:I2161" si="1304">IFERROR(H2155*(F2155/E2155),"-")</f>
        <v>0</v>
      </c>
      <c r="J2155" s="423">
        <f t="shared" ref="J2155:J2157" si="1305">IFERROR(H2155*(G2155/E2155),"-")</f>
        <v>0</v>
      </c>
    </row>
    <row r="2156" spans="1:15" ht="23.4" x14ac:dyDescent="0.3">
      <c r="A2156" s="277" t="s">
        <v>110</v>
      </c>
      <c r="B2156" s="957"/>
      <c r="C2156" s="278" t="s">
        <v>137</v>
      </c>
      <c r="D2156" s="278"/>
      <c r="E2156" s="509">
        <v>17.8202</v>
      </c>
      <c r="F2156" s="405">
        <f>IFERROR(E2156*'01 Prod Physique Boites'!H2151,"-")</f>
        <v>0</v>
      </c>
      <c r="G2156" s="406">
        <f>IFERROR(E2156*'01 Prod Physique Boites'!L2151,"-")</f>
        <v>0</v>
      </c>
      <c r="H2156" s="388">
        <v>0</v>
      </c>
      <c r="I2156" s="424">
        <f t="shared" si="1304"/>
        <v>0</v>
      </c>
      <c r="J2156" s="425">
        <f t="shared" si="1305"/>
        <v>0</v>
      </c>
    </row>
    <row r="2157" spans="1:15" ht="23.4" x14ac:dyDescent="0.3">
      <c r="A2157" s="277" t="s">
        <v>110</v>
      </c>
      <c r="B2157" s="957"/>
      <c r="C2157" s="278" t="s">
        <v>122</v>
      </c>
      <c r="D2157" s="278"/>
      <c r="E2157" s="509">
        <v>16.4071</v>
      </c>
      <c r="F2157" s="405">
        <f>IFERROR(E2157*'01 Prod Physique Boites'!H2152,"-")</f>
        <v>0</v>
      </c>
      <c r="G2157" s="406">
        <f>IFERROR(E2157*'01 Prod Physique Boites'!L2152,"-")</f>
        <v>0</v>
      </c>
      <c r="H2157" s="388">
        <v>0</v>
      </c>
      <c r="I2157" s="424">
        <f t="shared" si="1304"/>
        <v>0</v>
      </c>
      <c r="J2157" s="425">
        <f t="shared" si="1305"/>
        <v>0</v>
      </c>
    </row>
    <row r="2158" spans="1:15" ht="23.4" x14ac:dyDescent="0.3">
      <c r="A2158" s="277" t="s">
        <v>110</v>
      </c>
      <c r="B2158" s="957"/>
      <c r="C2158" s="278" t="s">
        <v>129</v>
      </c>
      <c r="D2158" s="278"/>
      <c r="E2158" s="509">
        <v>17.8202</v>
      </c>
      <c r="F2158" s="405">
        <f>IFERROR(E2158*'01 Prod Physique Boites'!H2153,"-")</f>
        <v>0</v>
      </c>
      <c r="G2158" s="406">
        <f>IFERROR(E2158*'01 Prod Physique Boites'!L2153,"-")</f>
        <v>0</v>
      </c>
      <c r="H2158" s="388">
        <v>0</v>
      </c>
      <c r="I2158" s="424">
        <f t="shared" si="1304"/>
        <v>0</v>
      </c>
      <c r="J2158" s="425">
        <f>IFERROR(H2158*(G2158/E2158),"-")</f>
        <v>0</v>
      </c>
    </row>
    <row r="2159" spans="1:15" ht="23.4" x14ac:dyDescent="0.3">
      <c r="A2159" s="277" t="s">
        <v>110</v>
      </c>
      <c r="B2159" s="957"/>
      <c r="C2159" s="278" t="s">
        <v>189</v>
      </c>
      <c r="D2159" s="278" t="s">
        <v>190</v>
      </c>
      <c r="E2159" s="509">
        <v>17.8202</v>
      </c>
      <c r="F2159" s="405">
        <f>IFERROR(E2159*'01 Prod Physique Boites'!H2154,"-")</f>
        <v>0</v>
      </c>
      <c r="G2159" s="406">
        <f>IFERROR(E2159*'01 Prod Physique Boites'!L2154,"-")</f>
        <v>0</v>
      </c>
      <c r="H2159" s="388">
        <v>0</v>
      </c>
      <c r="I2159" s="424">
        <f t="shared" si="1304"/>
        <v>0</v>
      </c>
      <c r="J2159" s="425">
        <f t="shared" ref="J2159:J2161" si="1306">IFERROR(H2159*(G2159/E2159),"-")</f>
        <v>0</v>
      </c>
    </row>
    <row r="2160" spans="1:15" ht="23.4" x14ac:dyDescent="0.3">
      <c r="A2160" s="277" t="s">
        <v>110</v>
      </c>
      <c r="B2160" s="957"/>
      <c r="C2160" s="278" t="s">
        <v>192</v>
      </c>
      <c r="D2160" s="278" t="s">
        <v>191</v>
      </c>
      <c r="E2160" s="509">
        <v>16.7288</v>
      </c>
      <c r="F2160" s="405">
        <f>IFERROR(E2160*'01 Prod Physique Boites'!H2155,"-")</f>
        <v>0</v>
      </c>
      <c r="G2160" s="406">
        <f>IFERROR(E2160*'01 Prod Physique Boites'!L2155,"-")</f>
        <v>0</v>
      </c>
      <c r="H2160" s="388">
        <v>0</v>
      </c>
      <c r="I2160" s="424">
        <f t="shared" si="1304"/>
        <v>0</v>
      </c>
      <c r="J2160" s="425">
        <f t="shared" si="1306"/>
        <v>0</v>
      </c>
    </row>
    <row r="2161" spans="1:10" ht="24" thickBot="1" x14ac:dyDescent="0.35">
      <c r="A2161" s="277" t="s">
        <v>110</v>
      </c>
      <c r="B2161" s="958"/>
      <c r="C2161" s="289" t="s">
        <v>193</v>
      </c>
      <c r="D2161" s="289" t="s">
        <v>114</v>
      </c>
      <c r="E2161" s="505">
        <v>17.8202</v>
      </c>
      <c r="F2161" s="405">
        <f>IFERROR(E2161*'01 Prod Physique Boites'!H2156,"-")</f>
        <v>0</v>
      </c>
      <c r="G2161" s="406">
        <f>IFERROR(E2161*'01 Prod Physique Boites'!L2156,"-")</f>
        <v>0</v>
      </c>
      <c r="H2161" s="388">
        <v>0</v>
      </c>
      <c r="I2161" s="426">
        <f t="shared" si="1304"/>
        <v>0</v>
      </c>
      <c r="J2161" s="427">
        <f t="shared" si="1306"/>
        <v>0</v>
      </c>
    </row>
    <row r="2162" spans="1:10" ht="24" thickBot="1" x14ac:dyDescent="0.35">
      <c r="A2162" s="277" t="s">
        <v>110</v>
      </c>
      <c r="B2162" s="967" t="s">
        <v>29</v>
      </c>
      <c r="C2162" s="968"/>
      <c r="D2162" s="969"/>
      <c r="E2162" s="660"/>
      <c r="F2162" s="661">
        <f t="shared" ref="F2162:G2162" si="1307">SUM(F2155:F2161)</f>
        <v>0</v>
      </c>
      <c r="G2162" s="410">
        <f t="shared" si="1307"/>
        <v>0</v>
      </c>
      <c r="H2162" s="394"/>
      <c r="I2162" s="409">
        <f t="shared" ref="I2162:J2162" si="1308">SUM(I2155:I2161)</f>
        <v>0</v>
      </c>
      <c r="J2162" s="428">
        <f t="shared" si="1308"/>
        <v>0</v>
      </c>
    </row>
    <row r="2163" spans="1:10" ht="24" thickBot="1" x14ac:dyDescent="0.35">
      <c r="A2163" s="277"/>
      <c r="B2163" s="985" t="s">
        <v>19</v>
      </c>
      <c r="C2163" s="662" t="s">
        <v>255</v>
      </c>
      <c r="D2163" s="668" t="s">
        <v>190</v>
      </c>
      <c r="E2163" s="669">
        <v>12.2659</v>
      </c>
      <c r="F2163" s="670">
        <f>IFERROR(E2163*'01 Prod Physique Boites'!H2158,"-")</f>
        <v>414489.2928</v>
      </c>
      <c r="G2163" s="671">
        <f>IFERROR(E2163*'01 Prod Physique Boites'!L2158,"-")</f>
        <v>660592.31039999996</v>
      </c>
      <c r="H2163" s="665">
        <v>14.79</v>
      </c>
      <c r="I2163" s="650">
        <f t="shared" ref="I2163:I2165" si="1309">IFERROR(H2163*(F2163/E2163),"-")</f>
        <v>499783.67999999999</v>
      </c>
      <c r="J2163" s="650">
        <f>IFERROR(H2163*(G2163/E2163),"-")</f>
        <v>796530.23999999987</v>
      </c>
    </row>
    <row r="2164" spans="1:10" ht="24" thickBot="1" x14ac:dyDescent="0.35">
      <c r="A2164" s="277"/>
      <c r="B2164" s="986"/>
      <c r="C2164" s="663" t="s">
        <v>399</v>
      </c>
      <c r="D2164" s="672" t="s">
        <v>507</v>
      </c>
      <c r="E2164" s="654">
        <v>12.2659</v>
      </c>
      <c r="F2164" s="670">
        <f>IFERROR(E2164*'01 Prod Physique Boites'!H2159,"-")</f>
        <v>809549.4</v>
      </c>
      <c r="G2164" s="645">
        <f>IFERROR(E2164*'01 Prod Physique Boites'!L2159,"-")</f>
        <v>5815802.8896000003</v>
      </c>
      <c r="H2164" s="666">
        <v>14.55</v>
      </c>
      <c r="I2164" s="655">
        <f t="shared" si="1309"/>
        <v>960300</v>
      </c>
      <c r="J2164" s="655">
        <f>IFERROR(H2164*(G2164/E2164),"-")</f>
        <v>6898795.2000000002</v>
      </c>
    </row>
    <row r="2165" spans="1:10" ht="24" thickBot="1" x14ac:dyDescent="0.35">
      <c r="A2165" s="934" t="s">
        <v>110</v>
      </c>
      <c r="B2165" s="987"/>
      <c r="C2165" s="664" t="s">
        <v>380</v>
      </c>
      <c r="D2165" s="673"/>
      <c r="E2165" s="674">
        <v>0</v>
      </c>
      <c r="F2165" s="670">
        <f>IFERROR(E2165*'01 Prod Physique Boites'!H2160,"-")</f>
        <v>0</v>
      </c>
      <c r="G2165" s="676">
        <f>IFERROR(E2165*'01 Prod Physique Boites'!L2160,"-")</f>
        <v>0</v>
      </c>
      <c r="H2165" s="667">
        <v>0</v>
      </c>
      <c r="I2165" s="429" t="str">
        <f t="shared" si="1309"/>
        <v>-</v>
      </c>
      <c r="J2165" s="430" t="str">
        <f t="shared" ref="J2165" si="1310">IFERROR(I2165*(G2165/F2165),"-")</f>
        <v>-</v>
      </c>
    </row>
    <row r="2166" spans="1:10" ht="24" thickBot="1" x14ac:dyDescent="0.35">
      <c r="A2166" s="277" t="s">
        <v>110</v>
      </c>
      <c r="B2166" s="967" t="s">
        <v>49</v>
      </c>
      <c r="C2166" s="968"/>
      <c r="D2166" s="969"/>
      <c r="E2166" s="393"/>
      <c r="F2166" s="409">
        <f>SUM(F2163:F2165)</f>
        <v>1224038.6928000001</v>
      </c>
      <c r="G2166" s="409">
        <f>SUM(G2163:G2165)</f>
        <v>6476395.2000000002</v>
      </c>
      <c r="H2166" s="394"/>
      <c r="I2166" s="409">
        <f>SUM(I2163:I2165)</f>
        <v>1460083.68</v>
      </c>
      <c r="J2166" s="428">
        <f>SUM(J2163:J2165)</f>
        <v>7695325.4400000004</v>
      </c>
    </row>
    <row r="2167" spans="1:10" ht="23.4" x14ac:dyDescent="0.3">
      <c r="A2167" s="277" t="s">
        <v>110</v>
      </c>
      <c r="B2167" s="956" t="s">
        <v>20</v>
      </c>
      <c r="C2167" s="294" t="s">
        <v>351</v>
      </c>
      <c r="D2167" s="294" t="s">
        <v>313</v>
      </c>
      <c r="E2167" s="508">
        <v>26.032900000000001</v>
      </c>
      <c r="F2167" s="405">
        <f>IFERROR(E2167*'01 Prod Physique Boites'!H2162,"-")</f>
        <v>0</v>
      </c>
      <c r="G2167" s="406">
        <f>IFERROR(E2167*'01 Prod Physique Boites'!L2162,"-")</f>
        <v>0</v>
      </c>
      <c r="H2167" s="384">
        <v>36.44</v>
      </c>
      <c r="I2167" s="422">
        <f>IFERROR(H2167*(F2167/E2167),"-")</f>
        <v>0</v>
      </c>
      <c r="J2167" s="423">
        <f t="shared" ref="J2167:J2169" si="1311">IFERROR(H2167*(G2167/E2167),"-")</f>
        <v>0</v>
      </c>
    </row>
    <row r="2168" spans="1:10" ht="23.4" x14ac:dyDescent="0.3">
      <c r="A2168" s="277" t="s">
        <v>110</v>
      </c>
      <c r="B2168" s="957"/>
      <c r="C2168" s="295" t="s">
        <v>121</v>
      </c>
      <c r="D2168" s="295"/>
      <c r="E2168" s="387">
        <v>24.2607</v>
      </c>
      <c r="F2168" s="405">
        <f>IFERROR(E2168*'01 Prod Physique Boites'!H2163,"-")</f>
        <v>0</v>
      </c>
      <c r="G2168" s="406">
        <f>IFERROR(E2168*'01 Prod Physique Boites'!L2163,"-")</f>
        <v>0</v>
      </c>
      <c r="H2168" s="388">
        <v>37.369999999999997</v>
      </c>
      <c r="I2168" s="424">
        <f>IFERROR(H2168*(F2168/E2168),"-")</f>
        <v>0</v>
      </c>
      <c r="J2168" s="425">
        <f t="shared" si="1311"/>
        <v>0</v>
      </c>
    </row>
    <row r="2169" spans="1:10" ht="24" thickBot="1" x14ac:dyDescent="0.35">
      <c r="A2169" s="277" t="s">
        <v>110</v>
      </c>
      <c r="B2169" s="958"/>
      <c r="C2169" s="296" t="s">
        <v>127</v>
      </c>
      <c r="D2169" s="296"/>
      <c r="E2169" s="389">
        <v>26.035799999999998</v>
      </c>
      <c r="F2169" s="405">
        <f>IFERROR(E2169*'01 Prod Physique Boites'!H2164,"-")</f>
        <v>0</v>
      </c>
      <c r="G2169" s="406">
        <f>IFERROR(E2169*'01 Prod Physique Boites'!L2164,"-")</f>
        <v>0</v>
      </c>
      <c r="H2169" s="390">
        <v>37.11</v>
      </c>
      <c r="I2169" s="426">
        <f>IFERROR(H2169*(F2169/E2169),"-")</f>
        <v>0</v>
      </c>
      <c r="J2169" s="427">
        <f t="shared" si="1311"/>
        <v>0</v>
      </c>
    </row>
    <row r="2170" spans="1:10" ht="24" thickBot="1" x14ac:dyDescent="0.35">
      <c r="A2170" s="277" t="s">
        <v>110</v>
      </c>
      <c r="B2170" s="968" t="s">
        <v>50</v>
      </c>
      <c r="C2170" s="968"/>
      <c r="D2170" s="989"/>
      <c r="E2170" s="393"/>
      <c r="F2170" s="409">
        <f t="shared" ref="F2170:G2170" si="1312">SUM(F2167:F2169)</f>
        <v>0</v>
      </c>
      <c r="G2170" s="410">
        <f t="shared" si="1312"/>
        <v>0</v>
      </c>
      <c r="H2170" s="394"/>
      <c r="I2170" s="409">
        <f t="shared" ref="I2170:J2170" si="1313">SUM(I2167:I2169)</f>
        <v>0</v>
      </c>
      <c r="J2170" s="428">
        <f t="shared" si="1313"/>
        <v>0</v>
      </c>
    </row>
    <row r="2171" spans="1:10" ht="24" thickBot="1" x14ac:dyDescent="0.35">
      <c r="A2171" s="277" t="s">
        <v>110</v>
      </c>
      <c r="B2171" s="981" t="s">
        <v>21</v>
      </c>
      <c r="C2171" s="982"/>
      <c r="D2171" s="983"/>
      <c r="E2171" s="396"/>
      <c r="F2171" s="413">
        <f>+F2146+F2154+F2162+F2166+F2170</f>
        <v>2215212.4421999999</v>
      </c>
      <c r="G2171" s="414">
        <f>+G2146+G2154+G2162+G2166+G2170</f>
        <v>50052680.844600007</v>
      </c>
      <c r="H2171" s="397"/>
      <c r="I2171" s="413">
        <f>+I2146+I2154+I2162+I2166+I2170</f>
        <v>3034606.6799999997</v>
      </c>
      <c r="J2171" s="431">
        <f>+J2146+J2154+J2162+J2166+J2170</f>
        <v>68261501.312800005</v>
      </c>
    </row>
    <row r="2172" spans="1:10" ht="23.4" x14ac:dyDescent="0.3">
      <c r="A2172" s="277" t="s">
        <v>110</v>
      </c>
      <c r="B2172" s="956" t="s">
        <v>481</v>
      </c>
      <c r="C2172" s="272" t="s">
        <v>132</v>
      </c>
      <c r="D2172" s="272"/>
      <c r="E2172" s="383">
        <v>22.820599999999999</v>
      </c>
      <c r="F2172" s="405">
        <f>IFERROR(E2172*'01 Prod Physique Boites'!H2167,"-")</f>
        <v>0</v>
      </c>
      <c r="G2172" s="406">
        <f>IFERROR(E2172*'01 Prod Physique Boites'!L2167,"-")</f>
        <v>0</v>
      </c>
      <c r="H2172" s="384">
        <v>27.5</v>
      </c>
      <c r="I2172" s="422">
        <f>IFERROR(H2172*(F2172/E2172),"-")</f>
        <v>0</v>
      </c>
      <c r="J2172" s="423">
        <f t="shared" ref="J2172:J2175" si="1314">IFERROR(H2172*(G2172/E2172),"-")</f>
        <v>0</v>
      </c>
    </row>
    <row r="2173" spans="1:10" ht="23.4" x14ac:dyDescent="0.3">
      <c r="A2173" s="277" t="s">
        <v>110</v>
      </c>
      <c r="B2173" s="957"/>
      <c r="C2173" s="298" t="s">
        <v>283</v>
      </c>
      <c r="D2173" s="298" t="s">
        <v>194</v>
      </c>
      <c r="E2173" s="387">
        <v>23.570699999999999</v>
      </c>
      <c r="F2173" s="405">
        <f>IFERROR(E2173*'01 Prod Physique Boites'!H2168,"-")</f>
        <v>0</v>
      </c>
      <c r="G2173" s="406">
        <f>IFERROR(E2173*'01 Prod Physique Boites'!L2168,"-")</f>
        <v>0</v>
      </c>
      <c r="H2173" s="388">
        <v>27.5</v>
      </c>
      <c r="I2173" s="424">
        <f>IFERROR(H2173*(F2173/E2173),"-")</f>
        <v>0</v>
      </c>
      <c r="J2173" s="425">
        <f t="shared" si="1314"/>
        <v>0</v>
      </c>
    </row>
    <row r="2174" spans="1:10" ht="23.4" x14ac:dyDescent="0.3">
      <c r="A2174" s="277" t="s">
        <v>110</v>
      </c>
      <c r="B2174" s="957"/>
      <c r="C2174" s="298" t="s">
        <v>405</v>
      </c>
      <c r="D2174" s="298" t="s">
        <v>194</v>
      </c>
      <c r="E2174" s="387">
        <v>22.820599999999999</v>
      </c>
      <c r="F2174" s="405">
        <f>IFERROR(E2174*'01 Prod Physique Boites'!H2169,"-")</f>
        <v>0</v>
      </c>
      <c r="G2174" s="406">
        <f>IFERROR(E2174*'01 Prod Physique Boites'!L2169,"-")</f>
        <v>8207885.2019999996</v>
      </c>
      <c r="H2174" s="388">
        <v>27.5</v>
      </c>
      <c r="I2174" s="424">
        <f>IFERROR(H2174*(F2174/E2174),"-")</f>
        <v>0</v>
      </c>
      <c r="J2174" s="425">
        <f t="shared" si="1314"/>
        <v>9890925</v>
      </c>
    </row>
    <row r="2175" spans="1:10" ht="24" thickBot="1" x14ac:dyDescent="0.35">
      <c r="A2175" s="277" t="s">
        <v>110</v>
      </c>
      <c r="B2175" s="958"/>
      <c r="C2175" s="282" t="s">
        <v>195</v>
      </c>
      <c r="D2175" s="282" t="s">
        <v>100</v>
      </c>
      <c r="E2175" s="389">
        <v>23.5685</v>
      </c>
      <c r="F2175" s="405">
        <f>IFERROR(E2175*'01 Prod Physique Boites'!H2170,"-")</f>
        <v>0</v>
      </c>
      <c r="G2175" s="406">
        <f>IFERROR(E2175*'01 Prod Physique Boites'!L2170,"-")</f>
        <v>0</v>
      </c>
      <c r="H2175" s="390">
        <v>24</v>
      </c>
      <c r="I2175" s="426">
        <f>IFERROR(H2175*(F2175/E2175),"-")</f>
        <v>0</v>
      </c>
      <c r="J2175" s="427">
        <f t="shared" si="1314"/>
        <v>0</v>
      </c>
    </row>
    <row r="2176" spans="1:10" ht="24" thickBot="1" x14ac:dyDescent="0.35">
      <c r="A2176" s="277" t="s">
        <v>110</v>
      </c>
      <c r="B2176" s="967" t="s">
        <v>51</v>
      </c>
      <c r="C2176" s="968"/>
      <c r="D2176" s="969"/>
      <c r="E2176" s="393"/>
      <c r="F2176" s="409">
        <f t="shared" ref="F2176:G2176" si="1315">SUM(F2172:F2175)</f>
        <v>0</v>
      </c>
      <c r="G2176" s="410">
        <f t="shared" si="1315"/>
        <v>8207885.2019999996</v>
      </c>
      <c r="H2176" s="394"/>
      <c r="I2176" s="409">
        <f t="shared" ref="I2176:J2176" si="1316">SUM(I2172:I2175)</f>
        <v>0</v>
      </c>
      <c r="J2176" s="428">
        <f t="shared" si="1316"/>
        <v>9890925</v>
      </c>
    </row>
    <row r="2177" spans="1:10" ht="23.4" x14ac:dyDescent="0.3">
      <c r="A2177" s="277" t="s">
        <v>110</v>
      </c>
      <c r="B2177" s="956" t="s">
        <v>23</v>
      </c>
      <c r="C2177" s="299" t="s">
        <v>337</v>
      </c>
      <c r="D2177" s="299" t="s">
        <v>258</v>
      </c>
      <c r="E2177" s="383">
        <v>101.4935</v>
      </c>
      <c r="F2177" s="405">
        <f>IFERROR(E2177*'01 Prod Physique Boites'!H2172,"-")</f>
        <v>0</v>
      </c>
      <c r="G2177" s="406">
        <f>IFERROR(E2177*'01 Prod Physique Boites'!L2172,"-")</f>
        <v>1117646.422</v>
      </c>
      <c r="H2177" s="388">
        <v>160.44999999999999</v>
      </c>
      <c r="I2177" s="422">
        <f t="shared" ref="I2177:I2184" si="1317">IFERROR(H2177*(F2177/E2177),"-")</f>
        <v>0</v>
      </c>
      <c r="J2177" s="423">
        <f t="shared" ref="J2177:J2184" si="1318">IFERROR(H2177*(G2177/E2177),"-")</f>
        <v>1766875.4</v>
      </c>
    </row>
    <row r="2178" spans="1:10" ht="23.4" x14ac:dyDescent="0.3">
      <c r="A2178" s="277" t="s">
        <v>110</v>
      </c>
      <c r="B2178" s="957"/>
      <c r="C2178" s="278" t="s">
        <v>24</v>
      </c>
      <c r="D2178" s="278" t="s">
        <v>258</v>
      </c>
      <c r="E2178" s="387">
        <v>101.4935</v>
      </c>
      <c r="F2178" s="405">
        <f>IFERROR(E2178*'01 Prod Physique Boites'!H2173,"-")</f>
        <v>1776136.25</v>
      </c>
      <c r="G2178" s="406">
        <f>IFERROR(E2178*'01 Prod Physique Boites'!L2173,"-")</f>
        <v>9779913.6600000001</v>
      </c>
      <c r="H2178" s="388">
        <v>160.44999999999999</v>
      </c>
      <c r="I2178" s="424">
        <f t="shared" si="1317"/>
        <v>2807875</v>
      </c>
      <c r="J2178" s="425">
        <f t="shared" si="1318"/>
        <v>15460961.999999998</v>
      </c>
    </row>
    <row r="2179" spans="1:10" ht="23.4" x14ac:dyDescent="0.3">
      <c r="A2179" s="277" t="s">
        <v>110</v>
      </c>
      <c r="B2179" s="957"/>
      <c r="C2179" s="278" t="s">
        <v>256</v>
      </c>
      <c r="D2179" s="278" t="s">
        <v>258</v>
      </c>
      <c r="E2179" s="387">
        <v>101.4935</v>
      </c>
      <c r="F2179" s="405">
        <f>IFERROR(E2179*'01 Prod Physique Boites'!H2174,"-")</f>
        <v>0</v>
      </c>
      <c r="G2179" s="406">
        <f>IFERROR(E2179*'01 Prod Physique Boites'!L2174,"-")</f>
        <v>1983690.4575</v>
      </c>
      <c r="H2179" s="388">
        <v>160.44999999999999</v>
      </c>
      <c r="I2179" s="424">
        <f t="shared" si="1317"/>
        <v>0</v>
      </c>
      <c r="J2179" s="425">
        <f t="shared" si="1318"/>
        <v>3135995.25</v>
      </c>
    </row>
    <row r="2180" spans="1:10" ht="23.4" x14ac:dyDescent="0.3">
      <c r="A2180" s="277" t="s">
        <v>110</v>
      </c>
      <c r="B2180" s="957"/>
      <c r="C2180" s="278" t="s">
        <v>257</v>
      </c>
      <c r="D2180" s="278" t="s">
        <v>258</v>
      </c>
      <c r="E2180" s="387">
        <v>101.4935</v>
      </c>
      <c r="F2180" s="405">
        <f>IFERROR(E2180*'01 Prod Physique Boites'!H2175,"-")</f>
        <v>0</v>
      </c>
      <c r="G2180" s="406">
        <f>IFERROR(E2180*'01 Prod Physique Boites'!L2175,"-")</f>
        <v>2066509.1535</v>
      </c>
      <c r="H2180" s="388">
        <v>160.44999999999999</v>
      </c>
      <c r="I2180" s="424">
        <f t="shared" si="1317"/>
        <v>0</v>
      </c>
      <c r="J2180" s="425">
        <f t="shared" si="1318"/>
        <v>3266922.4499999997</v>
      </c>
    </row>
    <row r="2181" spans="1:10" ht="23.4" x14ac:dyDescent="0.3">
      <c r="A2181" s="277" t="s">
        <v>110</v>
      </c>
      <c r="B2181" s="957"/>
      <c r="C2181" s="298" t="s">
        <v>259</v>
      </c>
      <c r="D2181" s="278" t="s">
        <v>258</v>
      </c>
      <c r="E2181" s="387">
        <v>101.4935</v>
      </c>
      <c r="F2181" s="405">
        <f>IFERROR(E2181*'01 Prod Physique Boites'!H2176,"-")</f>
        <v>0</v>
      </c>
      <c r="G2181" s="406">
        <f>IFERROR(E2181*'01 Prod Physique Boites'!L2176,"-")</f>
        <v>1249080.5045</v>
      </c>
      <c r="H2181" s="388">
        <v>160.44999999999999</v>
      </c>
      <c r="I2181" s="424">
        <f t="shared" si="1317"/>
        <v>0</v>
      </c>
      <c r="J2181" s="425">
        <f t="shared" si="1318"/>
        <v>1974658.15</v>
      </c>
    </row>
    <row r="2182" spans="1:10" ht="23.4" x14ac:dyDescent="0.3">
      <c r="A2182" s="277" t="s">
        <v>110</v>
      </c>
      <c r="B2182" s="957"/>
      <c r="C2182" s="298" t="s">
        <v>260</v>
      </c>
      <c r="D2182" s="278" t="s">
        <v>258</v>
      </c>
      <c r="E2182" s="387">
        <v>101.4935</v>
      </c>
      <c r="F2182" s="405">
        <f>IFERROR(E2182*'01 Prod Physique Boites'!H2177,"-")</f>
        <v>0</v>
      </c>
      <c r="G2182" s="406">
        <f>IFERROR(E2182*'01 Prod Physique Boites'!L2177,"-")</f>
        <v>2708049.5669999998</v>
      </c>
      <c r="H2182" s="388">
        <v>160.44999999999999</v>
      </c>
      <c r="I2182" s="424">
        <f t="shared" si="1317"/>
        <v>0</v>
      </c>
      <c r="J2182" s="425">
        <f t="shared" si="1318"/>
        <v>4281126.8999999994</v>
      </c>
    </row>
    <row r="2183" spans="1:10" ht="23.4" x14ac:dyDescent="0.3">
      <c r="A2183" s="277" t="s">
        <v>110</v>
      </c>
      <c r="B2183" s="957"/>
      <c r="C2183" s="298" t="s">
        <v>261</v>
      </c>
      <c r="D2183" s="278" t="s">
        <v>263</v>
      </c>
      <c r="E2183" s="387">
        <v>101.4935</v>
      </c>
      <c r="F2183" s="405">
        <f>IFERROR(E2183*'01 Prod Physique Boites'!H2178,"-")</f>
        <v>0</v>
      </c>
      <c r="G2183" s="406">
        <f>IFERROR(E2183*'01 Prod Physique Boites'!L2178,"-")</f>
        <v>2384082.3149999999</v>
      </c>
      <c r="H2183" s="388">
        <v>160.44999999999999</v>
      </c>
      <c r="I2183" s="424">
        <f t="shared" si="1317"/>
        <v>0</v>
      </c>
      <c r="J2183" s="425">
        <f t="shared" si="1318"/>
        <v>3768970.4999999995</v>
      </c>
    </row>
    <row r="2184" spans="1:10" ht="24" thickBot="1" x14ac:dyDescent="0.35">
      <c r="A2184" s="277" t="s">
        <v>110</v>
      </c>
      <c r="B2184" s="958"/>
      <c r="C2184" s="298" t="s">
        <v>262</v>
      </c>
      <c r="D2184" s="278" t="s">
        <v>258</v>
      </c>
      <c r="E2184" s="389">
        <v>101.4935</v>
      </c>
      <c r="F2184" s="405">
        <f>IFERROR(E2184*'01 Prod Physique Boites'!H2179,"-")</f>
        <v>0</v>
      </c>
      <c r="G2184" s="406">
        <f>IFERROR(E2184*'01 Prod Physique Boites'!L2179,"-")</f>
        <v>3565466.6549999998</v>
      </c>
      <c r="H2184" s="388">
        <v>160.44999999999999</v>
      </c>
      <c r="I2184" s="426">
        <f t="shared" si="1317"/>
        <v>0</v>
      </c>
      <c r="J2184" s="427">
        <f t="shared" si="1318"/>
        <v>5636608.5</v>
      </c>
    </row>
    <row r="2185" spans="1:10" ht="24" thickBot="1" x14ac:dyDescent="0.35">
      <c r="A2185" s="277" t="s">
        <v>110</v>
      </c>
      <c r="B2185" s="967" t="s">
        <v>52</v>
      </c>
      <c r="C2185" s="968"/>
      <c r="D2185" s="969"/>
      <c r="E2185" s="393"/>
      <c r="F2185" s="409">
        <f t="shared" ref="F2185" si="1319">SUM(F2177:F2184)</f>
        <v>1776136.25</v>
      </c>
      <c r="G2185" s="410">
        <f>SUM(G2177:G2184)</f>
        <v>24854438.734500002</v>
      </c>
      <c r="H2185" s="394"/>
      <c r="I2185" s="409">
        <f t="shared" ref="I2185" si="1320">SUM(I2177:I2184)</f>
        <v>2807875</v>
      </c>
      <c r="J2185" s="428">
        <f>SUM(J2177:J2184)</f>
        <v>39292119.149999991</v>
      </c>
    </row>
    <row r="2186" spans="1:10" ht="24" thickBot="1" x14ac:dyDescent="0.35">
      <c r="A2186" s="277" t="s">
        <v>110</v>
      </c>
      <c r="B2186" s="981" t="s">
        <v>25</v>
      </c>
      <c r="C2186" s="982"/>
      <c r="D2186" s="983"/>
      <c r="E2186" s="396"/>
      <c r="F2186" s="413">
        <f t="shared" ref="F2186" si="1321">+F2176+F2185</f>
        <v>1776136.25</v>
      </c>
      <c r="G2186" s="414">
        <f>+G2176+G2185</f>
        <v>33062323.936500002</v>
      </c>
      <c r="H2186" s="397"/>
      <c r="I2186" s="413">
        <f t="shared" ref="I2186:J2186" si="1322">+I2176+I2185</f>
        <v>2807875</v>
      </c>
      <c r="J2186" s="431">
        <f t="shared" si="1322"/>
        <v>49183044.149999991</v>
      </c>
    </row>
    <row r="2187" spans="1:10" ht="24" thickBot="1" x14ac:dyDescent="0.35">
      <c r="A2187" s="277" t="s">
        <v>110</v>
      </c>
      <c r="B2187" s="984" t="s">
        <v>180</v>
      </c>
      <c r="C2187" s="962"/>
      <c r="D2187" s="963"/>
      <c r="E2187" s="398"/>
      <c r="F2187" s="415">
        <f t="shared" ref="F2187" si="1323">+F2171+F2186</f>
        <v>3991348.6921999999</v>
      </c>
      <c r="G2187" s="416">
        <f>+G2171+G2186</f>
        <v>83115004.781100005</v>
      </c>
      <c r="H2187" s="399"/>
      <c r="I2187" s="415">
        <f t="shared" ref="I2187:J2187" si="1324">+I2171+I2186</f>
        <v>5842481.6799999997</v>
      </c>
      <c r="J2187" s="432">
        <f t="shared" si="1324"/>
        <v>117444545.4628</v>
      </c>
    </row>
    <row r="2188" spans="1:10" ht="23.4" x14ac:dyDescent="0.3">
      <c r="A2188" s="271" t="s">
        <v>108</v>
      </c>
      <c r="B2188" s="977" t="s">
        <v>26</v>
      </c>
      <c r="C2188" s="300" t="s">
        <v>323</v>
      </c>
      <c r="D2188" s="302" t="s">
        <v>190</v>
      </c>
      <c r="E2188" s="508">
        <v>13.1272</v>
      </c>
      <c r="F2188" s="405">
        <f>+'01 Prod Physique Boites'!H2183</f>
        <v>0</v>
      </c>
      <c r="G2188" s="406">
        <f>IFERROR(E2188*'01 Prod Physique Boites'!L2183,"-")</f>
        <v>0</v>
      </c>
      <c r="H2188" s="384">
        <v>20.76</v>
      </c>
      <c r="I2188" s="422">
        <f t="shared" ref="I2188:I2197" si="1325">IFERROR(H2188*(F2188/E2188),"-")</f>
        <v>0</v>
      </c>
      <c r="J2188" s="644">
        <f t="shared" ref="J2188:J2197" si="1326">IFERROR(H2188*(G2188/E2188),"-")</f>
        <v>0</v>
      </c>
    </row>
    <row r="2189" spans="1:10" ht="23.4" x14ac:dyDescent="0.3">
      <c r="A2189" s="277" t="s">
        <v>108</v>
      </c>
      <c r="B2189" s="977"/>
      <c r="C2189" s="301" t="s">
        <v>508</v>
      </c>
      <c r="D2189" s="301" t="s">
        <v>507</v>
      </c>
      <c r="E2189" s="509">
        <v>16.7288</v>
      </c>
      <c r="F2189" s="405">
        <f>IFERROR(E2189*'01 Prod Physique Boites'!H2184,"-")</f>
        <v>0</v>
      </c>
      <c r="G2189" s="406">
        <f>IFERROR(E2189*'01 Prod Physique Boites'!L2184,"-")</f>
        <v>3127716.8207999999</v>
      </c>
      <c r="H2189" s="388">
        <v>20.76</v>
      </c>
      <c r="I2189" s="424">
        <f t="shared" si="1325"/>
        <v>0</v>
      </c>
      <c r="J2189" s="645">
        <f t="shared" si="1326"/>
        <v>3881414.16</v>
      </c>
    </row>
    <row r="2190" spans="1:10" ht="23.4" x14ac:dyDescent="0.3">
      <c r="A2190" s="277" t="s">
        <v>108</v>
      </c>
      <c r="B2190" s="977"/>
      <c r="C2190" s="302" t="s">
        <v>27</v>
      </c>
      <c r="D2190" s="302" t="s">
        <v>370</v>
      </c>
      <c r="E2190" s="505">
        <v>17.8202</v>
      </c>
      <c r="F2190" s="405">
        <f>IFERROR(E2190*'01 Prod Physique Boites'!H2185,"-")</f>
        <v>0</v>
      </c>
      <c r="G2190" s="406">
        <f>IFERROR(E2190*'01 Prod Physique Boites'!L2185,"-")</f>
        <v>258250.33840000001</v>
      </c>
      <c r="H2190" s="388">
        <v>21.22</v>
      </c>
      <c r="I2190" s="424">
        <f t="shared" si="1325"/>
        <v>0</v>
      </c>
      <c r="J2190" s="645">
        <f t="shared" si="1326"/>
        <v>307520.24</v>
      </c>
    </row>
    <row r="2191" spans="1:10" ht="23.4" x14ac:dyDescent="0.3">
      <c r="A2191" s="277" t="s">
        <v>108</v>
      </c>
      <c r="B2191" s="977"/>
      <c r="C2191" s="302" t="s">
        <v>27</v>
      </c>
      <c r="D2191" s="302" t="s">
        <v>254</v>
      </c>
      <c r="E2191" s="505">
        <v>17.8202</v>
      </c>
      <c r="F2191" s="405">
        <f>IFERROR(E2191*'01 Prod Physique Boites'!H2186,"-")</f>
        <v>0</v>
      </c>
      <c r="G2191" s="406">
        <f>IFERROR(E2191*'01 Prod Physique Boites'!L2186,"-")</f>
        <v>710651.75580000004</v>
      </c>
      <c r="H2191" s="388">
        <v>24.93</v>
      </c>
      <c r="I2191" s="424">
        <f t="shared" si="1325"/>
        <v>0</v>
      </c>
      <c r="J2191" s="645">
        <f t="shared" si="1326"/>
        <v>994183.47</v>
      </c>
    </row>
    <row r="2192" spans="1:10" ht="23.4" x14ac:dyDescent="0.3">
      <c r="A2192" s="277" t="s">
        <v>108</v>
      </c>
      <c r="B2192" s="977"/>
      <c r="C2192" s="302" t="s">
        <v>27</v>
      </c>
      <c r="D2192" s="302" t="s">
        <v>302</v>
      </c>
      <c r="E2192" s="505">
        <v>17.8202</v>
      </c>
      <c r="F2192" s="405">
        <f>IFERROR(E2192*'01 Prod Physique Boites'!H2187,"-")</f>
        <v>0</v>
      </c>
      <c r="G2192" s="406">
        <f>IFERROR(E2192*'01 Prod Physique Boites'!L2187,"-")</f>
        <v>103891.766</v>
      </c>
      <c r="H2192" s="388">
        <v>24.93</v>
      </c>
      <c r="I2192" s="424">
        <f t="shared" si="1325"/>
        <v>0</v>
      </c>
      <c r="J2192" s="645">
        <f t="shared" si="1326"/>
        <v>145341.9</v>
      </c>
    </row>
    <row r="2193" spans="1:10" ht="23.4" x14ac:dyDescent="0.3">
      <c r="A2193" s="277"/>
      <c r="B2193" s="977"/>
      <c r="C2193" s="302" t="s">
        <v>546</v>
      </c>
      <c r="D2193" s="302" t="s">
        <v>191</v>
      </c>
      <c r="E2193" s="505">
        <v>14.608000000000001</v>
      </c>
      <c r="F2193" s="405">
        <f>IFERROR(E2193*'01 Prod Physique Boites'!H2188,"-")</f>
        <v>0</v>
      </c>
      <c r="G2193" s="406">
        <f>IFERROR(E2193*'01 Prod Physique Boites'!L2188,"-")</f>
        <v>58110.624000000003</v>
      </c>
      <c r="H2193" s="390">
        <v>24.93</v>
      </c>
      <c r="I2193" s="424">
        <f t="shared" si="1325"/>
        <v>0</v>
      </c>
      <c r="J2193" s="646">
        <f t="shared" si="1326"/>
        <v>99171.54</v>
      </c>
    </row>
    <row r="2194" spans="1:10" ht="23.4" x14ac:dyDescent="0.3">
      <c r="A2194" s="277"/>
      <c r="B2194" s="977"/>
      <c r="C2194" s="302" t="s">
        <v>545</v>
      </c>
      <c r="D2194" s="302" t="s">
        <v>101</v>
      </c>
      <c r="E2194" s="505">
        <v>17.8202</v>
      </c>
      <c r="F2194" s="863">
        <f>IFERROR(E2194*'01 Prod Physique Boites'!H2189,"-")</f>
        <v>0</v>
      </c>
      <c r="G2194" s="406">
        <f>IFERROR(E2194*'01 Prod Physique Boites'!L2189,"-")</f>
        <v>105121.35980000001</v>
      </c>
      <c r="H2194" s="390">
        <v>24.93</v>
      </c>
      <c r="I2194" s="426">
        <f t="shared" si="1325"/>
        <v>0</v>
      </c>
      <c r="J2194" s="646">
        <f t="shared" si="1326"/>
        <v>147062.07</v>
      </c>
    </row>
    <row r="2195" spans="1:10" s="870" customFormat="1" ht="23.4" x14ac:dyDescent="0.3">
      <c r="A2195" s="864"/>
      <c r="B2195" s="977"/>
      <c r="C2195" s="865" t="s">
        <v>453</v>
      </c>
      <c r="D2195" s="865" t="s">
        <v>454</v>
      </c>
      <c r="E2195" s="866">
        <v>16.345199999999998</v>
      </c>
      <c r="F2195" s="863">
        <f>IFERROR(E2195*'01 Prod Physique Boites'!H2191,"-")</f>
        <v>0</v>
      </c>
      <c r="G2195" s="867">
        <f>IFERROR(E2195*'01 Prod Physique Boites'!L2191,"-")</f>
        <v>639375.18839999998</v>
      </c>
      <c r="H2195" s="868">
        <v>23.78</v>
      </c>
      <c r="I2195" s="869">
        <f t="shared" si="1325"/>
        <v>0</v>
      </c>
      <c r="J2195" s="646">
        <f t="shared" si="1326"/>
        <v>930202.26</v>
      </c>
    </row>
    <row r="2196" spans="1:10" s="870" customFormat="1" ht="23.4" x14ac:dyDescent="0.3">
      <c r="A2196" s="864"/>
      <c r="B2196" s="977"/>
      <c r="C2196" s="865"/>
      <c r="D2196" s="865"/>
      <c r="E2196" s="866">
        <v>16.7288</v>
      </c>
      <c r="F2196" s="863">
        <f>IFERROR(E2196*'01 Prod Physique Boites'!H2190,"-")</f>
        <v>0</v>
      </c>
      <c r="G2196" s="867">
        <f>IFERROR(E2196*'01 Prod Physique Boites'!L2190,"-")</f>
        <v>40952.102399999996</v>
      </c>
      <c r="H2196" s="868">
        <v>25.49</v>
      </c>
      <c r="I2196" s="869">
        <f t="shared" si="1325"/>
        <v>0</v>
      </c>
      <c r="J2196" s="646">
        <f t="shared" si="1326"/>
        <v>62399.519999999997</v>
      </c>
    </row>
    <row r="2197" spans="1:10" ht="24" thickBot="1" x14ac:dyDescent="0.35">
      <c r="A2197" s="277" t="s">
        <v>108</v>
      </c>
      <c r="B2197" s="977"/>
      <c r="C2197" s="303" t="s">
        <v>315</v>
      </c>
      <c r="D2197" s="302" t="s">
        <v>313</v>
      </c>
      <c r="E2197" s="505">
        <v>12.6997</v>
      </c>
      <c r="F2197" s="405">
        <f>IFERROR(E2197*'01 Prod Physique Boites'!H2192,"-")</f>
        <v>0</v>
      </c>
      <c r="G2197" s="867">
        <f>IFERROR(E2197*'01 Prod Physique Boites'!L2192,"-")</f>
        <v>202077.62640000001</v>
      </c>
      <c r="H2197" s="390">
        <v>13.25</v>
      </c>
      <c r="I2197" s="426">
        <f t="shared" si="1325"/>
        <v>0</v>
      </c>
      <c r="J2197" s="646">
        <f t="shared" si="1326"/>
        <v>210834</v>
      </c>
    </row>
    <row r="2198" spans="1:10" ht="24" thickBot="1" x14ac:dyDescent="0.35">
      <c r="A2198" s="277" t="s">
        <v>108</v>
      </c>
      <c r="B2198" s="990"/>
      <c r="C2198" s="304"/>
      <c r="D2198" s="305" t="s">
        <v>55</v>
      </c>
      <c r="E2198" s="393"/>
      <c r="F2198" s="409">
        <f>SUM(F2188:F2197)</f>
        <v>0</v>
      </c>
      <c r="G2198" s="410">
        <f>SUM(G2188:G2197)</f>
        <v>5246147.5820000004</v>
      </c>
      <c r="H2198" s="394"/>
      <c r="I2198" s="409">
        <f>SUM(I2188:I2197)</f>
        <v>0</v>
      </c>
      <c r="J2198" s="428">
        <f>SUM(J2188:J2197)</f>
        <v>6778129.1600000001</v>
      </c>
    </row>
    <row r="2199" spans="1:10" ht="23.4" x14ac:dyDescent="0.3">
      <c r="A2199" s="277" t="s">
        <v>108</v>
      </c>
      <c r="B2199" s="976" t="s">
        <v>28</v>
      </c>
      <c r="C2199" s="302" t="s">
        <v>27</v>
      </c>
      <c r="D2199" s="300" t="s">
        <v>302</v>
      </c>
      <c r="E2199" s="508">
        <v>17.8202</v>
      </c>
      <c r="F2199" s="405">
        <f>IFERROR(E2199*'01 Prod Physique Boites'!H2194,"-")</f>
        <v>0</v>
      </c>
      <c r="G2199" s="406">
        <f>IFERROR(E2199*'01 Prod Physique Boites'!L2194,"-")</f>
        <v>2906438.9796000002</v>
      </c>
      <c r="H2199" s="384">
        <v>24.93</v>
      </c>
      <c r="I2199" s="422">
        <f>IFERROR(H2199*(F2199/E2199),"-")</f>
        <v>0</v>
      </c>
      <c r="J2199" s="644">
        <f t="shared" ref="J2199:J2203" si="1327">IFERROR(H2199*(G2199/E2199),"-")</f>
        <v>4066033.14</v>
      </c>
    </row>
    <row r="2200" spans="1:10" ht="23.4" x14ac:dyDescent="0.3">
      <c r="A2200" s="277" t="s">
        <v>108</v>
      </c>
      <c r="B2200" s="977"/>
      <c r="C2200" s="302" t="s">
        <v>456</v>
      </c>
      <c r="D2200" s="302" t="s">
        <v>370</v>
      </c>
      <c r="E2200" s="773">
        <v>16.7288</v>
      </c>
      <c r="F2200" s="405">
        <f>IFERROR(E2200*'01 Prod Physique Boites'!H2195,"-")</f>
        <v>532377.33120000002</v>
      </c>
      <c r="G2200" s="867">
        <f>IFERROR(E2200*'01 Prod Physique Boites'!L2195,"-")</f>
        <v>23885313.724799998</v>
      </c>
      <c r="H2200" s="770">
        <v>20.76</v>
      </c>
      <c r="I2200" s="424">
        <f>IFERROR(H2200*(F2200/E2200),"-")</f>
        <v>660666.24000000011</v>
      </c>
      <c r="J2200" s="645">
        <f t="shared" si="1327"/>
        <v>29641044.960000001</v>
      </c>
    </row>
    <row r="2201" spans="1:10" ht="23.4" x14ac:dyDescent="0.3">
      <c r="A2201" s="277" t="s">
        <v>108</v>
      </c>
      <c r="B2201" s="977"/>
      <c r="C2201" s="302" t="s">
        <v>455</v>
      </c>
      <c r="D2201" s="302" t="s">
        <v>370</v>
      </c>
      <c r="E2201" s="505">
        <v>17.8202</v>
      </c>
      <c r="F2201" s="405">
        <f>IFERROR(E2201*'01 Prod Physique Boites'!H2196,"-")</f>
        <v>141777.51120000001</v>
      </c>
      <c r="G2201" s="406">
        <f>IFERROR(E2201*'01 Prod Physique Boites'!L2196,"-")</f>
        <v>1417775.112</v>
      </c>
      <c r="H2201" s="388">
        <v>21.22</v>
      </c>
      <c r="I2201" s="424">
        <f>IFERROR(H2201*(F2201/E2201),"-")</f>
        <v>168826.32</v>
      </c>
      <c r="J2201" s="645">
        <f t="shared" si="1327"/>
        <v>1688263.2</v>
      </c>
    </row>
    <row r="2202" spans="1:10" ht="23.4" x14ac:dyDescent="0.3">
      <c r="A2202" s="277"/>
      <c r="B2202" s="977"/>
      <c r="C2202" s="302" t="s">
        <v>453</v>
      </c>
      <c r="D2202" s="302" t="s">
        <v>454</v>
      </c>
      <c r="E2202" s="773">
        <v>16.345199999999998</v>
      </c>
      <c r="F2202" s="405">
        <f>IFERROR(E2202*'01 Prod Physique Boites'!H2197,"-")</f>
        <v>0</v>
      </c>
      <c r="G2202" s="406">
        <f>IFERROR(E2202*'01 Prod Physique Boites'!L2197,"-")</f>
        <v>4031314.7471999996</v>
      </c>
      <c r="H2202" s="388">
        <v>23.78</v>
      </c>
      <c r="I2202" s="426">
        <f>IFERROR(H2202*(F2202/E2202),"-")</f>
        <v>0</v>
      </c>
      <c r="J2202" s="646">
        <f t="shared" si="1327"/>
        <v>5865004.0800000001</v>
      </c>
    </row>
    <row r="2203" spans="1:10" ht="24" thickBot="1" x14ac:dyDescent="0.35">
      <c r="A2203" s="277" t="s">
        <v>108</v>
      </c>
      <c r="B2203" s="977"/>
      <c r="C2203" s="302" t="s">
        <v>27</v>
      </c>
      <c r="D2203" s="303" t="s">
        <v>254</v>
      </c>
      <c r="E2203" s="505">
        <v>17.8202</v>
      </c>
      <c r="F2203" s="405">
        <f>IFERROR(E2203*'01 Prod Physique Boites'!H2198,"-")</f>
        <v>0</v>
      </c>
      <c r="G2203" s="406">
        <f>IFERROR(E2203*'01 Prod Physique Boites'!L2198,"-")</f>
        <v>13517940.3948</v>
      </c>
      <c r="H2203" s="388">
        <v>24.93</v>
      </c>
      <c r="I2203" s="426">
        <f>IFERROR(H2203*(F2203/E2203),"-")</f>
        <v>0</v>
      </c>
      <c r="J2203" s="646">
        <f t="shared" si="1327"/>
        <v>18911249.82</v>
      </c>
    </row>
    <row r="2204" spans="1:10" ht="24" thickBot="1" x14ac:dyDescent="0.35">
      <c r="A2204" s="277" t="s">
        <v>108</v>
      </c>
      <c r="B2204" s="977"/>
      <c r="C2204" s="307"/>
      <c r="D2204" s="308" t="s">
        <v>55</v>
      </c>
      <c r="E2204" s="400"/>
      <c r="F2204" s="417">
        <f t="shared" ref="F2204:G2204" si="1328">SUM(F2199:F2203)</f>
        <v>674154.84239999996</v>
      </c>
      <c r="G2204" s="418">
        <f t="shared" si="1328"/>
        <v>45758782.958399996</v>
      </c>
      <c r="H2204" s="401"/>
      <c r="I2204" s="417">
        <f t="shared" ref="I2204:J2204" si="1329">SUM(I2199:I2203)</f>
        <v>829492.56</v>
      </c>
      <c r="J2204" s="433">
        <f t="shared" si="1329"/>
        <v>60171595.200000003</v>
      </c>
    </row>
    <row r="2205" spans="1:10" ht="24" thickBot="1" x14ac:dyDescent="0.35">
      <c r="A2205" s="934" t="s">
        <v>108</v>
      </c>
      <c r="B2205" s="978" t="s">
        <v>170</v>
      </c>
      <c r="C2205" s="979"/>
      <c r="D2205" s="980"/>
      <c r="E2205" s="402"/>
      <c r="F2205" s="419">
        <f t="shared" ref="F2205:G2205" si="1330">+F2198+F2204</f>
        <v>674154.84239999996</v>
      </c>
      <c r="G2205" s="420">
        <f t="shared" si="1330"/>
        <v>51004930.540399998</v>
      </c>
      <c r="H2205" s="403"/>
      <c r="I2205" s="419">
        <f t="shared" ref="I2205:J2205" si="1331">+I2198+I2204</f>
        <v>829492.56</v>
      </c>
      <c r="J2205" s="434">
        <f t="shared" si="1331"/>
        <v>66949724.359999999</v>
      </c>
    </row>
    <row r="2206" spans="1:10" ht="23.4" x14ac:dyDescent="0.3">
      <c r="A2206" s="277" t="s">
        <v>108</v>
      </c>
      <c r="B2206" s="977" t="s">
        <v>30</v>
      </c>
      <c r="C2206" s="306" t="s">
        <v>586</v>
      </c>
      <c r="D2206" s="302" t="s">
        <v>370</v>
      </c>
      <c r="E2206" s="917">
        <v>27.917000000000002</v>
      </c>
      <c r="F2206" s="405">
        <f>IFERROR(E2206*'01 Prod Physique Boites'!H2201,"-")</f>
        <v>0</v>
      </c>
      <c r="G2206" s="867">
        <f>IFERROR(E2206*'01 Prod Physique Boites'!L2201,"-")</f>
        <v>313563.74400000001</v>
      </c>
      <c r="H2206" s="915">
        <v>33.299999999999997</v>
      </c>
      <c r="I2206" s="422">
        <f>IFERROR(H2206*(F2206/E2206),"-")</f>
        <v>0</v>
      </c>
      <c r="J2206" s="423">
        <f t="shared" ref="J2206:J2208" si="1332">IFERROR(H2206*(G2206/E2206),"-")</f>
        <v>374025.6</v>
      </c>
    </row>
    <row r="2207" spans="1:10" ht="23.4" x14ac:dyDescent="0.3">
      <c r="A2207" s="277" t="s">
        <v>108</v>
      </c>
      <c r="B2207" s="977"/>
      <c r="C2207" s="303" t="s">
        <v>584</v>
      </c>
      <c r="D2207" s="306" t="s">
        <v>454</v>
      </c>
      <c r="E2207" s="914">
        <v>28.526700000000002</v>
      </c>
      <c r="F2207" s="405">
        <f>IFERROR(E2207*'01 Prod Physique Boites'!H2202,"-")</f>
        <v>0</v>
      </c>
      <c r="G2207" s="867">
        <f>IFERROR(E2207*'01 Prod Physique Boites'!L2202,"-")</f>
        <v>6835453.7472000001</v>
      </c>
      <c r="H2207" s="916">
        <v>37.89</v>
      </c>
      <c r="I2207" s="424">
        <f>IFERROR(H2207*(F2207/E2207),"-")</f>
        <v>0</v>
      </c>
      <c r="J2207" s="425">
        <f t="shared" si="1332"/>
        <v>9079050.2400000002</v>
      </c>
    </row>
    <row r="2208" spans="1:10" ht="24" thickBot="1" x14ac:dyDescent="0.35">
      <c r="A2208" s="277" t="s">
        <v>108</v>
      </c>
      <c r="B2208" s="977"/>
      <c r="C2208" s="303" t="s">
        <v>316</v>
      </c>
      <c r="D2208" s="303" t="s">
        <v>454</v>
      </c>
      <c r="E2208" s="505">
        <v>25.751300000000001</v>
      </c>
      <c r="F2208" s="863">
        <f>IFERROR(E2208*'01 Prod Physique Boites'!H2203,"-")</f>
        <v>0</v>
      </c>
      <c r="G2208" s="867">
        <f>IFERROR(E2208*'01 Prod Physique Boites'!L2203,"-")</f>
        <v>4290372.5904000001</v>
      </c>
      <c r="H2208" s="390">
        <v>37.89</v>
      </c>
      <c r="I2208" s="426">
        <f>IFERROR(H2208*(F2208/E2208),"-")</f>
        <v>0</v>
      </c>
      <c r="J2208" s="427">
        <f t="shared" si="1332"/>
        <v>6312777.1200000001</v>
      </c>
    </row>
    <row r="2209" spans="1:10" ht="24" thickBot="1" x14ac:dyDescent="0.35">
      <c r="A2209" s="277" t="s">
        <v>108</v>
      </c>
      <c r="B2209" s="977"/>
      <c r="C2209" s="304"/>
      <c r="D2209" s="305" t="s">
        <v>53</v>
      </c>
      <c r="E2209" s="393"/>
      <c r="F2209" s="409">
        <f t="shared" ref="F2209:G2209" si="1333">SUM(F2206:F2208)</f>
        <v>0</v>
      </c>
      <c r="G2209" s="410">
        <f t="shared" si="1333"/>
        <v>11439390.081599999</v>
      </c>
      <c r="H2209" s="394"/>
      <c r="I2209" s="409">
        <f t="shared" ref="I2209" si="1334">SUM(I2206:I2208)</f>
        <v>0</v>
      </c>
      <c r="J2209" s="428">
        <f>SUM(J2206:J2208)</f>
        <v>15765852.960000001</v>
      </c>
    </row>
    <row r="2210" spans="1:10" ht="23.4" x14ac:dyDescent="0.3">
      <c r="A2210" s="277" t="s">
        <v>108</v>
      </c>
      <c r="B2210" s="977"/>
      <c r="C2210" s="300" t="s">
        <v>548</v>
      </c>
      <c r="D2210" s="300" t="s">
        <v>99</v>
      </c>
      <c r="E2210" s="508">
        <v>24.2607</v>
      </c>
      <c r="F2210" s="405">
        <f>IFERROR(E2210*'01 Prod Physique Boites'!H2205,"-")</f>
        <v>0</v>
      </c>
      <c r="G2210" s="867">
        <f>IFERROR(E2210*'01 Prod Physique Boites'!L2205,"-")</f>
        <v>386521.47240000003</v>
      </c>
      <c r="H2210" s="384">
        <v>28.31</v>
      </c>
      <c r="I2210" s="422">
        <f>IFERROR(H2210*(F2210/E2210),"-")</f>
        <v>0</v>
      </c>
      <c r="J2210" s="423">
        <f t="shared" ref="J2210:J2214" si="1335">IFERROR(H2210*(G2210/E2210),"-")</f>
        <v>451034.92000000004</v>
      </c>
    </row>
    <row r="2211" spans="1:10" ht="23.4" x14ac:dyDescent="0.3">
      <c r="A2211" s="277"/>
      <c r="B2211" s="977"/>
      <c r="C2211" s="306" t="s">
        <v>585</v>
      </c>
      <c r="D2211" s="302" t="s">
        <v>370</v>
      </c>
      <c r="E2211" s="508">
        <v>24.2607</v>
      </c>
      <c r="F2211" s="405">
        <f>IFERROR(E2211*'01 Prod Physique Boites'!H2206,"-")</f>
        <v>0</v>
      </c>
      <c r="G2211" s="867">
        <f>IFERROR(E2211*'01 Prod Physique Boites'!L2206,"-")</f>
        <v>1135400.76</v>
      </c>
      <c r="H2211" s="384">
        <v>28.31</v>
      </c>
      <c r="I2211" s="422">
        <f t="shared" ref="I2211:I2214" si="1336">IFERROR(H2211*(F2211/E2211),"-")</f>
        <v>0</v>
      </c>
      <c r="J2211" s="423">
        <f t="shared" si="1335"/>
        <v>1324908</v>
      </c>
    </row>
    <row r="2212" spans="1:10" ht="23.4" x14ac:dyDescent="0.3">
      <c r="A2212" s="277"/>
      <c r="B2212" s="977"/>
      <c r="C2212" s="306" t="s">
        <v>588</v>
      </c>
      <c r="D2212" s="302" t="s">
        <v>370</v>
      </c>
      <c r="E2212" s="508">
        <v>23.697399999999998</v>
      </c>
      <c r="F2212" s="405">
        <f>IFERROR(E2212*'01 Prod Physique Boites'!H2207,"-")</f>
        <v>0</v>
      </c>
      <c r="G2212" s="867">
        <f>IFERROR(E2212*'01 Prod Physique Boites'!L2207,"-")</f>
        <v>44361.532799999994</v>
      </c>
      <c r="H2212" s="384">
        <v>28.21</v>
      </c>
      <c r="I2212" s="422">
        <f t="shared" si="1336"/>
        <v>0</v>
      </c>
      <c r="J2212" s="423">
        <f t="shared" si="1335"/>
        <v>52809.119999999995</v>
      </c>
    </row>
    <row r="2213" spans="1:10" ht="23.4" x14ac:dyDescent="0.3">
      <c r="A2213" s="277" t="s">
        <v>108</v>
      </c>
      <c r="B2213" s="977"/>
      <c r="C2213" s="306" t="s">
        <v>373</v>
      </c>
      <c r="D2213" s="306" t="s">
        <v>254</v>
      </c>
      <c r="E2213" s="509">
        <v>27.917000000000002</v>
      </c>
      <c r="F2213" s="863">
        <f>IFERROR(E2213*'01 Prod Physique Boites'!H2208,"-")</f>
        <v>0</v>
      </c>
      <c r="G2213" s="867">
        <f>IFERROR(E2213*'01 Prod Physique Boites'!L2208,"-")</f>
        <v>371882.35700000002</v>
      </c>
      <c r="H2213" s="388">
        <v>39</v>
      </c>
      <c r="I2213" s="422">
        <f t="shared" si="1336"/>
        <v>0</v>
      </c>
      <c r="J2213" s="423">
        <f t="shared" si="1335"/>
        <v>519519</v>
      </c>
    </row>
    <row r="2214" spans="1:10" ht="24" thickBot="1" x14ac:dyDescent="0.35">
      <c r="A2214" s="277" t="s">
        <v>108</v>
      </c>
      <c r="B2214" s="977"/>
      <c r="C2214" s="303" t="s">
        <v>547</v>
      </c>
      <c r="D2214" s="303" t="s">
        <v>507</v>
      </c>
      <c r="E2214" s="505">
        <v>23.697399999999998</v>
      </c>
      <c r="F2214" s="405">
        <f>IFERROR(E2214*'01 Prod Physique Boites'!H2209,"-")</f>
        <v>0</v>
      </c>
      <c r="G2214" s="406">
        <f>IFERROR(E2214*'01 Prod Physique Boites'!L2209,"-")</f>
        <v>20024.303</v>
      </c>
      <c r="H2214" s="390">
        <v>28.21</v>
      </c>
      <c r="I2214" s="422">
        <f t="shared" si="1336"/>
        <v>0</v>
      </c>
      <c r="J2214" s="423">
        <f t="shared" si="1335"/>
        <v>23837.450000000004</v>
      </c>
    </row>
    <row r="2215" spans="1:10" ht="24" thickBot="1" x14ac:dyDescent="0.35">
      <c r="A2215" s="277" t="s">
        <v>108</v>
      </c>
      <c r="B2215" s="977"/>
      <c r="C2215" s="307"/>
      <c r="D2215" s="308" t="s">
        <v>54</v>
      </c>
      <c r="E2215" s="400"/>
      <c r="F2215" s="417">
        <f t="shared" ref="F2215:G2215" si="1337">SUM(F2210:F2214)</f>
        <v>0</v>
      </c>
      <c r="G2215" s="418">
        <f t="shared" si="1337"/>
        <v>1958190.4252000002</v>
      </c>
      <c r="H2215" s="401"/>
      <c r="I2215" s="417">
        <f t="shared" ref="I2215" si="1338">SUM(I2210:I2214)</f>
        <v>0</v>
      </c>
      <c r="J2215" s="433">
        <f>SUM(J2210:J2214)</f>
        <v>2372108.4900000002</v>
      </c>
    </row>
    <row r="2216" spans="1:10" ht="24" thickBot="1" x14ac:dyDescent="0.35">
      <c r="A2216" s="277" t="s">
        <v>108</v>
      </c>
      <c r="B2216" s="978" t="s">
        <v>171</v>
      </c>
      <c r="C2216" s="979"/>
      <c r="D2216" s="980"/>
      <c r="E2216" s="402"/>
      <c r="F2216" s="419">
        <f t="shared" ref="F2216:G2216" si="1339">+F2209+F2215</f>
        <v>0</v>
      </c>
      <c r="G2216" s="420">
        <f t="shared" si="1339"/>
        <v>13397580.5068</v>
      </c>
      <c r="H2216" s="403"/>
      <c r="I2216" s="419">
        <f t="shared" ref="I2216:J2216" si="1340">+I2209+I2215</f>
        <v>0</v>
      </c>
      <c r="J2216" s="434">
        <f t="shared" si="1340"/>
        <v>18137961.450000003</v>
      </c>
    </row>
    <row r="2217" spans="1:10" ht="24" thickBot="1" x14ac:dyDescent="0.35">
      <c r="A2217" s="277" t="s">
        <v>108</v>
      </c>
      <c r="B2217" s="609" t="s">
        <v>32</v>
      </c>
      <c r="C2217" s="927"/>
      <c r="D2217" s="313"/>
      <c r="E2217" s="510">
        <v>12.2659</v>
      </c>
      <c r="F2217" s="411">
        <f>IFERROR(E2217*'01 Prod Physique Boites'!H2212,"-")</f>
        <v>0</v>
      </c>
      <c r="G2217" s="412">
        <f>IFERROR(E2217*'01 Prod Physique Boites'!L2212,"-")</f>
        <v>0</v>
      </c>
      <c r="H2217" s="395"/>
      <c r="I2217" s="429">
        <f>IFERROR(H2217*(F2217/E2217),"-")</f>
        <v>0</v>
      </c>
      <c r="J2217" s="430">
        <f>IFERROR(H2217*(G2217/E2217),"-")</f>
        <v>0</v>
      </c>
    </row>
    <row r="2218" spans="1:10" ht="24" thickBot="1" x14ac:dyDescent="0.35">
      <c r="A2218" s="277" t="s">
        <v>108</v>
      </c>
      <c r="B2218" s="981" t="s">
        <v>21</v>
      </c>
      <c r="C2218" s="982"/>
      <c r="D2218" s="983"/>
      <c r="E2218" s="396"/>
      <c r="F2218" s="413">
        <f t="shared" ref="F2218" si="1341">+F2205+F2216+F2217</f>
        <v>674154.84239999996</v>
      </c>
      <c r="G2218" s="414">
        <f>+G2205+G2216+G2217</f>
        <v>64402511.047199994</v>
      </c>
      <c r="H2218" s="397"/>
      <c r="I2218" s="413">
        <f t="shared" ref="I2218:J2218" si="1342">+I2205+I2216+I2217</f>
        <v>829492.56</v>
      </c>
      <c r="J2218" s="431">
        <f t="shared" si="1342"/>
        <v>85087685.810000002</v>
      </c>
    </row>
    <row r="2219" spans="1:10" ht="24" thickBot="1" x14ac:dyDescent="0.35">
      <c r="A2219" s="277" t="s">
        <v>108</v>
      </c>
      <c r="B2219" s="984" t="s">
        <v>179</v>
      </c>
      <c r="C2219" s="962"/>
      <c r="D2219" s="963"/>
      <c r="E2219" s="398"/>
      <c r="F2219" s="415">
        <f t="shared" ref="F2219:G2219" si="1343">+F2218</f>
        <v>674154.84239999996</v>
      </c>
      <c r="G2219" s="416">
        <f t="shared" si="1343"/>
        <v>64402511.047199994</v>
      </c>
      <c r="H2219" s="399"/>
      <c r="I2219" s="415">
        <f t="shared" ref="I2219:J2219" si="1344">+I2218</f>
        <v>829492.56</v>
      </c>
      <c r="J2219" s="432">
        <f t="shared" si="1344"/>
        <v>85087685.810000002</v>
      </c>
    </row>
    <row r="2220" spans="1:10" ht="23.4" x14ac:dyDescent="0.3">
      <c r="A2220" s="271" t="s">
        <v>109</v>
      </c>
      <c r="B2220" s="970" t="s">
        <v>482</v>
      </c>
      <c r="C2220" s="314" t="s">
        <v>120</v>
      </c>
      <c r="D2220" s="314"/>
      <c r="E2220" s="771">
        <v>254.89750000000001</v>
      </c>
      <c r="F2220" s="405">
        <f>IFERROR(E2220*'01 Prod Physique Boites'!H2215,"-")</f>
        <v>0</v>
      </c>
      <c r="G2220" s="406">
        <f>IFERROR(E2220*'01 Prod Physique Boites'!L2215,"-")</f>
        <v>0</v>
      </c>
      <c r="H2220" s="384">
        <v>445.38</v>
      </c>
      <c r="I2220" s="422">
        <f>IFERROR(H2220*(F2220/E2220),"-")</f>
        <v>0</v>
      </c>
      <c r="J2220" s="423">
        <f t="shared" ref="J2220:J2222" si="1345">IFERROR(H2220*(G2220/E2220),"-")</f>
        <v>0</v>
      </c>
    </row>
    <row r="2221" spans="1:10" ht="23.4" x14ac:dyDescent="0.3">
      <c r="A2221" s="277" t="s">
        <v>109</v>
      </c>
      <c r="B2221" s="972"/>
      <c r="C2221" s="315" t="s">
        <v>267</v>
      </c>
      <c r="D2221" s="315"/>
      <c r="E2221" s="507">
        <v>246.51390000000001</v>
      </c>
      <c r="F2221" s="405">
        <f>IFERROR(E2221*'01 Prod Physique Boites'!H2216,"-")</f>
        <v>0</v>
      </c>
      <c r="G2221" s="406">
        <f>IFERROR(E2221*'01 Prod Physique Boites'!L2216,"-")</f>
        <v>4983278.4885</v>
      </c>
      <c r="H2221" s="388">
        <v>430.02</v>
      </c>
      <c r="I2221" s="424">
        <f>IFERROR(H2221*(F2221/E2221),"-")</f>
        <v>0</v>
      </c>
      <c r="J2221" s="425">
        <f t="shared" si="1345"/>
        <v>8692854.2999999989</v>
      </c>
    </row>
    <row r="2222" spans="1:10" ht="24" thickBot="1" x14ac:dyDescent="0.35">
      <c r="A2222" s="277" t="s">
        <v>109</v>
      </c>
      <c r="B2222" s="971"/>
      <c r="C2222" s="316" t="s">
        <v>34</v>
      </c>
      <c r="D2222" s="316"/>
      <c r="E2222" s="504">
        <v>225.7713</v>
      </c>
      <c r="F2222" s="405">
        <f>IFERROR(E2222*'01 Prod Physique Boites'!H2217,"-")</f>
        <v>0</v>
      </c>
      <c r="G2222" s="406">
        <f>IFERROR(E2222*'01 Prod Physique Boites'!L2217,"-")</f>
        <v>0</v>
      </c>
      <c r="H2222" s="390"/>
      <c r="I2222" s="426">
        <f>IFERROR(H2222*(F2222/E2222),"-")</f>
        <v>0</v>
      </c>
      <c r="J2222" s="427">
        <f t="shared" si="1345"/>
        <v>0</v>
      </c>
    </row>
    <row r="2223" spans="1:10" ht="24" thickBot="1" x14ac:dyDescent="0.35">
      <c r="A2223" s="277" t="s">
        <v>109</v>
      </c>
      <c r="B2223" s="967" t="s">
        <v>35</v>
      </c>
      <c r="C2223" s="968"/>
      <c r="D2223" s="969"/>
      <c r="E2223" s="393"/>
      <c r="F2223" s="409">
        <f t="shared" ref="F2223:G2223" si="1346">SUM(F2220:F2222)</f>
        <v>0</v>
      </c>
      <c r="G2223" s="410">
        <f t="shared" si="1346"/>
        <v>4983278.4885</v>
      </c>
      <c r="H2223" s="394"/>
      <c r="I2223" s="409">
        <f t="shared" ref="I2223:J2223" si="1347">SUM(I2220:I2222)</f>
        <v>0</v>
      </c>
      <c r="J2223" s="428">
        <f t="shared" si="1347"/>
        <v>8692854.2999999989</v>
      </c>
    </row>
    <row r="2224" spans="1:10" ht="23.4" x14ac:dyDescent="0.3">
      <c r="A2224" s="277" t="s">
        <v>109</v>
      </c>
      <c r="B2224" s="970" t="s">
        <v>36</v>
      </c>
      <c r="C2224" s="314" t="s">
        <v>120</v>
      </c>
      <c r="D2224" s="314"/>
      <c r="E2224" s="506">
        <v>254.89750000000001</v>
      </c>
      <c r="F2224" s="405">
        <f>IFERROR(E2224*'01 Prod Physique Boites'!H2219,"-")</f>
        <v>0</v>
      </c>
      <c r="G2224" s="406">
        <f>IFERROR(E2224*'01 Prod Physique Boites'!L2219,"-")</f>
        <v>1468209.6</v>
      </c>
      <c r="H2224" s="384">
        <v>445.38</v>
      </c>
      <c r="I2224" s="422">
        <f>IFERROR(H2224*(F2224/E2224),"-")</f>
        <v>0</v>
      </c>
      <c r="J2224" s="423">
        <f t="shared" ref="J2224:J2227" si="1348">IFERROR(H2224*(G2224/E2224),"-")</f>
        <v>2565388.7999999998</v>
      </c>
    </row>
    <row r="2225" spans="1:10" ht="23.4" x14ac:dyDescent="0.3">
      <c r="A2225" s="277" t="s">
        <v>109</v>
      </c>
      <c r="B2225" s="972"/>
      <c r="C2225" s="315" t="s">
        <v>267</v>
      </c>
      <c r="D2225" s="315"/>
      <c r="E2225" s="507">
        <v>246.51390000000001</v>
      </c>
      <c r="F2225" s="405">
        <f>IFERROR(E2225*'01 Prod Physique Boites'!H2220,"-")</f>
        <v>318742.47269999998</v>
      </c>
      <c r="G2225" s="406">
        <f>IFERROR(E2225*'01 Prod Physique Boites'!L2220,"-")</f>
        <v>14399123.412900001</v>
      </c>
      <c r="H2225" s="388">
        <v>430.02</v>
      </c>
      <c r="I2225" s="424">
        <f>IFERROR(H2225*(F2225/E2225),"-")</f>
        <v>556015.86</v>
      </c>
      <c r="J2225" s="425">
        <f t="shared" si="1348"/>
        <v>25117898.219999999</v>
      </c>
    </row>
    <row r="2226" spans="1:10" ht="23.4" x14ac:dyDescent="0.3">
      <c r="A2226" s="277" t="s">
        <v>109</v>
      </c>
      <c r="B2226" s="972"/>
      <c r="C2226" s="315" t="s">
        <v>198</v>
      </c>
      <c r="D2226" s="315" t="s">
        <v>197</v>
      </c>
      <c r="E2226" s="507">
        <v>254.89750000000001</v>
      </c>
      <c r="F2226" s="405">
        <f>IFERROR(E2226*'01 Prod Physique Boites'!H2221,"-")</f>
        <v>0</v>
      </c>
      <c r="G2226" s="406">
        <f>IFERROR(E2226*'01 Prod Physique Boites'!L2221,"-")</f>
        <v>0</v>
      </c>
      <c r="H2226" s="388"/>
      <c r="I2226" s="424">
        <f>IFERROR(H2226*(F2226/E2226),"-")</f>
        <v>0</v>
      </c>
      <c r="J2226" s="425">
        <f t="shared" si="1348"/>
        <v>0</v>
      </c>
    </row>
    <row r="2227" spans="1:10" ht="24" thickBot="1" x14ac:dyDescent="0.35">
      <c r="A2227" s="277" t="s">
        <v>109</v>
      </c>
      <c r="B2227" s="971"/>
      <c r="C2227" s="316" t="s">
        <v>37</v>
      </c>
      <c r="D2227" s="316"/>
      <c r="E2227" s="504">
        <v>229.99359999999999</v>
      </c>
      <c r="F2227" s="405">
        <f>IFERROR(E2227*'01 Prod Physique Boites'!H2222,"-")</f>
        <v>0</v>
      </c>
      <c r="G2227" s="406">
        <f>IFERROR(E2227*'01 Prod Physique Boites'!L2222,"-")</f>
        <v>0</v>
      </c>
      <c r="H2227" s="390"/>
      <c r="I2227" s="426">
        <f>IFERROR(H2227*(F2227/E2227),"-")</f>
        <v>0</v>
      </c>
      <c r="J2227" s="427">
        <f t="shared" si="1348"/>
        <v>0</v>
      </c>
    </row>
    <row r="2228" spans="1:10" ht="24" thickBot="1" x14ac:dyDescent="0.35">
      <c r="A2228" s="277" t="s">
        <v>109</v>
      </c>
      <c r="B2228" s="967" t="s">
        <v>38</v>
      </c>
      <c r="C2228" s="968"/>
      <c r="D2228" s="969"/>
      <c r="E2228" s="393"/>
      <c r="F2228" s="409">
        <f t="shared" ref="F2228:G2228" si="1349">SUM(F2224:F2227)</f>
        <v>318742.47269999998</v>
      </c>
      <c r="G2228" s="410">
        <f t="shared" si="1349"/>
        <v>15867333.0129</v>
      </c>
      <c r="H2228" s="394"/>
      <c r="I2228" s="409">
        <f>SUM(I2224:I2227)</f>
        <v>556015.86</v>
      </c>
      <c r="J2228" s="428">
        <f>SUM(J2224:J2227)</f>
        <v>27683287.02</v>
      </c>
    </row>
    <row r="2229" spans="1:10" ht="23.4" x14ac:dyDescent="0.3">
      <c r="A2229" s="277" t="s">
        <v>109</v>
      </c>
      <c r="B2229" s="970" t="s">
        <v>483</v>
      </c>
      <c r="C2229" s="317" t="s">
        <v>123</v>
      </c>
      <c r="D2229" s="317"/>
      <c r="E2229" s="506">
        <v>195.2808</v>
      </c>
      <c r="F2229" s="405">
        <f>IFERROR(E2229*'01 Prod Physique Boites'!H2224,"-")</f>
        <v>0</v>
      </c>
      <c r="G2229" s="406">
        <f>IFERROR(E2229*'01 Prod Physique Boites'!L2224,"-")</f>
        <v>28120.4352</v>
      </c>
      <c r="H2229" s="715">
        <v>256.7</v>
      </c>
      <c r="I2229" s="422">
        <f>IFERROR(H2229*(F2229/E2229),"-")</f>
        <v>0</v>
      </c>
      <c r="J2229" s="423">
        <f t="shared" ref="J2229:J2230" si="1350">IFERROR(H2229*(G2229/E2229),"-")</f>
        <v>36964.799999999996</v>
      </c>
    </row>
    <row r="2230" spans="1:10" ht="24" thickBot="1" x14ac:dyDescent="0.35">
      <c r="A2230" s="277" t="s">
        <v>109</v>
      </c>
      <c r="B2230" s="971"/>
      <c r="C2230" s="289" t="s">
        <v>139</v>
      </c>
      <c r="D2230" s="289"/>
      <c r="E2230" s="504">
        <v>189.91890000000001</v>
      </c>
      <c r="F2230" s="405">
        <f>IFERROR(E2230*'01 Prod Physique Boites'!H2225,"-")</f>
        <v>227902.68000000002</v>
      </c>
      <c r="G2230" s="406">
        <f>IFERROR(E2230*'01 Prod Physique Boites'!L2225,"-")</f>
        <v>2096704.6560000002</v>
      </c>
      <c r="H2230" s="390">
        <v>320.35000000000002</v>
      </c>
      <c r="I2230" s="426">
        <f>IFERROR(H2230*(F2230/E2230),"-")</f>
        <v>384420</v>
      </c>
      <c r="J2230" s="427">
        <f t="shared" si="1350"/>
        <v>3536664.0000000005</v>
      </c>
    </row>
    <row r="2231" spans="1:10" ht="24" thickBot="1" x14ac:dyDescent="0.35">
      <c r="A2231" s="934" t="s">
        <v>109</v>
      </c>
      <c r="B2231" s="967" t="s">
        <v>40</v>
      </c>
      <c r="C2231" s="968"/>
      <c r="D2231" s="969"/>
      <c r="E2231" s="393"/>
      <c r="F2231" s="409">
        <f>SUM(F2229:F2230)</f>
        <v>227902.68000000002</v>
      </c>
      <c r="G2231" s="410">
        <f t="shared" ref="G2231" si="1351">SUM(G2229:G2230)</f>
        <v>2124825.0912000001</v>
      </c>
      <c r="H2231" s="394"/>
      <c r="I2231" s="409">
        <f t="shared" ref="I2231:J2231" si="1352">SUM(I2229:I2230)</f>
        <v>384420</v>
      </c>
      <c r="J2231" s="428">
        <f t="shared" si="1352"/>
        <v>3573628.8000000003</v>
      </c>
    </row>
    <row r="2232" spans="1:10" ht="23.4" x14ac:dyDescent="0.3">
      <c r="A2232" s="277" t="s">
        <v>109</v>
      </c>
      <c r="B2232" s="970" t="s">
        <v>484</v>
      </c>
      <c r="C2232" s="272" t="s">
        <v>335</v>
      </c>
      <c r="D2232" s="272" t="s">
        <v>258</v>
      </c>
      <c r="E2232" s="508">
        <v>37.248699999999999</v>
      </c>
      <c r="F2232" s="405">
        <f>IFERROR(E2232*'01 Prod Physique Boites'!H2227,"-")</f>
        <v>688355.97600000002</v>
      </c>
      <c r="G2232" s="406">
        <f>IFERROR(E2232*'01 Prod Physique Boites'!L2227,"-")</f>
        <v>21299700.628800001</v>
      </c>
      <c r="H2232" s="384">
        <v>71.44</v>
      </c>
      <c r="I2232" s="422">
        <f>IFERROR(H2232*(F2232/E2232),"-")</f>
        <v>1320211.2</v>
      </c>
      <c r="J2232" s="423">
        <f>IFERROR(H2232*(G2232/E2232),"-")</f>
        <v>40851106.560000002</v>
      </c>
    </row>
    <row r="2233" spans="1:10" ht="23.4" x14ac:dyDescent="0.3">
      <c r="A2233" s="277" t="s">
        <v>109</v>
      </c>
      <c r="B2233" s="972"/>
      <c r="C2233" s="272" t="s">
        <v>164</v>
      </c>
      <c r="D2233" s="278"/>
      <c r="E2233" s="508">
        <v>37.248699999999999</v>
      </c>
      <c r="F2233" s="405">
        <f>IFERROR(E2233*'01 Prod Physique Boites'!H2228,"-")</f>
        <v>0</v>
      </c>
      <c r="G2233" s="406">
        <f>IFERROR(E2233*'01 Prod Physique Boites'!L2228,"-")</f>
        <v>0</v>
      </c>
      <c r="H2233" s="388"/>
      <c r="I2233" s="424">
        <f>IFERROR(H2233*(F2233/E2233),"-")</f>
        <v>0</v>
      </c>
      <c r="J2233" s="425">
        <f t="shared" ref="J2233:J2235" si="1353">IFERROR(H2233*(G2233/E2233),"-")</f>
        <v>0</v>
      </c>
    </row>
    <row r="2234" spans="1:10" ht="23.4" x14ac:dyDescent="0.3">
      <c r="A2234" s="277" t="s">
        <v>109</v>
      </c>
      <c r="B2234" s="972"/>
      <c r="C2234" s="278" t="s">
        <v>383</v>
      </c>
      <c r="D2234" s="272" t="s">
        <v>258</v>
      </c>
      <c r="E2234" s="508">
        <v>37.248699999999999</v>
      </c>
      <c r="F2234" s="405">
        <f>IFERROR(E2234*'01 Prod Physique Boites'!H2229,"-")</f>
        <v>0</v>
      </c>
      <c r="G2234" s="406">
        <f>IFERROR(E2234*'01 Prod Physique Boites'!L2229,"-")</f>
        <v>0</v>
      </c>
      <c r="H2234" s="388">
        <v>71.44</v>
      </c>
      <c r="I2234" s="424">
        <f>IFERROR(H2234*(F2234/E2234),"-")</f>
        <v>0</v>
      </c>
      <c r="J2234" s="425">
        <f t="shared" si="1353"/>
        <v>0</v>
      </c>
    </row>
    <row r="2235" spans="1:10" ht="24" thickBot="1" x14ac:dyDescent="0.35">
      <c r="A2235" s="277" t="s">
        <v>109</v>
      </c>
      <c r="B2235" s="972"/>
      <c r="C2235" s="278" t="s">
        <v>165</v>
      </c>
      <c r="D2235" s="278"/>
      <c r="E2235" s="509">
        <v>38.466099999999997</v>
      </c>
      <c r="F2235" s="405">
        <f>IFERROR(E2235*'01 Prod Physique Boites'!H2230,"-")</f>
        <v>0</v>
      </c>
      <c r="G2235" s="406">
        <f>IFERROR(E2235*'01 Prod Physique Boites'!L2230,"-")</f>
        <v>0</v>
      </c>
      <c r="H2235" s="388"/>
      <c r="I2235" s="424">
        <f>IFERROR(H2235*(F2235/E2235),"-")</f>
        <v>0</v>
      </c>
      <c r="J2235" s="425">
        <f t="shared" si="1353"/>
        <v>0</v>
      </c>
    </row>
    <row r="2236" spans="1:10" ht="24" thickBot="1" x14ac:dyDescent="0.35">
      <c r="A2236" s="277" t="s">
        <v>109</v>
      </c>
      <c r="B2236" s="967" t="s">
        <v>42</v>
      </c>
      <c r="C2236" s="968"/>
      <c r="D2236" s="969"/>
      <c r="E2236" s="393"/>
      <c r="F2236" s="409">
        <f>SUM(F2232:F2235)</f>
        <v>688355.97600000002</v>
      </c>
      <c r="G2236" s="410">
        <f>SUM(G2232:G2235)</f>
        <v>21299700.628800001</v>
      </c>
      <c r="H2236" s="394"/>
      <c r="I2236" s="409">
        <f>SUM(I2232:I2235)</f>
        <v>1320211.2</v>
      </c>
      <c r="J2236" s="409">
        <f>SUM(J2232:J2235)</f>
        <v>40851106.560000002</v>
      </c>
    </row>
    <row r="2237" spans="1:10" ht="23.4" x14ac:dyDescent="0.3">
      <c r="A2237" s="277" t="s">
        <v>109</v>
      </c>
      <c r="B2237" s="970" t="s">
        <v>43</v>
      </c>
      <c r="C2237" s="272" t="s">
        <v>200</v>
      </c>
      <c r="D2237" s="272" t="s">
        <v>197</v>
      </c>
      <c r="E2237" s="508">
        <v>30.7499</v>
      </c>
      <c r="F2237" s="405">
        <f>IFERROR(E2237*'01 Prod Physique Boites'!H2233,"-")</f>
        <v>0</v>
      </c>
      <c r="G2237" s="406">
        <f>IFERROR(E2237*'01 Prod Physique Boites'!L2233,"-")</f>
        <v>0</v>
      </c>
      <c r="H2237" s="384"/>
      <c r="I2237" s="422">
        <f>IFERROR(H2237*(F2237/E2237),"-")</f>
        <v>0</v>
      </c>
      <c r="J2237" s="423">
        <f>IFERROR(H2237*(G2237/E2237),"-")</f>
        <v>0</v>
      </c>
    </row>
    <row r="2238" spans="1:10" ht="23.4" x14ac:dyDescent="0.3">
      <c r="A2238" s="277" t="s">
        <v>109</v>
      </c>
      <c r="B2238" s="972"/>
      <c r="C2238" s="278" t="s">
        <v>167</v>
      </c>
      <c r="D2238" s="278"/>
      <c r="E2238" s="727">
        <v>25.139099999999999</v>
      </c>
      <c r="F2238" s="405">
        <f>IFERROR(E2238*'01 Prod Physique Boites'!H2234,"-")</f>
        <v>364014.16800000001</v>
      </c>
      <c r="G2238" s="406">
        <f>IFERROR(E2238*'01 Prod Physique Boites'!L2234,"-")</f>
        <v>5271568.7135999994</v>
      </c>
      <c r="H2238" s="388">
        <v>59.96</v>
      </c>
      <c r="I2238" s="424">
        <f>IFERROR(H2238*(F2238/E2238),"-")</f>
        <v>868220.8</v>
      </c>
      <c r="J2238" s="425">
        <f t="shared" ref="J2238:J2239" si="1354">IFERROR(H2238*(G2238/E2238),"-")</f>
        <v>12573372.159999998</v>
      </c>
    </row>
    <row r="2239" spans="1:10" ht="24" thickBot="1" x14ac:dyDescent="0.35">
      <c r="A2239" s="277" t="s">
        <v>109</v>
      </c>
      <c r="B2239" s="971"/>
      <c r="C2239" s="282" t="s">
        <v>200</v>
      </c>
      <c r="D2239" s="282" t="s">
        <v>199</v>
      </c>
      <c r="E2239" s="505">
        <v>30.073599999999999</v>
      </c>
      <c r="F2239" s="405">
        <f>IFERROR(E2239*'01 Prod Physique Boites'!H2235,"-")</f>
        <v>0</v>
      </c>
      <c r="G2239" s="406">
        <f>IFERROR(E2239*'01 Prod Physique Boites'!L2235,"-")</f>
        <v>0</v>
      </c>
      <c r="H2239" s="390"/>
      <c r="I2239" s="426">
        <f>IFERROR(H2239*(F2239/E2239),"-")</f>
        <v>0</v>
      </c>
      <c r="J2239" s="427">
        <f t="shared" si="1354"/>
        <v>0</v>
      </c>
    </row>
    <row r="2240" spans="1:10" ht="24" thickBot="1" x14ac:dyDescent="0.35">
      <c r="A2240" s="277" t="s">
        <v>109</v>
      </c>
      <c r="B2240" s="973" t="s">
        <v>44</v>
      </c>
      <c r="C2240" s="974"/>
      <c r="D2240" s="975"/>
      <c r="E2240" s="393"/>
      <c r="F2240" s="409">
        <f t="shared" ref="F2240:G2240" si="1355">SUM(F2237:F2239)</f>
        <v>364014.16800000001</v>
      </c>
      <c r="G2240" s="410">
        <f t="shared" si="1355"/>
        <v>5271568.7135999994</v>
      </c>
      <c r="H2240" s="394"/>
      <c r="I2240" s="409">
        <f t="shared" ref="I2240:J2240" si="1356">SUM(I2237:I2239)</f>
        <v>868220.8</v>
      </c>
      <c r="J2240" s="428">
        <f t="shared" si="1356"/>
        <v>12573372.159999998</v>
      </c>
    </row>
    <row r="2241" spans="1:15" ht="23.4" x14ac:dyDescent="0.3">
      <c r="A2241" s="277" t="s">
        <v>109</v>
      </c>
      <c r="B2241" s="970" t="s">
        <v>45</v>
      </c>
      <c r="C2241" s="272" t="s">
        <v>168</v>
      </c>
      <c r="D2241" s="272"/>
      <c r="E2241" s="508">
        <v>36.684899999999999</v>
      </c>
      <c r="F2241" s="405">
        <f>IFERROR(E2241*'01 Prod Physique Boites'!H2237,"-")</f>
        <v>0</v>
      </c>
      <c r="G2241" s="406">
        <f>IFERROR(E2241*'01 Prod Physique Boites'!L2237,"-")</f>
        <v>0</v>
      </c>
      <c r="H2241" s="384"/>
      <c r="I2241" s="385" t="s">
        <v>204</v>
      </c>
      <c r="J2241" s="386" t="s">
        <v>204</v>
      </c>
    </row>
    <row r="2242" spans="1:15" ht="24" thickBot="1" x14ac:dyDescent="0.35">
      <c r="A2242" s="277" t="s">
        <v>109</v>
      </c>
      <c r="B2242" s="971"/>
      <c r="C2242" s="282" t="s">
        <v>169</v>
      </c>
      <c r="D2242" s="282"/>
      <c r="E2242" s="505">
        <v>37.002800000000001</v>
      </c>
      <c r="F2242" s="405">
        <f>IFERROR(E2242*'01 Prod Physique Boites'!H2238,"-")</f>
        <v>0</v>
      </c>
      <c r="G2242" s="406">
        <f>IFERROR(E2242*'01 Prod Physique Boites'!L2238,"-")</f>
        <v>0</v>
      </c>
      <c r="H2242" s="390"/>
      <c r="I2242" s="391" t="s">
        <v>204</v>
      </c>
      <c r="J2242" s="392" t="s">
        <v>204</v>
      </c>
    </row>
    <row r="2243" spans="1:15" ht="24" thickBot="1" x14ac:dyDescent="0.35">
      <c r="A2243" s="277" t="s">
        <v>109</v>
      </c>
      <c r="B2243" s="973" t="s">
        <v>46</v>
      </c>
      <c r="C2243" s="974"/>
      <c r="D2243" s="975"/>
      <c r="E2243" s="393"/>
      <c r="F2243" s="405">
        <f>IFERROR(E2243*'01 Prod Physique Boites'!H2239,"-")</f>
        <v>0</v>
      </c>
      <c r="G2243" s="410">
        <f>IFERROR(E2243*'01 Prod Physique Boites'!L2239,"-")</f>
        <v>0</v>
      </c>
      <c r="H2243" s="394"/>
      <c r="I2243" s="409">
        <f t="shared" ref="I2243:J2243" si="1357">SUM(I2241:I2242)</f>
        <v>0</v>
      </c>
      <c r="J2243" s="428">
        <f t="shared" si="1357"/>
        <v>0</v>
      </c>
    </row>
    <row r="2244" spans="1:15" ht="24" thickBot="1" x14ac:dyDescent="0.35">
      <c r="A2244" s="277" t="s">
        <v>109</v>
      </c>
      <c r="B2244" s="959" t="s">
        <v>25</v>
      </c>
      <c r="C2244" s="960"/>
      <c r="D2244" s="961"/>
      <c r="E2244" s="396"/>
      <c r="F2244" s="413">
        <f>+F2223+F2228+F2231+F2236+F2240+F2243</f>
        <v>1599015.2967000001</v>
      </c>
      <c r="G2244" s="414">
        <f>+G2223+G2228+G2231+G2236+G2240+G2243</f>
        <v>49546705.93500001</v>
      </c>
      <c r="H2244" s="397"/>
      <c r="I2244" s="413">
        <f>+I2223+I2228+I2231+I2236+I2240+I2243</f>
        <v>3128867.8600000003</v>
      </c>
      <c r="J2244" s="431">
        <f>+J2223+J2228+J2231+J2236+J2240+J2243</f>
        <v>93374248.840000004</v>
      </c>
    </row>
    <row r="2245" spans="1:15" ht="24" thickBot="1" x14ac:dyDescent="0.35">
      <c r="A2245" s="321" t="s">
        <v>109</v>
      </c>
      <c r="B2245" s="962" t="s">
        <v>181</v>
      </c>
      <c r="C2245" s="962"/>
      <c r="D2245" s="963"/>
      <c r="E2245" s="398"/>
      <c r="F2245" s="415">
        <f t="shared" ref="F2245:G2245" si="1358">+F2244</f>
        <v>1599015.2967000001</v>
      </c>
      <c r="G2245" s="416">
        <f t="shared" si="1358"/>
        <v>49546705.93500001</v>
      </c>
      <c r="H2245" s="399"/>
      <c r="I2245" s="415">
        <f t="shared" ref="I2245" si="1359">+I2244</f>
        <v>3128867.8600000003</v>
      </c>
      <c r="J2245" s="432">
        <f>+J2244</f>
        <v>93374248.840000004</v>
      </c>
    </row>
    <row r="2246" spans="1:15" ht="24.6" thickBot="1" x14ac:dyDescent="0.35">
      <c r="A2246" s="322"/>
      <c r="B2246" s="964" t="s">
        <v>182</v>
      </c>
      <c r="C2246" s="965"/>
      <c r="D2246" s="966"/>
      <c r="E2246" s="404"/>
      <c r="F2246" s="421">
        <f>+F2187+F2219+F2245</f>
        <v>6264518.8312999997</v>
      </c>
      <c r="G2246" s="421">
        <f>+G2187+G2219+G2245</f>
        <v>197064221.7633</v>
      </c>
      <c r="H2246" s="404"/>
      <c r="I2246" s="421">
        <f>+I2187+I2219+I2245</f>
        <v>9800842.1000000015</v>
      </c>
      <c r="J2246" s="435">
        <f>+J2187+J2219+J2245</f>
        <v>295906480.1128</v>
      </c>
    </row>
    <row r="2247" spans="1:15" ht="23.4" x14ac:dyDescent="0.3">
      <c r="A2247" s="991" t="s">
        <v>1</v>
      </c>
      <c r="B2247" s="994" t="s">
        <v>2</v>
      </c>
      <c r="C2247" s="997" t="s">
        <v>477</v>
      </c>
      <c r="D2247" s="997" t="s">
        <v>478</v>
      </c>
      <c r="E2247" s="1021" t="s">
        <v>486</v>
      </c>
      <c r="F2247" s="1022"/>
      <c r="G2247" s="1022"/>
      <c r="H2247" s="445"/>
      <c r="I2247" s="445"/>
      <c r="J2247" s="446"/>
    </row>
    <row r="2248" spans="1:15" ht="23.4" x14ac:dyDescent="0.3">
      <c r="A2248" s="992"/>
      <c r="B2248" s="995"/>
      <c r="C2248" s="998"/>
      <c r="D2248" s="998"/>
      <c r="E2248" s="1023" t="s">
        <v>489</v>
      </c>
      <c r="F2248" s="1024"/>
      <c r="G2248" s="1025"/>
      <c r="H2248" s="1023" t="s">
        <v>176</v>
      </c>
      <c r="I2248" s="1024"/>
      <c r="J2248" s="1025"/>
    </row>
    <row r="2249" spans="1:15" ht="46.8" x14ac:dyDescent="0.3">
      <c r="A2249" s="993"/>
      <c r="B2249" s="1019"/>
      <c r="C2249" s="1020"/>
      <c r="D2249" s="1020"/>
      <c r="E2249" s="382" t="s">
        <v>178</v>
      </c>
      <c r="F2249" s="932" t="s">
        <v>488</v>
      </c>
      <c r="G2249" s="933" t="s">
        <v>487</v>
      </c>
      <c r="H2249" s="1026" t="s">
        <v>178</v>
      </c>
      <c r="I2249" s="1028" t="s">
        <v>144</v>
      </c>
      <c r="J2249" s="1030" t="s">
        <v>487</v>
      </c>
    </row>
    <row r="2250" spans="1:15" ht="24" thickBot="1" x14ac:dyDescent="0.35">
      <c r="A2250" s="993"/>
      <c r="B2250" s="996"/>
      <c r="C2250" s="999"/>
      <c r="D2250" s="999"/>
      <c r="E2250" s="1032" t="s">
        <v>600</v>
      </c>
      <c r="F2250" s="1033"/>
      <c r="G2250" s="1034"/>
      <c r="H2250" s="1027"/>
      <c r="I2250" s="1029"/>
      <c r="J2250" s="1031"/>
    </row>
    <row r="2251" spans="1:15" ht="23.4" x14ac:dyDescent="0.3">
      <c r="A2251" s="271" t="s">
        <v>110</v>
      </c>
      <c r="B2251" s="956" t="s">
        <v>16</v>
      </c>
      <c r="C2251" s="272" t="s">
        <v>424</v>
      </c>
      <c r="D2251" s="272" t="s">
        <v>425</v>
      </c>
      <c r="E2251" s="758">
        <v>81.360699999999994</v>
      </c>
      <c r="F2251" s="405">
        <f>IFERROR(E2251*'01 Prod Physique Boites'!H2246,"-")</f>
        <v>0</v>
      </c>
      <c r="G2251" s="405">
        <f>IFERROR(E2251*'01 Prod Physique Boites'!L2246,"-")</f>
        <v>1614196.2879999999</v>
      </c>
      <c r="H2251" s="759">
        <v>143.28</v>
      </c>
      <c r="I2251" s="422">
        <f>IFERROR(H2251*(F2251/E2251),"-")</f>
        <v>0</v>
      </c>
      <c r="J2251" s="423">
        <f t="shared" ref="J2251:J2253" si="1360">IFERROR(H2251*(G2251/E2251),"-")</f>
        <v>2842675.2000000002</v>
      </c>
    </row>
    <row r="2252" spans="1:15" ht="23.4" x14ac:dyDescent="0.3">
      <c r="A2252" s="784"/>
      <c r="B2252" s="957"/>
      <c r="C2252" s="278" t="s">
        <v>618</v>
      </c>
      <c r="D2252" s="278" t="s">
        <v>437</v>
      </c>
      <c r="E2252" s="509">
        <v>81.360699999999994</v>
      </c>
      <c r="F2252" s="405">
        <f>IFERROR(E2252*'01 Prod Physique Boites'!H2247,"-")</f>
        <v>0</v>
      </c>
      <c r="G2252" s="405">
        <f>IFERROR(E2252*'01 Prod Physique Boites'!L2247,"-")</f>
        <v>3936312.0266999998</v>
      </c>
      <c r="H2252" s="770">
        <v>143.28</v>
      </c>
      <c r="I2252" s="422">
        <f>IFERROR(H2252*(F2252/E2252),"-")</f>
        <v>0</v>
      </c>
      <c r="J2252" s="423">
        <f t="shared" si="1360"/>
        <v>6932029.6799999997</v>
      </c>
    </row>
    <row r="2253" spans="1:15" ht="23.4" x14ac:dyDescent="0.3">
      <c r="A2253" s="277" t="s">
        <v>110</v>
      </c>
      <c r="B2253" s="957"/>
      <c r="C2253" s="278" t="s">
        <v>539</v>
      </c>
      <c r="D2253" s="278" t="s">
        <v>454</v>
      </c>
      <c r="E2253" s="727">
        <v>77.170400000000001</v>
      </c>
      <c r="F2253" s="405">
        <f>IFERROR(E2253*'01 Prod Physique Boites'!H2248,"-")</f>
        <v>0</v>
      </c>
      <c r="G2253" s="728">
        <f>IFERROR(E2253*'01 Prod Physique Boites'!L2248,"-")</f>
        <v>2207073.44</v>
      </c>
      <c r="H2253" s="388">
        <v>0</v>
      </c>
      <c r="I2253" s="422">
        <f>IFERROR(H2253*(F2253/E2253),"-")</f>
        <v>0</v>
      </c>
      <c r="J2253" s="423">
        <f t="shared" si="1360"/>
        <v>0</v>
      </c>
    </row>
    <row r="2254" spans="1:15" ht="24" thickBot="1" x14ac:dyDescent="0.35">
      <c r="A2254" s="277" t="s">
        <v>110</v>
      </c>
      <c r="B2254" s="958"/>
      <c r="C2254" s="282" t="s">
        <v>282</v>
      </c>
      <c r="D2254" s="282" t="s">
        <v>251</v>
      </c>
      <c r="E2254" s="505">
        <v>60.703499999999998</v>
      </c>
      <c r="F2254" s="405">
        <f>IFERROR(E2254*'01 Prod Physique Boites'!H2249,"-")</f>
        <v>0</v>
      </c>
      <c r="G2254" s="405">
        <f>IFERROR(E2254*'01 Prod Physique Boites'!L2249,"-")</f>
        <v>1414148.736</v>
      </c>
      <c r="H2254" s="390">
        <v>111.09</v>
      </c>
      <c r="I2254" s="422">
        <f>IFERROR(H2254*(F2254/E2254),"-")</f>
        <v>0</v>
      </c>
      <c r="J2254" s="423">
        <f>IFERROR(H2254*(G2254/E2254),"-")</f>
        <v>2587952.64</v>
      </c>
    </row>
    <row r="2255" spans="1:15" ht="24" thickBot="1" x14ac:dyDescent="0.35">
      <c r="A2255" s="277" t="s">
        <v>110</v>
      </c>
      <c r="B2255" s="967" t="s">
        <v>47</v>
      </c>
      <c r="C2255" s="968"/>
      <c r="D2255" s="969"/>
      <c r="E2255" s="393"/>
      <c r="F2255" s="409">
        <f t="shared" ref="F2255" si="1361">SUM(F2251:F2254)</f>
        <v>0</v>
      </c>
      <c r="G2255" s="410">
        <f>SUM(G2251:G2254)</f>
        <v>9171730.490699999</v>
      </c>
      <c r="H2255" s="394"/>
      <c r="I2255" s="409">
        <f t="shared" ref="I2255:J2255" si="1362">SUM(I2251:I2254)</f>
        <v>0</v>
      </c>
      <c r="J2255" s="428">
        <f t="shared" si="1362"/>
        <v>12362657.52</v>
      </c>
      <c r="K2255" s="757"/>
      <c r="L2255" s="757"/>
      <c r="M2255" s="757"/>
      <c r="N2255" s="757"/>
      <c r="O2255" s="757"/>
    </row>
    <row r="2256" spans="1:15" ht="23.4" x14ac:dyDescent="0.3">
      <c r="A2256" s="277" t="s">
        <v>110</v>
      </c>
      <c r="B2256" s="956" t="s">
        <v>17</v>
      </c>
      <c r="C2256" s="272" t="s">
        <v>320</v>
      </c>
      <c r="D2256" s="272"/>
      <c r="E2256" s="508">
        <v>12.5275</v>
      </c>
      <c r="F2256" s="405">
        <f>IFERROR(E2256*'01 Prod Physique Boites'!H2251,"-")</f>
        <v>0</v>
      </c>
      <c r="G2256" s="405">
        <f>IFERROR(E2256*'01 Prod Physique Boites'!L2251,"-")</f>
        <v>2501140.4300000002</v>
      </c>
      <c r="H2256" s="715">
        <v>18.836400000000001</v>
      </c>
      <c r="I2256" s="422">
        <f t="shared" ref="I2256:I2262" si="1363">IFERROR(H2256*(F2256/E2256),"-")</f>
        <v>0</v>
      </c>
      <c r="J2256" s="423">
        <f t="shared" ref="J2256:J2261" si="1364">IFERROR(H2256*(G2256/E2256),"-")</f>
        <v>3760724.932800001</v>
      </c>
    </row>
    <row r="2257" spans="1:15" ht="23.4" x14ac:dyDescent="0.3">
      <c r="A2257" s="277" t="s">
        <v>110</v>
      </c>
      <c r="B2257" s="957"/>
      <c r="C2257" s="278" t="s">
        <v>382</v>
      </c>
      <c r="D2257" s="278" t="s">
        <v>252</v>
      </c>
      <c r="E2257" s="698">
        <v>13.002700000000001</v>
      </c>
      <c r="F2257" s="405">
        <f>IFERROR(E2257*'01 Prod Physique Boites'!H2252,"-")</f>
        <v>158424.89680000002</v>
      </c>
      <c r="G2257" s="405">
        <f>IFERROR(E2257*'01 Prod Physique Boites'!L2252,"-")</f>
        <v>14719927.5809</v>
      </c>
      <c r="H2257" s="388">
        <v>21.18</v>
      </c>
      <c r="I2257" s="424">
        <f t="shared" si="1363"/>
        <v>258057.12</v>
      </c>
      <c r="J2257" s="425">
        <f t="shared" si="1364"/>
        <v>23977179.059999999</v>
      </c>
    </row>
    <row r="2258" spans="1:15" ht="23.4" x14ac:dyDescent="0.3">
      <c r="A2258" s="277" t="s">
        <v>110</v>
      </c>
      <c r="B2258" s="957"/>
      <c r="C2258" s="278" t="s">
        <v>391</v>
      </c>
      <c r="D2258" s="278" t="s">
        <v>201</v>
      </c>
      <c r="E2258" s="698">
        <v>12.9049</v>
      </c>
      <c r="F2258" s="405">
        <f>IFERROR(E2258*'01 Prod Physique Boites'!H2253,"-")</f>
        <v>1141231.9265999999</v>
      </c>
      <c r="G2258" s="405">
        <f>IFERROR(E2258*'01 Prod Physique Boites'!L2253,"-")</f>
        <v>8000470.1843999997</v>
      </c>
      <c r="H2258" s="388">
        <v>20.5</v>
      </c>
      <c r="I2258" s="424">
        <f t="shared" si="1363"/>
        <v>1812897</v>
      </c>
      <c r="J2258" s="425">
        <f t="shared" si="1364"/>
        <v>12709098</v>
      </c>
    </row>
    <row r="2259" spans="1:15" ht="23.4" x14ac:dyDescent="0.3">
      <c r="A2259" s="277" t="s">
        <v>110</v>
      </c>
      <c r="B2259" s="957"/>
      <c r="C2259" s="278" t="s">
        <v>319</v>
      </c>
      <c r="D2259" s="278" t="s">
        <v>202</v>
      </c>
      <c r="E2259" s="509">
        <v>13.078200000000001</v>
      </c>
      <c r="F2259" s="405">
        <f>IFERROR(E2259*'01 Prod Physique Boites'!H2254,"-")</f>
        <v>0</v>
      </c>
      <c r="G2259" s="405">
        <f>IFERROR(E2259*'01 Prod Physique Boites'!L2254,"-")</f>
        <v>3873135.0864000004</v>
      </c>
      <c r="H2259" s="388">
        <v>20.6</v>
      </c>
      <c r="I2259" s="424">
        <f t="shared" si="1363"/>
        <v>0</v>
      </c>
      <c r="J2259" s="425">
        <f t="shared" si="1364"/>
        <v>6100731.2000000002</v>
      </c>
    </row>
    <row r="2260" spans="1:15" ht="23.4" x14ac:dyDescent="0.3">
      <c r="A2260" s="277" t="s">
        <v>110</v>
      </c>
      <c r="B2260" s="957"/>
      <c r="C2260" s="278" t="s">
        <v>358</v>
      </c>
      <c r="D2260" s="278" t="s">
        <v>352</v>
      </c>
      <c r="E2260" s="509">
        <v>13.1958</v>
      </c>
      <c r="F2260" s="405">
        <f>IFERROR(E2260*'01 Prod Physique Boites'!H2255,"-")</f>
        <v>0</v>
      </c>
      <c r="G2260" s="405">
        <f>IFERROR(E2260*'01 Prod Physique Boites'!L2255,"-")</f>
        <v>6609538.6956000002</v>
      </c>
      <c r="H2260" s="388">
        <v>21.28</v>
      </c>
      <c r="I2260" s="424">
        <f t="shared" si="1363"/>
        <v>0</v>
      </c>
      <c r="J2260" s="425">
        <f t="shared" si="1364"/>
        <v>10658768.960000001</v>
      </c>
    </row>
    <row r="2261" spans="1:15" ht="23.4" x14ac:dyDescent="0.3">
      <c r="A2261" s="277">
        <v>1</v>
      </c>
      <c r="B2261" s="957"/>
      <c r="C2261" s="278" t="s">
        <v>392</v>
      </c>
      <c r="D2261" s="278" t="s">
        <v>203</v>
      </c>
      <c r="E2261" s="698">
        <v>12.9049</v>
      </c>
      <c r="F2261" s="405">
        <f>IFERROR(E2261*'01 Prod Physique Boites'!H2256,"-")</f>
        <v>0</v>
      </c>
      <c r="G2261" s="405">
        <f>IFERROR(E2261*'01 Prod Physique Boites'!L2256,"-")</f>
        <v>0</v>
      </c>
      <c r="H2261" s="677">
        <v>20.5</v>
      </c>
      <c r="I2261" s="424">
        <f t="shared" si="1363"/>
        <v>0</v>
      </c>
      <c r="J2261" s="425">
        <f t="shared" si="1364"/>
        <v>0</v>
      </c>
    </row>
    <row r="2262" spans="1:15" ht="24" thickBot="1" x14ac:dyDescent="0.35">
      <c r="A2262" s="277" t="s">
        <v>110</v>
      </c>
      <c r="B2262" s="958"/>
      <c r="C2262" s="282" t="s">
        <v>379</v>
      </c>
      <c r="D2262" s="282" t="s">
        <v>187</v>
      </c>
      <c r="E2262" s="505">
        <v>13.6509</v>
      </c>
      <c r="F2262" s="405">
        <f>IFERROR(E2262*'01 Prod Physique Boites'!H2257,"-")</f>
        <v>0</v>
      </c>
      <c r="G2262" s="405">
        <f>IFERROR(E2262*'01 Prod Physique Boites'!L2257,"-")</f>
        <v>0</v>
      </c>
      <c r="H2262" s="390">
        <v>21.18</v>
      </c>
      <c r="I2262" s="426">
        <f t="shared" si="1363"/>
        <v>0</v>
      </c>
      <c r="J2262" s="427">
        <f>IFERROR(H2262*(G2262/E2262),"-")</f>
        <v>0</v>
      </c>
    </row>
    <row r="2263" spans="1:15" ht="24" thickBot="1" x14ac:dyDescent="0.35">
      <c r="A2263" s="277" t="s">
        <v>110</v>
      </c>
      <c r="B2263" s="967" t="s">
        <v>48</v>
      </c>
      <c r="C2263" s="968"/>
      <c r="D2263" s="969"/>
      <c r="E2263" s="393"/>
      <c r="F2263" s="409">
        <f t="shared" ref="F2263" si="1365">SUM(F2256:F2262)</f>
        <v>1299656.8233999999</v>
      </c>
      <c r="G2263" s="410">
        <f>SUM(G2256:G2262)</f>
        <v>35704211.977300003</v>
      </c>
      <c r="H2263" s="394"/>
      <c r="I2263" s="409">
        <f t="shared" ref="I2263" si="1366">SUM(I2256:I2262)</f>
        <v>2070954.12</v>
      </c>
      <c r="J2263" s="428">
        <f>SUM(J2256:J2262)</f>
        <v>57206502.152800001</v>
      </c>
      <c r="K2263" s="757"/>
      <c r="L2263" s="757"/>
      <c r="M2263" s="757"/>
      <c r="N2263" s="757"/>
      <c r="O2263" s="757"/>
    </row>
    <row r="2264" spans="1:15" ht="23.4" x14ac:dyDescent="0.3">
      <c r="A2264" s="277" t="s">
        <v>110</v>
      </c>
      <c r="B2264" s="956" t="s">
        <v>18</v>
      </c>
      <c r="C2264" s="272" t="s">
        <v>344</v>
      </c>
      <c r="D2264" s="272" t="s">
        <v>99</v>
      </c>
      <c r="E2264" s="508">
        <v>17.8202</v>
      </c>
      <c r="F2264" s="405">
        <f>IFERROR(E2264*'01 Prod Physique Boites'!H2259,"-")</f>
        <v>0</v>
      </c>
      <c r="G2264" s="406">
        <f>IFERROR(E2264*'01 Prod Physique Boites'!L2259,"-")</f>
        <v>0</v>
      </c>
      <c r="H2264" s="384">
        <v>24.93</v>
      </c>
      <c r="I2264" s="422">
        <f t="shared" ref="I2264:I2270" si="1367">IFERROR(H2264*(F2264/E2264),"-")</f>
        <v>0</v>
      </c>
      <c r="J2264" s="423">
        <f t="shared" ref="J2264:J2266" si="1368">IFERROR(H2264*(G2264/E2264),"-")</f>
        <v>0</v>
      </c>
    </row>
    <row r="2265" spans="1:15" ht="23.4" x14ac:dyDescent="0.3">
      <c r="A2265" s="277" t="s">
        <v>110</v>
      </c>
      <c r="B2265" s="957"/>
      <c r="C2265" s="278" t="s">
        <v>137</v>
      </c>
      <c r="D2265" s="278"/>
      <c r="E2265" s="509">
        <v>17.8202</v>
      </c>
      <c r="F2265" s="405">
        <f>IFERROR(E2265*'01 Prod Physique Boites'!H2260,"-")</f>
        <v>0</v>
      </c>
      <c r="G2265" s="406">
        <f>IFERROR(E2265*'01 Prod Physique Boites'!L2260,"-")</f>
        <v>0</v>
      </c>
      <c r="H2265" s="388">
        <v>0</v>
      </c>
      <c r="I2265" s="424">
        <f t="shared" si="1367"/>
        <v>0</v>
      </c>
      <c r="J2265" s="425">
        <f t="shared" si="1368"/>
        <v>0</v>
      </c>
    </row>
    <row r="2266" spans="1:15" ht="23.4" x14ac:dyDescent="0.3">
      <c r="A2266" s="277" t="s">
        <v>110</v>
      </c>
      <c r="B2266" s="957"/>
      <c r="C2266" s="278" t="s">
        <v>122</v>
      </c>
      <c r="D2266" s="278"/>
      <c r="E2266" s="509">
        <v>16.4071</v>
      </c>
      <c r="F2266" s="405">
        <f>IFERROR(E2266*'01 Prod Physique Boites'!H2261,"-")</f>
        <v>0</v>
      </c>
      <c r="G2266" s="406">
        <f>IFERROR(E2266*'01 Prod Physique Boites'!L2261,"-")</f>
        <v>0</v>
      </c>
      <c r="H2266" s="388">
        <v>0</v>
      </c>
      <c r="I2266" s="424">
        <f t="shared" si="1367"/>
        <v>0</v>
      </c>
      <c r="J2266" s="425">
        <f t="shared" si="1368"/>
        <v>0</v>
      </c>
    </row>
    <row r="2267" spans="1:15" ht="23.4" x14ac:dyDescent="0.3">
      <c r="A2267" s="277" t="s">
        <v>110</v>
      </c>
      <c r="B2267" s="957"/>
      <c r="C2267" s="278" t="s">
        <v>129</v>
      </c>
      <c r="D2267" s="278"/>
      <c r="E2267" s="509">
        <v>17.8202</v>
      </c>
      <c r="F2267" s="405">
        <f>IFERROR(E2267*'01 Prod Physique Boites'!H2262,"-")</f>
        <v>0</v>
      </c>
      <c r="G2267" s="406">
        <f>IFERROR(E2267*'01 Prod Physique Boites'!L2262,"-")</f>
        <v>0</v>
      </c>
      <c r="H2267" s="388">
        <v>0</v>
      </c>
      <c r="I2267" s="424">
        <f t="shared" si="1367"/>
        <v>0</v>
      </c>
      <c r="J2267" s="425">
        <f>IFERROR(H2267*(G2267/E2267),"-")</f>
        <v>0</v>
      </c>
    </row>
    <row r="2268" spans="1:15" ht="23.4" x14ac:dyDescent="0.3">
      <c r="A2268" s="277" t="s">
        <v>110</v>
      </c>
      <c r="B2268" s="957"/>
      <c r="C2268" s="278" t="s">
        <v>189</v>
      </c>
      <c r="D2268" s="278" t="s">
        <v>190</v>
      </c>
      <c r="E2268" s="509">
        <v>17.8202</v>
      </c>
      <c r="F2268" s="405">
        <f>IFERROR(E2268*'01 Prod Physique Boites'!H2263,"-")</f>
        <v>0</v>
      </c>
      <c r="G2268" s="406">
        <f>IFERROR(E2268*'01 Prod Physique Boites'!L2263,"-")</f>
        <v>0</v>
      </c>
      <c r="H2268" s="388">
        <v>0</v>
      </c>
      <c r="I2268" s="424">
        <f t="shared" si="1367"/>
        <v>0</v>
      </c>
      <c r="J2268" s="425">
        <f t="shared" ref="J2268:J2270" si="1369">IFERROR(H2268*(G2268/E2268),"-")</f>
        <v>0</v>
      </c>
    </row>
    <row r="2269" spans="1:15" ht="23.4" x14ac:dyDescent="0.3">
      <c r="A2269" s="277" t="s">
        <v>110</v>
      </c>
      <c r="B2269" s="957"/>
      <c r="C2269" s="278" t="s">
        <v>192</v>
      </c>
      <c r="D2269" s="278" t="s">
        <v>191</v>
      </c>
      <c r="E2269" s="509">
        <v>16.7288</v>
      </c>
      <c r="F2269" s="405">
        <f>IFERROR(E2269*'01 Prod Physique Boites'!H2264,"-")</f>
        <v>0</v>
      </c>
      <c r="G2269" s="406">
        <f>IFERROR(E2269*'01 Prod Physique Boites'!L2264,"-")</f>
        <v>0</v>
      </c>
      <c r="H2269" s="388">
        <v>0</v>
      </c>
      <c r="I2269" s="424">
        <f t="shared" si="1367"/>
        <v>0</v>
      </c>
      <c r="J2269" s="425">
        <f t="shared" si="1369"/>
        <v>0</v>
      </c>
    </row>
    <row r="2270" spans="1:15" ht="24" thickBot="1" x14ac:dyDescent="0.35">
      <c r="A2270" s="277" t="s">
        <v>110</v>
      </c>
      <c r="B2270" s="958"/>
      <c r="C2270" s="289" t="s">
        <v>193</v>
      </c>
      <c r="D2270" s="289" t="s">
        <v>114</v>
      </c>
      <c r="E2270" s="505">
        <v>17.8202</v>
      </c>
      <c r="F2270" s="405">
        <f>IFERROR(E2270*'01 Prod Physique Boites'!H2265,"-")</f>
        <v>0</v>
      </c>
      <c r="G2270" s="406">
        <f>IFERROR(E2270*'01 Prod Physique Boites'!L2265,"-")</f>
        <v>0</v>
      </c>
      <c r="H2270" s="388">
        <v>0</v>
      </c>
      <c r="I2270" s="426">
        <f t="shared" si="1367"/>
        <v>0</v>
      </c>
      <c r="J2270" s="427">
        <f t="shared" si="1369"/>
        <v>0</v>
      </c>
    </row>
    <row r="2271" spans="1:15" ht="24" thickBot="1" x14ac:dyDescent="0.35">
      <c r="A2271" s="277" t="s">
        <v>110</v>
      </c>
      <c r="B2271" s="967" t="s">
        <v>29</v>
      </c>
      <c r="C2271" s="968"/>
      <c r="D2271" s="969"/>
      <c r="E2271" s="660"/>
      <c r="F2271" s="661">
        <f t="shared" ref="F2271:G2271" si="1370">SUM(F2264:F2270)</f>
        <v>0</v>
      </c>
      <c r="G2271" s="410">
        <f t="shared" si="1370"/>
        <v>0</v>
      </c>
      <c r="H2271" s="394"/>
      <c r="I2271" s="409">
        <f t="shared" ref="I2271:J2271" si="1371">SUM(I2264:I2270)</f>
        <v>0</v>
      </c>
      <c r="J2271" s="428">
        <f t="shared" si="1371"/>
        <v>0</v>
      </c>
    </row>
    <row r="2272" spans="1:15" ht="24" thickBot="1" x14ac:dyDescent="0.35">
      <c r="A2272" s="277"/>
      <c r="B2272" s="985" t="s">
        <v>19</v>
      </c>
      <c r="C2272" s="662" t="s">
        <v>255</v>
      </c>
      <c r="D2272" s="668" t="s">
        <v>190</v>
      </c>
      <c r="E2272" s="669">
        <v>12.2659</v>
      </c>
      <c r="F2272" s="670">
        <f>IFERROR(E2272*'01 Prod Physique Boites'!H2267,"-")</f>
        <v>45334.7664</v>
      </c>
      <c r="G2272" s="671">
        <f>IFERROR(E2272*'01 Prod Physique Boites'!L2267,"-")</f>
        <v>705927.07680000004</v>
      </c>
      <c r="H2272" s="665">
        <v>14.79</v>
      </c>
      <c r="I2272" s="650">
        <f t="shared" ref="I2272:I2274" si="1372">IFERROR(H2272*(F2272/E2272),"-")</f>
        <v>54663.839999999997</v>
      </c>
      <c r="J2272" s="650">
        <f>IFERROR(H2272*(G2272/E2272),"-")</f>
        <v>851194.08</v>
      </c>
    </row>
    <row r="2273" spans="1:10" ht="24" thickBot="1" x14ac:dyDescent="0.35">
      <c r="A2273" s="277"/>
      <c r="B2273" s="986"/>
      <c r="C2273" s="663" t="s">
        <v>399</v>
      </c>
      <c r="D2273" s="672" t="s">
        <v>507</v>
      </c>
      <c r="E2273" s="654">
        <v>12.2659</v>
      </c>
      <c r="F2273" s="670">
        <f>IFERROR(E2273*'01 Prod Physique Boites'!H2268,"-")</f>
        <v>1126892.7648</v>
      </c>
      <c r="G2273" s="645">
        <f>IFERROR(E2273*'01 Prod Physique Boites'!L2268,"-")</f>
        <v>6942695.6544000003</v>
      </c>
      <c r="H2273" s="666">
        <v>14.55</v>
      </c>
      <c r="I2273" s="655">
        <f t="shared" si="1372"/>
        <v>1336737.6000000001</v>
      </c>
      <c r="J2273" s="655">
        <f>IFERROR(H2273*(G2273/E2273),"-")</f>
        <v>8235532.8000000007</v>
      </c>
    </row>
    <row r="2274" spans="1:10" ht="24" thickBot="1" x14ac:dyDescent="0.35">
      <c r="A2274" s="934" t="s">
        <v>110</v>
      </c>
      <c r="B2274" s="987"/>
      <c r="C2274" s="664" t="s">
        <v>380</v>
      </c>
      <c r="D2274" s="673"/>
      <c r="E2274" s="674">
        <v>0</v>
      </c>
      <c r="F2274" s="670">
        <f>IFERROR(E2274*'01 Prod Physique Boites'!H2269,"-")</f>
        <v>0</v>
      </c>
      <c r="G2274" s="676">
        <f>IFERROR(E2274*'01 Prod Physique Boites'!L2269,"-")</f>
        <v>0</v>
      </c>
      <c r="H2274" s="667">
        <v>0</v>
      </c>
      <c r="I2274" s="429" t="str">
        <f t="shared" si="1372"/>
        <v>-</v>
      </c>
      <c r="J2274" s="430" t="str">
        <f t="shared" ref="J2274" si="1373">IFERROR(I2274*(G2274/F2274),"-")</f>
        <v>-</v>
      </c>
    </row>
    <row r="2275" spans="1:10" ht="24" thickBot="1" x14ac:dyDescent="0.35">
      <c r="A2275" s="277" t="s">
        <v>110</v>
      </c>
      <c r="B2275" s="967" t="s">
        <v>49</v>
      </c>
      <c r="C2275" s="968"/>
      <c r="D2275" s="969"/>
      <c r="E2275" s="393"/>
      <c r="F2275" s="409">
        <f>SUM(F2272:F2274)</f>
        <v>1172227.5312000001</v>
      </c>
      <c r="G2275" s="409">
        <f>SUM(G2272:G2274)</f>
        <v>7648622.7312000003</v>
      </c>
      <c r="H2275" s="394"/>
      <c r="I2275" s="409">
        <f>SUM(I2272:I2274)</f>
        <v>1391401.4400000002</v>
      </c>
      <c r="J2275" s="428">
        <f>SUM(J2272:J2274)</f>
        <v>9086726.8800000008</v>
      </c>
    </row>
    <row r="2276" spans="1:10" ht="23.4" x14ac:dyDescent="0.3">
      <c r="A2276" s="277" t="s">
        <v>110</v>
      </c>
      <c r="B2276" s="956" t="s">
        <v>20</v>
      </c>
      <c r="C2276" s="294" t="s">
        <v>351</v>
      </c>
      <c r="D2276" s="294" t="s">
        <v>313</v>
      </c>
      <c r="E2276" s="508">
        <v>26.032900000000001</v>
      </c>
      <c r="F2276" s="405">
        <f>IFERROR(E2276*'01 Prod Physique Boites'!H2271,"-")</f>
        <v>0</v>
      </c>
      <c r="G2276" s="406">
        <f>IFERROR(E2276*'01 Prod Physique Boites'!L2271,"-")</f>
        <v>0</v>
      </c>
      <c r="H2276" s="384">
        <v>36.44</v>
      </c>
      <c r="I2276" s="422">
        <f>IFERROR(H2276*(F2276/E2276),"-")</f>
        <v>0</v>
      </c>
      <c r="J2276" s="423">
        <f t="shared" ref="J2276:J2278" si="1374">IFERROR(H2276*(G2276/E2276),"-")</f>
        <v>0</v>
      </c>
    </row>
    <row r="2277" spans="1:10" ht="23.4" x14ac:dyDescent="0.3">
      <c r="A2277" s="277" t="s">
        <v>110</v>
      </c>
      <c r="B2277" s="957"/>
      <c r="C2277" s="295" t="s">
        <v>121</v>
      </c>
      <c r="D2277" s="295"/>
      <c r="E2277" s="387">
        <v>24.2607</v>
      </c>
      <c r="F2277" s="405">
        <f>IFERROR(E2277*'01 Prod Physique Boites'!H2272,"-")</f>
        <v>0</v>
      </c>
      <c r="G2277" s="406">
        <f>IFERROR(E2277*'01 Prod Physique Boites'!L2272,"-")</f>
        <v>0</v>
      </c>
      <c r="H2277" s="388">
        <v>37.369999999999997</v>
      </c>
      <c r="I2277" s="424">
        <f>IFERROR(H2277*(F2277/E2277),"-")</f>
        <v>0</v>
      </c>
      <c r="J2277" s="425">
        <f t="shared" si="1374"/>
        <v>0</v>
      </c>
    </row>
    <row r="2278" spans="1:10" ht="24" thickBot="1" x14ac:dyDescent="0.35">
      <c r="A2278" s="277" t="s">
        <v>110</v>
      </c>
      <c r="B2278" s="958"/>
      <c r="C2278" s="296" t="s">
        <v>127</v>
      </c>
      <c r="D2278" s="296"/>
      <c r="E2278" s="389">
        <v>26.035799999999998</v>
      </c>
      <c r="F2278" s="405">
        <f>IFERROR(E2278*'01 Prod Physique Boites'!H2273,"-")</f>
        <v>0</v>
      </c>
      <c r="G2278" s="406">
        <f>IFERROR(E2278*'01 Prod Physique Boites'!L2273,"-")</f>
        <v>0</v>
      </c>
      <c r="H2278" s="390">
        <v>37.11</v>
      </c>
      <c r="I2278" s="426">
        <f>IFERROR(H2278*(F2278/E2278),"-")</f>
        <v>0</v>
      </c>
      <c r="J2278" s="427">
        <f t="shared" si="1374"/>
        <v>0</v>
      </c>
    </row>
    <row r="2279" spans="1:10" ht="24" thickBot="1" x14ac:dyDescent="0.35">
      <c r="A2279" s="277" t="s">
        <v>110</v>
      </c>
      <c r="B2279" s="968" t="s">
        <v>50</v>
      </c>
      <c r="C2279" s="968"/>
      <c r="D2279" s="989"/>
      <c r="E2279" s="393"/>
      <c r="F2279" s="409">
        <f t="shared" ref="F2279:G2279" si="1375">SUM(F2276:F2278)</f>
        <v>0</v>
      </c>
      <c r="G2279" s="410">
        <f t="shared" si="1375"/>
        <v>0</v>
      </c>
      <c r="H2279" s="394"/>
      <c r="I2279" s="409">
        <f t="shared" ref="I2279:J2279" si="1376">SUM(I2276:I2278)</f>
        <v>0</v>
      </c>
      <c r="J2279" s="428">
        <f t="shared" si="1376"/>
        <v>0</v>
      </c>
    </row>
    <row r="2280" spans="1:10" ht="24" thickBot="1" x14ac:dyDescent="0.35">
      <c r="A2280" s="277" t="s">
        <v>110</v>
      </c>
      <c r="B2280" s="981" t="s">
        <v>21</v>
      </c>
      <c r="C2280" s="982"/>
      <c r="D2280" s="983"/>
      <c r="E2280" s="396"/>
      <c r="F2280" s="413">
        <f>+F2255+F2263+F2271+F2275+F2279</f>
        <v>2471884.3546000002</v>
      </c>
      <c r="G2280" s="414">
        <f>+G2255+G2263+G2271+G2275+G2279</f>
        <v>52524565.199200004</v>
      </c>
      <c r="H2280" s="397"/>
      <c r="I2280" s="413">
        <f>+I2255+I2263+I2271+I2275+I2279</f>
        <v>3462355.5600000005</v>
      </c>
      <c r="J2280" s="431">
        <f>+J2255+J2263+J2271+J2275+J2279</f>
        <v>78655886.5528</v>
      </c>
    </row>
    <row r="2281" spans="1:10" ht="23.4" x14ac:dyDescent="0.3">
      <c r="A2281" s="277" t="s">
        <v>110</v>
      </c>
      <c r="B2281" s="956" t="s">
        <v>481</v>
      </c>
      <c r="C2281" s="272" t="s">
        <v>132</v>
      </c>
      <c r="D2281" s="272"/>
      <c r="E2281" s="383">
        <v>22.820599999999999</v>
      </c>
      <c r="F2281" s="405">
        <f>IFERROR(E2281*'01 Prod Physique Boites'!H2276,"-")</f>
        <v>0</v>
      </c>
      <c r="G2281" s="406">
        <f>IFERROR(E2281*'01 Prod Physique Boites'!L2276,"-")</f>
        <v>0</v>
      </c>
      <c r="H2281" s="384">
        <v>27.5</v>
      </c>
      <c r="I2281" s="422">
        <f>IFERROR(H2281*(F2281/E2281),"-")</f>
        <v>0</v>
      </c>
      <c r="J2281" s="423">
        <f t="shared" ref="J2281:J2284" si="1377">IFERROR(H2281*(G2281/E2281),"-")</f>
        <v>0</v>
      </c>
    </row>
    <row r="2282" spans="1:10" ht="23.4" x14ac:dyDescent="0.3">
      <c r="A2282" s="277" t="s">
        <v>110</v>
      </c>
      <c r="B2282" s="957"/>
      <c r="C2282" s="298" t="s">
        <v>283</v>
      </c>
      <c r="D2282" s="298" t="s">
        <v>194</v>
      </c>
      <c r="E2282" s="387">
        <v>23.570699999999999</v>
      </c>
      <c r="F2282" s="405">
        <f>IFERROR(E2282*'01 Prod Physique Boites'!H2277,"-")</f>
        <v>0</v>
      </c>
      <c r="G2282" s="406">
        <f>IFERROR(E2282*'01 Prod Physique Boites'!L2277,"-")</f>
        <v>0</v>
      </c>
      <c r="H2282" s="388">
        <v>27.5</v>
      </c>
      <c r="I2282" s="424">
        <f>IFERROR(H2282*(F2282/E2282),"-")</f>
        <v>0</v>
      </c>
      <c r="J2282" s="425">
        <f t="shared" si="1377"/>
        <v>0</v>
      </c>
    </row>
    <row r="2283" spans="1:10" ht="23.4" x14ac:dyDescent="0.3">
      <c r="A2283" s="277" t="s">
        <v>110</v>
      </c>
      <c r="B2283" s="957"/>
      <c r="C2283" s="298" t="s">
        <v>405</v>
      </c>
      <c r="D2283" s="298" t="s">
        <v>194</v>
      </c>
      <c r="E2283" s="387">
        <v>22.820599999999999</v>
      </c>
      <c r="F2283" s="405">
        <f>IFERROR(E2283*'01 Prod Physique Boites'!H2278,"-")</f>
        <v>0</v>
      </c>
      <c r="G2283" s="406">
        <f>IFERROR(E2283*'01 Prod Physique Boites'!L2278,"-")</f>
        <v>8207885.2019999996</v>
      </c>
      <c r="H2283" s="388">
        <v>27.5</v>
      </c>
      <c r="I2283" s="424">
        <f>IFERROR(H2283*(F2283/E2283),"-")</f>
        <v>0</v>
      </c>
      <c r="J2283" s="425">
        <f t="shared" si="1377"/>
        <v>9890925</v>
      </c>
    </row>
    <row r="2284" spans="1:10" ht="24" thickBot="1" x14ac:dyDescent="0.35">
      <c r="A2284" s="277" t="s">
        <v>110</v>
      </c>
      <c r="B2284" s="958"/>
      <c r="C2284" s="282" t="s">
        <v>195</v>
      </c>
      <c r="D2284" s="282" t="s">
        <v>100</v>
      </c>
      <c r="E2284" s="389">
        <v>23.5685</v>
      </c>
      <c r="F2284" s="405">
        <f>IFERROR(E2284*'01 Prod Physique Boites'!H2279,"-")</f>
        <v>0</v>
      </c>
      <c r="G2284" s="406">
        <f>IFERROR(E2284*'01 Prod Physique Boites'!L2279,"-")</f>
        <v>0</v>
      </c>
      <c r="H2284" s="390">
        <v>24</v>
      </c>
      <c r="I2284" s="426">
        <f>IFERROR(H2284*(F2284/E2284),"-")</f>
        <v>0</v>
      </c>
      <c r="J2284" s="427">
        <f t="shared" si="1377"/>
        <v>0</v>
      </c>
    </row>
    <row r="2285" spans="1:10" ht="24" thickBot="1" x14ac:dyDescent="0.35">
      <c r="A2285" s="277" t="s">
        <v>110</v>
      </c>
      <c r="B2285" s="967" t="s">
        <v>51</v>
      </c>
      <c r="C2285" s="968"/>
      <c r="D2285" s="969"/>
      <c r="E2285" s="393"/>
      <c r="F2285" s="409">
        <f t="shared" ref="F2285:G2285" si="1378">SUM(F2281:F2284)</f>
        <v>0</v>
      </c>
      <c r="G2285" s="410">
        <f t="shared" si="1378"/>
        <v>8207885.2019999996</v>
      </c>
      <c r="H2285" s="394"/>
      <c r="I2285" s="409">
        <f t="shared" ref="I2285:J2285" si="1379">SUM(I2281:I2284)</f>
        <v>0</v>
      </c>
      <c r="J2285" s="428">
        <f t="shared" si="1379"/>
        <v>9890925</v>
      </c>
    </row>
    <row r="2286" spans="1:10" ht="23.4" x14ac:dyDescent="0.3">
      <c r="A2286" s="277" t="s">
        <v>110</v>
      </c>
      <c r="B2286" s="956" t="s">
        <v>23</v>
      </c>
      <c r="C2286" s="299" t="s">
        <v>337</v>
      </c>
      <c r="D2286" s="299" t="s">
        <v>258</v>
      </c>
      <c r="E2286" s="383">
        <v>101.4935</v>
      </c>
      <c r="F2286" s="405">
        <f>IFERROR(E2286*'01 Prod Physique Boites'!H2281,"-")</f>
        <v>0</v>
      </c>
      <c r="G2286" s="406">
        <f>IFERROR(E2286*'01 Prod Physique Boites'!L2281,"-")</f>
        <v>1117646.422</v>
      </c>
      <c r="H2286" s="388">
        <v>160.44999999999999</v>
      </c>
      <c r="I2286" s="422">
        <f t="shared" ref="I2286:I2294" si="1380">IFERROR(H2286*(F2286/E2286),"-")</f>
        <v>0</v>
      </c>
      <c r="J2286" s="423">
        <f t="shared" ref="J2286:J2294" si="1381">IFERROR(H2286*(G2286/E2286),"-")</f>
        <v>1766875.4</v>
      </c>
    </row>
    <row r="2287" spans="1:10" ht="23.4" x14ac:dyDescent="0.3">
      <c r="A2287" s="277" t="s">
        <v>110</v>
      </c>
      <c r="B2287" s="957"/>
      <c r="C2287" s="278" t="s">
        <v>24</v>
      </c>
      <c r="D2287" s="278" t="s">
        <v>258</v>
      </c>
      <c r="E2287" s="387">
        <v>101.4935</v>
      </c>
      <c r="F2287" s="405">
        <f>IFERROR(E2287*'01 Prod Physique Boites'!H2282,"-")</f>
        <v>452863.99699999997</v>
      </c>
      <c r="G2287" s="406">
        <f>IFERROR(E2287*'01 Prod Physique Boites'!L2282,"-")</f>
        <v>10232777.657</v>
      </c>
      <c r="H2287" s="388">
        <v>160.44999999999999</v>
      </c>
      <c r="I2287" s="424">
        <f t="shared" si="1380"/>
        <v>715927.89999999991</v>
      </c>
      <c r="J2287" s="425">
        <f t="shared" si="1381"/>
        <v>16176889.899999999</v>
      </c>
    </row>
    <row r="2288" spans="1:10" ht="23.4" x14ac:dyDescent="0.3">
      <c r="A2288" s="277" t="s">
        <v>110</v>
      </c>
      <c r="B2288" s="957"/>
      <c r="C2288" s="278" t="s">
        <v>256</v>
      </c>
      <c r="D2288" s="278" t="s">
        <v>258</v>
      </c>
      <c r="E2288" s="387">
        <v>101.4935</v>
      </c>
      <c r="F2288" s="405">
        <f>IFERROR(E2288*'01 Prod Physique Boites'!H2283,"-")</f>
        <v>0</v>
      </c>
      <c r="G2288" s="406">
        <f>IFERROR(E2288*'01 Prod Physique Boites'!L2283,"-")</f>
        <v>1983690.4575</v>
      </c>
      <c r="H2288" s="388">
        <v>160.44999999999999</v>
      </c>
      <c r="I2288" s="424">
        <f t="shared" si="1380"/>
        <v>0</v>
      </c>
      <c r="J2288" s="425">
        <f t="shared" si="1381"/>
        <v>3135995.25</v>
      </c>
    </row>
    <row r="2289" spans="1:10" ht="23.4" x14ac:dyDescent="0.3">
      <c r="A2289" s="277" t="s">
        <v>110</v>
      </c>
      <c r="B2289" s="957"/>
      <c r="C2289" s="278" t="s">
        <v>257</v>
      </c>
      <c r="D2289" s="278" t="s">
        <v>258</v>
      </c>
      <c r="E2289" s="387">
        <v>101.4935</v>
      </c>
      <c r="F2289" s="405">
        <f>IFERROR(E2289*'01 Prod Physique Boites'!H2284,"-")</f>
        <v>0</v>
      </c>
      <c r="G2289" s="406">
        <f>IFERROR(E2289*'01 Prod Physique Boites'!L2284,"-")</f>
        <v>2066509.1535</v>
      </c>
      <c r="H2289" s="388">
        <v>160.44999999999999</v>
      </c>
      <c r="I2289" s="424">
        <f t="shared" si="1380"/>
        <v>0</v>
      </c>
      <c r="J2289" s="425">
        <f t="shared" si="1381"/>
        <v>3266922.4499999997</v>
      </c>
    </row>
    <row r="2290" spans="1:10" ht="23.4" x14ac:dyDescent="0.3">
      <c r="A2290" s="277" t="s">
        <v>110</v>
      </c>
      <c r="B2290" s="957"/>
      <c r="C2290" s="298" t="s">
        <v>259</v>
      </c>
      <c r="D2290" s="278" t="s">
        <v>258</v>
      </c>
      <c r="E2290" s="387">
        <v>101.4935</v>
      </c>
      <c r="F2290" s="405">
        <f>IFERROR(E2290*'01 Prod Physique Boites'!H2285,"-")</f>
        <v>0</v>
      </c>
      <c r="G2290" s="406">
        <f>IFERROR(E2290*'01 Prod Physique Boites'!L2285,"-")</f>
        <v>1249080.5045</v>
      </c>
      <c r="H2290" s="388">
        <v>160.44999999999999</v>
      </c>
      <c r="I2290" s="424">
        <f t="shared" si="1380"/>
        <v>0</v>
      </c>
      <c r="J2290" s="425">
        <f t="shared" si="1381"/>
        <v>1974658.15</v>
      </c>
    </row>
    <row r="2291" spans="1:10" ht="23.4" x14ac:dyDescent="0.3">
      <c r="A2291" s="277" t="s">
        <v>110</v>
      </c>
      <c r="B2291" s="957"/>
      <c r="C2291" s="298" t="s">
        <v>260</v>
      </c>
      <c r="D2291" s="278" t="s">
        <v>258</v>
      </c>
      <c r="E2291" s="387">
        <v>101.4935</v>
      </c>
      <c r="F2291" s="405">
        <f>IFERROR(E2291*'01 Prod Physique Boites'!H2286,"-")</f>
        <v>0</v>
      </c>
      <c r="G2291" s="406">
        <f>IFERROR(E2291*'01 Prod Physique Boites'!L2286,"-")</f>
        <v>2708049.5669999998</v>
      </c>
      <c r="H2291" s="388">
        <v>160.44999999999999</v>
      </c>
      <c r="I2291" s="424">
        <f t="shared" si="1380"/>
        <v>0</v>
      </c>
      <c r="J2291" s="425">
        <f t="shared" si="1381"/>
        <v>4281126.8999999994</v>
      </c>
    </row>
    <row r="2292" spans="1:10" ht="23.4" x14ac:dyDescent="0.3">
      <c r="A2292" s="277" t="s">
        <v>110</v>
      </c>
      <c r="B2292" s="957"/>
      <c r="C2292" s="298" t="s">
        <v>261</v>
      </c>
      <c r="D2292" s="278" t="s">
        <v>263</v>
      </c>
      <c r="E2292" s="387">
        <v>101.4935</v>
      </c>
      <c r="F2292" s="405">
        <f>IFERROR(E2292*'01 Prod Physique Boites'!H2287,"-")</f>
        <v>0</v>
      </c>
      <c r="G2292" s="406">
        <f>IFERROR(E2292*'01 Prod Physique Boites'!L2287,"-")</f>
        <v>2384082.3149999999</v>
      </c>
      <c r="H2292" s="388">
        <v>160.44999999999999</v>
      </c>
      <c r="I2292" s="424">
        <f t="shared" si="1380"/>
        <v>0</v>
      </c>
      <c r="J2292" s="425">
        <f t="shared" si="1381"/>
        <v>3768970.4999999995</v>
      </c>
    </row>
    <row r="2293" spans="1:10" ht="23.4" x14ac:dyDescent="0.3">
      <c r="A2293" s="277"/>
      <c r="B2293" s="958"/>
      <c r="C2293" s="298" t="s">
        <v>605</v>
      </c>
      <c r="D2293" s="278" t="s">
        <v>258</v>
      </c>
      <c r="E2293" s="389">
        <v>101.49</v>
      </c>
      <c r="F2293" s="405">
        <f>IFERROR(E2293*'01 Prod Physique Boites'!H2288,"-")</f>
        <v>1163988.81</v>
      </c>
      <c r="G2293" s="406">
        <f>IFERROR(E2293*'01 Prod Physique Boites'!L2288,"-")</f>
        <v>1163988.81</v>
      </c>
      <c r="H2293" s="388">
        <v>160.44999999999999</v>
      </c>
      <c r="I2293" s="424">
        <f t="shared" si="1380"/>
        <v>1840201.05</v>
      </c>
      <c r="J2293" s="425">
        <f t="shared" si="1381"/>
        <v>1840201.05</v>
      </c>
    </row>
    <row r="2294" spans="1:10" ht="24" thickBot="1" x14ac:dyDescent="0.35">
      <c r="A2294" s="277" t="s">
        <v>110</v>
      </c>
      <c r="B2294" s="958"/>
      <c r="C2294" s="298" t="s">
        <v>262</v>
      </c>
      <c r="D2294" s="278" t="s">
        <v>258</v>
      </c>
      <c r="E2294" s="389">
        <v>101.4935</v>
      </c>
      <c r="F2294" s="405">
        <f>IFERROR(E2294*'01 Prod Physique Boites'!H2289,"-")</f>
        <v>0</v>
      </c>
      <c r="G2294" s="406">
        <f>IFERROR(E2294*'01 Prod Physique Boites'!L2289,"-")</f>
        <v>3565466.6549999998</v>
      </c>
      <c r="H2294" s="388">
        <v>160.44999999999999</v>
      </c>
      <c r="I2294" s="424">
        <f t="shared" si="1380"/>
        <v>0</v>
      </c>
      <c r="J2294" s="427">
        <f t="shared" si="1381"/>
        <v>5636608.5</v>
      </c>
    </row>
    <row r="2295" spans="1:10" ht="24" thickBot="1" x14ac:dyDescent="0.35">
      <c r="A2295" s="277" t="s">
        <v>110</v>
      </c>
      <c r="B2295" s="967" t="s">
        <v>52</v>
      </c>
      <c r="C2295" s="968"/>
      <c r="D2295" s="969"/>
      <c r="E2295" s="393"/>
      <c r="F2295" s="409">
        <f t="shared" ref="F2295" si="1382">SUM(F2286:F2294)</f>
        <v>1616852.807</v>
      </c>
      <c r="G2295" s="410">
        <f>SUM(G2286:G2294)</f>
        <v>26471291.541500002</v>
      </c>
      <c r="H2295" s="394"/>
      <c r="I2295" s="409">
        <f t="shared" ref="I2295" si="1383">SUM(I2286:I2294)</f>
        <v>2556128.9500000002</v>
      </c>
      <c r="J2295" s="428">
        <f>SUM(J2286:J2294)</f>
        <v>41848248.099999987</v>
      </c>
    </row>
    <row r="2296" spans="1:10" ht="24" thickBot="1" x14ac:dyDescent="0.35">
      <c r="A2296" s="277" t="s">
        <v>110</v>
      </c>
      <c r="B2296" s="981" t="s">
        <v>25</v>
      </c>
      <c r="C2296" s="982"/>
      <c r="D2296" s="983"/>
      <c r="E2296" s="396"/>
      <c r="F2296" s="413">
        <f t="shared" ref="F2296" si="1384">+F2285+F2295</f>
        <v>1616852.807</v>
      </c>
      <c r="G2296" s="414">
        <f>+G2285+G2295</f>
        <v>34679176.743500002</v>
      </c>
      <c r="H2296" s="397"/>
      <c r="I2296" s="413">
        <f t="shared" ref="I2296:J2296" si="1385">+I2285+I2295</f>
        <v>2556128.9500000002</v>
      </c>
      <c r="J2296" s="431">
        <f t="shared" si="1385"/>
        <v>51739173.099999987</v>
      </c>
    </row>
    <row r="2297" spans="1:10" ht="24" thickBot="1" x14ac:dyDescent="0.35">
      <c r="A2297" s="277" t="s">
        <v>110</v>
      </c>
      <c r="B2297" s="984" t="s">
        <v>180</v>
      </c>
      <c r="C2297" s="962"/>
      <c r="D2297" s="963"/>
      <c r="E2297" s="398"/>
      <c r="F2297" s="415">
        <f t="shared" ref="F2297" si="1386">+F2280+F2296</f>
        <v>4088737.1616000002</v>
      </c>
      <c r="G2297" s="416">
        <f>+G2280+G2296</f>
        <v>87203741.942699999</v>
      </c>
      <c r="H2297" s="399"/>
      <c r="I2297" s="415">
        <f t="shared" ref="I2297:J2297" si="1387">+I2280+I2296</f>
        <v>6018484.5100000007</v>
      </c>
      <c r="J2297" s="432">
        <f t="shared" si="1387"/>
        <v>130395059.65279999</v>
      </c>
    </row>
    <row r="2298" spans="1:10" ht="23.4" x14ac:dyDescent="0.3">
      <c r="A2298" s="271" t="s">
        <v>108</v>
      </c>
      <c r="B2298" s="977" t="s">
        <v>26</v>
      </c>
      <c r="C2298" s="300" t="s">
        <v>323</v>
      </c>
      <c r="D2298" s="302" t="s">
        <v>190</v>
      </c>
      <c r="E2298" s="508">
        <v>13.1272</v>
      </c>
      <c r="F2298" s="405">
        <f>+'01 Prod Physique Boites'!H2293</f>
        <v>0</v>
      </c>
      <c r="G2298" s="406">
        <f>IFERROR(E2298*'01 Prod Physique Boites'!L2293,"-")</f>
        <v>0</v>
      </c>
      <c r="H2298" s="384">
        <v>20.76</v>
      </c>
      <c r="I2298" s="422">
        <f t="shared" ref="I2298:I2307" si="1388">IFERROR(H2298*(F2298/E2298),"-")</f>
        <v>0</v>
      </c>
      <c r="J2298" s="644">
        <f t="shared" ref="J2298:J2307" si="1389">IFERROR(H2298*(G2298/E2298),"-")</f>
        <v>0</v>
      </c>
    </row>
    <row r="2299" spans="1:10" ht="23.4" x14ac:dyDescent="0.3">
      <c r="A2299" s="277" t="s">
        <v>108</v>
      </c>
      <c r="B2299" s="977"/>
      <c r="C2299" s="301" t="s">
        <v>508</v>
      </c>
      <c r="D2299" s="301" t="s">
        <v>507</v>
      </c>
      <c r="E2299" s="509">
        <v>16.7288</v>
      </c>
      <c r="F2299" s="405">
        <f>IFERROR(E2299*'01 Prod Physique Boites'!H2294,"-")</f>
        <v>0</v>
      </c>
      <c r="G2299" s="406">
        <f>IFERROR(E2299*'01 Prod Physique Boites'!L2294,"-")</f>
        <v>3127716.8207999999</v>
      </c>
      <c r="H2299" s="388">
        <v>20.76</v>
      </c>
      <c r="I2299" s="424">
        <f t="shared" si="1388"/>
        <v>0</v>
      </c>
      <c r="J2299" s="645">
        <f t="shared" si="1389"/>
        <v>3881414.16</v>
      </c>
    </row>
    <row r="2300" spans="1:10" ht="23.4" x14ac:dyDescent="0.3">
      <c r="A2300" s="277" t="s">
        <v>108</v>
      </c>
      <c r="B2300" s="977"/>
      <c r="C2300" s="302" t="s">
        <v>27</v>
      </c>
      <c r="D2300" s="302" t="s">
        <v>370</v>
      </c>
      <c r="E2300" s="505">
        <v>17.8202</v>
      </c>
      <c r="F2300" s="405">
        <f>IFERROR(E2300*'01 Prod Physique Boites'!H2295,"-")</f>
        <v>61764.813199999997</v>
      </c>
      <c r="G2300" s="406">
        <f>IFERROR(E2300*'01 Prod Physique Boites'!L2295,"-")</f>
        <v>320015.15159999998</v>
      </c>
      <c r="H2300" s="388">
        <v>21.22</v>
      </c>
      <c r="I2300" s="655">
        <f t="shared" si="1388"/>
        <v>73548.51999999999</v>
      </c>
      <c r="J2300" s="645">
        <f t="shared" si="1389"/>
        <v>381068.75999999995</v>
      </c>
    </row>
    <row r="2301" spans="1:10" ht="23.4" x14ac:dyDescent="0.3">
      <c r="A2301" s="277" t="s">
        <v>108</v>
      </c>
      <c r="B2301" s="977"/>
      <c r="C2301" s="302" t="s">
        <v>27</v>
      </c>
      <c r="D2301" s="302" t="s">
        <v>254</v>
      </c>
      <c r="E2301" s="505">
        <v>17.8202</v>
      </c>
      <c r="F2301" s="405">
        <f>IFERROR(E2301*'01 Prod Physique Boites'!H2296,"-")</f>
        <v>0</v>
      </c>
      <c r="G2301" s="406">
        <f>IFERROR(E2301*'01 Prod Physique Boites'!L2296,"-")</f>
        <v>710651.75580000004</v>
      </c>
      <c r="H2301" s="388">
        <v>24.93</v>
      </c>
      <c r="I2301" s="655">
        <f t="shared" si="1388"/>
        <v>0</v>
      </c>
      <c r="J2301" s="645">
        <f t="shared" si="1389"/>
        <v>994183.47</v>
      </c>
    </row>
    <row r="2302" spans="1:10" ht="23.4" x14ac:dyDescent="0.3">
      <c r="A2302" s="277" t="s">
        <v>108</v>
      </c>
      <c r="B2302" s="977"/>
      <c r="C2302" s="302" t="s">
        <v>27</v>
      </c>
      <c r="D2302" s="302" t="s">
        <v>302</v>
      </c>
      <c r="E2302" s="505">
        <v>17.8202</v>
      </c>
      <c r="F2302" s="405">
        <f>IFERROR(E2302*'01 Prod Physique Boites'!H2297,"-")</f>
        <v>50056.941800000001</v>
      </c>
      <c r="G2302" s="406">
        <f>IFERROR(E2302*'01 Prod Physique Boites'!L2297,"-")</f>
        <v>153948.7078</v>
      </c>
      <c r="H2302" s="388">
        <v>24.93</v>
      </c>
      <c r="I2302" s="655">
        <f t="shared" si="1388"/>
        <v>70028.37</v>
      </c>
      <c r="J2302" s="645">
        <f t="shared" si="1389"/>
        <v>215370.27</v>
      </c>
    </row>
    <row r="2303" spans="1:10" ht="23.4" x14ac:dyDescent="0.3">
      <c r="A2303" s="277"/>
      <c r="B2303" s="977"/>
      <c r="C2303" s="302" t="s">
        <v>546</v>
      </c>
      <c r="D2303" s="302" t="s">
        <v>191</v>
      </c>
      <c r="E2303" s="505">
        <v>14.608000000000001</v>
      </c>
      <c r="F2303" s="405">
        <f>IFERROR(E2303*'01 Prod Physique Boites'!H2298,"-")</f>
        <v>31290.336000000003</v>
      </c>
      <c r="G2303" s="406">
        <f>IFERROR(E2303*'01 Prod Physique Boites'!L2298,"-")</f>
        <v>89400.960000000006</v>
      </c>
      <c r="H2303" s="390">
        <v>24.93</v>
      </c>
      <c r="I2303" s="655">
        <f t="shared" si="1388"/>
        <v>53400.06</v>
      </c>
      <c r="J2303" s="646">
        <f t="shared" si="1389"/>
        <v>152571.6</v>
      </c>
    </row>
    <row r="2304" spans="1:10" ht="23.4" x14ac:dyDescent="0.3">
      <c r="A2304" s="277"/>
      <c r="B2304" s="977"/>
      <c r="C2304" s="302" t="s">
        <v>545</v>
      </c>
      <c r="D2304" s="302" t="s">
        <v>101</v>
      </c>
      <c r="E2304" s="505">
        <v>17.8202</v>
      </c>
      <c r="F2304" s="863">
        <f>IFERROR(E2304*'01 Prod Physique Boites'!H2299,"-")</f>
        <v>207213.2856</v>
      </c>
      <c r="G2304" s="406">
        <f>IFERROR(E2304*'01 Prod Physique Boites'!L2299,"-")</f>
        <v>312334.64539999998</v>
      </c>
      <c r="H2304" s="390">
        <v>24.93</v>
      </c>
      <c r="I2304" s="869">
        <f t="shared" si="1388"/>
        <v>289886.03999999998</v>
      </c>
      <c r="J2304" s="646">
        <f t="shared" si="1389"/>
        <v>436948.11</v>
      </c>
    </row>
    <row r="2305" spans="1:10" s="870" customFormat="1" ht="23.4" x14ac:dyDescent="0.3">
      <c r="A2305" s="864"/>
      <c r="B2305" s="977"/>
      <c r="C2305" s="865" t="s">
        <v>453</v>
      </c>
      <c r="D2305" s="865" t="s">
        <v>454</v>
      </c>
      <c r="E2305" s="866">
        <v>16.345199999999998</v>
      </c>
      <c r="F2305" s="863">
        <f>IFERROR(E2305*'01 Prod Physique Boites'!H2301,"-")</f>
        <v>0</v>
      </c>
      <c r="G2305" s="867">
        <f>IFERROR(E2305*'01 Prod Physique Boites'!L2301,"-")</f>
        <v>639375.18839999998</v>
      </c>
      <c r="H2305" s="868">
        <v>23.78</v>
      </c>
      <c r="I2305" s="869">
        <f t="shared" si="1388"/>
        <v>0</v>
      </c>
      <c r="J2305" s="646">
        <f t="shared" si="1389"/>
        <v>930202.26</v>
      </c>
    </row>
    <row r="2306" spans="1:10" s="870" customFormat="1" ht="23.4" x14ac:dyDescent="0.3">
      <c r="A2306" s="864"/>
      <c r="B2306" s="977"/>
      <c r="C2306" s="302" t="s">
        <v>542</v>
      </c>
      <c r="D2306" s="302" t="s">
        <v>191</v>
      </c>
      <c r="E2306" s="866">
        <v>16.7288</v>
      </c>
      <c r="F2306" s="863">
        <f>IFERROR(E2306*'01 Prod Physique Boites'!H2300,"-")</f>
        <v>0</v>
      </c>
      <c r="G2306" s="867">
        <f>IFERROR(E2306*'01 Prod Physique Boites'!L2300,"-")</f>
        <v>40952.102399999996</v>
      </c>
      <c r="H2306" s="868">
        <v>25.49</v>
      </c>
      <c r="I2306" s="869">
        <f t="shared" si="1388"/>
        <v>0</v>
      </c>
      <c r="J2306" s="646">
        <f t="shared" si="1389"/>
        <v>62399.519999999997</v>
      </c>
    </row>
    <row r="2307" spans="1:10" ht="24" thickBot="1" x14ac:dyDescent="0.35">
      <c r="A2307" s="277" t="s">
        <v>108</v>
      </c>
      <c r="B2307" s="977"/>
      <c r="C2307" s="303" t="s">
        <v>315</v>
      </c>
      <c r="D2307" s="302" t="s">
        <v>313</v>
      </c>
      <c r="E2307" s="505">
        <v>12.6997</v>
      </c>
      <c r="F2307" s="405">
        <f>IFERROR(E2307*'01 Prod Physique Boites'!H2302,"-")</f>
        <v>238716.26089999999</v>
      </c>
      <c r="G2307" s="867">
        <f>IFERROR(E2307*'01 Prod Physique Boites'!L2302,"-")</f>
        <v>440793.8873</v>
      </c>
      <c r="H2307" s="390">
        <v>13.25</v>
      </c>
      <c r="I2307" s="869">
        <f t="shared" si="1388"/>
        <v>249060.25</v>
      </c>
      <c r="J2307" s="646">
        <f t="shared" si="1389"/>
        <v>459894.25</v>
      </c>
    </row>
    <row r="2308" spans="1:10" ht="24" thickBot="1" x14ac:dyDescent="0.35">
      <c r="A2308" s="277" t="s">
        <v>108</v>
      </c>
      <c r="B2308" s="990"/>
      <c r="C2308" s="304"/>
      <c r="D2308" s="305" t="s">
        <v>55</v>
      </c>
      <c r="E2308" s="393"/>
      <c r="F2308" s="409">
        <f>SUM(F2298:F2307)</f>
        <v>589041.63749999995</v>
      </c>
      <c r="G2308" s="410">
        <f>SUM(G2298:G2307)</f>
        <v>5835189.2194999997</v>
      </c>
      <c r="H2308" s="394"/>
      <c r="I2308" s="409">
        <f>SUM(I2298:I2307)</f>
        <v>735923.24</v>
      </c>
      <c r="J2308" s="428">
        <f>SUM(J2298:J2307)</f>
        <v>7514052.3999999985</v>
      </c>
    </row>
    <row r="2309" spans="1:10" ht="23.4" x14ac:dyDescent="0.3">
      <c r="A2309" s="277" t="s">
        <v>108</v>
      </c>
      <c r="B2309" s="976" t="s">
        <v>28</v>
      </c>
      <c r="C2309" s="302" t="s">
        <v>27</v>
      </c>
      <c r="D2309" s="300" t="s">
        <v>302</v>
      </c>
      <c r="E2309" s="508">
        <v>17.8202</v>
      </c>
      <c r="F2309" s="405">
        <f>IFERROR(E2309*'01 Prod Physique Boites'!H2304,"-")</f>
        <v>0</v>
      </c>
      <c r="G2309" s="406">
        <f>IFERROR(E2309*'01 Prod Physique Boites'!L2304,"-")</f>
        <v>2906438.9796000002</v>
      </c>
      <c r="H2309" s="384">
        <v>24.93</v>
      </c>
      <c r="I2309" s="422">
        <f t="shared" ref="I2309:I2315" si="1390">IFERROR(H2309*(F2309/E2309),"-")</f>
        <v>0</v>
      </c>
      <c r="J2309" s="644">
        <f t="shared" ref="J2309:J2315" si="1391">IFERROR(H2309*(G2309/E2309),"-")</f>
        <v>4066033.14</v>
      </c>
    </row>
    <row r="2310" spans="1:10" ht="23.4" x14ac:dyDescent="0.3">
      <c r="A2310" s="277" t="s">
        <v>108</v>
      </c>
      <c r="B2310" s="977"/>
      <c r="C2310" s="302" t="s">
        <v>456</v>
      </c>
      <c r="D2310" s="302" t="s">
        <v>370</v>
      </c>
      <c r="E2310" s="773">
        <v>16.7288</v>
      </c>
      <c r="F2310" s="405">
        <f>IFERROR(E2310*'01 Prod Physique Boites'!H2305,"-")</f>
        <v>0</v>
      </c>
      <c r="G2310" s="867">
        <f>IFERROR(E2310*'01 Prod Physique Boites'!L2305,"-")</f>
        <v>23885313.724799998</v>
      </c>
      <c r="H2310" s="770">
        <v>20.76</v>
      </c>
      <c r="I2310" s="424">
        <f t="shared" si="1390"/>
        <v>0</v>
      </c>
      <c r="J2310" s="645">
        <f t="shared" si="1391"/>
        <v>29641044.960000001</v>
      </c>
    </row>
    <row r="2311" spans="1:10" ht="23.4" x14ac:dyDescent="0.3">
      <c r="A2311" s="277" t="s">
        <v>108</v>
      </c>
      <c r="B2311" s="977"/>
      <c r="C2311" s="302" t="s">
        <v>455</v>
      </c>
      <c r="D2311" s="302" t="s">
        <v>370</v>
      </c>
      <c r="E2311" s="505">
        <v>17.8202</v>
      </c>
      <c r="F2311" s="405">
        <f>IFERROR(E2311*'01 Prod Physique Boites'!H2306,"-")</f>
        <v>0</v>
      </c>
      <c r="G2311" s="406">
        <f>IFERROR(E2311*'01 Prod Physique Boites'!L2306,"-")</f>
        <v>1417775.112</v>
      </c>
      <c r="H2311" s="388">
        <v>21.22</v>
      </c>
      <c r="I2311" s="424">
        <f t="shared" si="1390"/>
        <v>0</v>
      </c>
      <c r="J2311" s="645">
        <f>IFERROR(H2311*(G2311/E2311),"-")</f>
        <v>1688263.2</v>
      </c>
    </row>
    <row r="2312" spans="1:10" ht="23.4" x14ac:dyDescent="0.3">
      <c r="A2312" s="277"/>
      <c r="B2312" s="977"/>
      <c r="C2312" s="302" t="s">
        <v>608</v>
      </c>
      <c r="D2312" s="302" t="s">
        <v>370</v>
      </c>
      <c r="E2312" s="505">
        <v>14.608000000000001</v>
      </c>
      <c r="F2312" s="405">
        <f>IFERROR(E2312*'01 Prod Physique Boites'!H2307,"-")</f>
        <v>22730.048000000003</v>
      </c>
      <c r="G2312" s="406">
        <f>IFERROR(E2312*'01 Prod Physique Boites'!L2307,"-")</f>
        <v>22730.048000000003</v>
      </c>
      <c r="H2312" s="388">
        <v>21.22</v>
      </c>
      <c r="I2312" s="424">
        <f t="shared" si="1390"/>
        <v>33018.32</v>
      </c>
      <c r="J2312" s="645">
        <f>IFERROR(H2312*(G2312/E2312),"-")</f>
        <v>33018.32</v>
      </c>
    </row>
    <row r="2313" spans="1:10" ht="23.4" x14ac:dyDescent="0.3">
      <c r="A2313" s="277"/>
      <c r="B2313" s="977"/>
      <c r="C2313" s="302" t="s">
        <v>453</v>
      </c>
      <c r="D2313" s="302" t="s">
        <v>454</v>
      </c>
      <c r="E2313" s="773">
        <v>16.345199999999998</v>
      </c>
      <c r="F2313" s="405">
        <f>IFERROR(E2313*'01 Prod Physique Boites'!H2308,"-")</f>
        <v>0</v>
      </c>
      <c r="G2313" s="406">
        <f>IFERROR(E2313*'01 Prod Physique Boites'!L2308,"-")</f>
        <v>4031314.7471999996</v>
      </c>
      <c r="H2313" s="388">
        <v>23.78</v>
      </c>
      <c r="I2313" s="426">
        <f t="shared" si="1390"/>
        <v>0</v>
      </c>
      <c r="J2313" s="646">
        <f t="shared" si="1391"/>
        <v>5865004.0800000001</v>
      </c>
    </row>
    <row r="2314" spans="1:10" ht="23.4" x14ac:dyDescent="0.3">
      <c r="A2314" s="277"/>
      <c r="B2314" s="977"/>
      <c r="C2314" s="302" t="s">
        <v>606</v>
      </c>
      <c r="D2314" s="303" t="s">
        <v>303</v>
      </c>
      <c r="E2314" s="773">
        <v>17.8202</v>
      </c>
      <c r="F2314" s="405">
        <f>IFERROR(E2314*'01 Prod Physique Boites'!H2309,"-")</f>
        <v>22702.934799999999</v>
      </c>
      <c r="G2314" s="406">
        <f>IFERROR(E2314*'01 Prod Physique Boites'!L2309,"-")</f>
        <v>22702.934799999999</v>
      </c>
      <c r="H2314" s="388">
        <v>24.93</v>
      </c>
      <c r="I2314" s="869">
        <f t="shared" si="1390"/>
        <v>31760.82</v>
      </c>
      <c r="J2314" s="646">
        <f t="shared" si="1391"/>
        <v>31760.82</v>
      </c>
    </row>
    <row r="2315" spans="1:10" ht="24" thickBot="1" x14ac:dyDescent="0.35">
      <c r="A2315" s="277" t="s">
        <v>108</v>
      </c>
      <c r="B2315" s="977"/>
      <c r="C2315" s="302" t="s">
        <v>27</v>
      </c>
      <c r="D2315" s="303" t="s">
        <v>254</v>
      </c>
      <c r="E2315" s="505">
        <v>17.8202</v>
      </c>
      <c r="F2315" s="405">
        <f>IFERROR(E2315*'01 Prod Physique Boites'!H2310,"-")</f>
        <v>0</v>
      </c>
      <c r="G2315" s="406">
        <f>IFERROR(E2315*'01 Prod Physique Boites'!L2310,"-")</f>
        <v>13517940.3948</v>
      </c>
      <c r="H2315" s="388">
        <v>24.93</v>
      </c>
      <c r="I2315" s="426">
        <f t="shared" si="1390"/>
        <v>0</v>
      </c>
      <c r="J2315" s="646">
        <f t="shared" si="1391"/>
        <v>18911249.82</v>
      </c>
    </row>
    <row r="2316" spans="1:10" ht="24" thickBot="1" x14ac:dyDescent="0.35">
      <c r="A2316" s="277" t="s">
        <v>108</v>
      </c>
      <c r="B2316" s="977"/>
      <c r="C2316" s="307"/>
      <c r="D2316" s="308" t="s">
        <v>55</v>
      </c>
      <c r="E2316" s="400"/>
      <c r="F2316" s="417">
        <f t="shared" ref="F2316:G2316" si="1392">SUM(F2309:F2315)</f>
        <v>45432.982799999998</v>
      </c>
      <c r="G2316" s="418">
        <f t="shared" si="1392"/>
        <v>45804215.941200003</v>
      </c>
      <c r="H2316" s="401"/>
      <c r="I2316" s="417">
        <f t="shared" ref="I2316:J2316" si="1393">SUM(I2309:I2315)</f>
        <v>64779.14</v>
      </c>
      <c r="J2316" s="433">
        <f t="shared" si="1393"/>
        <v>60236374.340000004</v>
      </c>
    </row>
    <row r="2317" spans="1:10" ht="24" thickBot="1" x14ac:dyDescent="0.35">
      <c r="A2317" s="934" t="s">
        <v>108</v>
      </c>
      <c r="B2317" s="978" t="s">
        <v>170</v>
      </c>
      <c r="C2317" s="979"/>
      <c r="D2317" s="980"/>
      <c r="E2317" s="402"/>
      <c r="F2317" s="419">
        <f t="shared" ref="F2317:G2317" si="1394">+F2308+F2316</f>
        <v>634474.62029999995</v>
      </c>
      <c r="G2317" s="420">
        <f t="shared" si="1394"/>
        <v>51639405.160700001</v>
      </c>
      <c r="H2317" s="403"/>
      <c r="I2317" s="419">
        <f t="shared" ref="I2317:J2317" si="1395">+I2308+I2316</f>
        <v>800702.38</v>
      </c>
      <c r="J2317" s="434">
        <f t="shared" si="1395"/>
        <v>67750426.74000001</v>
      </c>
    </row>
    <row r="2318" spans="1:10" ht="23.4" x14ac:dyDescent="0.3">
      <c r="A2318" s="277" t="s">
        <v>108</v>
      </c>
      <c r="B2318" s="977" t="s">
        <v>30</v>
      </c>
      <c r="C2318" s="306" t="s">
        <v>586</v>
      </c>
      <c r="D2318" s="302" t="s">
        <v>370</v>
      </c>
      <c r="E2318" s="917">
        <v>27.917000000000002</v>
      </c>
      <c r="F2318" s="405">
        <f>IFERROR(E2318*'01 Prod Physique Boites'!H2313,"-")</f>
        <v>0</v>
      </c>
      <c r="G2318" s="867">
        <f>IFERROR(E2318*'01 Prod Physique Boites'!L2313,"-")</f>
        <v>313563.74400000001</v>
      </c>
      <c r="H2318" s="915">
        <v>33.299999999999997</v>
      </c>
      <c r="I2318" s="422">
        <f>IFERROR(H2318*(F2318/E2318),"-")</f>
        <v>0</v>
      </c>
      <c r="J2318" s="423">
        <f t="shared" ref="J2318:J2320" si="1396">IFERROR(H2318*(G2318/E2318),"-")</f>
        <v>374025.6</v>
      </c>
    </row>
    <row r="2319" spans="1:10" ht="23.4" x14ac:dyDescent="0.3">
      <c r="A2319" s="277" t="s">
        <v>108</v>
      </c>
      <c r="B2319" s="977"/>
      <c r="C2319" s="303" t="s">
        <v>584</v>
      </c>
      <c r="D2319" s="306" t="s">
        <v>454</v>
      </c>
      <c r="E2319" s="914">
        <v>28.526700000000002</v>
      </c>
      <c r="F2319" s="405">
        <f>IFERROR(E2319*'01 Prod Physique Boites'!H2314,"-")</f>
        <v>31151.156400000003</v>
      </c>
      <c r="G2319" s="867">
        <f>IFERROR(E2319*'01 Prod Physique Boites'!L2314,"-")</f>
        <v>6866604.9036000008</v>
      </c>
      <c r="H2319" s="916">
        <v>37.89</v>
      </c>
      <c r="I2319" s="424">
        <f>IFERROR(H2319*(F2319/E2319),"-")</f>
        <v>41375.879999999997</v>
      </c>
      <c r="J2319" s="425">
        <f t="shared" si="1396"/>
        <v>9120426.120000001</v>
      </c>
    </row>
    <row r="2320" spans="1:10" ht="24" thickBot="1" x14ac:dyDescent="0.35">
      <c r="A2320" s="277" t="s">
        <v>108</v>
      </c>
      <c r="B2320" s="977"/>
      <c r="C2320" s="303" t="s">
        <v>316</v>
      </c>
      <c r="D2320" s="303" t="s">
        <v>454</v>
      </c>
      <c r="E2320" s="505">
        <v>25.751300000000001</v>
      </c>
      <c r="F2320" s="863">
        <f>IFERROR(E2320*'01 Prod Physique Boites'!H2315,"-")</f>
        <v>15141.7644</v>
      </c>
      <c r="G2320" s="867">
        <f>IFERROR(E2320*'01 Prod Physique Boites'!L2315,"-")</f>
        <v>4305514.3547999999</v>
      </c>
      <c r="H2320" s="390">
        <v>37.89</v>
      </c>
      <c r="I2320" s="426">
        <f>IFERROR(H2320*(F2320/E2320),"-")</f>
        <v>22279.32</v>
      </c>
      <c r="J2320" s="427">
        <f t="shared" si="1396"/>
        <v>6335056.4400000004</v>
      </c>
    </row>
    <row r="2321" spans="1:10" ht="24" thickBot="1" x14ac:dyDescent="0.35">
      <c r="A2321" s="277" t="s">
        <v>108</v>
      </c>
      <c r="B2321" s="977"/>
      <c r="C2321" s="304"/>
      <c r="D2321" s="305" t="s">
        <v>53</v>
      </c>
      <c r="E2321" s="393"/>
      <c r="F2321" s="409">
        <f t="shared" ref="F2321:G2321" si="1397">SUM(F2318:F2320)</f>
        <v>46292.920800000007</v>
      </c>
      <c r="G2321" s="410">
        <f t="shared" si="1397"/>
        <v>11485683.0024</v>
      </c>
      <c r="H2321" s="394"/>
      <c r="I2321" s="409">
        <f t="shared" ref="I2321" si="1398">SUM(I2318:I2320)</f>
        <v>63655.199999999997</v>
      </c>
      <c r="J2321" s="428">
        <f>SUM(J2318:J2320)</f>
        <v>15829508.16</v>
      </c>
    </row>
    <row r="2322" spans="1:10" ht="23.4" x14ac:dyDescent="0.3">
      <c r="A2322" s="277" t="s">
        <v>108</v>
      </c>
      <c r="B2322" s="977"/>
      <c r="C2322" s="300" t="s">
        <v>548</v>
      </c>
      <c r="D2322" s="300" t="s">
        <v>99</v>
      </c>
      <c r="E2322" s="508">
        <v>24.2607</v>
      </c>
      <c r="F2322" s="405">
        <f>IFERROR(E2322*'01 Prod Physique Boites'!H2317,"-")</f>
        <v>35687.489699999998</v>
      </c>
      <c r="G2322" s="867">
        <f>IFERROR(E2322*'01 Prod Physique Boites'!L2317,"-")</f>
        <v>422208.9621</v>
      </c>
      <c r="H2322" s="384">
        <v>28.31</v>
      </c>
      <c r="I2322" s="650">
        <f>IFERROR(H2322*(F2322/E2322),"-")</f>
        <v>41644.009999999995</v>
      </c>
      <c r="J2322" s="423">
        <f t="shared" ref="J2322:J2327" si="1399">IFERROR(H2322*(G2322/E2322),"-")</f>
        <v>492678.93</v>
      </c>
    </row>
    <row r="2323" spans="1:10" ht="23.4" x14ac:dyDescent="0.3">
      <c r="A2323" s="277"/>
      <c r="B2323" s="977"/>
      <c r="C2323" s="306" t="s">
        <v>585</v>
      </c>
      <c r="D2323" s="302" t="s">
        <v>370</v>
      </c>
      <c r="E2323" s="508">
        <v>24.2607</v>
      </c>
      <c r="F2323" s="405">
        <f>IFERROR(E2323*'01 Prod Physique Boites'!H2318,"-")</f>
        <v>69676.7304</v>
      </c>
      <c r="G2323" s="867">
        <f>IFERROR(E2323*'01 Prod Physique Boites'!L2318,"-")</f>
        <v>1205077.4904</v>
      </c>
      <c r="H2323" s="384">
        <v>28.88</v>
      </c>
      <c r="I2323" s="650">
        <f t="shared" ref="I2323:I2327" si="1400">IFERROR(H2323*(F2323/E2323),"-")</f>
        <v>82943.360000000001</v>
      </c>
      <c r="J2323" s="423">
        <f t="shared" si="1399"/>
        <v>1434527.3599999999</v>
      </c>
    </row>
    <row r="2324" spans="1:10" ht="23.4" x14ac:dyDescent="0.3">
      <c r="A2324" s="277"/>
      <c r="B2324" s="977"/>
      <c r="C2324" s="306" t="s">
        <v>588</v>
      </c>
      <c r="D2324" s="302" t="s">
        <v>370</v>
      </c>
      <c r="E2324" s="508">
        <v>25.4041</v>
      </c>
      <c r="F2324" s="405">
        <f>IFERROR(E2324*'01 Prod Physique Boites'!H2319,"-")</f>
        <v>47556.475200000001</v>
      </c>
      <c r="G2324" s="867">
        <f>IFERROR(E2324*'01 Prod Physique Boites'!L2319,"-")</f>
        <v>95112.950400000002</v>
      </c>
      <c r="H2324" s="384">
        <v>28.21</v>
      </c>
      <c r="I2324" s="650">
        <f t="shared" si="1400"/>
        <v>52809.120000000003</v>
      </c>
      <c r="J2324" s="423">
        <f t="shared" si="1399"/>
        <v>105618.24000000001</v>
      </c>
    </row>
    <row r="2325" spans="1:10" ht="23.4" x14ac:dyDescent="0.3">
      <c r="A2325" s="277" t="s">
        <v>108</v>
      </c>
      <c r="B2325" s="977"/>
      <c r="C2325" s="306" t="s">
        <v>373</v>
      </c>
      <c r="D2325" s="306" t="s">
        <v>254</v>
      </c>
      <c r="E2325" s="509">
        <v>27.917000000000002</v>
      </c>
      <c r="F2325" s="863">
        <f>IFERROR(E2325*'01 Prod Physique Boites'!H2320,"-")</f>
        <v>0</v>
      </c>
      <c r="G2325" s="867">
        <f>IFERROR(E2325*'01 Prod Physique Boites'!L2320,"-")</f>
        <v>371882.35700000002</v>
      </c>
      <c r="H2325" s="388">
        <v>39</v>
      </c>
      <c r="I2325" s="650">
        <f t="shared" si="1400"/>
        <v>0</v>
      </c>
      <c r="J2325" s="423">
        <f t="shared" si="1399"/>
        <v>519519</v>
      </c>
    </row>
    <row r="2326" spans="1:10" ht="23.4" x14ac:dyDescent="0.3">
      <c r="A2326" s="277"/>
      <c r="B2326" s="977"/>
      <c r="C2326" s="303" t="s">
        <v>607</v>
      </c>
      <c r="D2326" s="303" t="s">
        <v>410</v>
      </c>
      <c r="E2326" s="505">
        <v>22.094999999999999</v>
      </c>
      <c r="F2326" s="863">
        <f>IFERROR(E2326*'01 Prod Physique Boites'!H2321,"-")</f>
        <v>9765.99</v>
      </c>
      <c r="G2326" s="867">
        <f>IFERROR(E2326*'01 Prod Physique Boites'!L2321,"-")</f>
        <v>9765.99</v>
      </c>
      <c r="H2326" s="935">
        <v>37.11</v>
      </c>
      <c r="I2326" s="650">
        <f t="shared" si="1400"/>
        <v>16402.62</v>
      </c>
      <c r="J2326" s="423">
        <f t="shared" si="1399"/>
        <v>16402.62</v>
      </c>
    </row>
    <row r="2327" spans="1:10" ht="24" thickBot="1" x14ac:dyDescent="0.35">
      <c r="A2327" s="277" t="s">
        <v>108</v>
      </c>
      <c r="B2327" s="977"/>
      <c r="C2327" s="303" t="s">
        <v>547</v>
      </c>
      <c r="D2327" s="303" t="s">
        <v>507</v>
      </c>
      <c r="E2327" s="505">
        <v>23.697399999999998</v>
      </c>
      <c r="F2327" s="405">
        <f>IFERROR(E2327*'01 Prod Physique Boites'!H2322,"-")</f>
        <v>0</v>
      </c>
      <c r="G2327" s="406">
        <f>IFERROR(E2327*'01 Prod Physique Boites'!L2322,"-")</f>
        <v>20024.303</v>
      </c>
      <c r="H2327" s="390">
        <v>28.21</v>
      </c>
      <c r="I2327" s="650">
        <f t="shared" si="1400"/>
        <v>0</v>
      </c>
      <c r="J2327" s="423">
        <f t="shared" si="1399"/>
        <v>23837.450000000004</v>
      </c>
    </row>
    <row r="2328" spans="1:10" ht="24" thickBot="1" x14ac:dyDescent="0.35">
      <c r="A2328" s="277" t="s">
        <v>108</v>
      </c>
      <c r="B2328" s="977"/>
      <c r="C2328" s="307"/>
      <c r="D2328" s="308" t="s">
        <v>54</v>
      </c>
      <c r="E2328" s="400"/>
      <c r="F2328" s="417">
        <f t="shared" ref="F2328:G2328" si="1401">SUM(F2322:F2327)</f>
        <v>162686.68530000001</v>
      </c>
      <c r="G2328" s="418">
        <f t="shared" si="1401"/>
        <v>2124072.0529</v>
      </c>
      <c r="H2328" s="401"/>
      <c r="I2328" s="417">
        <f t="shared" ref="I2328" si="1402">SUM(I2322:I2327)</f>
        <v>193799.11</v>
      </c>
      <c r="J2328" s="433">
        <f>SUM(J2322:J2327)</f>
        <v>2592583.6</v>
      </c>
    </row>
    <row r="2329" spans="1:10" ht="24" thickBot="1" x14ac:dyDescent="0.35">
      <c r="A2329" s="277" t="s">
        <v>108</v>
      </c>
      <c r="B2329" s="978" t="s">
        <v>171</v>
      </c>
      <c r="C2329" s="979"/>
      <c r="D2329" s="980"/>
      <c r="E2329" s="402"/>
      <c r="F2329" s="419">
        <f t="shared" ref="F2329:G2329" si="1403">+F2321+F2328</f>
        <v>208979.60610000003</v>
      </c>
      <c r="G2329" s="420">
        <f t="shared" si="1403"/>
        <v>13609755.055299999</v>
      </c>
      <c r="H2329" s="403"/>
      <c r="I2329" s="419">
        <f t="shared" ref="I2329:J2329" si="1404">+I2321+I2328</f>
        <v>257454.31</v>
      </c>
      <c r="J2329" s="434">
        <f t="shared" si="1404"/>
        <v>18422091.760000002</v>
      </c>
    </row>
    <row r="2330" spans="1:10" ht="24" thickBot="1" x14ac:dyDescent="0.35">
      <c r="A2330" s="277" t="s">
        <v>108</v>
      </c>
      <c r="B2330" s="609" t="s">
        <v>32</v>
      </c>
      <c r="C2330" s="927"/>
      <c r="D2330" s="313"/>
      <c r="E2330" s="510">
        <v>12.2659</v>
      </c>
      <c r="F2330" s="411">
        <f>IFERROR(E2330*'01 Prod Physique Boites'!H2325,"-")</f>
        <v>0</v>
      </c>
      <c r="G2330" s="412">
        <f>IFERROR(E2330*'01 Prod Physique Boites'!L2325,"-")</f>
        <v>0</v>
      </c>
      <c r="H2330" s="395"/>
      <c r="I2330" s="429">
        <f>IFERROR(H2330*(F2330/E2330),"-")</f>
        <v>0</v>
      </c>
      <c r="J2330" s="430">
        <f>IFERROR(H2330*(G2330/E2330),"-")</f>
        <v>0</v>
      </c>
    </row>
    <row r="2331" spans="1:10" ht="24" thickBot="1" x14ac:dyDescent="0.35">
      <c r="A2331" s="277" t="s">
        <v>108</v>
      </c>
      <c r="B2331" s="981" t="s">
        <v>21</v>
      </c>
      <c r="C2331" s="982"/>
      <c r="D2331" s="983"/>
      <c r="E2331" s="396"/>
      <c r="F2331" s="413">
        <f t="shared" ref="F2331" si="1405">+F2317+F2329+F2330</f>
        <v>843454.22640000004</v>
      </c>
      <c r="G2331" s="414">
        <f>+G2317+G2329+G2330</f>
        <v>65249160.215999998</v>
      </c>
      <c r="H2331" s="397"/>
      <c r="I2331" s="413">
        <f t="shared" ref="I2331:J2331" si="1406">+I2317+I2329+I2330</f>
        <v>1058156.69</v>
      </c>
      <c r="J2331" s="431">
        <f t="shared" si="1406"/>
        <v>86172518.500000015</v>
      </c>
    </row>
    <row r="2332" spans="1:10" ht="24" thickBot="1" x14ac:dyDescent="0.35">
      <c r="A2332" s="277" t="s">
        <v>108</v>
      </c>
      <c r="B2332" s="984" t="s">
        <v>179</v>
      </c>
      <c r="C2332" s="962"/>
      <c r="D2332" s="963"/>
      <c r="E2332" s="398"/>
      <c r="F2332" s="415">
        <f t="shared" ref="F2332:G2332" si="1407">+F2331</f>
        <v>843454.22640000004</v>
      </c>
      <c r="G2332" s="416">
        <f t="shared" si="1407"/>
        <v>65249160.215999998</v>
      </c>
      <c r="H2332" s="399"/>
      <c r="I2332" s="415">
        <f t="shared" ref="I2332:J2332" si="1408">+I2331</f>
        <v>1058156.69</v>
      </c>
      <c r="J2332" s="432">
        <f t="shared" si="1408"/>
        <v>86172518.500000015</v>
      </c>
    </row>
    <row r="2333" spans="1:10" ht="23.4" x14ac:dyDescent="0.3">
      <c r="A2333" s="271" t="s">
        <v>109</v>
      </c>
      <c r="B2333" s="970" t="s">
        <v>482</v>
      </c>
      <c r="C2333" s="314" t="s">
        <v>120</v>
      </c>
      <c r="D2333" s="314"/>
      <c r="E2333" s="771">
        <v>254.89750000000001</v>
      </c>
      <c r="F2333" s="405">
        <f>IFERROR(E2333*'01 Prod Physique Boites'!H2328,"-")</f>
        <v>0</v>
      </c>
      <c r="G2333" s="406">
        <f>IFERROR(E2333*'01 Prod Physique Boites'!L2328,"-")</f>
        <v>0</v>
      </c>
      <c r="H2333" s="384">
        <v>445.38</v>
      </c>
      <c r="I2333" s="422">
        <f>IFERROR(H2333*(F2333/E2333),"-")</f>
        <v>0</v>
      </c>
      <c r="J2333" s="423">
        <f t="shared" ref="J2333:J2335" si="1409">IFERROR(H2333*(G2333/E2333),"-")</f>
        <v>0</v>
      </c>
    </row>
    <row r="2334" spans="1:10" ht="23.4" x14ac:dyDescent="0.3">
      <c r="A2334" s="277" t="s">
        <v>109</v>
      </c>
      <c r="B2334" s="972"/>
      <c r="C2334" s="315" t="s">
        <v>267</v>
      </c>
      <c r="D2334" s="315"/>
      <c r="E2334" s="507">
        <v>246.51390000000001</v>
      </c>
      <c r="F2334" s="405">
        <f>IFERROR(E2334*'01 Prod Physique Boites'!H2329,"-")</f>
        <v>887450.04</v>
      </c>
      <c r="G2334" s="406">
        <f>IFERROR(E2334*'01 Prod Physique Boites'!L2329,"-")</f>
        <v>5870728.5285</v>
      </c>
      <c r="H2334" s="388">
        <v>430.02</v>
      </c>
      <c r="I2334" s="424">
        <f>IFERROR(H2334*(F2334/E2334),"-")</f>
        <v>1548072</v>
      </c>
      <c r="J2334" s="425">
        <f t="shared" si="1409"/>
        <v>10240926.299999999</v>
      </c>
    </row>
    <row r="2335" spans="1:10" ht="24" thickBot="1" x14ac:dyDescent="0.35">
      <c r="A2335" s="277" t="s">
        <v>109</v>
      </c>
      <c r="B2335" s="971"/>
      <c r="C2335" s="316" t="s">
        <v>34</v>
      </c>
      <c r="D2335" s="316"/>
      <c r="E2335" s="504">
        <v>225.7713</v>
      </c>
      <c r="F2335" s="405">
        <f>IFERROR(E2335*'01 Prod Physique Boites'!H2330,"-")</f>
        <v>0</v>
      </c>
      <c r="G2335" s="406">
        <f>IFERROR(E2335*'01 Prod Physique Boites'!L2330,"-")</f>
        <v>0</v>
      </c>
      <c r="H2335" s="390"/>
      <c r="I2335" s="426">
        <f>IFERROR(H2335*(F2335/E2335),"-")</f>
        <v>0</v>
      </c>
      <c r="J2335" s="427">
        <f t="shared" si="1409"/>
        <v>0</v>
      </c>
    </row>
    <row r="2336" spans="1:10" ht="24" thickBot="1" x14ac:dyDescent="0.35">
      <c r="A2336" s="277" t="s">
        <v>109</v>
      </c>
      <c r="B2336" s="967" t="s">
        <v>35</v>
      </c>
      <c r="C2336" s="968"/>
      <c r="D2336" s="969"/>
      <c r="E2336" s="393"/>
      <c r="F2336" s="409">
        <f t="shared" ref="F2336:G2336" si="1410">SUM(F2333:F2335)</f>
        <v>887450.04</v>
      </c>
      <c r="G2336" s="410">
        <f t="shared" si="1410"/>
        <v>5870728.5285</v>
      </c>
      <c r="H2336" s="394"/>
      <c r="I2336" s="409">
        <f t="shared" ref="I2336:J2336" si="1411">SUM(I2333:I2335)</f>
        <v>1548072</v>
      </c>
      <c r="J2336" s="428">
        <f t="shared" si="1411"/>
        <v>10240926.299999999</v>
      </c>
    </row>
    <row r="2337" spans="1:10" ht="23.4" x14ac:dyDescent="0.3">
      <c r="A2337" s="277" t="s">
        <v>109</v>
      </c>
      <c r="B2337" s="970" t="s">
        <v>36</v>
      </c>
      <c r="C2337" s="314" t="s">
        <v>120</v>
      </c>
      <c r="D2337" s="314"/>
      <c r="E2337" s="506">
        <v>254.89750000000001</v>
      </c>
      <c r="F2337" s="405">
        <f>IFERROR(E2337*'01 Prod Physique Boites'!H2332,"-")</f>
        <v>0</v>
      </c>
      <c r="G2337" s="406">
        <f>IFERROR(E2337*'01 Prod Physique Boites'!L2332,"-")</f>
        <v>1468209.6</v>
      </c>
      <c r="H2337" s="384">
        <v>445.38</v>
      </c>
      <c r="I2337" s="422">
        <f>IFERROR(H2337*(F2337/E2337),"-")</f>
        <v>0</v>
      </c>
      <c r="J2337" s="423">
        <f t="shared" ref="J2337:J2340" si="1412">IFERROR(H2337*(G2337/E2337),"-")</f>
        <v>2565388.7999999998</v>
      </c>
    </row>
    <row r="2338" spans="1:10" ht="23.4" x14ac:dyDescent="0.3">
      <c r="A2338" s="277" t="s">
        <v>109</v>
      </c>
      <c r="B2338" s="972"/>
      <c r="C2338" s="315" t="s">
        <v>267</v>
      </c>
      <c r="D2338" s="315"/>
      <c r="E2338" s="507">
        <v>246.51390000000001</v>
      </c>
      <c r="F2338" s="405">
        <f>IFERROR(E2338*'01 Prod Physique Boites'!H2333,"-")</f>
        <v>0</v>
      </c>
      <c r="G2338" s="406">
        <f>IFERROR(E2338*'01 Prod Physique Boites'!L2333,"-")</f>
        <v>14399123.412900001</v>
      </c>
      <c r="H2338" s="388">
        <v>430.02</v>
      </c>
      <c r="I2338" s="424">
        <f>IFERROR(H2338*(F2338/E2338),"-")</f>
        <v>0</v>
      </c>
      <c r="J2338" s="425">
        <f t="shared" si="1412"/>
        <v>25117898.219999999</v>
      </c>
    </row>
    <row r="2339" spans="1:10" ht="23.4" x14ac:dyDescent="0.3">
      <c r="A2339" s="277" t="s">
        <v>109</v>
      </c>
      <c r="B2339" s="972"/>
      <c r="C2339" s="315" t="s">
        <v>198</v>
      </c>
      <c r="D2339" s="315" t="s">
        <v>197</v>
      </c>
      <c r="E2339" s="507">
        <v>254.89750000000001</v>
      </c>
      <c r="F2339" s="405">
        <f>IFERROR(E2339*'01 Prod Physique Boites'!H2334,"-")</f>
        <v>0</v>
      </c>
      <c r="G2339" s="406">
        <f>IFERROR(E2339*'01 Prod Physique Boites'!L2334,"-")</f>
        <v>0</v>
      </c>
      <c r="H2339" s="388"/>
      <c r="I2339" s="424">
        <f>IFERROR(H2339*(F2339/E2339),"-")</f>
        <v>0</v>
      </c>
      <c r="J2339" s="425">
        <f t="shared" si="1412"/>
        <v>0</v>
      </c>
    </row>
    <row r="2340" spans="1:10" ht="24" thickBot="1" x14ac:dyDescent="0.35">
      <c r="A2340" s="277" t="s">
        <v>109</v>
      </c>
      <c r="B2340" s="971"/>
      <c r="C2340" s="316" t="s">
        <v>37</v>
      </c>
      <c r="D2340" s="316"/>
      <c r="E2340" s="504">
        <v>229.99359999999999</v>
      </c>
      <c r="F2340" s="405">
        <f>IFERROR(E2340*'01 Prod Physique Boites'!H2335,"-")</f>
        <v>0</v>
      </c>
      <c r="G2340" s="406">
        <f>IFERROR(E2340*'01 Prod Physique Boites'!L2335,"-")</f>
        <v>0</v>
      </c>
      <c r="H2340" s="390"/>
      <c r="I2340" s="426">
        <f>IFERROR(H2340*(F2340/E2340),"-")</f>
        <v>0</v>
      </c>
      <c r="J2340" s="427">
        <f t="shared" si="1412"/>
        <v>0</v>
      </c>
    </row>
    <row r="2341" spans="1:10" ht="24" thickBot="1" x14ac:dyDescent="0.35">
      <c r="A2341" s="277" t="s">
        <v>109</v>
      </c>
      <c r="B2341" s="967" t="s">
        <v>38</v>
      </c>
      <c r="C2341" s="968"/>
      <c r="D2341" s="969"/>
      <c r="E2341" s="393"/>
      <c r="F2341" s="409">
        <f t="shared" ref="F2341:G2341" si="1413">SUM(F2337:F2340)</f>
        <v>0</v>
      </c>
      <c r="G2341" s="410">
        <f t="shared" si="1413"/>
        <v>15867333.0129</v>
      </c>
      <c r="H2341" s="394"/>
      <c r="I2341" s="409">
        <f>SUM(I2337:I2340)</f>
        <v>0</v>
      </c>
      <c r="J2341" s="428">
        <f>SUM(J2337:J2340)</f>
        <v>27683287.02</v>
      </c>
    </row>
    <row r="2342" spans="1:10" ht="23.4" x14ac:dyDescent="0.3">
      <c r="A2342" s="277" t="s">
        <v>109</v>
      </c>
      <c r="B2342" s="970" t="s">
        <v>483</v>
      </c>
      <c r="C2342" s="317" t="s">
        <v>123</v>
      </c>
      <c r="D2342" s="317"/>
      <c r="E2342" s="506">
        <v>195.2808</v>
      </c>
      <c r="F2342" s="405">
        <f>IFERROR(E2342*'01 Prod Physique Boites'!H2337,"-")</f>
        <v>0</v>
      </c>
      <c r="G2342" s="406">
        <f>IFERROR(E2342*'01 Prod Physique Boites'!L2337,"-")</f>
        <v>28120.4352</v>
      </c>
      <c r="H2342" s="715">
        <v>256.7</v>
      </c>
      <c r="I2342" s="422">
        <f>IFERROR(H2342*(F2342/E2342),"-")</f>
        <v>0</v>
      </c>
      <c r="J2342" s="423">
        <f t="shared" ref="J2342:J2343" si="1414">IFERROR(H2342*(G2342/E2342),"-")</f>
        <v>36964.799999999996</v>
      </c>
    </row>
    <row r="2343" spans="1:10" ht="24" thickBot="1" x14ac:dyDescent="0.35">
      <c r="A2343" s="277" t="s">
        <v>109</v>
      </c>
      <c r="B2343" s="971"/>
      <c r="C2343" s="289" t="s">
        <v>139</v>
      </c>
      <c r="D2343" s="289"/>
      <c r="E2343" s="504">
        <v>189.91890000000001</v>
      </c>
      <c r="F2343" s="405">
        <f>IFERROR(E2343*'01 Prod Physique Boites'!H2338,"-")</f>
        <v>1350323.379</v>
      </c>
      <c r="G2343" s="406">
        <f>IFERROR(E2343*'01 Prod Physique Boites'!L2338,"-")</f>
        <v>3447028.0350000001</v>
      </c>
      <c r="H2343" s="390">
        <v>320.35000000000002</v>
      </c>
      <c r="I2343" s="426">
        <f>IFERROR(H2343*(F2343/E2343),"-")</f>
        <v>2277688.5</v>
      </c>
      <c r="J2343" s="427">
        <f t="shared" si="1414"/>
        <v>5814352.5</v>
      </c>
    </row>
    <row r="2344" spans="1:10" ht="24" thickBot="1" x14ac:dyDescent="0.35">
      <c r="A2344" s="934" t="s">
        <v>109</v>
      </c>
      <c r="B2344" s="967" t="s">
        <v>40</v>
      </c>
      <c r="C2344" s="968"/>
      <c r="D2344" s="969"/>
      <c r="E2344" s="393"/>
      <c r="F2344" s="409">
        <f>SUM(F2342:F2343)</f>
        <v>1350323.379</v>
      </c>
      <c r="G2344" s="410">
        <f t="shared" ref="G2344" si="1415">SUM(G2342:G2343)</f>
        <v>3475148.4702000003</v>
      </c>
      <c r="H2344" s="394"/>
      <c r="I2344" s="409">
        <f t="shared" ref="I2344:J2344" si="1416">SUM(I2342:I2343)</f>
        <v>2277688.5</v>
      </c>
      <c r="J2344" s="428">
        <f t="shared" si="1416"/>
        <v>5851317.2999999998</v>
      </c>
    </row>
    <row r="2345" spans="1:10" ht="23.4" x14ac:dyDescent="0.3">
      <c r="A2345" s="277" t="s">
        <v>109</v>
      </c>
      <c r="B2345" s="970" t="s">
        <v>484</v>
      </c>
      <c r="C2345" s="272" t="s">
        <v>335</v>
      </c>
      <c r="D2345" s="272" t="s">
        <v>258</v>
      </c>
      <c r="E2345" s="508">
        <v>37.248699999999999</v>
      </c>
      <c r="F2345" s="405">
        <f>IFERROR(E2345*'01 Prod Physique Boites'!H2340,"-")</f>
        <v>745569.97919999994</v>
      </c>
      <c r="G2345" s="406">
        <f>IFERROR(E2345*'01 Prod Physique Boites'!L2340,"-")</f>
        <v>22045270.607999999</v>
      </c>
      <c r="H2345" s="384">
        <v>71.44</v>
      </c>
      <c r="I2345" s="422">
        <f>IFERROR(H2345*(F2345/E2345),"-")</f>
        <v>1429943.04</v>
      </c>
      <c r="J2345" s="423">
        <f>IFERROR(H2345*(G2345/E2345),"-")</f>
        <v>42281049.600000001</v>
      </c>
    </row>
    <row r="2346" spans="1:10" ht="23.4" x14ac:dyDescent="0.3">
      <c r="A2346" s="277" t="s">
        <v>109</v>
      </c>
      <c r="B2346" s="972"/>
      <c r="C2346" s="272" t="s">
        <v>164</v>
      </c>
      <c r="D2346" s="278"/>
      <c r="E2346" s="508">
        <v>37.248699999999999</v>
      </c>
      <c r="F2346" s="405">
        <f>IFERROR(E2346*'01 Prod Physique Boites'!H2341,"-")</f>
        <v>0</v>
      </c>
      <c r="G2346" s="406">
        <f>IFERROR(E2346*'01 Prod Physique Boites'!L2341,"-")</f>
        <v>0</v>
      </c>
      <c r="H2346" s="388"/>
      <c r="I2346" s="424">
        <f>IFERROR(H2346*(F2346/E2346),"-")</f>
        <v>0</v>
      </c>
      <c r="J2346" s="425">
        <f t="shared" ref="J2346:J2348" si="1417">IFERROR(H2346*(G2346/E2346),"-")</f>
        <v>0</v>
      </c>
    </row>
    <row r="2347" spans="1:10" ht="23.4" x14ac:dyDescent="0.3">
      <c r="A2347" s="277" t="s">
        <v>109</v>
      </c>
      <c r="B2347" s="972"/>
      <c r="C2347" s="278" t="s">
        <v>383</v>
      </c>
      <c r="D2347" s="272" t="s">
        <v>258</v>
      </c>
      <c r="E2347" s="508">
        <v>37.248699999999999</v>
      </c>
      <c r="F2347" s="405">
        <f>IFERROR(E2347*'01 Prod Physique Boites'!H2342,"-")</f>
        <v>0</v>
      </c>
      <c r="G2347" s="406">
        <f>IFERROR(E2347*'01 Prod Physique Boites'!L2342,"-")</f>
        <v>0</v>
      </c>
      <c r="H2347" s="388">
        <v>71.44</v>
      </c>
      <c r="I2347" s="424">
        <f>IFERROR(H2347*(F2347/E2347),"-")</f>
        <v>0</v>
      </c>
      <c r="J2347" s="425">
        <f t="shared" si="1417"/>
        <v>0</v>
      </c>
    </row>
    <row r="2348" spans="1:10" ht="24" thickBot="1" x14ac:dyDescent="0.35">
      <c r="A2348" s="277" t="s">
        <v>109</v>
      </c>
      <c r="B2348" s="972"/>
      <c r="C2348" s="278" t="s">
        <v>165</v>
      </c>
      <c r="D2348" s="278"/>
      <c r="E2348" s="509">
        <v>38.466099999999997</v>
      </c>
      <c r="F2348" s="405">
        <f>IFERROR(E2348*'01 Prod Physique Boites'!H2343,"-")</f>
        <v>0</v>
      </c>
      <c r="G2348" s="406">
        <f>IFERROR(E2348*'01 Prod Physique Boites'!L2343,"-")</f>
        <v>0</v>
      </c>
      <c r="H2348" s="388"/>
      <c r="I2348" s="424">
        <f>IFERROR(H2348*(F2348/E2348),"-")</f>
        <v>0</v>
      </c>
      <c r="J2348" s="425">
        <f t="shared" si="1417"/>
        <v>0</v>
      </c>
    </row>
    <row r="2349" spans="1:10" ht="24" thickBot="1" x14ac:dyDescent="0.35">
      <c r="A2349" s="277" t="s">
        <v>109</v>
      </c>
      <c r="B2349" s="967" t="s">
        <v>42</v>
      </c>
      <c r="C2349" s="968"/>
      <c r="D2349" s="969"/>
      <c r="E2349" s="393"/>
      <c r="F2349" s="409">
        <f>SUM(F2345:F2348)</f>
        <v>745569.97919999994</v>
      </c>
      <c r="G2349" s="410">
        <f>SUM(G2345:G2348)</f>
        <v>22045270.607999999</v>
      </c>
      <c r="H2349" s="394"/>
      <c r="I2349" s="409">
        <f>SUM(I2345:I2348)</f>
        <v>1429943.04</v>
      </c>
      <c r="J2349" s="409">
        <f>SUM(J2345:J2348)</f>
        <v>42281049.600000001</v>
      </c>
    </row>
    <row r="2350" spans="1:10" ht="23.4" x14ac:dyDescent="0.3">
      <c r="A2350" s="277" t="s">
        <v>109</v>
      </c>
      <c r="B2350" s="970" t="s">
        <v>43</v>
      </c>
      <c r="C2350" s="272" t="s">
        <v>200</v>
      </c>
      <c r="D2350" s="272" t="s">
        <v>197</v>
      </c>
      <c r="E2350" s="508">
        <v>30.7499</v>
      </c>
      <c r="F2350" s="405">
        <f>IFERROR(E2350*'01 Prod Physique Boites'!H2346,"-")</f>
        <v>0</v>
      </c>
      <c r="G2350" s="406">
        <f>IFERROR(E2350*'01 Prod Physique Boites'!L2346,"-")</f>
        <v>0</v>
      </c>
      <c r="H2350" s="384"/>
      <c r="I2350" s="422">
        <f>IFERROR(H2350*(F2350/E2350),"-")</f>
        <v>0</v>
      </c>
      <c r="J2350" s="423">
        <f>IFERROR(H2350*(G2350/E2350),"-")</f>
        <v>0</v>
      </c>
    </row>
    <row r="2351" spans="1:10" ht="23.4" x14ac:dyDescent="0.3">
      <c r="A2351" s="277" t="s">
        <v>109</v>
      </c>
      <c r="B2351" s="972"/>
      <c r="C2351" s="278" t="s">
        <v>167</v>
      </c>
      <c r="D2351" s="278"/>
      <c r="E2351" s="727">
        <v>25.139099999999999</v>
      </c>
      <c r="F2351" s="405">
        <f>IFERROR(E2351*'01 Prod Physique Boites'!H2347,"-")</f>
        <v>167124.73679999998</v>
      </c>
      <c r="G2351" s="406">
        <f>IFERROR(E2351*'01 Prod Physique Boites'!L2347,"-")</f>
        <v>5438693.4503999995</v>
      </c>
      <c r="H2351" s="388">
        <v>59.96</v>
      </c>
      <c r="I2351" s="424">
        <f>IFERROR(H2351*(F2351/E2351),"-")</f>
        <v>398614.08</v>
      </c>
      <c r="J2351" s="425">
        <f t="shared" ref="J2351:J2352" si="1418">IFERROR(H2351*(G2351/E2351),"-")</f>
        <v>12971986.24</v>
      </c>
    </row>
    <row r="2352" spans="1:10" ht="24" thickBot="1" x14ac:dyDescent="0.35">
      <c r="A2352" s="277" t="s">
        <v>109</v>
      </c>
      <c r="B2352" s="971"/>
      <c r="C2352" s="282" t="s">
        <v>200</v>
      </c>
      <c r="D2352" s="282" t="s">
        <v>199</v>
      </c>
      <c r="E2352" s="505">
        <v>30.073599999999999</v>
      </c>
      <c r="F2352" s="405">
        <f>IFERROR(E2352*'01 Prod Physique Boites'!H2348,"-")</f>
        <v>0</v>
      </c>
      <c r="G2352" s="406">
        <f>IFERROR(E2352*'01 Prod Physique Boites'!L2348,"-")</f>
        <v>0</v>
      </c>
      <c r="H2352" s="390"/>
      <c r="I2352" s="426">
        <f>IFERROR(H2352*(F2352/E2352),"-")</f>
        <v>0</v>
      </c>
      <c r="J2352" s="427">
        <f t="shared" si="1418"/>
        <v>0</v>
      </c>
    </row>
    <row r="2353" spans="1:10" ht="24" thickBot="1" x14ac:dyDescent="0.35">
      <c r="A2353" s="277" t="s">
        <v>109</v>
      </c>
      <c r="B2353" s="973" t="s">
        <v>44</v>
      </c>
      <c r="C2353" s="974"/>
      <c r="D2353" s="975"/>
      <c r="E2353" s="393"/>
      <c r="F2353" s="409">
        <f t="shared" ref="F2353:G2353" si="1419">SUM(F2350:F2352)</f>
        <v>167124.73679999998</v>
      </c>
      <c r="G2353" s="410">
        <f t="shared" si="1419"/>
        <v>5438693.4503999995</v>
      </c>
      <c r="H2353" s="394"/>
      <c r="I2353" s="409">
        <f t="shared" ref="I2353:J2353" si="1420">SUM(I2350:I2352)</f>
        <v>398614.08</v>
      </c>
      <c r="J2353" s="428">
        <f t="shared" si="1420"/>
        <v>12971986.24</v>
      </c>
    </row>
    <row r="2354" spans="1:10" ht="23.4" x14ac:dyDescent="0.3">
      <c r="A2354" s="277" t="s">
        <v>109</v>
      </c>
      <c r="B2354" s="970" t="s">
        <v>45</v>
      </c>
      <c r="C2354" s="272" t="s">
        <v>168</v>
      </c>
      <c r="D2354" s="272"/>
      <c r="E2354" s="508">
        <v>36.684899999999999</v>
      </c>
      <c r="F2354" s="405">
        <f>IFERROR(E2354*'01 Prod Physique Boites'!H2350,"-")</f>
        <v>0</v>
      </c>
      <c r="G2354" s="406">
        <f>IFERROR(E2354*'01 Prod Physique Boites'!L2350,"-")</f>
        <v>0</v>
      </c>
      <c r="H2354" s="384"/>
      <c r="I2354" s="385" t="s">
        <v>204</v>
      </c>
      <c r="J2354" s="386" t="s">
        <v>204</v>
      </c>
    </row>
    <row r="2355" spans="1:10" ht="24" thickBot="1" x14ac:dyDescent="0.35">
      <c r="A2355" s="277" t="s">
        <v>109</v>
      </c>
      <c r="B2355" s="971"/>
      <c r="C2355" s="282" t="s">
        <v>169</v>
      </c>
      <c r="D2355" s="282"/>
      <c r="E2355" s="505">
        <v>37.002800000000001</v>
      </c>
      <c r="F2355" s="405">
        <f>IFERROR(E2355*'01 Prod Physique Boites'!H2351,"-")</f>
        <v>0</v>
      </c>
      <c r="G2355" s="406">
        <f>IFERROR(E2355*'01 Prod Physique Boites'!L2351,"-")</f>
        <v>0</v>
      </c>
      <c r="H2355" s="390"/>
      <c r="I2355" s="391" t="s">
        <v>204</v>
      </c>
      <c r="J2355" s="392" t="s">
        <v>204</v>
      </c>
    </row>
    <row r="2356" spans="1:10" ht="24" thickBot="1" x14ac:dyDescent="0.35">
      <c r="A2356" s="277" t="s">
        <v>109</v>
      </c>
      <c r="B2356" s="973" t="s">
        <v>46</v>
      </c>
      <c r="C2356" s="974"/>
      <c r="D2356" s="975"/>
      <c r="E2356" s="393"/>
      <c r="F2356" s="405">
        <f>IFERROR(E2356*'01 Prod Physique Boites'!H2352,"-")</f>
        <v>0</v>
      </c>
      <c r="G2356" s="410">
        <f>IFERROR(E2356*'01 Prod Physique Boites'!L2352,"-")</f>
        <v>0</v>
      </c>
      <c r="H2356" s="394"/>
      <c r="I2356" s="409">
        <f t="shared" ref="I2356:J2356" si="1421">SUM(I2354:I2355)</f>
        <v>0</v>
      </c>
      <c r="J2356" s="428">
        <f t="shared" si="1421"/>
        <v>0</v>
      </c>
    </row>
    <row r="2357" spans="1:10" ht="24" thickBot="1" x14ac:dyDescent="0.35">
      <c r="A2357" s="277" t="s">
        <v>109</v>
      </c>
      <c r="B2357" s="959" t="s">
        <v>25</v>
      </c>
      <c r="C2357" s="960"/>
      <c r="D2357" s="961"/>
      <c r="E2357" s="396"/>
      <c r="F2357" s="413">
        <f>+F2336+F2341+F2344+F2349+F2353+F2356</f>
        <v>3150468.1349999998</v>
      </c>
      <c r="G2357" s="414">
        <f>+G2336+G2341+G2344+G2349+G2353+G2356</f>
        <v>52697174.07</v>
      </c>
      <c r="H2357" s="397"/>
      <c r="I2357" s="413">
        <f>+I2336+I2341+I2344+I2349+I2353+I2356</f>
        <v>5654317.6200000001</v>
      </c>
      <c r="J2357" s="431">
        <f>+J2336+J2341+J2344+J2349+J2353+J2356</f>
        <v>99028566.459999993</v>
      </c>
    </row>
    <row r="2358" spans="1:10" ht="24" thickBot="1" x14ac:dyDescent="0.35">
      <c r="A2358" s="321" t="s">
        <v>109</v>
      </c>
      <c r="B2358" s="962" t="s">
        <v>181</v>
      </c>
      <c r="C2358" s="962"/>
      <c r="D2358" s="963"/>
      <c r="E2358" s="398"/>
      <c r="F2358" s="415">
        <f t="shared" ref="F2358:G2358" si="1422">+F2357</f>
        <v>3150468.1349999998</v>
      </c>
      <c r="G2358" s="416">
        <f t="shared" si="1422"/>
        <v>52697174.07</v>
      </c>
      <c r="H2358" s="399"/>
      <c r="I2358" s="415">
        <f t="shared" ref="I2358" si="1423">+I2357</f>
        <v>5654317.6200000001</v>
      </c>
      <c r="J2358" s="432">
        <f>+J2357</f>
        <v>99028566.459999993</v>
      </c>
    </row>
    <row r="2359" spans="1:10" ht="24.6" thickBot="1" x14ac:dyDescent="0.35">
      <c r="A2359" s="322"/>
      <c r="B2359" s="964" t="s">
        <v>182</v>
      </c>
      <c r="C2359" s="965"/>
      <c r="D2359" s="966"/>
      <c r="E2359" s="404"/>
      <c r="F2359" s="421">
        <f>+F2297+F2332+F2358</f>
        <v>8082659.523</v>
      </c>
      <c r="G2359" s="421">
        <f>+G2297+G2332+G2358</f>
        <v>205150076.22869998</v>
      </c>
      <c r="H2359" s="404"/>
      <c r="I2359" s="421">
        <f>+I2297+I2332+I2358</f>
        <v>12730958.82</v>
      </c>
      <c r="J2359" s="435">
        <f>+J2297+J2332+J2358</f>
        <v>315596144.6128</v>
      </c>
    </row>
    <row r="2361" spans="1:10" x14ac:dyDescent="0.3">
      <c r="F2361" s="379"/>
      <c r="G2361" s="379"/>
      <c r="I2361" s="379"/>
      <c r="J2361" s="379"/>
    </row>
  </sheetData>
  <mergeCells count="1101">
    <mergeCell ref="B2341:D2341"/>
    <mergeCell ref="B2342:B2343"/>
    <mergeCell ref="B2344:D2344"/>
    <mergeCell ref="B2345:B2348"/>
    <mergeCell ref="B2349:D2349"/>
    <mergeCell ref="B2350:B2352"/>
    <mergeCell ref="B2353:D2353"/>
    <mergeCell ref="B2354:B2355"/>
    <mergeCell ref="B2356:D2356"/>
    <mergeCell ref="B2357:D2357"/>
    <mergeCell ref="B2358:D2358"/>
    <mergeCell ref="B2359:D2359"/>
    <mergeCell ref="B2280:D2280"/>
    <mergeCell ref="B2281:B2284"/>
    <mergeCell ref="B2285:D2285"/>
    <mergeCell ref="B2286:B2294"/>
    <mergeCell ref="B2295:D2295"/>
    <mergeCell ref="B2296:D2296"/>
    <mergeCell ref="B2297:D2297"/>
    <mergeCell ref="B2298:B2308"/>
    <mergeCell ref="B2309:B2316"/>
    <mergeCell ref="B2317:D2317"/>
    <mergeCell ref="B2318:B2328"/>
    <mergeCell ref="B2329:D2329"/>
    <mergeCell ref="B2331:D2331"/>
    <mergeCell ref="B2332:D2332"/>
    <mergeCell ref="B2333:B2335"/>
    <mergeCell ref="B2336:D2336"/>
    <mergeCell ref="B2337:B2340"/>
    <mergeCell ref="E2247:G2247"/>
    <mergeCell ref="E2248:G2248"/>
    <mergeCell ref="H2248:J2248"/>
    <mergeCell ref="H2249:H2250"/>
    <mergeCell ref="I2249:I2250"/>
    <mergeCell ref="J2249:J2250"/>
    <mergeCell ref="E2250:G2250"/>
    <mergeCell ref="B2251:B2254"/>
    <mergeCell ref="B2255:D2255"/>
    <mergeCell ref="B2256:B2262"/>
    <mergeCell ref="B2263:D2263"/>
    <mergeCell ref="B2264:B2270"/>
    <mergeCell ref="B2271:D2271"/>
    <mergeCell ref="B2272:B2274"/>
    <mergeCell ref="B2275:D2275"/>
    <mergeCell ref="B2276:B2278"/>
    <mergeCell ref="B2279:D2279"/>
    <mergeCell ref="B2219:D2219"/>
    <mergeCell ref="B2220:B2222"/>
    <mergeCell ref="B2223:D2223"/>
    <mergeCell ref="B2224:B2227"/>
    <mergeCell ref="B2228:D2228"/>
    <mergeCell ref="B2229:B2230"/>
    <mergeCell ref="B2231:D2231"/>
    <mergeCell ref="B2232:B2235"/>
    <mergeCell ref="B2236:D2236"/>
    <mergeCell ref="B2237:B2239"/>
    <mergeCell ref="B2240:D2240"/>
    <mergeCell ref="B2241:B2242"/>
    <mergeCell ref="B2243:D2243"/>
    <mergeCell ref="B2244:D2244"/>
    <mergeCell ref="B2245:D2245"/>
    <mergeCell ref="B2246:D2246"/>
    <mergeCell ref="A2247:A2250"/>
    <mergeCell ref="B2247:B2250"/>
    <mergeCell ref="C2247:C2250"/>
    <mergeCell ref="D2247:D2250"/>
    <mergeCell ref="B2163:B2165"/>
    <mergeCell ref="B2166:D2166"/>
    <mergeCell ref="B2167:B2169"/>
    <mergeCell ref="B2170:D2170"/>
    <mergeCell ref="B2171:D2171"/>
    <mergeCell ref="B2172:B2175"/>
    <mergeCell ref="B2176:D2176"/>
    <mergeCell ref="B2177:B2184"/>
    <mergeCell ref="B2185:D2185"/>
    <mergeCell ref="B2186:D2186"/>
    <mergeCell ref="B2187:D2187"/>
    <mergeCell ref="B2188:B2198"/>
    <mergeCell ref="B2199:B2204"/>
    <mergeCell ref="B2205:D2205"/>
    <mergeCell ref="B2206:B2215"/>
    <mergeCell ref="B2216:D2216"/>
    <mergeCell ref="B2218:D2218"/>
    <mergeCell ref="A2138:A2141"/>
    <mergeCell ref="B2138:B2141"/>
    <mergeCell ref="C2138:C2141"/>
    <mergeCell ref="D2138:D2141"/>
    <mergeCell ref="E2138:G2138"/>
    <mergeCell ref="E2139:G2139"/>
    <mergeCell ref="H2139:J2139"/>
    <mergeCell ref="H2140:H2141"/>
    <mergeCell ref="I2140:I2141"/>
    <mergeCell ref="J2140:J2141"/>
    <mergeCell ref="E2141:G2141"/>
    <mergeCell ref="B2142:B2145"/>
    <mergeCell ref="B2146:D2146"/>
    <mergeCell ref="B2147:B2153"/>
    <mergeCell ref="B2154:D2154"/>
    <mergeCell ref="B2155:B2161"/>
    <mergeCell ref="B2162:D2162"/>
    <mergeCell ref="B2026:D2026"/>
    <mergeCell ref="B2027:D2027"/>
    <mergeCell ref="B2028:D2028"/>
    <mergeCell ref="B2010:D2010"/>
    <mergeCell ref="B2011:B2012"/>
    <mergeCell ref="B2013:D2013"/>
    <mergeCell ref="B2014:B2017"/>
    <mergeCell ref="B2018:D2018"/>
    <mergeCell ref="B2019:B2021"/>
    <mergeCell ref="B2022:D2022"/>
    <mergeCell ref="B2023:B2024"/>
    <mergeCell ref="B2025:D2025"/>
    <mergeCell ref="B1953:D1953"/>
    <mergeCell ref="B1954:B1957"/>
    <mergeCell ref="B1958:D1958"/>
    <mergeCell ref="B1959:B1966"/>
    <mergeCell ref="B1967:D1967"/>
    <mergeCell ref="B1968:D1968"/>
    <mergeCell ref="B1969:D1969"/>
    <mergeCell ref="B1970:B1980"/>
    <mergeCell ref="B1981:B1986"/>
    <mergeCell ref="B1987:D1987"/>
    <mergeCell ref="B1988:B1997"/>
    <mergeCell ref="B1998:D1998"/>
    <mergeCell ref="B2000:D2000"/>
    <mergeCell ref="B2001:D2001"/>
    <mergeCell ref="B2002:B2004"/>
    <mergeCell ref="B2005:D2005"/>
    <mergeCell ref="B2006:B2009"/>
    <mergeCell ref="E1920:G1920"/>
    <mergeCell ref="E1921:G1921"/>
    <mergeCell ref="H1921:J1921"/>
    <mergeCell ref="H1922:H1923"/>
    <mergeCell ref="I1922:I1923"/>
    <mergeCell ref="J1922:J1923"/>
    <mergeCell ref="E1923:G1923"/>
    <mergeCell ref="B1924:B1927"/>
    <mergeCell ref="B1928:D1928"/>
    <mergeCell ref="B1929:B1935"/>
    <mergeCell ref="B1936:D1936"/>
    <mergeCell ref="B1937:B1943"/>
    <mergeCell ref="B1944:D1944"/>
    <mergeCell ref="B1945:B1947"/>
    <mergeCell ref="B1948:D1948"/>
    <mergeCell ref="B1949:B1951"/>
    <mergeCell ref="B1952:D1952"/>
    <mergeCell ref="B1892:D1892"/>
    <mergeCell ref="B1893:B1895"/>
    <mergeCell ref="B1896:D1896"/>
    <mergeCell ref="B1897:B1900"/>
    <mergeCell ref="B1917:D1917"/>
    <mergeCell ref="B1918:D1918"/>
    <mergeCell ref="B1919:D1919"/>
    <mergeCell ref="B1901:D1901"/>
    <mergeCell ref="B1902:B1903"/>
    <mergeCell ref="B1904:D1904"/>
    <mergeCell ref="B1905:B1908"/>
    <mergeCell ref="B1909:D1909"/>
    <mergeCell ref="B1910:B1912"/>
    <mergeCell ref="B1913:D1913"/>
    <mergeCell ref="B1914:B1915"/>
    <mergeCell ref="B1916:D1916"/>
    <mergeCell ref="A1920:A1923"/>
    <mergeCell ref="B1920:B1923"/>
    <mergeCell ref="C1920:C1923"/>
    <mergeCell ref="D1920:D1923"/>
    <mergeCell ref="B1838:B1840"/>
    <mergeCell ref="B1841:D1841"/>
    <mergeCell ref="B1842:B1844"/>
    <mergeCell ref="B1845:D1845"/>
    <mergeCell ref="B1846:D1846"/>
    <mergeCell ref="B1847:B1850"/>
    <mergeCell ref="B1851:D1851"/>
    <mergeCell ref="B1852:B1859"/>
    <mergeCell ref="B1860:D1860"/>
    <mergeCell ref="B1861:D1861"/>
    <mergeCell ref="B1862:D1862"/>
    <mergeCell ref="B1863:B1873"/>
    <mergeCell ref="B1874:B1879"/>
    <mergeCell ref="B1880:D1880"/>
    <mergeCell ref="B1881:B1888"/>
    <mergeCell ref="B1889:D1889"/>
    <mergeCell ref="B1891:D1891"/>
    <mergeCell ref="A1813:A1816"/>
    <mergeCell ref="B1813:B1816"/>
    <mergeCell ref="C1813:C1816"/>
    <mergeCell ref="D1813:D1816"/>
    <mergeCell ref="E1813:G1813"/>
    <mergeCell ref="E1814:G1814"/>
    <mergeCell ref="H1814:J1814"/>
    <mergeCell ref="H1815:H1816"/>
    <mergeCell ref="I1815:I1816"/>
    <mergeCell ref="J1815:J1816"/>
    <mergeCell ref="E1816:G1816"/>
    <mergeCell ref="B1817:B1820"/>
    <mergeCell ref="B1821:D1821"/>
    <mergeCell ref="B1822:B1828"/>
    <mergeCell ref="B1829:D1829"/>
    <mergeCell ref="B1830:B1836"/>
    <mergeCell ref="B1837:D1837"/>
    <mergeCell ref="B1773:D1773"/>
    <mergeCell ref="B1774:B1781"/>
    <mergeCell ref="B1782:D1782"/>
    <mergeCell ref="B1784:D1784"/>
    <mergeCell ref="B1785:D1785"/>
    <mergeCell ref="B1786:B1788"/>
    <mergeCell ref="B1789:D1789"/>
    <mergeCell ref="B1790:B1793"/>
    <mergeCell ref="B1810:D1810"/>
    <mergeCell ref="B1811:D1811"/>
    <mergeCell ref="B1812:D1812"/>
    <mergeCell ref="B1794:D1794"/>
    <mergeCell ref="B1795:B1796"/>
    <mergeCell ref="B1797:D1797"/>
    <mergeCell ref="B1798:B1801"/>
    <mergeCell ref="B1802:D1802"/>
    <mergeCell ref="B1803:B1805"/>
    <mergeCell ref="B1806:D1806"/>
    <mergeCell ref="B1807:B1808"/>
    <mergeCell ref="B1809:D1809"/>
    <mergeCell ref="B1715:B1721"/>
    <mergeCell ref="B1722:D1722"/>
    <mergeCell ref="B1723:B1729"/>
    <mergeCell ref="B1730:D1730"/>
    <mergeCell ref="B1731:B1733"/>
    <mergeCell ref="B1734:D1734"/>
    <mergeCell ref="B1735:B1737"/>
    <mergeCell ref="B1738:D1738"/>
    <mergeCell ref="B1739:D1739"/>
    <mergeCell ref="B1740:B1743"/>
    <mergeCell ref="B1744:D1744"/>
    <mergeCell ref="B1745:B1752"/>
    <mergeCell ref="B1753:D1753"/>
    <mergeCell ref="B1754:D1754"/>
    <mergeCell ref="B1755:D1755"/>
    <mergeCell ref="B1756:B1766"/>
    <mergeCell ref="B1767:B1772"/>
    <mergeCell ref="B1571:D1571"/>
    <mergeCell ref="B1572:B1574"/>
    <mergeCell ref="B1575:D1575"/>
    <mergeCell ref="B1576:B1579"/>
    <mergeCell ref="B1596:D1596"/>
    <mergeCell ref="B1597:D1597"/>
    <mergeCell ref="B1598:D1598"/>
    <mergeCell ref="B1580:D1580"/>
    <mergeCell ref="B1581:B1582"/>
    <mergeCell ref="B1583:D1583"/>
    <mergeCell ref="B1584:B1587"/>
    <mergeCell ref="B1588:D1588"/>
    <mergeCell ref="B1589:B1591"/>
    <mergeCell ref="B1592:D1592"/>
    <mergeCell ref="B1593:B1594"/>
    <mergeCell ref="B1595:D1595"/>
    <mergeCell ref="A1706:A1709"/>
    <mergeCell ref="B1706:B1709"/>
    <mergeCell ref="C1706:C1709"/>
    <mergeCell ref="D1706:D1709"/>
    <mergeCell ref="B1603:B1606"/>
    <mergeCell ref="B1607:D1607"/>
    <mergeCell ref="B1608:B1614"/>
    <mergeCell ref="B1615:D1615"/>
    <mergeCell ref="B1616:B1622"/>
    <mergeCell ref="B1623:D1623"/>
    <mergeCell ref="B1624:B1626"/>
    <mergeCell ref="B1627:D1627"/>
    <mergeCell ref="B1628:B1630"/>
    <mergeCell ref="A1599:A1602"/>
    <mergeCell ref="B1599:B1602"/>
    <mergeCell ref="C1599:C1602"/>
    <mergeCell ref="B1517:B1519"/>
    <mergeCell ref="B1520:D1520"/>
    <mergeCell ref="B1521:B1523"/>
    <mergeCell ref="B1524:D1524"/>
    <mergeCell ref="B1525:D1525"/>
    <mergeCell ref="B1526:B1529"/>
    <mergeCell ref="B1530:D1530"/>
    <mergeCell ref="B1531:B1538"/>
    <mergeCell ref="B1539:D1539"/>
    <mergeCell ref="B1540:D1540"/>
    <mergeCell ref="B1541:D1541"/>
    <mergeCell ref="B1542:B1552"/>
    <mergeCell ref="B1553:B1558"/>
    <mergeCell ref="B1559:D1559"/>
    <mergeCell ref="B1560:B1567"/>
    <mergeCell ref="B1568:D1568"/>
    <mergeCell ref="B1570:D1570"/>
    <mergeCell ref="A1492:A1495"/>
    <mergeCell ref="B1492:B1495"/>
    <mergeCell ref="C1492:C1495"/>
    <mergeCell ref="D1492:D1495"/>
    <mergeCell ref="E1492:G1492"/>
    <mergeCell ref="E1493:G1493"/>
    <mergeCell ref="H1493:J1493"/>
    <mergeCell ref="H1494:H1495"/>
    <mergeCell ref="I1494:I1495"/>
    <mergeCell ref="J1494:J1495"/>
    <mergeCell ref="E1495:G1495"/>
    <mergeCell ref="B1496:B1499"/>
    <mergeCell ref="B1500:D1500"/>
    <mergeCell ref="B1501:B1507"/>
    <mergeCell ref="B1508:D1508"/>
    <mergeCell ref="B1509:B1515"/>
    <mergeCell ref="B1516:D1516"/>
    <mergeCell ref="B1223:B1232"/>
    <mergeCell ref="B1233:B1238"/>
    <mergeCell ref="B1239:D1239"/>
    <mergeCell ref="B1240:B1247"/>
    <mergeCell ref="B1248:D1248"/>
    <mergeCell ref="B1250:D1250"/>
    <mergeCell ref="B1251:D1251"/>
    <mergeCell ref="B1252:B1254"/>
    <mergeCell ref="B1255:D1255"/>
    <mergeCell ref="B1256:B1259"/>
    <mergeCell ref="B1276:D1276"/>
    <mergeCell ref="B1277:D1277"/>
    <mergeCell ref="B1278:D1278"/>
    <mergeCell ref="B1260:D1260"/>
    <mergeCell ref="B1261:B1262"/>
    <mergeCell ref="B1263:D1263"/>
    <mergeCell ref="B1264:B1267"/>
    <mergeCell ref="B1268:D1268"/>
    <mergeCell ref="B1269:B1271"/>
    <mergeCell ref="B1272:D1272"/>
    <mergeCell ref="B1273:B1274"/>
    <mergeCell ref="B1275:D1275"/>
    <mergeCell ref="B1177:B1180"/>
    <mergeCell ref="B1181:D1181"/>
    <mergeCell ref="B1182:B1188"/>
    <mergeCell ref="B1189:D1189"/>
    <mergeCell ref="B1190:B1196"/>
    <mergeCell ref="B1197:D1197"/>
    <mergeCell ref="B1198:B1200"/>
    <mergeCell ref="B1201:D1201"/>
    <mergeCell ref="B1202:B1204"/>
    <mergeCell ref="B1205:D1205"/>
    <mergeCell ref="B1206:D1206"/>
    <mergeCell ref="B1207:B1210"/>
    <mergeCell ref="B1211:D1211"/>
    <mergeCell ref="B1212:B1219"/>
    <mergeCell ref="B1220:D1220"/>
    <mergeCell ref="B1221:D1221"/>
    <mergeCell ref="B1222:D1222"/>
    <mergeCell ref="B960:D960"/>
    <mergeCell ref="B942:D942"/>
    <mergeCell ref="B943:B944"/>
    <mergeCell ref="B945:D945"/>
    <mergeCell ref="B946:B949"/>
    <mergeCell ref="B950:D950"/>
    <mergeCell ref="B951:B953"/>
    <mergeCell ref="B954:D954"/>
    <mergeCell ref="B955:B956"/>
    <mergeCell ref="B957:D957"/>
    <mergeCell ref="A1173:A1176"/>
    <mergeCell ref="B1173:B1176"/>
    <mergeCell ref="C1173:C1176"/>
    <mergeCell ref="D1173:D1176"/>
    <mergeCell ref="E1173:G1173"/>
    <mergeCell ref="E1174:G1174"/>
    <mergeCell ref="H1174:J1174"/>
    <mergeCell ref="H1175:H1176"/>
    <mergeCell ref="I1175:I1176"/>
    <mergeCell ref="J1175:J1176"/>
    <mergeCell ref="E1176:G1176"/>
    <mergeCell ref="B965:B968"/>
    <mergeCell ref="B969:D969"/>
    <mergeCell ref="B970:B976"/>
    <mergeCell ref="B977:D977"/>
    <mergeCell ref="B978:B984"/>
    <mergeCell ref="B985:D985"/>
    <mergeCell ref="B986:B988"/>
    <mergeCell ref="B989:D989"/>
    <mergeCell ref="B990:B992"/>
    <mergeCell ref="A961:A964"/>
    <mergeCell ref="B961:B964"/>
    <mergeCell ref="B893:D893"/>
    <mergeCell ref="B894:B901"/>
    <mergeCell ref="B902:D902"/>
    <mergeCell ref="B903:D903"/>
    <mergeCell ref="B904:D904"/>
    <mergeCell ref="B905:B914"/>
    <mergeCell ref="B915:B920"/>
    <mergeCell ref="B921:D921"/>
    <mergeCell ref="B922:B929"/>
    <mergeCell ref="B930:D930"/>
    <mergeCell ref="B932:D932"/>
    <mergeCell ref="B933:D933"/>
    <mergeCell ref="B934:B936"/>
    <mergeCell ref="B937:D937"/>
    <mergeCell ref="B938:B941"/>
    <mergeCell ref="B958:D958"/>
    <mergeCell ref="B959:D959"/>
    <mergeCell ref="H856:J856"/>
    <mergeCell ref="H857:H858"/>
    <mergeCell ref="I857:I858"/>
    <mergeCell ref="J857:J858"/>
    <mergeCell ref="E858:G858"/>
    <mergeCell ref="B859:B862"/>
    <mergeCell ref="B863:D863"/>
    <mergeCell ref="B864:B870"/>
    <mergeCell ref="B871:D871"/>
    <mergeCell ref="B872:B878"/>
    <mergeCell ref="B879:D879"/>
    <mergeCell ref="B880:B882"/>
    <mergeCell ref="B883:D883"/>
    <mergeCell ref="B884:B886"/>
    <mergeCell ref="B887:D887"/>
    <mergeCell ref="B888:D888"/>
    <mergeCell ref="B889:B892"/>
    <mergeCell ref="B852:D852"/>
    <mergeCell ref="B853:D853"/>
    <mergeCell ref="B854:D854"/>
    <mergeCell ref="B836:D836"/>
    <mergeCell ref="B837:B838"/>
    <mergeCell ref="B839:D839"/>
    <mergeCell ref="B840:B843"/>
    <mergeCell ref="B844:D844"/>
    <mergeCell ref="B845:B847"/>
    <mergeCell ref="B848:D848"/>
    <mergeCell ref="B849:B850"/>
    <mergeCell ref="B851:D851"/>
    <mergeCell ref="A855:A858"/>
    <mergeCell ref="B855:B858"/>
    <mergeCell ref="C855:C858"/>
    <mergeCell ref="D855:D858"/>
    <mergeCell ref="E855:G855"/>
    <mergeCell ref="E856:G856"/>
    <mergeCell ref="B782:D782"/>
    <mergeCell ref="B783:B786"/>
    <mergeCell ref="B787:D787"/>
    <mergeCell ref="B788:B795"/>
    <mergeCell ref="B796:D796"/>
    <mergeCell ref="B797:D797"/>
    <mergeCell ref="B798:D798"/>
    <mergeCell ref="B799:B808"/>
    <mergeCell ref="B809:B814"/>
    <mergeCell ref="B815:D815"/>
    <mergeCell ref="B816:B823"/>
    <mergeCell ref="B824:D824"/>
    <mergeCell ref="B826:D826"/>
    <mergeCell ref="B827:D827"/>
    <mergeCell ref="B828:B830"/>
    <mergeCell ref="B831:D831"/>
    <mergeCell ref="B832:B835"/>
    <mergeCell ref="E749:G749"/>
    <mergeCell ref="E750:G750"/>
    <mergeCell ref="H750:J750"/>
    <mergeCell ref="H751:H752"/>
    <mergeCell ref="I751:I752"/>
    <mergeCell ref="J751:J752"/>
    <mergeCell ref="E752:G752"/>
    <mergeCell ref="B753:B756"/>
    <mergeCell ref="B757:D757"/>
    <mergeCell ref="B758:B764"/>
    <mergeCell ref="B765:D765"/>
    <mergeCell ref="B766:B772"/>
    <mergeCell ref="B773:D773"/>
    <mergeCell ref="B774:B776"/>
    <mergeCell ref="B777:D777"/>
    <mergeCell ref="B778:B780"/>
    <mergeCell ref="B781:D781"/>
    <mergeCell ref="B721:D721"/>
    <mergeCell ref="B722:B724"/>
    <mergeCell ref="B725:D725"/>
    <mergeCell ref="B726:B729"/>
    <mergeCell ref="B746:D746"/>
    <mergeCell ref="B747:D747"/>
    <mergeCell ref="B748:D748"/>
    <mergeCell ref="B730:D730"/>
    <mergeCell ref="B731:B732"/>
    <mergeCell ref="B733:D733"/>
    <mergeCell ref="B734:B737"/>
    <mergeCell ref="B738:D738"/>
    <mergeCell ref="B739:B741"/>
    <mergeCell ref="B742:D742"/>
    <mergeCell ref="B743:B744"/>
    <mergeCell ref="B745:D745"/>
    <mergeCell ref="A749:A752"/>
    <mergeCell ref="B749:B752"/>
    <mergeCell ref="C749:C752"/>
    <mergeCell ref="D749:D752"/>
    <mergeCell ref="B668:B670"/>
    <mergeCell ref="B671:D671"/>
    <mergeCell ref="B672:B674"/>
    <mergeCell ref="B675:D675"/>
    <mergeCell ref="B676:D676"/>
    <mergeCell ref="B677:B680"/>
    <mergeCell ref="B681:D681"/>
    <mergeCell ref="B682:B689"/>
    <mergeCell ref="B690:D690"/>
    <mergeCell ref="B691:D691"/>
    <mergeCell ref="B692:D692"/>
    <mergeCell ref="B693:B702"/>
    <mergeCell ref="B703:B708"/>
    <mergeCell ref="B709:D709"/>
    <mergeCell ref="B710:B717"/>
    <mergeCell ref="B718:D718"/>
    <mergeCell ref="B720:D720"/>
    <mergeCell ref="A643:A646"/>
    <mergeCell ref="B643:B646"/>
    <mergeCell ref="C643:C646"/>
    <mergeCell ref="D643:D646"/>
    <mergeCell ref="E643:G643"/>
    <mergeCell ref="E644:G644"/>
    <mergeCell ref="H644:J644"/>
    <mergeCell ref="H645:H646"/>
    <mergeCell ref="I645:I646"/>
    <mergeCell ref="J645:J646"/>
    <mergeCell ref="E646:G646"/>
    <mergeCell ref="B647:B650"/>
    <mergeCell ref="B651:D651"/>
    <mergeCell ref="B652:B658"/>
    <mergeCell ref="B659:D659"/>
    <mergeCell ref="B660:B666"/>
    <mergeCell ref="B667:D667"/>
    <mergeCell ref="B587:B596"/>
    <mergeCell ref="B597:B602"/>
    <mergeCell ref="B603:D603"/>
    <mergeCell ref="B604:B611"/>
    <mergeCell ref="B612:D612"/>
    <mergeCell ref="B614:D614"/>
    <mergeCell ref="B615:D615"/>
    <mergeCell ref="B616:B618"/>
    <mergeCell ref="B619:D619"/>
    <mergeCell ref="B620:B623"/>
    <mergeCell ref="B640:D640"/>
    <mergeCell ref="B641:D641"/>
    <mergeCell ref="B642:D642"/>
    <mergeCell ref="B624:D624"/>
    <mergeCell ref="B625:B626"/>
    <mergeCell ref="B627:D627"/>
    <mergeCell ref="B628:B631"/>
    <mergeCell ref="B632:D632"/>
    <mergeCell ref="B633:B635"/>
    <mergeCell ref="B636:D636"/>
    <mergeCell ref="B637:B638"/>
    <mergeCell ref="B639:D639"/>
    <mergeCell ref="B541:B544"/>
    <mergeCell ref="B545:D545"/>
    <mergeCell ref="B546:B552"/>
    <mergeCell ref="B553:D553"/>
    <mergeCell ref="B554:B560"/>
    <mergeCell ref="B561:D561"/>
    <mergeCell ref="B562:B564"/>
    <mergeCell ref="B565:D565"/>
    <mergeCell ref="B566:B568"/>
    <mergeCell ref="B569:D569"/>
    <mergeCell ref="B570:D570"/>
    <mergeCell ref="B571:B574"/>
    <mergeCell ref="B575:D575"/>
    <mergeCell ref="B576:B583"/>
    <mergeCell ref="B584:D584"/>
    <mergeCell ref="B585:D585"/>
    <mergeCell ref="B586:D586"/>
    <mergeCell ref="B536:D536"/>
    <mergeCell ref="B518:D518"/>
    <mergeCell ref="B519:B520"/>
    <mergeCell ref="B521:D521"/>
    <mergeCell ref="B522:B525"/>
    <mergeCell ref="B526:D526"/>
    <mergeCell ref="B527:B529"/>
    <mergeCell ref="B530:D530"/>
    <mergeCell ref="B531:B532"/>
    <mergeCell ref="B533:D533"/>
    <mergeCell ref="A537:A540"/>
    <mergeCell ref="B537:B540"/>
    <mergeCell ref="C537:C540"/>
    <mergeCell ref="D537:D540"/>
    <mergeCell ref="E537:G537"/>
    <mergeCell ref="E538:G538"/>
    <mergeCell ref="H538:J538"/>
    <mergeCell ref="H539:H540"/>
    <mergeCell ref="I539:I540"/>
    <mergeCell ref="J539:J540"/>
    <mergeCell ref="E540:G540"/>
    <mergeCell ref="B469:D469"/>
    <mergeCell ref="B470:B477"/>
    <mergeCell ref="B478:D478"/>
    <mergeCell ref="B479:D479"/>
    <mergeCell ref="B480:D480"/>
    <mergeCell ref="B481:B490"/>
    <mergeCell ref="B491:B496"/>
    <mergeCell ref="B497:D497"/>
    <mergeCell ref="B498:B505"/>
    <mergeCell ref="B506:D506"/>
    <mergeCell ref="B508:D508"/>
    <mergeCell ref="B509:D509"/>
    <mergeCell ref="B510:B512"/>
    <mergeCell ref="B513:D513"/>
    <mergeCell ref="B514:B517"/>
    <mergeCell ref="B534:D534"/>
    <mergeCell ref="B535:D535"/>
    <mergeCell ref="H432:J432"/>
    <mergeCell ref="H433:H434"/>
    <mergeCell ref="I433:I434"/>
    <mergeCell ref="J433:J434"/>
    <mergeCell ref="E434:G434"/>
    <mergeCell ref="B435:B438"/>
    <mergeCell ref="B439:D439"/>
    <mergeCell ref="B440:B446"/>
    <mergeCell ref="B447:D447"/>
    <mergeCell ref="B448:B454"/>
    <mergeCell ref="B455:D455"/>
    <mergeCell ref="B456:B458"/>
    <mergeCell ref="B459:D459"/>
    <mergeCell ref="B460:B462"/>
    <mergeCell ref="B463:D463"/>
    <mergeCell ref="B464:D464"/>
    <mergeCell ref="B465:B468"/>
    <mergeCell ref="B428:D428"/>
    <mergeCell ref="B429:D429"/>
    <mergeCell ref="B430:D430"/>
    <mergeCell ref="B411:D411"/>
    <mergeCell ref="B412:B413"/>
    <mergeCell ref="B414:D414"/>
    <mergeCell ref="B415:B419"/>
    <mergeCell ref="B420:D420"/>
    <mergeCell ref="B421:B423"/>
    <mergeCell ref="B424:D424"/>
    <mergeCell ref="B425:B426"/>
    <mergeCell ref="B427:D427"/>
    <mergeCell ref="A431:A434"/>
    <mergeCell ref="B431:B434"/>
    <mergeCell ref="C431:C434"/>
    <mergeCell ref="D431:D434"/>
    <mergeCell ref="E431:G431"/>
    <mergeCell ref="E432:G432"/>
    <mergeCell ref="B359:D359"/>
    <mergeCell ref="B360:B363"/>
    <mergeCell ref="B364:D364"/>
    <mergeCell ref="B365:B372"/>
    <mergeCell ref="B373:D373"/>
    <mergeCell ref="B374:D374"/>
    <mergeCell ref="B375:D375"/>
    <mergeCell ref="B376:B385"/>
    <mergeCell ref="B386:B389"/>
    <mergeCell ref="B390:D390"/>
    <mergeCell ref="B391:B398"/>
    <mergeCell ref="B399:D399"/>
    <mergeCell ref="B401:D401"/>
    <mergeCell ref="B402:D402"/>
    <mergeCell ref="B403:B405"/>
    <mergeCell ref="B406:D406"/>
    <mergeCell ref="B407:B410"/>
    <mergeCell ref="E326:G326"/>
    <mergeCell ref="E327:G327"/>
    <mergeCell ref="H327:J327"/>
    <mergeCell ref="H328:H329"/>
    <mergeCell ref="I328:I329"/>
    <mergeCell ref="J328:J329"/>
    <mergeCell ref="E329:G329"/>
    <mergeCell ref="B330:B333"/>
    <mergeCell ref="B334:D334"/>
    <mergeCell ref="B335:B341"/>
    <mergeCell ref="B342:D342"/>
    <mergeCell ref="B343:B349"/>
    <mergeCell ref="B350:D350"/>
    <mergeCell ref="B351:B353"/>
    <mergeCell ref="B354:D354"/>
    <mergeCell ref="B355:B357"/>
    <mergeCell ref="B358:D358"/>
    <mergeCell ref="B297:D297"/>
    <mergeCell ref="B298:B300"/>
    <mergeCell ref="B301:D301"/>
    <mergeCell ref="B302:B305"/>
    <mergeCell ref="B323:D323"/>
    <mergeCell ref="B324:D324"/>
    <mergeCell ref="B325:D325"/>
    <mergeCell ref="B306:D306"/>
    <mergeCell ref="B307:B308"/>
    <mergeCell ref="B309:D309"/>
    <mergeCell ref="B310:B314"/>
    <mergeCell ref="B315:D315"/>
    <mergeCell ref="B316:B318"/>
    <mergeCell ref="B319:D319"/>
    <mergeCell ref="B320:B321"/>
    <mergeCell ref="B322:D322"/>
    <mergeCell ref="A326:A329"/>
    <mergeCell ref="B326:B329"/>
    <mergeCell ref="C326:C329"/>
    <mergeCell ref="D326:D329"/>
    <mergeCell ref="B246:B248"/>
    <mergeCell ref="B249:D249"/>
    <mergeCell ref="B250:B252"/>
    <mergeCell ref="B253:D253"/>
    <mergeCell ref="B254:D254"/>
    <mergeCell ref="B255:B258"/>
    <mergeCell ref="B259:D259"/>
    <mergeCell ref="B260:B267"/>
    <mergeCell ref="B268:D268"/>
    <mergeCell ref="B269:D269"/>
    <mergeCell ref="B270:D270"/>
    <mergeCell ref="B271:B280"/>
    <mergeCell ref="B281:B284"/>
    <mergeCell ref="B285:D285"/>
    <mergeCell ref="B286:B293"/>
    <mergeCell ref="B294:D294"/>
    <mergeCell ref="B296:D296"/>
    <mergeCell ref="A221:A224"/>
    <mergeCell ref="B221:B224"/>
    <mergeCell ref="C221:C224"/>
    <mergeCell ref="D221:D224"/>
    <mergeCell ref="E221:G221"/>
    <mergeCell ref="E222:G222"/>
    <mergeCell ref="H222:J222"/>
    <mergeCell ref="H223:H224"/>
    <mergeCell ref="I223:I224"/>
    <mergeCell ref="J223:J224"/>
    <mergeCell ref="E224:G224"/>
    <mergeCell ref="B225:B228"/>
    <mergeCell ref="B229:D229"/>
    <mergeCell ref="B230:B236"/>
    <mergeCell ref="B237:D237"/>
    <mergeCell ref="B238:B244"/>
    <mergeCell ref="B245:D245"/>
    <mergeCell ref="H117:J117"/>
    <mergeCell ref="H118:H119"/>
    <mergeCell ref="I118:I119"/>
    <mergeCell ref="J118:J119"/>
    <mergeCell ref="B120:B123"/>
    <mergeCell ref="B219:D219"/>
    <mergeCell ref="B220:D220"/>
    <mergeCell ref="B205:B209"/>
    <mergeCell ref="B210:D210"/>
    <mergeCell ref="B211:B213"/>
    <mergeCell ref="B214:D214"/>
    <mergeCell ref="B215:B216"/>
    <mergeCell ref="B217:D217"/>
    <mergeCell ref="B218:D218"/>
    <mergeCell ref="B197:B200"/>
    <mergeCell ref="B201:D201"/>
    <mergeCell ref="B202:B203"/>
    <mergeCell ref="B204:D204"/>
    <mergeCell ref="B191:D191"/>
    <mergeCell ref="B181:B188"/>
    <mergeCell ref="B189:D189"/>
    <mergeCell ref="B192:D192"/>
    <mergeCell ref="B193:B195"/>
    <mergeCell ref="B196:D196"/>
    <mergeCell ref="B141:B143"/>
    <mergeCell ref="B144:D144"/>
    <mergeCell ref="B145:B147"/>
    <mergeCell ref="B148:D148"/>
    <mergeCell ref="B149:D149"/>
    <mergeCell ref="B124:D124"/>
    <mergeCell ref="B125:B131"/>
    <mergeCell ref="B132:D132"/>
    <mergeCell ref="B115:D115"/>
    <mergeCell ref="B86:D86"/>
    <mergeCell ref="B133:B139"/>
    <mergeCell ref="B140:D140"/>
    <mergeCell ref="B166:B175"/>
    <mergeCell ref="B176:B179"/>
    <mergeCell ref="B180:D180"/>
    <mergeCell ref="B165:D165"/>
    <mergeCell ref="B150:B153"/>
    <mergeCell ref="B154:D154"/>
    <mergeCell ref="B155:B162"/>
    <mergeCell ref="B163:D163"/>
    <mergeCell ref="B164:D164"/>
    <mergeCell ref="E119:G119"/>
    <mergeCell ref="A116:A119"/>
    <mergeCell ref="B116:B119"/>
    <mergeCell ref="C116:C119"/>
    <mergeCell ref="D116:D119"/>
    <mergeCell ref="E116:G116"/>
    <mergeCell ref="E117:G117"/>
    <mergeCell ref="B45:B48"/>
    <mergeCell ref="B49:D49"/>
    <mergeCell ref="B87:D87"/>
    <mergeCell ref="B88:B90"/>
    <mergeCell ref="B91:D91"/>
    <mergeCell ref="B92:B95"/>
    <mergeCell ref="B96:D96"/>
    <mergeCell ref="B97:B98"/>
    <mergeCell ref="B99:D99"/>
    <mergeCell ref="B100:B104"/>
    <mergeCell ref="B105:D105"/>
    <mergeCell ref="B106:B108"/>
    <mergeCell ref="B109:D109"/>
    <mergeCell ref="B110:B111"/>
    <mergeCell ref="B112:D112"/>
    <mergeCell ref="B113:D113"/>
    <mergeCell ref="B114:D114"/>
    <mergeCell ref="A9:J9"/>
    <mergeCell ref="E11:G11"/>
    <mergeCell ref="E12:G12"/>
    <mergeCell ref="H12:J12"/>
    <mergeCell ref="H13:H14"/>
    <mergeCell ref="I13:I14"/>
    <mergeCell ref="J13:J14"/>
    <mergeCell ref="E14:G14"/>
    <mergeCell ref="B59:D59"/>
    <mergeCell ref="B50:B57"/>
    <mergeCell ref="B58:D58"/>
    <mergeCell ref="B60:D60"/>
    <mergeCell ref="B61:B70"/>
    <mergeCell ref="B71:B74"/>
    <mergeCell ref="B75:D75"/>
    <mergeCell ref="B76:B83"/>
    <mergeCell ref="B84:D84"/>
    <mergeCell ref="A11:A14"/>
    <mergeCell ref="B11:B14"/>
    <mergeCell ref="C11:C14"/>
    <mergeCell ref="D11:D14"/>
    <mergeCell ref="B15:B18"/>
    <mergeCell ref="B19:D19"/>
    <mergeCell ref="B20:B26"/>
    <mergeCell ref="B27:D27"/>
    <mergeCell ref="B28:B34"/>
    <mergeCell ref="B35:D35"/>
    <mergeCell ref="B36:B38"/>
    <mergeCell ref="B39:D39"/>
    <mergeCell ref="B40:B42"/>
    <mergeCell ref="B43:D43"/>
    <mergeCell ref="B44:D44"/>
    <mergeCell ref="C961:C964"/>
    <mergeCell ref="D961:D964"/>
    <mergeCell ref="E961:G961"/>
    <mergeCell ref="E962:G962"/>
    <mergeCell ref="H962:J962"/>
    <mergeCell ref="H963:H964"/>
    <mergeCell ref="I963:I964"/>
    <mergeCell ref="J963:J964"/>
    <mergeCell ref="E964:G964"/>
    <mergeCell ref="B1021:B1026"/>
    <mergeCell ref="B1027:D1027"/>
    <mergeCell ref="B1028:B1035"/>
    <mergeCell ref="B1036:D1036"/>
    <mergeCell ref="B1038:D1038"/>
    <mergeCell ref="B1039:D1039"/>
    <mergeCell ref="B1040:B1042"/>
    <mergeCell ref="B1043:D1043"/>
    <mergeCell ref="B1044:B1047"/>
    <mergeCell ref="B993:D993"/>
    <mergeCell ref="B994:D994"/>
    <mergeCell ref="B995:B998"/>
    <mergeCell ref="B999:D999"/>
    <mergeCell ref="B1000:B1007"/>
    <mergeCell ref="B1008:D1008"/>
    <mergeCell ref="B1009:D1009"/>
    <mergeCell ref="B1010:D1010"/>
    <mergeCell ref="B1011:B1020"/>
    <mergeCell ref="A1067:A1070"/>
    <mergeCell ref="B1067:B1070"/>
    <mergeCell ref="C1067:C1070"/>
    <mergeCell ref="D1067:D1070"/>
    <mergeCell ref="E1067:G1067"/>
    <mergeCell ref="E1068:G1068"/>
    <mergeCell ref="H1068:J1068"/>
    <mergeCell ref="H1069:H1070"/>
    <mergeCell ref="I1069:I1070"/>
    <mergeCell ref="J1069:J1070"/>
    <mergeCell ref="E1070:G1070"/>
    <mergeCell ref="B1064:D1064"/>
    <mergeCell ref="B1065:D1065"/>
    <mergeCell ref="B1066:D1066"/>
    <mergeCell ref="B1048:D1048"/>
    <mergeCell ref="B1049:B1050"/>
    <mergeCell ref="B1051:D1051"/>
    <mergeCell ref="B1052:B1055"/>
    <mergeCell ref="B1056:D1056"/>
    <mergeCell ref="B1057:B1059"/>
    <mergeCell ref="B1060:D1060"/>
    <mergeCell ref="B1061:B1062"/>
    <mergeCell ref="B1063:D1063"/>
    <mergeCell ref="B1099:D1099"/>
    <mergeCell ref="B1100:D1100"/>
    <mergeCell ref="B1101:B1104"/>
    <mergeCell ref="B1105:D1105"/>
    <mergeCell ref="B1106:B1113"/>
    <mergeCell ref="B1114:D1114"/>
    <mergeCell ref="B1115:D1115"/>
    <mergeCell ref="B1116:D1116"/>
    <mergeCell ref="B1117:B1126"/>
    <mergeCell ref="B1071:B1074"/>
    <mergeCell ref="B1075:D1075"/>
    <mergeCell ref="B1076:B1082"/>
    <mergeCell ref="B1083:D1083"/>
    <mergeCell ref="B1084:B1090"/>
    <mergeCell ref="B1091:D1091"/>
    <mergeCell ref="B1092:B1094"/>
    <mergeCell ref="B1095:D1095"/>
    <mergeCell ref="B1096:B1098"/>
    <mergeCell ref="B1170:D1170"/>
    <mergeCell ref="B1171:D1171"/>
    <mergeCell ref="B1172:D1172"/>
    <mergeCell ref="B1154:D1154"/>
    <mergeCell ref="B1155:B1156"/>
    <mergeCell ref="B1157:D1157"/>
    <mergeCell ref="B1158:B1161"/>
    <mergeCell ref="B1162:D1162"/>
    <mergeCell ref="B1163:B1165"/>
    <mergeCell ref="B1166:D1166"/>
    <mergeCell ref="B1167:B1168"/>
    <mergeCell ref="B1169:D1169"/>
    <mergeCell ref="B1127:B1132"/>
    <mergeCell ref="B1133:D1133"/>
    <mergeCell ref="B1134:B1141"/>
    <mergeCell ref="B1142:D1142"/>
    <mergeCell ref="B1144:D1144"/>
    <mergeCell ref="B1145:D1145"/>
    <mergeCell ref="B1146:B1148"/>
    <mergeCell ref="B1149:D1149"/>
    <mergeCell ref="B1150:B1153"/>
    <mergeCell ref="B1283:B1286"/>
    <mergeCell ref="B1287:D1287"/>
    <mergeCell ref="B1288:B1294"/>
    <mergeCell ref="B1295:D1295"/>
    <mergeCell ref="B1296:B1302"/>
    <mergeCell ref="B1303:D1303"/>
    <mergeCell ref="B1304:B1306"/>
    <mergeCell ref="B1307:D1307"/>
    <mergeCell ref="B1308:B1310"/>
    <mergeCell ref="A1279:A1282"/>
    <mergeCell ref="B1279:B1282"/>
    <mergeCell ref="C1279:C1282"/>
    <mergeCell ref="D1279:D1282"/>
    <mergeCell ref="E1279:G1279"/>
    <mergeCell ref="E1280:G1280"/>
    <mergeCell ref="H1280:J1280"/>
    <mergeCell ref="H1281:H1282"/>
    <mergeCell ref="I1281:I1282"/>
    <mergeCell ref="J1281:J1282"/>
    <mergeCell ref="E1282:G1282"/>
    <mergeCell ref="B1339:B1344"/>
    <mergeCell ref="B1345:D1345"/>
    <mergeCell ref="B1346:B1353"/>
    <mergeCell ref="B1354:D1354"/>
    <mergeCell ref="B1356:D1356"/>
    <mergeCell ref="B1357:D1357"/>
    <mergeCell ref="B1358:B1360"/>
    <mergeCell ref="B1361:D1361"/>
    <mergeCell ref="B1362:B1365"/>
    <mergeCell ref="B1311:D1311"/>
    <mergeCell ref="B1312:D1312"/>
    <mergeCell ref="B1313:B1316"/>
    <mergeCell ref="B1317:D1317"/>
    <mergeCell ref="B1318:B1325"/>
    <mergeCell ref="B1326:D1326"/>
    <mergeCell ref="B1327:D1327"/>
    <mergeCell ref="B1328:D1328"/>
    <mergeCell ref="B1329:B1338"/>
    <mergeCell ref="A1385:A1388"/>
    <mergeCell ref="B1385:B1388"/>
    <mergeCell ref="C1385:C1388"/>
    <mergeCell ref="D1385:D1388"/>
    <mergeCell ref="E1385:G1385"/>
    <mergeCell ref="E1386:G1386"/>
    <mergeCell ref="H1386:J1386"/>
    <mergeCell ref="H1387:H1388"/>
    <mergeCell ref="I1387:I1388"/>
    <mergeCell ref="J1387:J1388"/>
    <mergeCell ref="E1388:G1388"/>
    <mergeCell ref="B1382:D1382"/>
    <mergeCell ref="B1383:D1383"/>
    <mergeCell ref="B1384:D1384"/>
    <mergeCell ref="B1366:D1366"/>
    <mergeCell ref="B1367:B1368"/>
    <mergeCell ref="B1369:D1369"/>
    <mergeCell ref="B1370:B1373"/>
    <mergeCell ref="B1374:D1374"/>
    <mergeCell ref="B1375:B1377"/>
    <mergeCell ref="B1378:D1378"/>
    <mergeCell ref="B1379:B1380"/>
    <mergeCell ref="B1381:D1381"/>
    <mergeCell ref="B1417:D1417"/>
    <mergeCell ref="B1418:D1418"/>
    <mergeCell ref="B1419:B1422"/>
    <mergeCell ref="B1423:D1423"/>
    <mergeCell ref="B1424:B1431"/>
    <mergeCell ref="B1432:D1432"/>
    <mergeCell ref="B1433:D1433"/>
    <mergeCell ref="B1434:D1434"/>
    <mergeCell ref="B1435:B1445"/>
    <mergeCell ref="B1389:B1392"/>
    <mergeCell ref="B1393:D1393"/>
    <mergeCell ref="B1394:B1400"/>
    <mergeCell ref="B1401:D1401"/>
    <mergeCell ref="B1402:B1408"/>
    <mergeCell ref="B1409:D1409"/>
    <mergeCell ref="B1410:B1412"/>
    <mergeCell ref="B1413:D1413"/>
    <mergeCell ref="B1414:B1416"/>
    <mergeCell ref="B1489:D1489"/>
    <mergeCell ref="B1490:D1490"/>
    <mergeCell ref="B1491:D1491"/>
    <mergeCell ref="B1473:D1473"/>
    <mergeCell ref="B1474:B1475"/>
    <mergeCell ref="B1476:D1476"/>
    <mergeCell ref="B1477:B1480"/>
    <mergeCell ref="B1481:D1481"/>
    <mergeCell ref="B1482:B1484"/>
    <mergeCell ref="B1485:D1485"/>
    <mergeCell ref="B1486:B1487"/>
    <mergeCell ref="B1488:D1488"/>
    <mergeCell ref="B1446:B1451"/>
    <mergeCell ref="B1452:D1452"/>
    <mergeCell ref="B1453:B1460"/>
    <mergeCell ref="B1461:D1461"/>
    <mergeCell ref="B1463:D1463"/>
    <mergeCell ref="B1464:D1464"/>
    <mergeCell ref="B1465:B1467"/>
    <mergeCell ref="B1468:D1468"/>
    <mergeCell ref="B1469:B1472"/>
    <mergeCell ref="D1599:D1602"/>
    <mergeCell ref="E1599:G1599"/>
    <mergeCell ref="E1600:G1600"/>
    <mergeCell ref="H1600:J1600"/>
    <mergeCell ref="H1601:H1602"/>
    <mergeCell ref="I1601:I1602"/>
    <mergeCell ref="J1601:J1602"/>
    <mergeCell ref="E1602:G1602"/>
    <mergeCell ref="B1660:B1665"/>
    <mergeCell ref="B1666:D1666"/>
    <mergeCell ref="B1667:B1674"/>
    <mergeCell ref="B1675:D1675"/>
    <mergeCell ref="B1677:D1677"/>
    <mergeCell ref="B1678:D1678"/>
    <mergeCell ref="B1679:B1681"/>
    <mergeCell ref="B1682:D1682"/>
    <mergeCell ref="B1683:B1686"/>
    <mergeCell ref="B1631:D1631"/>
    <mergeCell ref="B1632:D1632"/>
    <mergeCell ref="B1633:B1636"/>
    <mergeCell ref="B1637:D1637"/>
    <mergeCell ref="B1638:B1645"/>
    <mergeCell ref="B1646:D1646"/>
    <mergeCell ref="B1647:D1647"/>
    <mergeCell ref="B1648:D1648"/>
    <mergeCell ref="B1649:B1659"/>
    <mergeCell ref="A2029:A2032"/>
    <mergeCell ref="B2029:B2032"/>
    <mergeCell ref="C2029:C2032"/>
    <mergeCell ref="D2029:D2032"/>
    <mergeCell ref="E2029:G2029"/>
    <mergeCell ref="E2030:G2030"/>
    <mergeCell ref="H2030:J2030"/>
    <mergeCell ref="H2031:H2032"/>
    <mergeCell ref="I2031:I2032"/>
    <mergeCell ref="J2031:J2032"/>
    <mergeCell ref="E2032:G2032"/>
    <mergeCell ref="B1703:D1703"/>
    <mergeCell ref="B1704:D1704"/>
    <mergeCell ref="B1705:D1705"/>
    <mergeCell ref="B1687:D1687"/>
    <mergeCell ref="B1688:B1689"/>
    <mergeCell ref="B1690:D1690"/>
    <mergeCell ref="B1691:B1694"/>
    <mergeCell ref="B1695:D1695"/>
    <mergeCell ref="B1696:B1698"/>
    <mergeCell ref="B1699:D1699"/>
    <mergeCell ref="B1700:B1701"/>
    <mergeCell ref="B1702:D1702"/>
    <mergeCell ref="E1706:G1706"/>
    <mergeCell ref="E1707:G1707"/>
    <mergeCell ref="H1707:J1707"/>
    <mergeCell ref="H1708:H1709"/>
    <mergeCell ref="I1708:I1709"/>
    <mergeCell ref="J1708:J1709"/>
    <mergeCell ref="E1709:G1709"/>
    <mergeCell ref="B1710:B1713"/>
    <mergeCell ref="B1714:D1714"/>
    <mergeCell ref="B2061:D2061"/>
    <mergeCell ref="B2062:D2062"/>
    <mergeCell ref="B2063:B2066"/>
    <mergeCell ref="B2067:D2067"/>
    <mergeCell ref="B2068:B2075"/>
    <mergeCell ref="B2076:D2076"/>
    <mergeCell ref="B2077:D2077"/>
    <mergeCell ref="B2078:D2078"/>
    <mergeCell ref="B2079:B2089"/>
    <mergeCell ref="B2033:B2036"/>
    <mergeCell ref="B2037:D2037"/>
    <mergeCell ref="B2038:B2044"/>
    <mergeCell ref="B2045:D2045"/>
    <mergeCell ref="B2046:B2052"/>
    <mergeCell ref="B2053:D2053"/>
    <mergeCell ref="B2054:B2056"/>
    <mergeCell ref="B2057:D2057"/>
    <mergeCell ref="B2058:B2060"/>
    <mergeCell ref="B2135:D2135"/>
    <mergeCell ref="B2136:D2136"/>
    <mergeCell ref="B2137:D2137"/>
    <mergeCell ref="B2119:D2119"/>
    <mergeCell ref="B2120:B2121"/>
    <mergeCell ref="B2122:D2122"/>
    <mergeCell ref="B2123:B2126"/>
    <mergeCell ref="B2127:D2127"/>
    <mergeCell ref="B2128:B2130"/>
    <mergeCell ref="B2131:D2131"/>
    <mergeCell ref="B2132:B2133"/>
    <mergeCell ref="B2134:D2134"/>
    <mergeCell ref="B2090:B2095"/>
    <mergeCell ref="B2096:D2096"/>
    <mergeCell ref="B2097:B2106"/>
    <mergeCell ref="B2107:D2107"/>
    <mergeCell ref="B2109:D2109"/>
    <mergeCell ref="B2110:D2110"/>
    <mergeCell ref="B2111:B2113"/>
    <mergeCell ref="B2114:D2114"/>
    <mergeCell ref="B2115:B2118"/>
  </mergeCells>
  <pageMargins left="0.19685039370078741" right="0.19685039370078741" top="0.19685039370078741" bottom="0.19685039370078741" header="0.19685039370078741" footer="0.19685039370078741"/>
  <pageSetup paperSize="9" scale="28" orientation="portrait" verticalDpi="300" r:id="rId1"/>
  <rowBreaks count="21" manualBreakCount="21">
    <brk id="115" max="9" man="1"/>
    <brk id="220" max="9" man="1"/>
    <brk id="325" max="9" man="1"/>
    <brk id="430" max="9" man="1"/>
    <brk id="536" max="9" man="1"/>
    <brk id="642" max="9" man="1"/>
    <brk id="748" max="9" man="1"/>
    <brk id="854" max="9" man="1"/>
    <brk id="960" max="9" man="1"/>
    <brk id="1066" max="9" man="1"/>
    <brk id="1172" max="9" man="1"/>
    <brk id="1278" max="9" man="1"/>
    <brk id="1384" max="9" man="1"/>
    <brk id="1491" max="9" man="1"/>
    <brk id="1598" max="9" man="1"/>
    <brk id="1705" max="9" man="1"/>
    <brk id="1812" max="9" man="1"/>
    <brk id="1919" max="9" man="1"/>
    <brk id="2028" max="9" man="1"/>
    <brk id="2137" max="9" man="1"/>
    <brk id="2246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7:Q1368"/>
  <sheetViews>
    <sheetView view="pageBreakPreview" topLeftCell="A363" zoomScale="50" zoomScaleNormal="70" zoomScaleSheetLayoutView="50" workbookViewId="0">
      <selection activeCell="A1316" sqref="A1316:XFD1316"/>
    </sheetView>
  </sheetViews>
  <sheetFormatPr defaultColWidth="9.109375" defaultRowHeight="13.8" x14ac:dyDescent="0.3"/>
  <cols>
    <col min="1" max="1" width="10.109375" style="229" customWidth="1"/>
    <col min="2" max="2" width="25" style="269" customWidth="1"/>
    <col min="3" max="3" width="70.5546875" style="269" customWidth="1"/>
    <col min="4" max="4" width="15.6640625" style="222" customWidth="1"/>
    <col min="5" max="5" width="18" style="222" customWidth="1"/>
    <col min="6" max="6" width="15.6640625" style="223" customWidth="1"/>
    <col min="7" max="7" width="17.44140625" style="222" customWidth="1"/>
    <col min="8" max="8" width="15.6640625" style="222" customWidth="1"/>
    <col min="9" max="9" width="18.44140625" style="224" customWidth="1"/>
    <col min="10" max="10" width="19" style="223" customWidth="1"/>
    <col min="11" max="11" width="19.109375" style="222" customWidth="1"/>
    <col min="12" max="12" width="15.6640625" style="222" customWidth="1"/>
    <col min="13" max="13" width="14.6640625" style="224" customWidth="1"/>
    <col min="14" max="14" width="17.5546875" style="224" customWidth="1"/>
    <col min="15" max="15" width="14.6640625" style="229" customWidth="1"/>
    <col min="16" max="17" width="33.109375" style="229" customWidth="1"/>
    <col min="18" max="16384" width="9.109375" style="229"/>
  </cols>
  <sheetData>
    <row r="7" spans="1:17" ht="67.2" customHeight="1" x14ac:dyDescent="0.3">
      <c r="A7" s="220" t="s">
        <v>0</v>
      </c>
    </row>
    <row r="9" spans="1:17" ht="81" customHeight="1" x14ac:dyDescent="0.3">
      <c r="A9" s="1017" t="s">
        <v>414</v>
      </c>
      <c r="B9" s="1017"/>
      <c r="C9" s="1017"/>
      <c r="D9" s="1017"/>
      <c r="E9" s="1017"/>
      <c r="F9" s="1017"/>
      <c r="G9" s="1017"/>
      <c r="H9" s="1017"/>
      <c r="I9" s="1017"/>
      <c r="J9" s="1017"/>
      <c r="K9" s="1017"/>
      <c r="L9" s="1017"/>
      <c r="M9" s="1017"/>
      <c r="N9" s="1017"/>
      <c r="O9" s="1017"/>
      <c r="P9" s="1017"/>
      <c r="Q9" s="1017"/>
    </row>
    <row r="10" spans="1:17" ht="24.6" customHeight="1" thickBot="1" x14ac:dyDescent="0.35">
      <c r="A10" s="230"/>
      <c r="B10" s="230"/>
      <c r="C10" s="230"/>
      <c r="D10" s="232"/>
      <c r="E10" s="232"/>
      <c r="F10" s="232"/>
      <c r="G10" s="270"/>
      <c r="H10" s="270"/>
      <c r="I10" s="234"/>
      <c r="J10" s="232"/>
      <c r="K10" s="232"/>
      <c r="L10" s="232"/>
      <c r="M10" s="234"/>
      <c r="N10" s="234"/>
    </row>
    <row r="11" spans="1:17" ht="23.4" x14ac:dyDescent="0.3">
      <c r="A11" s="991" t="s">
        <v>1</v>
      </c>
      <c r="B11" s="994" t="s">
        <v>2</v>
      </c>
      <c r="C11" s="997" t="s">
        <v>3</v>
      </c>
      <c r="D11" s="1000" t="s">
        <v>4</v>
      </c>
      <c r="E11" s="1001"/>
      <c r="F11" s="1001"/>
      <c r="G11" s="1001"/>
      <c r="H11" s="1001"/>
      <c r="I11" s="1001"/>
      <c r="J11" s="1001"/>
      <c r="K11" s="1001"/>
      <c r="L11" s="1001"/>
      <c r="M11" s="1001"/>
      <c r="N11" s="1002"/>
      <c r="O11" s="1021" t="s">
        <v>175</v>
      </c>
      <c r="P11" s="1022"/>
      <c r="Q11" s="1052"/>
    </row>
    <row r="12" spans="1:17" ht="23.4" x14ac:dyDescent="0.3">
      <c r="A12" s="992"/>
      <c r="B12" s="995"/>
      <c r="C12" s="998"/>
      <c r="D12" s="1003" t="s">
        <v>7</v>
      </c>
      <c r="E12" s="1005" t="s">
        <v>115</v>
      </c>
      <c r="F12" s="1053" t="s">
        <v>415</v>
      </c>
      <c r="G12" s="1008"/>
      <c r="H12" s="1008"/>
      <c r="I12" s="1009"/>
      <c r="J12" s="1010" t="s">
        <v>8</v>
      </c>
      <c r="K12" s="1011"/>
      <c r="L12" s="1012"/>
      <c r="M12" s="1013" t="s">
        <v>173</v>
      </c>
      <c r="N12" s="1015" t="s">
        <v>172</v>
      </c>
      <c r="O12" s="1023" t="s">
        <v>177</v>
      </c>
      <c r="P12" s="1024"/>
      <c r="Q12" s="1025"/>
    </row>
    <row r="13" spans="1:17" ht="47.4" thickBot="1" x14ac:dyDescent="0.35">
      <c r="A13" s="993"/>
      <c r="B13" s="996"/>
      <c r="C13" s="999"/>
      <c r="D13" s="1004"/>
      <c r="E13" s="1006"/>
      <c r="F13" s="455" t="s">
        <v>13</v>
      </c>
      <c r="G13" s="456" t="s">
        <v>14</v>
      </c>
      <c r="H13" s="456" t="s">
        <v>15</v>
      </c>
      <c r="I13" s="457" t="s">
        <v>174</v>
      </c>
      <c r="J13" s="455" t="s">
        <v>13</v>
      </c>
      <c r="K13" s="456" t="s">
        <v>14</v>
      </c>
      <c r="L13" s="458" t="s">
        <v>15</v>
      </c>
      <c r="M13" s="1014"/>
      <c r="N13" s="1016"/>
      <c r="O13" s="447" t="s">
        <v>178</v>
      </c>
      <c r="P13" s="448" t="s">
        <v>11</v>
      </c>
      <c r="Q13" s="449" t="s">
        <v>12</v>
      </c>
    </row>
    <row r="14" spans="1:17" ht="24" thickBot="1" x14ac:dyDescent="0.35">
      <c r="A14" s="271" t="s">
        <v>110</v>
      </c>
      <c r="B14" s="442"/>
      <c r="C14" s="272" t="s">
        <v>266</v>
      </c>
      <c r="D14" s="273"/>
      <c r="E14" s="274"/>
      <c r="F14" s="335">
        <f>+G14+H14</f>
        <v>0</v>
      </c>
      <c r="G14" s="275">
        <v>0</v>
      </c>
      <c r="H14" s="275">
        <v>0</v>
      </c>
      <c r="I14" s="354" t="str">
        <f>IFERROR(F14/#REF!,"-")</f>
        <v>-</v>
      </c>
      <c r="J14" s="461">
        <f>+K14+L14</f>
        <v>0</v>
      </c>
      <c r="K14" s="462">
        <f>+G14</f>
        <v>0</v>
      </c>
      <c r="L14" s="462">
        <f>+H14</f>
        <v>0</v>
      </c>
      <c r="M14" s="339" t="str">
        <f>IFERROR(J14/D14,"-")</f>
        <v>-</v>
      </c>
      <c r="N14" s="346" t="str">
        <f t="shared" ref="N14:N15" si="0">IFERROR(L14/J14,"-")</f>
        <v>-</v>
      </c>
      <c r="O14" s="511">
        <v>1.5669</v>
      </c>
      <c r="P14" s="405">
        <f>+O14*G14</f>
        <v>0</v>
      </c>
      <c r="Q14" s="450">
        <f>+O14*K14</f>
        <v>0</v>
      </c>
    </row>
    <row r="15" spans="1:17" ht="24" thickBot="1" x14ac:dyDescent="0.35">
      <c r="A15" s="277" t="s">
        <v>110</v>
      </c>
      <c r="B15" s="441"/>
      <c r="C15" s="278" t="s">
        <v>265</v>
      </c>
      <c r="D15" s="279"/>
      <c r="E15" s="280"/>
      <c r="F15" s="336">
        <f t="shared" ref="F15:F18" si="1">+G15+H15</f>
        <v>115782</v>
      </c>
      <c r="G15" s="281">
        <v>115000</v>
      </c>
      <c r="H15" s="281">
        <v>782</v>
      </c>
      <c r="I15" s="355" t="str">
        <f>IFERROR(F15/#REF!,"-")</f>
        <v>-</v>
      </c>
      <c r="J15" s="336">
        <f t="shared" ref="J15:J18" si="2">+K15+L15</f>
        <v>115782</v>
      </c>
      <c r="K15" s="462">
        <f t="shared" ref="K15:K18" si="3">+G15</f>
        <v>115000</v>
      </c>
      <c r="L15" s="462">
        <f t="shared" ref="L15:L18" si="4">+H15</f>
        <v>782</v>
      </c>
      <c r="M15" s="340" t="str">
        <f t="shared" ref="M15:M18" si="5">IFERROR(J15/D15,"-")</f>
        <v>-</v>
      </c>
      <c r="N15" s="268">
        <f t="shared" si="0"/>
        <v>6.7540723083035362E-3</v>
      </c>
      <c r="O15" s="512">
        <v>2.3978999999999999</v>
      </c>
      <c r="P15" s="407">
        <f t="shared" ref="P15:P18" si="6">+O15*G15</f>
        <v>275758.5</v>
      </c>
      <c r="Q15" s="452">
        <f t="shared" ref="Q15:Q18" si="7">+O15*K15</f>
        <v>275758.5</v>
      </c>
    </row>
    <row r="16" spans="1:17" ht="24" thickBot="1" x14ac:dyDescent="0.35">
      <c r="A16" s="277" t="s">
        <v>110</v>
      </c>
      <c r="B16" s="441"/>
      <c r="C16" s="278" t="s">
        <v>409</v>
      </c>
      <c r="D16" s="279"/>
      <c r="E16" s="280"/>
      <c r="F16" s="336">
        <f t="shared" si="1"/>
        <v>0</v>
      </c>
      <c r="G16" s="281"/>
      <c r="H16" s="281"/>
      <c r="I16" s="355" t="str">
        <f>IFERROR(F16/#REF!,"-")</f>
        <v>-</v>
      </c>
      <c r="J16" s="336">
        <f t="shared" si="2"/>
        <v>0</v>
      </c>
      <c r="K16" s="462">
        <f t="shared" si="3"/>
        <v>0</v>
      </c>
      <c r="L16" s="462">
        <f t="shared" si="4"/>
        <v>0</v>
      </c>
      <c r="M16" s="340" t="str">
        <f t="shared" si="5"/>
        <v>-</v>
      </c>
      <c r="N16" s="268" t="str">
        <f>IFERROR(L16/J16,"-")</f>
        <v>-</v>
      </c>
      <c r="O16" s="513">
        <v>4.6797000000000004</v>
      </c>
      <c r="P16" s="407">
        <f t="shared" si="6"/>
        <v>0</v>
      </c>
      <c r="Q16" s="452">
        <f t="shared" si="7"/>
        <v>0</v>
      </c>
    </row>
    <row r="17" spans="1:17" ht="24" thickBot="1" x14ac:dyDescent="0.35">
      <c r="A17" s="277"/>
      <c r="B17" s="454"/>
      <c r="C17" s="278" t="s">
        <v>353</v>
      </c>
      <c r="D17" s="283"/>
      <c r="E17" s="284"/>
      <c r="F17" s="336">
        <f t="shared" si="1"/>
        <v>17485</v>
      </c>
      <c r="G17" s="285">
        <f>12000+4400</f>
        <v>16400</v>
      </c>
      <c r="H17" s="285">
        <f>1000+85</f>
        <v>1085</v>
      </c>
      <c r="I17" s="355" t="str">
        <f>IFERROR(F17/#REF!,"-")</f>
        <v>-</v>
      </c>
      <c r="J17" s="336">
        <f t="shared" si="2"/>
        <v>17485</v>
      </c>
      <c r="K17" s="462">
        <f t="shared" si="3"/>
        <v>16400</v>
      </c>
      <c r="L17" s="462">
        <f t="shared" si="4"/>
        <v>1085</v>
      </c>
      <c r="M17" s="340" t="str">
        <f t="shared" si="5"/>
        <v>-</v>
      </c>
      <c r="N17" s="268">
        <f>IFERROR(L17/J17,"-")</f>
        <v>6.205318844724049E-2</v>
      </c>
      <c r="O17" s="513">
        <v>12.284700000000001</v>
      </c>
      <c r="P17" s="407">
        <f t="shared" si="6"/>
        <v>201469.08000000002</v>
      </c>
      <c r="Q17" s="452">
        <f t="shared" si="7"/>
        <v>201469.08000000002</v>
      </c>
    </row>
    <row r="18" spans="1:17" ht="24" thickBot="1" x14ac:dyDescent="0.35">
      <c r="A18" s="277" t="s">
        <v>110</v>
      </c>
      <c r="B18" s="454"/>
      <c r="C18" s="278" t="s">
        <v>408</v>
      </c>
      <c r="D18" s="283"/>
      <c r="E18" s="284"/>
      <c r="F18" s="337">
        <f t="shared" si="1"/>
        <v>0</v>
      </c>
      <c r="G18" s="285"/>
      <c r="H18" s="285"/>
      <c r="I18" s="356" t="str">
        <f>IFERROR(F18/#REF!,"-")</f>
        <v>-</v>
      </c>
      <c r="J18" s="464">
        <f t="shared" si="2"/>
        <v>0</v>
      </c>
      <c r="K18" s="462">
        <f t="shared" si="3"/>
        <v>0</v>
      </c>
      <c r="L18" s="462">
        <f t="shared" si="4"/>
        <v>0</v>
      </c>
      <c r="M18" s="341" t="str">
        <f t="shared" si="5"/>
        <v>-</v>
      </c>
      <c r="N18" s="347" t="str">
        <f t="shared" ref="N18:N30" si="8">IFERROR(L18/J18,"-")</f>
        <v>-</v>
      </c>
      <c r="O18" s="513">
        <v>4.6797000000000004</v>
      </c>
      <c r="P18" s="408">
        <f t="shared" si="6"/>
        <v>0</v>
      </c>
      <c r="Q18" s="453">
        <f t="shared" si="7"/>
        <v>0</v>
      </c>
    </row>
    <row r="19" spans="1:17" ht="24" thickBot="1" x14ac:dyDescent="0.35">
      <c r="A19" s="277" t="s">
        <v>110</v>
      </c>
      <c r="B19" s="967" t="s">
        <v>21</v>
      </c>
      <c r="C19" s="968"/>
      <c r="D19" s="323">
        <f>SUM(D14:D18)</f>
        <v>0</v>
      </c>
      <c r="E19" s="288">
        <v>15000</v>
      </c>
      <c r="F19" s="323">
        <f>SUM(F14:F18)</f>
        <v>133267</v>
      </c>
      <c r="G19" s="324">
        <f>SUM(G14:G18)</f>
        <v>131400</v>
      </c>
      <c r="H19" s="324">
        <f>SUM(H14:H18)</f>
        <v>1867</v>
      </c>
      <c r="I19" s="348" t="str">
        <f>IFERROR(F19/#REF!,"-")</f>
        <v>-</v>
      </c>
      <c r="J19" s="323">
        <f>SUM(J14:J18)</f>
        <v>133267</v>
      </c>
      <c r="K19" s="324">
        <f>SUM(K14:K18)</f>
        <v>131400</v>
      </c>
      <c r="L19" s="325">
        <f>SUM(L14:L18)</f>
        <v>1867</v>
      </c>
      <c r="M19" s="342" t="str">
        <f>IFERROR(J19/D19,"-")</f>
        <v>-</v>
      </c>
      <c r="N19" s="348">
        <f t="shared" si="8"/>
        <v>1.4009469711181312E-2</v>
      </c>
      <c r="O19" s="394"/>
      <c r="P19" s="409">
        <f>SUM(P14:P18)</f>
        <v>477227.58</v>
      </c>
      <c r="Q19" s="428">
        <f>SUM(Q14:Q18)</f>
        <v>477227.58</v>
      </c>
    </row>
    <row r="20" spans="1:17" ht="23.4" x14ac:dyDescent="0.3">
      <c r="A20" s="277" t="s">
        <v>110</v>
      </c>
      <c r="B20" s="442"/>
      <c r="C20" s="272" t="s">
        <v>264</v>
      </c>
      <c r="D20" s="273"/>
      <c r="E20" s="274"/>
      <c r="F20" s="335">
        <f t="shared" ref="F20:F26" si="9">+G20+H20</f>
        <v>0</v>
      </c>
      <c r="G20" s="275"/>
      <c r="H20" s="275"/>
      <c r="I20" s="354" t="str">
        <f>IFERROR(F20/#REF!,"-")</f>
        <v>-</v>
      </c>
      <c r="J20" s="335">
        <f t="shared" ref="J20:J26" si="10">+K20+L20</f>
        <v>0</v>
      </c>
      <c r="K20" s="275">
        <f>+G20</f>
        <v>0</v>
      </c>
      <c r="L20" s="276">
        <f>+H20</f>
        <v>0</v>
      </c>
      <c r="M20" s="339" t="str">
        <f t="shared" ref="M20:M28" si="11">IFERROR(J20/D20,"-")</f>
        <v>-</v>
      </c>
      <c r="N20" s="349" t="str">
        <f t="shared" si="8"/>
        <v>-</v>
      </c>
      <c r="O20" s="511">
        <v>18.2316</v>
      </c>
      <c r="P20" s="405">
        <f t="shared" ref="P20:P26" si="12">+O20*G20</f>
        <v>0</v>
      </c>
      <c r="Q20" s="450">
        <f t="shared" ref="Q20:Q26" si="13">+O20*K20</f>
        <v>0</v>
      </c>
    </row>
    <row r="21" spans="1:17" ht="23.4" x14ac:dyDescent="0.3">
      <c r="A21" s="277" t="s">
        <v>110</v>
      </c>
      <c r="B21" s="441"/>
      <c r="C21" s="278" t="s">
        <v>92</v>
      </c>
      <c r="D21" s="279"/>
      <c r="E21" s="280"/>
      <c r="F21" s="336">
        <f t="shared" si="9"/>
        <v>0</v>
      </c>
      <c r="G21" s="281"/>
      <c r="H21" s="281"/>
      <c r="I21" s="355" t="str">
        <f>IFERROR(F21/#REF!,"-")</f>
        <v>-</v>
      </c>
      <c r="J21" s="336">
        <f t="shared" si="10"/>
        <v>0</v>
      </c>
      <c r="K21" s="275">
        <f t="shared" ref="K21:K26" si="14">+G21</f>
        <v>0</v>
      </c>
      <c r="L21" s="276">
        <f t="shared" ref="L21:L26" si="15">+H21</f>
        <v>0</v>
      </c>
      <c r="M21" s="340" t="str">
        <f t="shared" si="11"/>
        <v>-</v>
      </c>
      <c r="N21" s="264" t="str">
        <f t="shared" si="8"/>
        <v>-</v>
      </c>
      <c r="O21" s="512">
        <v>1.2824</v>
      </c>
      <c r="P21" s="407">
        <f t="shared" si="12"/>
        <v>0</v>
      </c>
      <c r="Q21" s="452">
        <f t="shared" si="13"/>
        <v>0</v>
      </c>
    </row>
    <row r="22" spans="1:17" ht="23.4" x14ac:dyDescent="0.3">
      <c r="A22" s="277" t="s">
        <v>110</v>
      </c>
      <c r="B22" s="441"/>
      <c r="C22" s="278" t="s">
        <v>329</v>
      </c>
      <c r="D22" s="279"/>
      <c r="E22" s="280"/>
      <c r="F22" s="336">
        <f t="shared" si="9"/>
        <v>0</v>
      </c>
      <c r="G22" s="281"/>
      <c r="H22" s="281"/>
      <c r="I22" s="355" t="str">
        <f>IFERROR(F22/#REF!,"-")</f>
        <v>-</v>
      </c>
      <c r="J22" s="336">
        <f t="shared" si="10"/>
        <v>0</v>
      </c>
      <c r="K22" s="275">
        <f t="shared" si="14"/>
        <v>0</v>
      </c>
      <c r="L22" s="276">
        <f t="shared" si="15"/>
        <v>0</v>
      </c>
      <c r="M22" s="340" t="str">
        <f t="shared" si="11"/>
        <v>-</v>
      </c>
      <c r="N22" s="264" t="str">
        <f t="shared" si="8"/>
        <v>-</v>
      </c>
      <c r="O22" s="512">
        <v>5.7342000000000004</v>
      </c>
      <c r="P22" s="407">
        <f t="shared" si="12"/>
        <v>0</v>
      </c>
      <c r="Q22" s="452">
        <f t="shared" si="13"/>
        <v>0</v>
      </c>
    </row>
    <row r="23" spans="1:17" ht="23.4" x14ac:dyDescent="0.3">
      <c r="A23" s="277" t="s">
        <v>110</v>
      </c>
      <c r="B23" s="441"/>
      <c r="C23" s="278" t="s">
        <v>346</v>
      </c>
      <c r="D23" s="279"/>
      <c r="E23" s="280"/>
      <c r="F23" s="336">
        <f t="shared" si="9"/>
        <v>0</v>
      </c>
      <c r="G23" s="281"/>
      <c r="H23" s="281"/>
      <c r="I23" s="355" t="str">
        <f>IFERROR(F23/#REF!,"-")</f>
        <v>-</v>
      </c>
      <c r="J23" s="336">
        <f t="shared" si="10"/>
        <v>0</v>
      </c>
      <c r="K23" s="275">
        <f t="shared" si="14"/>
        <v>0</v>
      </c>
      <c r="L23" s="276">
        <f t="shared" si="15"/>
        <v>0</v>
      </c>
      <c r="M23" s="340" t="str">
        <f t="shared" si="11"/>
        <v>-</v>
      </c>
      <c r="N23" s="264" t="str">
        <f t="shared" si="8"/>
        <v>-</v>
      </c>
      <c r="O23" s="512"/>
      <c r="P23" s="407">
        <f t="shared" si="12"/>
        <v>0</v>
      </c>
      <c r="Q23" s="452">
        <f t="shared" si="13"/>
        <v>0</v>
      </c>
    </row>
    <row r="24" spans="1:17" ht="23.4" x14ac:dyDescent="0.3">
      <c r="A24" s="277" t="s">
        <v>110</v>
      </c>
      <c r="B24" s="441"/>
      <c r="C24" s="278" t="s">
        <v>354</v>
      </c>
      <c r="D24" s="279"/>
      <c r="E24" s="280"/>
      <c r="F24" s="336">
        <f t="shared" si="9"/>
        <v>9052</v>
      </c>
      <c r="G24" s="281">
        <v>9000</v>
      </c>
      <c r="H24" s="281">
        <v>52</v>
      </c>
      <c r="I24" s="355" t="str">
        <f>IFERROR(F24/#REF!,"-")</f>
        <v>-</v>
      </c>
      <c r="J24" s="336">
        <f t="shared" si="10"/>
        <v>9052</v>
      </c>
      <c r="K24" s="275">
        <f t="shared" si="14"/>
        <v>9000</v>
      </c>
      <c r="L24" s="276">
        <f t="shared" si="15"/>
        <v>52</v>
      </c>
      <c r="M24" s="340" t="str">
        <f t="shared" si="11"/>
        <v>-</v>
      </c>
      <c r="N24" s="264">
        <f t="shared" si="8"/>
        <v>5.7445868316394165E-3</v>
      </c>
      <c r="O24" s="512">
        <v>12.029500000000001</v>
      </c>
      <c r="P24" s="407">
        <f t="shared" si="12"/>
        <v>108265.5</v>
      </c>
      <c r="Q24" s="452">
        <f t="shared" si="13"/>
        <v>108265.5</v>
      </c>
    </row>
    <row r="25" spans="1:17" ht="23.4" x14ac:dyDescent="0.3">
      <c r="A25" s="277" t="s">
        <v>110</v>
      </c>
      <c r="B25" s="441"/>
      <c r="C25" s="278"/>
      <c r="D25" s="279"/>
      <c r="E25" s="280"/>
      <c r="F25" s="336">
        <f t="shared" si="9"/>
        <v>0</v>
      </c>
      <c r="G25" s="281"/>
      <c r="H25" s="281"/>
      <c r="I25" s="355" t="str">
        <f>IFERROR(F25/#REF!,"-")</f>
        <v>-</v>
      </c>
      <c r="J25" s="336">
        <f t="shared" si="10"/>
        <v>0</v>
      </c>
      <c r="K25" s="275">
        <f t="shared" si="14"/>
        <v>0</v>
      </c>
      <c r="L25" s="276">
        <f t="shared" si="15"/>
        <v>0</v>
      </c>
      <c r="M25" s="340" t="str">
        <f t="shared" si="11"/>
        <v>-</v>
      </c>
      <c r="N25" s="264" t="str">
        <f t="shared" si="8"/>
        <v>-</v>
      </c>
      <c r="O25" s="512"/>
      <c r="P25" s="407">
        <f t="shared" si="12"/>
        <v>0</v>
      </c>
      <c r="Q25" s="452">
        <f t="shared" si="13"/>
        <v>0</v>
      </c>
    </row>
    <row r="26" spans="1:17" ht="24" thickBot="1" x14ac:dyDescent="0.35">
      <c r="A26" s="277" t="s">
        <v>110</v>
      </c>
      <c r="B26" s="454"/>
      <c r="C26" s="282"/>
      <c r="D26" s="283">
        <v>0</v>
      </c>
      <c r="E26" s="284"/>
      <c r="F26" s="337">
        <f t="shared" si="9"/>
        <v>0</v>
      </c>
      <c r="G26" s="285"/>
      <c r="H26" s="285"/>
      <c r="I26" s="356" t="str">
        <f>IFERROR(F26/#REF!,"-")</f>
        <v>-</v>
      </c>
      <c r="J26" s="337">
        <f t="shared" si="10"/>
        <v>0</v>
      </c>
      <c r="K26" s="275">
        <f t="shared" si="14"/>
        <v>0</v>
      </c>
      <c r="L26" s="276">
        <f t="shared" si="15"/>
        <v>0</v>
      </c>
      <c r="M26" s="341" t="str">
        <f t="shared" si="11"/>
        <v>-</v>
      </c>
      <c r="N26" s="350" t="str">
        <f t="shared" si="8"/>
        <v>-</v>
      </c>
      <c r="O26" s="513"/>
      <c r="P26" s="408">
        <f t="shared" si="12"/>
        <v>0</v>
      </c>
      <c r="Q26" s="453">
        <f t="shared" si="13"/>
        <v>0</v>
      </c>
    </row>
    <row r="27" spans="1:17" ht="24" thickBot="1" x14ac:dyDescent="0.35">
      <c r="A27" s="277" t="s">
        <v>110</v>
      </c>
      <c r="B27" s="967" t="s">
        <v>25</v>
      </c>
      <c r="C27" s="968"/>
      <c r="D27" s="323">
        <f t="shared" ref="D27" si="16">SUM(D20:D26)</f>
        <v>0</v>
      </c>
      <c r="E27" s="288">
        <v>100000</v>
      </c>
      <c r="F27" s="323">
        <f>SUM(F20:F26)</f>
        <v>9052</v>
      </c>
      <c r="G27" s="324">
        <f t="shared" ref="G27:H27" si="17">SUM(G20:G26)</f>
        <v>9000</v>
      </c>
      <c r="H27" s="324">
        <f t="shared" si="17"/>
        <v>52</v>
      </c>
      <c r="I27" s="348" t="str">
        <f>IFERROR(F27/#REF!,"-")</f>
        <v>-</v>
      </c>
      <c r="J27" s="323">
        <f t="shared" ref="J27:L27" si="18">SUM(J20:J26)</f>
        <v>9052</v>
      </c>
      <c r="K27" s="324">
        <f t="shared" si="18"/>
        <v>9000</v>
      </c>
      <c r="L27" s="325">
        <f t="shared" si="18"/>
        <v>52</v>
      </c>
      <c r="M27" s="342" t="str">
        <f t="shared" si="11"/>
        <v>-</v>
      </c>
      <c r="N27" s="348">
        <f t="shared" si="8"/>
        <v>5.7445868316394165E-3</v>
      </c>
      <c r="O27" s="394"/>
      <c r="P27" s="409">
        <f t="shared" ref="P27:Q27" si="19">SUM(P20:P26)</f>
        <v>108265.5</v>
      </c>
      <c r="Q27" s="428">
        <f t="shared" si="19"/>
        <v>108265.5</v>
      </c>
    </row>
    <row r="28" spans="1:17" ht="24" thickBot="1" x14ac:dyDescent="0.35">
      <c r="A28" s="277" t="s">
        <v>110</v>
      </c>
      <c r="B28" s="1057" t="s">
        <v>180</v>
      </c>
      <c r="C28" s="1040"/>
      <c r="D28" s="329">
        <f>+D19+D27</f>
        <v>0</v>
      </c>
      <c r="E28" s="330">
        <f t="shared" ref="E28:H28" si="20">+E19+E27</f>
        <v>115000</v>
      </c>
      <c r="F28" s="329">
        <f t="shared" si="20"/>
        <v>142319</v>
      </c>
      <c r="G28" s="327">
        <f t="shared" si="20"/>
        <v>140400</v>
      </c>
      <c r="H28" s="327">
        <f t="shared" si="20"/>
        <v>1919</v>
      </c>
      <c r="I28" s="352" t="str">
        <f>IFERROR(F28/#REF!,"-")</f>
        <v>-</v>
      </c>
      <c r="J28" s="329">
        <f t="shared" ref="J28:L28" si="21">+J19+J27</f>
        <v>142319</v>
      </c>
      <c r="K28" s="327">
        <f t="shared" si="21"/>
        <v>140400</v>
      </c>
      <c r="L28" s="328">
        <f t="shared" si="21"/>
        <v>1919</v>
      </c>
      <c r="M28" s="344" t="str">
        <f t="shared" si="11"/>
        <v>-</v>
      </c>
      <c r="N28" s="352">
        <f t="shared" si="8"/>
        <v>1.348379344992587E-2</v>
      </c>
      <c r="O28" s="397"/>
      <c r="P28" s="413">
        <f t="shared" ref="P28:Q28" si="22">+P19+P27</f>
        <v>585493.08000000007</v>
      </c>
      <c r="Q28" s="431">
        <f t="shared" si="22"/>
        <v>585493.08000000007</v>
      </c>
    </row>
    <row r="29" spans="1:17" ht="24" thickBot="1" x14ac:dyDescent="0.35">
      <c r="A29" s="244" t="s">
        <v>108</v>
      </c>
      <c r="B29" s="591"/>
      <c r="C29" s="592" t="s">
        <v>306</v>
      </c>
      <c r="D29" s="532"/>
      <c r="E29" s="463"/>
      <c r="F29" s="461">
        <f>+G29+H29</f>
        <v>0</v>
      </c>
      <c r="G29" s="462">
        <v>0</v>
      </c>
      <c r="H29" s="462">
        <v>0</v>
      </c>
      <c r="I29" s="536" t="str">
        <f>IFERROR(F29/#REF!,"-")</f>
        <v>-</v>
      </c>
      <c r="J29" s="461">
        <f>+K29+L29</f>
        <v>0</v>
      </c>
      <c r="K29" s="462">
        <f>+G29</f>
        <v>0</v>
      </c>
      <c r="L29" s="247">
        <f>+H29</f>
        <v>0</v>
      </c>
      <c r="M29" s="596" t="str">
        <f>IFERROR(J29/D29,"-")</f>
        <v>-</v>
      </c>
      <c r="N29" s="538" t="str">
        <f t="shared" si="8"/>
        <v>-</v>
      </c>
      <c r="O29" s="638">
        <v>4.8285999999999998</v>
      </c>
      <c r="P29" s="539">
        <f t="shared" ref="P29:P35" si="23">+O29*G29</f>
        <v>0</v>
      </c>
      <c r="Q29" s="540">
        <f>+O29*K29</f>
        <v>0</v>
      </c>
    </row>
    <row r="30" spans="1:17" ht="24" thickBot="1" x14ac:dyDescent="0.35">
      <c r="A30" s="248" t="s">
        <v>108</v>
      </c>
      <c r="B30" s="593"/>
      <c r="C30" s="278" t="s">
        <v>307</v>
      </c>
      <c r="D30" s="279"/>
      <c r="E30" s="439"/>
      <c r="F30" s="336">
        <f t="shared" ref="F30:F35" si="24">+G30+H30</f>
        <v>0</v>
      </c>
      <c r="G30" s="281">
        <v>0</v>
      </c>
      <c r="H30" s="281">
        <v>0</v>
      </c>
      <c r="I30" s="355" t="str">
        <f>IFERROR(F30/#REF!,"-")</f>
        <v>-</v>
      </c>
      <c r="J30" s="336">
        <f t="shared" ref="J30:J35" si="25">+K30+L30</f>
        <v>0</v>
      </c>
      <c r="K30" s="462">
        <f t="shared" ref="K30:K35" si="26">+G30</f>
        <v>0</v>
      </c>
      <c r="L30" s="247">
        <f t="shared" ref="L30:L35" si="27">+H30</f>
        <v>0</v>
      </c>
      <c r="M30" s="340" t="str">
        <f t="shared" ref="M30:M32" si="28">IFERROR(J30/D30,"-")</f>
        <v>-</v>
      </c>
      <c r="N30" s="268" t="str">
        <f t="shared" si="8"/>
        <v>-</v>
      </c>
      <c r="O30" s="639">
        <v>1.4086000000000001</v>
      </c>
      <c r="P30" s="407">
        <f t="shared" si="23"/>
        <v>0</v>
      </c>
      <c r="Q30" s="452">
        <f t="shared" ref="Q30:Q35" si="29">+O30*K30</f>
        <v>0</v>
      </c>
    </row>
    <row r="31" spans="1:17" ht="24" thickBot="1" x14ac:dyDescent="0.35">
      <c r="A31" s="248" t="s">
        <v>108</v>
      </c>
      <c r="B31" s="593"/>
      <c r="C31" s="278" t="s">
        <v>348</v>
      </c>
      <c r="D31" s="279"/>
      <c r="E31" s="439"/>
      <c r="F31" s="336">
        <f t="shared" si="24"/>
        <v>0</v>
      </c>
      <c r="G31" s="281">
        <v>0</v>
      </c>
      <c r="H31" s="281">
        <v>0</v>
      </c>
      <c r="I31" s="355" t="str">
        <f>IFERROR(F31/#REF!,"-")</f>
        <v>-</v>
      </c>
      <c r="J31" s="336">
        <f t="shared" si="25"/>
        <v>0</v>
      </c>
      <c r="K31" s="462">
        <f t="shared" si="26"/>
        <v>0</v>
      </c>
      <c r="L31" s="247">
        <f t="shared" si="27"/>
        <v>0</v>
      </c>
      <c r="M31" s="340" t="str">
        <f t="shared" si="28"/>
        <v>-</v>
      </c>
      <c r="N31" s="268" t="str">
        <f>IFERROR(L31/J31,"-")</f>
        <v>-</v>
      </c>
      <c r="O31" s="639">
        <v>2.2141000000000002</v>
      </c>
      <c r="P31" s="407">
        <f t="shared" si="23"/>
        <v>0</v>
      </c>
      <c r="Q31" s="452">
        <f t="shared" si="29"/>
        <v>0</v>
      </c>
    </row>
    <row r="32" spans="1:17" ht="24" thickBot="1" x14ac:dyDescent="0.35">
      <c r="A32" s="248" t="s">
        <v>108</v>
      </c>
      <c r="B32" s="594"/>
      <c r="C32" s="278" t="s">
        <v>387</v>
      </c>
      <c r="D32" s="283"/>
      <c r="E32" s="533"/>
      <c r="F32" s="337">
        <f t="shared" si="24"/>
        <v>0</v>
      </c>
      <c r="G32" s="285">
        <v>0</v>
      </c>
      <c r="H32" s="285">
        <v>0</v>
      </c>
      <c r="I32" s="356" t="str">
        <f>IFERROR(F32/#REF!,"-")</f>
        <v>-</v>
      </c>
      <c r="J32" s="336">
        <f t="shared" si="25"/>
        <v>0</v>
      </c>
      <c r="K32" s="462">
        <f t="shared" si="26"/>
        <v>0</v>
      </c>
      <c r="L32" s="247">
        <f t="shared" si="27"/>
        <v>0</v>
      </c>
      <c r="M32" s="341" t="str">
        <f t="shared" si="28"/>
        <v>-</v>
      </c>
      <c r="N32" s="347" t="str">
        <f t="shared" ref="N32:N39" si="30">IFERROR(L32/J32,"-")</f>
        <v>-</v>
      </c>
      <c r="O32" s="640">
        <v>2.4565999999999999</v>
      </c>
      <c r="P32" s="408">
        <f t="shared" si="23"/>
        <v>0</v>
      </c>
      <c r="Q32" s="453">
        <f t="shared" si="29"/>
        <v>0</v>
      </c>
    </row>
    <row r="33" spans="1:17" ht="24" thickBot="1" x14ac:dyDescent="0.35">
      <c r="A33" s="248" t="s">
        <v>108</v>
      </c>
      <c r="B33" s="443"/>
      <c r="C33" s="637" t="s">
        <v>393</v>
      </c>
      <c r="D33" s="514"/>
      <c r="E33" s="534"/>
      <c r="F33" s="336">
        <f t="shared" si="24"/>
        <v>0</v>
      </c>
      <c r="G33" s="553">
        <v>0</v>
      </c>
      <c r="H33" s="553">
        <v>0</v>
      </c>
      <c r="I33" s="355" t="str">
        <f>IFERROR(F33/#REF!,"-")</f>
        <v>-</v>
      </c>
      <c r="J33" s="336">
        <f t="shared" si="25"/>
        <v>0</v>
      </c>
      <c r="K33" s="462">
        <f t="shared" si="26"/>
        <v>0</v>
      </c>
      <c r="L33" s="247">
        <f t="shared" si="27"/>
        <v>0</v>
      </c>
      <c r="M33" s="515"/>
      <c r="N33" s="268" t="str">
        <f t="shared" si="30"/>
        <v>-</v>
      </c>
      <c r="O33" s="545">
        <v>4.8285999999999998</v>
      </c>
      <c r="P33" s="407">
        <f t="shared" si="23"/>
        <v>0</v>
      </c>
      <c r="Q33" s="452">
        <f t="shared" si="29"/>
        <v>0</v>
      </c>
    </row>
    <row r="34" spans="1:17" ht="24" thickBot="1" x14ac:dyDescent="0.35">
      <c r="A34" s="248" t="s">
        <v>108</v>
      </c>
      <c r="B34" s="595"/>
      <c r="C34" s="637" t="s">
        <v>389</v>
      </c>
      <c r="D34" s="273"/>
      <c r="E34" s="438"/>
      <c r="F34" s="335">
        <f t="shared" si="24"/>
        <v>0</v>
      </c>
      <c r="G34" s="275">
        <v>0</v>
      </c>
      <c r="H34" s="275">
        <v>0</v>
      </c>
      <c r="I34" s="354" t="str">
        <f>IFERROR(F34/#REF!,"-")</f>
        <v>-</v>
      </c>
      <c r="J34" s="336">
        <f t="shared" si="25"/>
        <v>0</v>
      </c>
      <c r="K34" s="462">
        <f t="shared" si="26"/>
        <v>0</v>
      </c>
      <c r="L34" s="247">
        <f t="shared" si="27"/>
        <v>0</v>
      </c>
      <c r="M34" s="339" t="str">
        <f t="shared" ref="M34:M35" si="31">IFERROR(J34/D34,"-")</f>
        <v>-</v>
      </c>
      <c r="N34" s="349" t="str">
        <f t="shared" si="30"/>
        <v>-</v>
      </c>
      <c r="O34" s="511">
        <v>4.1712999999999996</v>
      </c>
      <c r="P34" s="405">
        <f t="shared" si="23"/>
        <v>0</v>
      </c>
      <c r="Q34" s="450">
        <f t="shared" si="29"/>
        <v>0</v>
      </c>
    </row>
    <row r="35" spans="1:17" ht="24" thickBot="1" x14ac:dyDescent="0.35">
      <c r="A35" s="248" t="s">
        <v>108</v>
      </c>
      <c r="B35" s="593"/>
      <c r="C35" s="278"/>
      <c r="D35" s="279"/>
      <c r="E35" s="439"/>
      <c r="F35" s="336">
        <f t="shared" si="24"/>
        <v>0</v>
      </c>
      <c r="G35" s="281"/>
      <c r="H35" s="281"/>
      <c r="I35" s="355" t="str">
        <f>IFERROR(F35/#REF!,"-")</f>
        <v>-</v>
      </c>
      <c r="J35" s="336">
        <f t="shared" si="25"/>
        <v>0</v>
      </c>
      <c r="K35" s="462">
        <f t="shared" si="26"/>
        <v>0</v>
      </c>
      <c r="L35" s="247">
        <f t="shared" si="27"/>
        <v>0</v>
      </c>
      <c r="M35" s="340" t="str">
        <f t="shared" si="31"/>
        <v>-</v>
      </c>
      <c r="N35" s="264" t="str">
        <f t="shared" si="30"/>
        <v>-</v>
      </c>
      <c r="O35" s="451"/>
      <c r="P35" s="407">
        <f t="shared" si="23"/>
        <v>0</v>
      </c>
      <c r="Q35" s="452">
        <f t="shared" si="29"/>
        <v>0</v>
      </c>
    </row>
    <row r="36" spans="1:17" ht="24" thickBot="1" x14ac:dyDescent="0.35">
      <c r="A36" s="277" t="s">
        <v>108</v>
      </c>
      <c r="B36" s="1038" t="s">
        <v>21</v>
      </c>
      <c r="C36" s="989"/>
      <c r="D36" s="323">
        <v>0</v>
      </c>
      <c r="E36" s="288">
        <v>15000</v>
      </c>
      <c r="F36" s="323">
        <f>SUM(F29:F35)</f>
        <v>0</v>
      </c>
      <c r="G36" s="324">
        <f t="shared" ref="G36:H36" si="32">SUM(G29:G35)</f>
        <v>0</v>
      </c>
      <c r="H36" s="324">
        <f t="shared" si="32"/>
        <v>0</v>
      </c>
      <c r="I36" s="348" t="str">
        <f>IFERROR(F36/#REF!,"-")</f>
        <v>-</v>
      </c>
      <c r="J36" s="323">
        <f t="shared" ref="J36" si="33">SUM(J29:J35)</f>
        <v>0</v>
      </c>
      <c r="K36" s="324">
        <f>SUM(K29:K35)</f>
        <v>0</v>
      </c>
      <c r="L36" s="324">
        <f>SUM(L29:L35)</f>
        <v>0</v>
      </c>
      <c r="M36" s="342" t="str">
        <f>IFERROR(J36/D36,"-")</f>
        <v>-</v>
      </c>
      <c r="N36" s="348" t="str">
        <f t="shared" si="30"/>
        <v>-</v>
      </c>
      <c r="O36" s="394"/>
      <c r="P36" s="409">
        <f>SUM(P29:P35)</f>
        <v>0</v>
      </c>
      <c r="Q36" s="428">
        <f>SUM(Q29:Q35)</f>
        <v>0</v>
      </c>
    </row>
    <row r="37" spans="1:17" ht="24" thickBot="1" x14ac:dyDescent="0.35">
      <c r="A37" s="277" t="s">
        <v>108</v>
      </c>
      <c r="B37" s="1058" t="s">
        <v>268</v>
      </c>
      <c r="C37" s="1059"/>
      <c r="D37" s="517">
        <f>+D33+D36</f>
        <v>0</v>
      </c>
      <c r="E37" s="530">
        <f>+E33+E36</f>
        <v>15000</v>
      </c>
      <c r="F37" s="517">
        <f>+F33+F36</f>
        <v>0</v>
      </c>
      <c r="G37" s="519">
        <f>+G33+G36</f>
        <v>0</v>
      </c>
      <c r="H37" s="519">
        <f>+H33+H36</f>
        <v>0</v>
      </c>
      <c r="I37" s="520" t="str">
        <f>IFERROR(F37/#REF!,"-")</f>
        <v>-</v>
      </c>
      <c r="J37" s="517">
        <f>+J33+J36</f>
        <v>0</v>
      </c>
      <c r="K37" s="519">
        <f>+K36</f>
        <v>0</v>
      </c>
      <c r="L37" s="519">
        <f>+L36</f>
        <v>0</v>
      </c>
      <c r="M37" s="521" t="str">
        <f t="shared" ref="M37" si="34">IFERROR(J37/D37,"-")</f>
        <v>-</v>
      </c>
      <c r="N37" s="520" t="str">
        <f t="shared" si="30"/>
        <v>-</v>
      </c>
      <c r="O37" s="522"/>
      <c r="P37" s="523">
        <f>+P36</f>
        <v>0</v>
      </c>
      <c r="Q37" s="523">
        <f>+Q36</f>
        <v>0</v>
      </c>
    </row>
    <row r="38" spans="1:17" ht="24" thickBot="1" x14ac:dyDescent="0.45">
      <c r="A38" s="244" t="s">
        <v>108</v>
      </c>
      <c r="B38" s="1035" t="s">
        <v>270</v>
      </c>
      <c r="C38" s="547" t="s">
        <v>74</v>
      </c>
      <c r="D38" s="532"/>
      <c r="E38" s="463"/>
      <c r="F38" s="461">
        <f>+G38+H38</f>
        <v>0</v>
      </c>
      <c r="G38" s="462"/>
      <c r="H38" s="462"/>
      <c r="I38" s="536" t="str">
        <f>IFERROR(F38/#REF!,"-")</f>
        <v>-</v>
      </c>
      <c r="J38" s="461">
        <f>+K38+L38</f>
        <v>0</v>
      </c>
      <c r="K38" s="462">
        <f>+G38</f>
        <v>0</v>
      </c>
      <c r="L38" s="246">
        <f>+H38</f>
        <v>0</v>
      </c>
      <c r="M38" s="263" t="str">
        <f>IFERROR(J38/D38,"-")</f>
        <v>-</v>
      </c>
      <c r="N38" s="538" t="str">
        <f t="shared" si="30"/>
        <v>-</v>
      </c>
      <c r="O38" s="543">
        <v>32.946300000000001</v>
      </c>
      <c r="P38" s="539">
        <f t="shared" ref="P38:P67" si="35">+O38*G38</f>
        <v>0</v>
      </c>
      <c r="Q38" s="540">
        <f t="shared" ref="Q38:Q67" si="36">+O38*K38</f>
        <v>0</v>
      </c>
    </row>
    <row r="39" spans="1:17" ht="24" thickBot="1" x14ac:dyDescent="0.45">
      <c r="A39" s="248" t="s">
        <v>108</v>
      </c>
      <c r="B39" s="1036"/>
      <c r="C39" s="548" t="s">
        <v>75</v>
      </c>
      <c r="D39" s="516"/>
      <c r="E39" s="439"/>
      <c r="F39" s="336">
        <f t="shared" ref="F39:F67" si="37">+G39+H39</f>
        <v>0</v>
      </c>
      <c r="G39" s="281"/>
      <c r="H39" s="281"/>
      <c r="I39" s="355" t="str">
        <f>IFERROR(F39/#REF!,"-")</f>
        <v>-</v>
      </c>
      <c r="J39" s="336">
        <f t="shared" ref="J39:J67" si="38">+K39+L39</f>
        <v>0</v>
      </c>
      <c r="K39" s="462">
        <f t="shared" ref="K39:K67" si="39">+G39</f>
        <v>0</v>
      </c>
      <c r="L39" s="246">
        <f t="shared" ref="L39:L68" si="40">+H39</f>
        <v>0</v>
      </c>
      <c r="M39" s="265" t="str">
        <f t="shared" ref="M39:M41" si="41">IFERROR(J39/D39,"-")</f>
        <v>-</v>
      </c>
      <c r="N39" s="268" t="str">
        <f t="shared" si="30"/>
        <v>-</v>
      </c>
      <c r="O39" s="512">
        <v>35.398400000000002</v>
      </c>
      <c r="P39" s="407">
        <f t="shared" si="35"/>
        <v>0</v>
      </c>
      <c r="Q39" s="452">
        <f t="shared" si="36"/>
        <v>0</v>
      </c>
    </row>
    <row r="40" spans="1:17" ht="24" thickBot="1" x14ac:dyDescent="0.45">
      <c r="A40" s="248" t="s">
        <v>108</v>
      </c>
      <c r="B40" s="1036"/>
      <c r="C40" s="548" t="s">
        <v>76</v>
      </c>
      <c r="D40" s="279"/>
      <c r="E40" s="439"/>
      <c r="F40" s="336">
        <f t="shared" si="37"/>
        <v>0</v>
      </c>
      <c r="G40" s="281"/>
      <c r="H40" s="281"/>
      <c r="I40" s="355" t="str">
        <f>IFERROR(F40/#REF!,"-")</f>
        <v>-</v>
      </c>
      <c r="J40" s="336">
        <f t="shared" si="38"/>
        <v>0</v>
      </c>
      <c r="K40" s="462">
        <f t="shared" si="39"/>
        <v>0</v>
      </c>
      <c r="L40" s="246">
        <f t="shared" si="40"/>
        <v>0</v>
      </c>
      <c r="M40" s="265" t="str">
        <f t="shared" si="41"/>
        <v>-</v>
      </c>
      <c r="N40" s="268" t="str">
        <f>IFERROR(L40/J40,"-")</f>
        <v>-</v>
      </c>
      <c r="O40" s="512">
        <v>32.946300000000001</v>
      </c>
      <c r="P40" s="407">
        <f t="shared" si="35"/>
        <v>0</v>
      </c>
      <c r="Q40" s="452">
        <f t="shared" si="36"/>
        <v>0</v>
      </c>
    </row>
    <row r="41" spans="1:17" ht="24" thickBot="1" x14ac:dyDescent="0.45">
      <c r="A41" s="248" t="s">
        <v>108</v>
      </c>
      <c r="B41" s="1035" t="s">
        <v>271</v>
      </c>
      <c r="C41" s="550" t="s">
        <v>78</v>
      </c>
      <c r="D41" s="279"/>
      <c r="E41" s="533"/>
      <c r="F41" s="337">
        <f t="shared" si="37"/>
        <v>0</v>
      </c>
      <c r="G41" s="281"/>
      <c r="H41" s="281"/>
      <c r="I41" s="355" t="str">
        <f>IFERROR(F41/#REF!,"-")</f>
        <v>-</v>
      </c>
      <c r="J41" s="336">
        <f t="shared" si="38"/>
        <v>0</v>
      </c>
      <c r="K41" s="462">
        <f t="shared" si="39"/>
        <v>0</v>
      </c>
      <c r="L41" s="246">
        <f t="shared" si="40"/>
        <v>0</v>
      </c>
      <c r="M41" s="265" t="str">
        <f t="shared" si="41"/>
        <v>-</v>
      </c>
      <c r="N41" s="268" t="str">
        <f t="shared" ref="N41" si="42">IFERROR(L41/J41,"-")</f>
        <v>-</v>
      </c>
      <c r="O41" s="512">
        <v>55.4758</v>
      </c>
      <c r="P41" s="407">
        <f t="shared" si="35"/>
        <v>0</v>
      </c>
      <c r="Q41" s="452">
        <f t="shared" si="36"/>
        <v>0</v>
      </c>
    </row>
    <row r="42" spans="1:17" ht="24" thickBot="1" x14ac:dyDescent="0.45">
      <c r="A42" s="248" t="s">
        <v>108</v>
      </c>
      <c r="B42" s="1036"/>
      <c r="C42" s="550" t="s">
        <v>75</v>
      </c>
      <c r="D42" s="279"/>
      <c r="E42" s="534"/>
      <c r="F42" s="337">
        <f t="shared" si="37"/>
        <v>2980</v>
      </c>
      <c r="G42" s="281">
        <v>2400</v>
      </c>
      <c r="H42" s="281">
        <v>580</v>
      </c>
      <c r="I42" s="355" t="str">
        <f>IFERROR(F42/#REF!,"-")</f>
        <v>-</v>
      </c>
      <c r="J42" s="336">
        <f t="shared" si="38"/>
        <v>2980</v>
      </c>
      <c r="K42" s="462">
        <f t="shared" si="39"/>
        <v>2400</v>
      </c>
      <c r="L42" s="246">
        <f t="shared" si="40"/>
        <v>580</v>
      </c>
      <c r="M42" s="515"/>
      <c r="N42" s="375"/>
      <c r="O42" s="545">
        <v>58.836300000000001</v>
      </c>
      <c r="P42" s="407">
        <f t="shared" si="35"/>
        <v>141207.12</v>
      </c>
      <c r="Q42" s="452">
        <f t="shared" si="36"/>
        <v>141207.12</v>
      </c>
    </row>
    <row r="43" spans="1:17" ht="24" thickBot="1" x14ac:dyDescent="0.45">
      <c r="A43" s="248" t="s">
        <v>108</v>
      </c>
      <c r="B43" s="1036"/>
      <c r="C43" s="550" t="s">
        <v>386</v>
      </c>
      <c r="D43" s="279"/>
      <c r="E43" s="438"/>
      <c r="F43" s="337">
        <f t="shared" si="37"/>
        <v>0</v>
      </c>
      <c r="G43" s="281"/>
      <c r="H43" s="281"/>
      <c r="I43" s="355" t="str">
        <f>IFERROR(F43/#REF!,"-")</f>
        <v>-</v>
      </c>
      <c r="J43" s="336">
        <f t="shared" si="38"/>
        <v>0</v>
      </c>
      <c r="K43" s="462">
        <f t="shared" si="39"/>
        <v>0</v>
      </c>
      <c r="L43" s="246">
        <f t="shared" si="40"/>
        <v>0</v>
      </c>
      <c r="M43" s="265" t="str">
        <f t="shared" ref="M43" si="43">IFERROR(J43/D43,"-")</f>
        <v>-</v>
      </c>
      <c r="N43" s="264" t="str">
        <f t="shared" ref="N43" si="44">IFERROR(L43/J43,"-")</f>
        <v>-</v>
      </c>
      <c r="O43" s="512">
        <v>55.4758</v>
      </c>
      <c r="P43" s="407">
        <f t="shared" si="35"/>
        <v>0</v>
      </c>
      <c r="Q43" s="452">
        <f t="shared" si="36"/>
        <v>0</v>
      </c>
    </row>
    <row r="44" spans="1:17" ht="24" thickBot="1" x14ac:dyDescent="0.45">
      <c r="A44" s="248"/>
      <c r="B44" s="1037"/>
      <c r="C44" s="550" t="s">
        <v>404</v>
      </c>
      <c r="D44" s="279"/>
      <c r="E44" s="438"/>
      <c r="F44" s="337">
        <f t="shared" si="37"/>
        <v>2220</v>
      </c>
      <c r="G44" s="281">
        <v>2064</v>
      </c>
      <c r="H44" s="281">
        <v>156</v>
      </c>
      <c r="I44" s="355"/>
      <c r="J44" s="336">
        <f t="shared" si="38"/>
        <v>2220</v>
      </c>
      <c r="K44" s="462">
        <f t="shared" si="39"/>
        <v>2064</v>
      </c>
      <c r="L44" s="246">
        <f t="shared" si="40"/>
        <v>156</v>
      </c>
      <c r="M44" s="265"/>
      <c r="N44" s="264">
        <f>IFERROR(L44/J44,"-")</f>
        <v>7.0270270270270274E-2</v>
      </c>
      <c r="O44" s="512">
        <v>55.4758</v>
      </c>
      <c r="P44" s="407">
        <f t="shared" si="35"/>
        <v>114502.0512</v>
      </c>
      <c r="Q44" s="452">
        <f t="shared" si="36"/>
        <v>114502.0512</v>
      </c>
    </row>
    <row r="45" spans="1:17" ht="24" thickBot="1" x14ac:dyDescent="0.45">
      <c r="A45" s="248" t="s">
        <v>108</v>
      </c>
      <c r="B45" s="1035" t="s">
        <v>79</v>
      </c>
      <c r="C45" s="548" t="s">
        <v>80</v>
      </c>
      <c r="D45" s="279"/>
      <c r="E45" s="439"/>
      <c r="F45" s="336">
        <f t="shared" si="37"/>
        <v>1170</v>
      </c>
      <c r="G45" s="281">
        <v>1100</v>
      </c>
      <c r="H45" s="281">
        <v>70</v>
      </c>
      <c r="I45" s="355" t="str">
        <f>IFERROR(F45/#REF!,"-")</f>
        <v>-</v>
      </c>
      <c r="J45" s="336">
        <f t="shared" si="38"/>
        <v>1170</v>
      </c>
      <c r="K45" s="462">
        <f t="shared" si="39"/>
        <v>1100</v>
      </c>
      <c r="L45" s="246">
        <f t="shared" si="40"/>
        <v>70</v>
      </c>
      <c r="M45" s="265" t="str">
        <f t="shared" ref="M45:M70" si="45">IFERROR(J45/D45,"-")</f>
        <v>-</v>
      </c>
      <c r="N45" s="264">
        <f t="shared" ref="N45:N69" si="46">IFERROR(L45/J45,"-")</f>
        <v>5.9829059829059832E-2</v>
      </c>
      <c r="O45" s="512">
        <v>25.687200000000001</v>
      </c>
      <c r="P45" s="407">
        <f t="shared" si="35"/>
        <v>28255.920000000002</v>
      </c>
      <c r="Q45" s="452">
        <f t="shared" si="36"/>
        <v>28255.920000000002</v>
      </c>
    </row>
    <row r="46" spans="1:17" ht="24" thickBot="1" x14ac:dyDescent="0.45">
      <c r="A46" s="248" t="s">
        <v>108</v>
      </c>
      <c r="B46" s="1037"/>
      <c r="C46" s="548" t="s">
        <v>124</v>
      </c>
      <c r="D46" s="279"/>
      <c r="E46" s="439"/>
      <c r="F46" s="336">
        <f t="shared" si="37"/>
        <v>0</v>
      </c>
      <c r="G46" s="281"/>
      <c r="H46" s="281"/>
      <c r="I46" s="355" t="str">
        <f>IFERROR(F46/#REF!,"-")</f>
        <v>-</v>
      </c>
      <c r="J46" s="336">
        <f t="shared" si="38"/>
        <v>0</v>
      </c>
      <c r="K46" s="462">
        <f t="shared" si="39"/>
        <v>0</v>
      </c>
      <c r="L46" s="246">
        <f t="shared" si="40"/>
        <v>0</v>
      </c>
      <c r="M46" s="265" t="str">
        <f t="shared" si="45"/>
        <v>-</v>
      </c>
      <c r="N46" s="264" t="str">
        <f t="shared" si="46"/>
        <v>-</v>
      </c>
      <c r="O46" s="512">
        <v>25.033899999999999</v>
      </c>
      <c r="P46" s="407">
        <f t="shared" si="35"/>
        <v>0</v>
      </c>
      <c r="Q46" s="452">
        <f t="shared" si="36"/>
        <v>0</v>
      </c>
    </row>
    <row r="47" spans="1:17" ht="24" thickBot="1" x14ac:dyDescent="0.45">
      <c r="A47" s="248"/>
      <c r="B47" s="1035" t="s">
        <v>81</v>
      </c>
      <c r="C47" s="548" t="s">
        <v>82</v>
      </c>
      <c r="D47" s="279"/>
      <c r="E47" s="439"/>
      <c r="F47" s="336">
        <f t="shared" si="37"/>
        <v>0</v>
      </c>
      <c r="G47" s="281"/>
      <c r="H47" s="281"/>
      <c r="I47" s="355" t="str">
        <f>IFERROR(F47/#REF!,"-")</f>
        <v>-</v>
      </c>
      <c r="J47" s="336">
        <f t="shared" si="38"/>
        <v>0</v>
      </c>
      <c r="K47" s="462">
        <f t="shared" si="39"/>
        <v>0</v>
      </c>
      <c r="L47" s="246">
        <f t="shared" si="40"/>
        <v>0</v>
      </c>
      <c r="M47" s="265" t="str">
        <f t="shared" si="45"/>
        <v>-</v>
      </c>
      <c r="N47" s="264" t="str">
        <f t="shared" si="46"/>
        <v>-</v>
      </c>
      <c r="O47" s="512">
        <v>41.992699999999999</v>
      </c>
      <c r="P47" s="407">
        <f t="shared" si="35"/>
        <v>0</v>
      </c>
      <c r="Q47" s="452">
        <f t="shared" si="36"/>
        <v>0</v>
      </c>
    </row>
    <row r="48" spans="1:17" ht="24" thickBot="1" x14ac:dyDescent="0.45">
      <c r="A48" s="248"/>
      <c r="B48" s="1036"/>
      <c r="C48" s="548" t="s">
        <v>347</v>
      </c>
      <c r="D48" s="279"/>
      <c r="E48" s="439"/>
      <c r="F48" s="336">
        <f t="shared" si="37"/>
        <v>0</v>
      </c>
      <c r="G48" s="281"/>
      <c r="H48" s="281"/>
      <c r="I48" s="355" t="str">
        <f>IFERROR(F48/#REF!,"-")</f>
        <v>-</v>
      </c>
      <c r="J48" s="336">
        <f t="shared" si="38"/>
        <v>0</v>
      </c>
      <c r="K48" s="462">
        <f t="shared" si="39"/>
        <v>0</v>
      </c>
      <c r="L48" s="246">
        <f t="shared" si="40"/>
        <v>0</v>
      </c>
      <c r="M48" s="265" t="str">
        <f t="shared" si="45"/>
        <v>-</v>
      </c>
      <c r="N48" s="264" t="str">
        <f t="shared" si="46"/>
        <v>-</v>
      </c>
      <c r="O48" s="512">
        <v>41.992699999999999</v>
      </c>
      <c r="P48" s="407">
        <f t="shared" si="35"/>
        <v>0</v>
      </c>
      <c r="Q48" s="452">
        <f t="shared" si="36"/>
        <v>0</v>
      </c>
    </row>
    <row r="49" spans="1:17" ht="24" thickBot="1" x14ac:dyDescent="0.45">
      <c r="A49" s="248"/>
      <c r="B49" s="551" t="s">
        <v>83</v>
      </c>
      <c r="C49" s="548" t="s">
        <v>84</v>
      </c>
      <c r="D49" s="279"/>
      <c r="E49" s="439"/>
      <c r="F49" s="336">
        <f t="shared" si="37"/>
        <v>0</v>
      </c>
      <c r="G49" s="281"/>
      <c r="H49" s="281"/>
      <c r="I49" s="355" t="str">
        <f>IFERROR(F49/#REF!,"-")</f>
        <v>-</v>
      </c>
      <c r="J49" s="336">
        <f t="shared" si="38"/>
        <v>0</v>
      </c>
      <c r="K49" s="462">
        <f t="shared" si="39"/>
        <v>0</v>
      </c>
      <c r="L49" s="246">
        <f t="shared" si="40"/>
        <v>0</v>
      </c>
      <c r="M49" s="265" t="str">
        <f t="shared" si="45"/>
        <v>-</v>
      </c>
      <c r="N49" s="264" t="str">
        <f t="shared" si="46"/>
        <v>-</v>
      </c>
      <c r="O49" s="512">
        <v>4.3535000000000004</v>
      </c>
      <c r="P49" s="407">
        <f t="shared" si="35"/>
        <v>0</v>
      </c>
      <c r="Q49" s="452">
        <f t="shared" si="36"/>
        <v>0</v>
      </c>
    </row>
    <row r="50" spans="1:17" ht="24" thickBot="1" x14ac:dyDescent="0.45">
      <c r="A50" s="248"/>
      <c r="B50" s="1035" t="s">
        <v>273</v>
      </c>
      <c r="C50" s="548" t="s">
        <v>80</v>
      </c>
      <c r="D50" s="279"/>
      <c r="E50" s="439"/>
      <c r="F50" s="336">
        <f t="shared" si="37"/>
        <v>0</v>
      </c>
      <c r="G50" s="281"/>
      <c r="H50" s="281"/>
      <c r="I50" s="355" t="str">
        <f>IFERROR(F50/#REF!,"-")</f>
        <v>-</v>
      </c>
      <c r="J50" s="336">
        <f t="shared" si="38"/>
        <v>0</v>
      </c>
      <c r="K50" s="462">
        <f t="shared" si="39"/>
        <v>0</v>
      </c>
      <c r="L50" s="246">
        <f t="shared" si="40"/>
        <v>0</v>
      </c>
      <c r="M50" s="265" t="str">
        <f t="shared" si="45"/>
        <v>-</v>
      </c>
      <c r="N50" s="264" t="str">
        <f t="shared" si="46"/>
        <v>-</v>
      </c>
      <c r="O50" s="512">
        <v>4.6184000000000003</v>
      </c>
      <c r="P50" s="407">
        <f t="shared" si="35"/>
        <v>0</v>
      </c>
      <c r="Q50" s="452">
        <f t="shared" si="36"/>
        <v>0</v>
      </c>
    </row>
    <row r="51" spans="1:17" ht="24" thickBot="1" x14ac:dyDescent="0.45">
      <c r="A51" s="248"/>
      <c r="B51" s="1036"/>
      <c r="C51" s="548" t="s">
        <v>378</v>
      </c>
      <c r="D51" s="279"/>
      <c r="E51" s="439"/>
      <c r="F51" s="336">
        <f t="shared" si="37"/>
        <v>0</v>
      </c>
      <c r="G51" s="281"/>
      <c r="H51" s="281"/>
      <c r="I51" s="355" t="str">
        <f>IFERROR(F51/#REF!,"-")</f>
        <v>-</v>
      </c>
      <c r="J51" s="336">
        <f t="shared" si="38"/>
        <v>0</v>
      </c>
      <c r="K51" s="462">
        <f t="shared" si="39"/>
        <v>0</v>
      </c>
      <c r="L51" s="246">
        <f t="shared" si="40"/>
        <v>0</v>
      </c>
      <c r="M51" s="265" t="str">
        <f t="shared" si="45"/>
        <v>-</v>
      </c>
      <c r="N51" s="264" t="str">
        <f t="shared" si="46"/>
        <v>-</v>
      </c>
      <c r="O51" s="512">
        <v>4.6184000000000003</v>
      </c>
      <c r="P51" s="407">
        <f t="shared" si="35"/>
        <v>0</v>
      </c>
      <c r="Q51" s="452">
        <f t="shared" si="36"/>
        <v>0</v>
      </c>
    </row>
    <row r="52" spans="1:17" ht="24" thickBot="1" x14ac:dyDescent="0.45">
      <c r="A52" s="248"/>
      <c r="B52" s="1036"/>
      <c r="C52" s="548" t="s">
        <v>272</v>
      </c>
      <c r="D52" s="279"/>
      <c r="E52" s="439"/>
      <c r="F52" s="336">
        <f t="shared" si="37"/>
        <v>0</v>
      </c>
      <c r="G52" s="281"/>
      <c r="H52" s="281"/>
      <c r="I52" s="355" t="str">
        <f>IFERROR(F52/#REF!,"-")</f>
        <v>-</v>
      </c>
      <c r="J52" s="336">
        <f t="shared" si="38"/>
        <v>0</v>
      </c>
      <c r="K52" s="462">
        <f t="shared" si="39"/>
        <v>0</v>
      </c>
      <c r="L52" s="246">
        <f t="shared" si="40"/>
        <v>0</v>
      </c>
      <c r="M52" s="265" t="str">
        <f t="shared" si="45"/>
        <v>-</v>
      </c>
      <c r="N52" s="264" t="str">
        <f t="shared" si="46"/>
        <v>-</v>
      </c>
      <c r="O52" s="512">
        <v>4.6184000000000003</v>
      </c>
      <c r="P52" s="407">
        <f t="shared" si="35"/>
        <v>0</v>
      </c>
      <c r="Q52" s="452">
        <f t="shared" si="36"/>
        <v>0</v>
      </c>
    </row>
    <row r="53" spans="1:17" ht="24" thickBot="1" x14ac:dyDescent="0.45">
      <c r="A53" s="248"/>
      <c r="B53" s="1036"/>
      <c r="C53" s="548" t="s">
        <v>390</v>
      </c>
      <c r="D53" s="279"/>
      <c r="E53" s="439"/>
      <c r="F53" s="336">
        <f t="shared" si="37"/>
        <v>33530</v>
      </c>
      <c r="G53" s="281">
        <v>33000</v>
      </c>
      <c r="H53" s="281">
        <v>530</v>
      </c>
      <c r="I53" s="355" t="str">
        <f>IFERROR(F53/#REF!,"-")</f>
        <v>-</v>
      </c>
      <c r="J53" s="336">
        <f t="shared" si="38"/>
        <v>33530</v>
      </c>
      <c r="K53" s="462">
        <f t="shared" si="39"/>
        <v>33000</v>
      </c>
      <c r="L53" s="246">
        <f t="shared" si="40"/>
        <v>530</v>
      </c>
      <c r="M53" s="265" t="str">
        <f t="shared" si="45"/>
        <v>-</v>
      </c>
      <c r="N53" s="264">
        <f t="shared" si="46"/>
        <v>1.5806740232627497E-2</v>
      </c>
      <c r="O53" s="512">
        <v>4.7636000000000003</v>
      </c>
      <c r="P53" s="407">
        <f t="shared" si="35"/>
        <v>157198.80000000002</v>
      </c>
      <c r="Q53" s="452">
        <f t="shared" si="36"/>
        <v>157198.80000000002</v>
      </c>
    </row>
    <row r="54" spans="1:17" ht="24" thickBot="1" x14ac:dyDescent="0.45">
      <c r="A54" s="248"/>
      <c r="B54" s="1037"/>
      <c r="C54" s="548" t="s">
        <v>384</v>
      </c>
      <c r="D54" s="279"/>
      <c r="E54" s="439"/>
      <c r="F54" s="336">
        <f t="shared" si="37"/>
        <v>0</v>
      </c>
      <c r="G54" s="281"/>
      <c r="H54" s="281"/>
      <c r="I54" s="355" t="str">
        <f>IFERROR(F54/#REF!,"-")</f>
        <v>-</v>
      </c>
      <c r="J54" s="336">
        <f t="shared" si="38"/>
        <v>0</v>
      </c>
      <c r="K54" s="462">
        <f t="shared" si="39"/>
        <v>0</v>
      </c>
      <c r="L54" s="246">
        <f t="shared" si="40"/>
        <v>0</v>
      </c>
      <c r="M54" s="265" t="str">
        <f t="shared" si="45"/>
        <v>-</v>
      </c>
      <c r="N54" s="264" t="str">
        <f t="shared" si="46"/>
        <v>-</v>
      </c>
      <c r="O54" s="512">
        <v>4.8738000000000001</v>
      </c>
      <c r="P54" s="407">
        <f t="shared" si="35"/>
        <v>0</v>
      </c>
      <c r="Q54" s="452">
        <f t="shared" si="36"/>
        <v>0</v>
      </c>
    </row>
    <row r="55" spans="1:17" ht="24" thickBot="1" x14ac:dyDescent="0.45">
      <c r="A55" s="248"/>
      <c r="B55" s="551" t="s">
        <v>274</v>
      </c>
      <c r="C55" s="548" t="s">
        <v>131</v>
      </c>
      <c r="D55" s="279"/>
      <c r="E55" s="439"/>
      <c r="F55" s="336">
        <f t="shared" si="37"/>
        <v>0</v>
      </c>
      <c r="G55" s="281"/>
      <c r="H55" s="281"/>
      <c r="I55" s="355" t="str">
        <f>IFERROR(F55/#REF!,"-")</f>
        <v>-</v>
      </c>
      <c r="J55" s="336">
        <f t="shared" si="38"/>
        <v>0</v>
      </c>
      <c r="K55" s="462">
        <f t="shared" si="39"/>
        <v>0</v>
      </c>
      <c r="L55" s="246">
        <f t="shared" si="40"/>
        <v>0</v>
      </c>
      <c r="M55" s="265" t="str">
        <f t="shared" si="45"/>
        <v>-</v>
      </c>
      <c r="N55" s="264" t="str">
        <f t="shared" si="46"/>
        <v>-</v>
      </c>
      <c r="O55" s="512">
        <v>4.8738000000000001</v>
      </c>
      <c r="P55" s="407">
        <f t="shared" si="35"/>
        <v>0</v>
      </c>
      <c r="Q55" s="452">
        <f t="shared" si="36"/>
        <v>0</v>
      </c>
    </row>
    <row r="56" spans="1:17" ht="24" thickBot="1" x14ac:dyDescent="0.45">
      <c r="A56" s="248"/>
      <c r="B56" s="1035" t="s">
        <v>276</v>
      </c>
      <c r="C56" s="548" t="s">
        <v>80</v>
      </c>
      <c r="D56" s="279"/>
      <c r="E56" s="439"/>
      <c r="F56" s="336">
        <f t="shared" si="37"/>
        <v>11270</v>
      </c>
      <c r="G56" s="281">
        <v>10650</v>
      </c>
      <c r="H56" s="281">
        <v>620</v>
      </c>
      <c r="I56" s="355" t="str">
        <f>IFERROR(F56/#REF!,"-")</f>
        <v>-</v>
      </c>
      <c r="J56" s="336">
        <f t="shared" si="38"/>
        <v>11270</v>
      </c>
      <c r="K56" s="462">
        <f t="shared" si="39"/>
        <v>10650</v>
      </c>
      <c r="L56" s="246">
        <f t="shared" si="40"/>
        <v>620</v>
      </c>
      <c r="M56" s="265" t="str">
        <f t="shared" si="45"/>
        <v>-</v>
      </c>
      <c r="N56" s="264">
        <f t="shared" si="46"/>
        <v>5.5013309671694766E-2</v>
      </c>
      <c r="O56" s="512">
        <v>4.9344999999999999</v>
      </c>
      <c r="P56" s="407">
        <f t="shared" si="35"/>
        <v>52552.424999999996</v>
      </c>
      <c r="Q56" s="452">
        <f t="shared" si="36"/>
        <v>52552.424999999996</v>
      </c>
    </row>
    <row r="57" spans="1:17" ht="24" thickBot="1" x14ac:dyDescent="0.45">
      <c r="A57" s="248"/>
      <c r="B57" s="1036"/>
      <c r="C57" s="548" t="s">
        <v>142</v>
      </c>
      <c r="D57" s="279"/>
      <c r="E57" s="439"/>
      <c r="F57" s="336">
        <f t="shared" si="37"/>
        <v>0</v>
      </c>
      <c r="G57" s="281"/>
      <c r="H57" s="281"/>
      <c r="I57" s="355" t="str">
        <f>IFERROR(F57/#REF!,"-")</f>
        <v>-</v>
      </c>
      <c r="J57" s="336">
        <f t="shared" si="38"/>
        <v>0</v>
      </c>
      <c r="K57" s="462">
        <f t="shared" si="39"/>
        <v>0</v>
      </c>
      <c r="L57" s="246">
        <f t="shared" si="40"/>
        <v>0</v>
      </c>
      <c r="M57" s="265" t="str">
        <f t="shared" si="45"/>
        <v>-</v>
      </c>
      <c r="N57" s="264" t="str">
        <f t="shared" si="46"/>
        <v>-</v>
      </c>
      <c r="O57" s="512">
        <v>4.9344999999999999</v>
      </c>
      <c r="P57" s="407">
        <f t="shared" si="35"/>
        <v>0</v>
      </c>
      <c r="Q57" s="452">
        <f t="shared" si="36"/>
        <v>0</v>
      </c>
    </row>
    <row r="58" spans="1:17" ht="24" thickBot="1" x14ac:dyDescent="0.45">
      <c r="A58" s="248"/>
      <c r="B58" s="1036"/>
      <c r="C58" s="548" t="s">
        <v>136</v>
      </c>
      <c r="D58" s="279"/>
      <c r="E58" s="439"/>
      <c r="F58" s="336">
        <f t="shared" si="37"/>
        <v>0</v>
      </c>
      <c r="G58" s="281"/>
      <c r="H58" s="281"/>
      <c r="I58" s="355" t="str">
        <f>IFERROR(F58/#REF!,"-")</f>
        <v>-</v>
      </c>
      <c r="J58" s="336">
        <f t="shared" si="38"/>
        <v>0</v>
      </c>
      <c r="K58" s="462">
        <f t="shared" si="39"/>
        <v>0</v>
      </c>
      <c r="L58" s="246">
        <f t="shared" si="40"/>
        <v>0</v>
      </c>
      <c r="M58" s="265" t="str">
        <f t="shared" si="45"/>
        <v>-</v>
      </c>
      <c r="N58" s="264" t="str">
        <f t="shared" si="46"/>
        <v>-</v>
      </c>
      <c r="O58" s="512">
        <v>4.9344999999999999</v>
      </c>
      <c r="P58" s="407">
        <f t="shared" si="35"/>
        <v>0</v>
      </c>
      <c r="Q58" s="452">
        <f t="shared" si="36"/>
        <v>0</v>
      </c>
    </row>
    <row r="59" spans="1:17" ht="24" thickBot="1" x14ac:dyDescent="0.45">
      <c r="A59" s="248"/>
      <c r="B59" s="1037"/>
      <c r="C59" s="548" t="s">
        <v>275</v>
      </c>
      <c r="D59" s="279"/>
      <c r="E59" s="439"/>
      <c r="F59" s="336">
        <f t="shared" si="37"/>
        <v>0</v>
      </c>
      <c r="G59" s="281"/>
      <c r="H59" s="281"/>
      <c r="I59" s="355" t="str">
        <f>IFERROR(F59/#REF!,"-")</f>
        <v>-</v>
      </c>
      <c r="J59" s="336">
        <f t="shared" si="38"/>
        <v>0</v>
      </c>
      <c r="K59" s="462">
        <f t="shared" si="39"/>
        <v>0</v>
      </c>
      <c r="L59" s="246">
        <f t="shared" si="40"/>
        <v>0</v>
      </c>
      <c r="M59" s="265" t="str">
        <f t="shared" si="45"/>
        <v>-</v>
      </c>
      <c r="N59" s="264" t="str">
        <f t="shared" si="46"/>
        <v>-</v>
      </c>
      <c r="O59" s="512">
        <v>5.5069999999999997</v>
      </c>
      <c r="P59" s="407">
        <f t="shared" si="35"/>
        <v>0</v>
      </c>
      <c r="Q59" s="452">
        <f t="shared" si="36"/>
        <v>0</v>
      </c>
    </row>
    <row r="60" spans="1:17" ht="24" thickBot="1" x14ac:dyDescent="0.45">
      <c r="A60" s="248"/>
      <c r="B60" s="1035" t="s">
        <v>281</v>
      </c>
      <c r="C60" s="548" t="s">
        <v>277</v>
      </c>
      <c r="D60" s="279"/>
      <c r="E60" s="439"/>
      <c r="F60" s="336">
        <f t="shared" si="37"/>
        <v>0</v>
      </c>
      <c r="G60" s="281"/>
      <c r="H60" s="281"/>
      <c r="I60" s="355" t="str">
        <f>IFERROR(F60/#REF!,"-")</f>
        <v>-</v>
      </c>
      <c r="J60" s="336">
        <f t="shared" si="38"/>
        <v>0</v>
      </c>
      <c r="K60" s="462">
        <f t="shared" si="39"/>
        <v>0</v>
      </c>
      <c r="L60" s="246">
        <f t="shared" si="40"/>
        <v>0</v>
      </c>
      <c r="M60" s="265" t="str">
        <f t="shared" si="45"/>
        <v>-</v>
      </c>
      <c r="N60" s="264" t="str">
        <f t="shared" si="46"/>
        <v>-</v>
      </c>
      <c r="O60" s="512">
        <v>5.6550000000000002</v>
      </c>
      <c r="P60" s="407">
        <f t="shared" si="35"/>
        <v>0</v>
      </c>
      <c r="Q60" s="452">
        <f t="shared" si="36"/>
        <v>0</v>
      </c>
    </row>
    <row r="61" spans="1:17" ht="24" thickBot="1" x14ac:dyDescent="0.45">
      <c r="A61" s="248"/>
      <c r="B61" s="1036"/>
      <c r="C61" s="548" t="s">
        <v>278</v>
      </c>
      <c r="D61" s="279"/>
      <c r="E61" s="439"/>
      <c r="F61" s="336">
        <f t="shared" si="37"/>
        <v>0</v>
      </c>
      <c r="G61" s="281"/>
      <c r="H61" s="281"/>
      <c r="I61" s="355" t="str">
        <f>IFERROR(F61/#REF!,"-")</f>
        <v>-</v>
      </c>
      <c r="J61" s="336">
        <f t="shared" si="38"/>
        <v>0</v>
      </c>
      <c r="K61" s="462">
        <f t="shared" si="39"/>
        <v>0</v>
      </c>
      <c r="L61" s="246">
        <f t="shared" si="40"/>
        <v>0</v>
      </c>
      <c r="M61" s="265" t="str">
        <f t="shared" si="45"/>
        <v>-</v>
      </c>
      <c r="N61" s="264" t="str">
        <f t="shared" si="46"/>
        <v>-</v>
      </c>
      <c r="O61" s="512">
        <v>5.6550000000000002</v>
      </c>
      <c r="P61" s="407">
        <f t="shared" si="35"/>
        <v>0</v>
      </c>
      <c r="Q61" s="452">
        <f t="shared" si="36"/>
        <v>0</v>
      </c>
    </row>
    <row r="62" spans="1:17" ht="24" thickBot="1" x14ac:dyDescent="0.45">
      <c r="A62" s="248"/>
      <c r="B62" s="1036"/>
      <c r="C62" s="548" t="s">
        <v>355</v>
      </c>
      <c r="D62" s="279"/>
      <c r="E62" s="439"/>
      <c r="F62" s="336">
        <f t="shared" si="37"/>
        <v>34530</v>
      </c>
      <c r="G62" s="281">
        <v>33600</v>
      </c>
      <c r="H62" s="281">
        <v>930</v>
      </c>
      <c r="I62" s="355" t="str">
        <f>IFERROR(F62/#REF!,"-")</f>
        <v>-</v>
      </c>
      <c r="J62" s="336">
        <f t="shared" si="38"/>
        <v>34530</v>
      </c>
      <c r="K62" s="462">
        <f t="shared" si="39"/>
        <v>33600</v>
      </c>
      <c r="L62" s="246">
        <f t="shared" si="40"/>
        <v>930</v>
      </c>
      <c r="M62" s="265" t="str">
        <f t="shared" si="45"/>
        <v>-</v>
      </c>
      <c r="N62" s="264">
        <f t="shared" si="46"/>
        <v>2.6933101650738488E-2</v>
      </c>
      <c r="O62" s="512">
        <v>5.6550000000000002</v>
      </c>
      <c r="P62" s="407">
        <f t="shared" si="35"/>
        <v>190008</v>
      </c>
      <c r="Q62" s="452">
        <f t="shared" si="36"/>
        <v>190008</v>
      </c>
    </row>
    <row r="63" spans="1:17" ht="24" thickBot="1" x14ac:dyDescent="0.45">
      <c r="A63" s="248"/>
      <c r="B63" s="1036"/>
      <c r="C63" s="548" t="s">
        <v>279</v>
      </c>
      <c r="D63" s="279"/>
      <c r="E63" s="439"/>
      <c r="F63" s="336">
        <f t="shared" si="37"/>
        <v>0</v>
      </c>
      <c r="G63" s="281"/>
      <c r="H63" s="281"/>
      <c r="I63" s="355" t="str">
        <f>IFERROR(F63/#REF!,"-")</f>
        <v>-</v>
      </c>
      <c r="J63" s="336">
        <f t="shared" si="38"/>
        <v>0</v>
      </c>
      <c r="K63" s="462">
        <f t="shared" si="39"/>
        <v>0</v>
      </c>
      <c r="L63" s="246">
        <f t="shared" si="40"/>
        <v>0</v>
      </c>
      <c r="M63" s="265" t="str">
        <f t="shared" si="45"/>
        <v>-</v>
      </c>
      <c r="N63" s="264" t="str">
        <f t="shared" si="46"/>
        <v>-</v>
      </c>
      <c r="O63" s="512">
        <v>5.6550000000000002</v>
      </c>
      <c r="P63" s="407">
        <f t="shared" si="35"/>
        <v>0</v>
      </c>
      <c r="Q63" s="452">
        <f t="shared" si="36"/>
        <v>0</v>
      </c>
    </row>
    <row r="64" spans="1:17" ht="24" thickBot="1" x14ac:dyDescent="0.45">
      <c r="A64" s="248" t="s">
        <v>108</v>
      </c>
      <c r="B64" s="1036"/>
      <c r="C64" s="548" t="s">
        <v>280</v>
      </c>
      <c r="D64" s="279"/>
      <c r="E64" s="439"/>
      <c r="F64" s="336">
        <f t="shared" si="37"/>
        <v>0</v>
      </c>
      <c r="G64" s="281"/>
      <c r="H64" s="281"/>
      <c r="I64" s="355" t="str">
        <f>IFERROR(F64/#REF!,"-")</f>
        <v>-</v>
      </c>
      <c r="J64" s="336">
        <f t="shared" si="38"/>
        <v>0</v>
      </c>
      <c r="K64" s="462">
        <f t="shared" si="39"/>
        <v>0</v>
      </c>
      <c r="L64" s="246">
        <f t="shared" si="40"/>
        <v>0</v>
      </c>
      <c r="M64" s="265" t="str">
        <f t="shared" si="45"/>
        <v>-</v>
      </c>
      <c r="N64" s="264" t="str">
        <f t="shared" si="46"/>
        <v>-</v>
      </c>
      <c r="O64" s="512">
        <v>3.2963</v>
      </c>
      <c r="P64" s="407">
        <f t="shared" si="35"/>
        <v>0</v>
      </c>
      <c r="Q64" s="452">
        <f t="shared" si="36"/>
        <v>0</v>
      </c>
    </row>
    <row r="65" spans="1:17" ht="24" thickBot="1" x14ac:dyDescent="0.45">
      <c r="A65" s="248" t="s">
        <v>108</v>
      </c>
      <c r="B65" s="1037"/>
      <c r="C65" s="548" t="s">
        <v>275</v>
      </c>
      <c r="D65" s="279"/>
      <c r="E65" s="439"/>
      <c r="F65" s="336">
        <f t="shared" si="37"/>
        <v>0</v>
      </c>
      <c r="G65" s="281"/>
      <c r="H65" s="281"/>
      <c r="I65" s="355" t="str">
        <f>IFERROR(F65/#REF!,"-")</f>
        <v>-</v>
      </c>
      <c r="J65" s="336">
        <f t="shared" si="38"/>
        <v>0</v>
      </c>
      <c r="K65" s="462">
        <f t="shared" si="39"/>
        <v>0</v>
      </c>
      <c r="L65" s="246">
        <f t="shared" si="40"/>
        <v>0</v>
      </c>
      <c r="M65" s="265" t="str">
        <f t="shared" si="45"/>
        <v>-</v>
      </c>
      <c r="N65" s="264" t="str">
        <f t="shared" si="46"/>
        <v>-</v>
      </c>
      <c r="O65" s="512">
        <v>3.2963</v>
      </c>
      <c r="P65" s="407">
        <f t="shared" si="35"/>
        <v>0</v>
      </c>
      <c r="Q65" s="452">
        <f t="shared" si="36"/>
        <v>0</v>
      </c>
    </row>
    <row r="66" spans="1:17" ht="24" thickBot="1" x14ac:dyDescent="0.45">
      <c r="A66" s="248" t="s">
        <v>108</v>
      </c>
      <c r="B66" s="552"/>
      <c r="C66" s="549" t="s">
        <v>92</v>
      </c>
      <c r="D66" s="516"/>
      <c r="E66" s="439"/>
      <c r="F66" s="336">
        <f t="shared" si="37"/>
        <v>0</v>
      </c>
      <c r="G66" s="281"/>
      <c r="H66" s="281"/>
      <c r="I66" s="355" t="str">
        <f>IFERROR(F66/#REF!,"-")</f>
        <v>-</v>
      </c>
      <c r="J66" s="336">
        <f t="shared" si="38"/>
        <v>0</v>
      </c>
      <c r="K66" s="462">
        <f t="shared" si="39"/>
        <v>0</v>
      </c>
      <c r="L66" s="246">
        <f t="shared" si="40"/>
        <v>0</v>
      </c>
      <c r="M66" s="265" t="str">
        <f t="shared" si="45"/>
        <v>-</v>
      </c>
      <c r="N66" s="264" t="str">
        <f t="shared" si="46"/>
        <v>-</v>
      </c>
      <c r="O66" s="512">
        <v>2.3201000000000001</v>
      </c>
      <c r="P66" s="407">
        <f t="shared" si="35"/>
        <v>0</v>
      </c>
      <c r="Q66" s="452">
        <f t="shared" si="36"/>
        <v>0</v>
      </c>
    </row>
    <row r="67" spans="1:17" ht="24" thickBot="1" x14ac:dyDescent="0.35">
      <c r="A67" s="248" t="s">
        <v>108</v>
      </c>
      <c r="B67" s="529"/>
      <c r="C67" s="546"/>
      <c r="D67" s="535"/>
      <c r="E67" s="466"/>
      <c r="F67" s="464">
        <f t="shared" si="37"/>
        <v>0</v>
      </c>
      <c r="G67" s="465"/>
      <c r="H67" s="465"/>
      <c r="I67" s="537" t="str">
        <f>IFERROR(F67/#REF!,"-")</f>
        <v>-</v>
      </c>
      <c r="J67" s="464">
        <f t="shared" si="38"/>
        <v>0</v>
      </c>
      <c r="K67" s="462">
        <f t="shared" si="39"/>
        <v>0</v>
      </c>
      <c r="L67" s="246">
        <f t="shared" si="40"/>
        <v>0</v>
      </c>
      <c r="M67" s="267" t="str">
        <f t="shared" si="45"/>
        <v>-</v>
      </c>
      <c r="N67" s="266" t="str">
        <f t="shared" si="46"/>
        <v>-</v>
      </c>
      <c r="O67" s="544"/>
      <c r="P67" s="541">
        <f t="shared" si="35"/>
        <v>0</v>
      </c>
      <c r="Q67" s="542">
        <f t="shared" si="36"/>
        <v>0</v>
      </c>
    </row>
    <row r="68" spans="1:17" ht="24" thickBot="1" x14ac:dyDescent="0.35">
      <c r="A68" s="277" t="s">
        <v>108</v>
      </c>
      <c r="B68" s="1060" t="s">
        <v>25</v>
      </c>
      <c r="C68" s="1061"/>
      <c r="D68" s="518">
        <f t="shared" ref="D68" si="47">SUM(D43:D67)</f>
        <v>0</v>
      </c>
      <c r="E68" s="531">
        <v>100000</v>
      </c>
      <c r="F68" s="518">
        <f>SUM(F43:F67)</f>
        <v>82720</v>
      </c>
      <c r="G68" s="524">
        <f t="shared" ref="G68:H68" si="48">SUM(G43:G67)</f>
        <v>80414</v>
      </c>
      <c r="H68" s="524">
        <f t="shared" si="48"/>
        <v>2306</v>
      </c>
      <c r="I68" s="525" t="str">
        <f>IFERROR(F68/#REF!,"-")</f>
        <v>-</v>
      </c>
      <c r="J68" s="518">
        <f t="shared" ref="J68" si="49">SUM(J43:J67)</f>
        <v>82720</v>
      </c>
      <c r="K68" s="524">
        <f>SUM(K38:K67)</f>
        <v>82814</v>
      </c>
      <c r="L68" s="246">
        <f t="shared" si="40"/>
        <v>2306</v>
      </c>
      <c r="M68" s="526" t="str">
        <f t="shared" si="45"/>
        <v>-</v>
      </c>
      <c r="N68" s="525">
        <f t="shared" si="46"/>
        <v>2.7877176015473886E-2</v>
      </c>
      <c r="O68" s="527"/>
      <c r="P68" s="528">
        <f>SUM(P38:P67)</f>
        <v>683724.3162</v>
      </c>
      <c r="Q68" s="528">
        <f>SUM(Q38:Q67)</f>
        <v>683724.3162</v>
      </c>
    </row>
    <row r="69" spans="1:17" ht="24" thickBot="1" x14ac:dyDescent="0.35">
      <c r="A69" s="321" t="s">
        <v>108</v>
      </c>
      <c r="B69" s="1062" t="s">
        <v>269</v>
      </c>
      <c r="C69" s="982"/>
      <c r="D69" s="329">
        <f>+D42+D68</f>
        <v>0</v>
      </c>
      <c r="E69" s="330">
        <f>+E42+E68</f>
        <v>100000</v>
      </c>
      <c r="F69" s="329">
        <f>+F68</f>
        <v>82720</v>
      </c>
      <c r="G69" s="329">
        <f t="shared" ref="G69:H69" si="50">+G68</f>
        <v>80414</v>
      </c>
      <c r="H69" s="329">
        <f t="shared" si="50"/>
        <v>2306</v>
      </c>
      <c r="I69" s="352" t="str">
        <f>IFERROR(F69/#REF!,"-")</f>
        <v>-</v>
      </c>
      <c r="J69" s="329">
        <f>+J68</f>
        <v>82720</v>
      </c>
      <c r="K69" s="329">
        <f t="shared" ref="K69:L69" si="51">+K68</f>
        <v>82814</v>
      </c>
      <c r="L69" s="329">
        <f t="shared" si="51"/>
        <v>2306</v>
      </c>
      <c r="M69" s="344" t="str">
        <f t="shared" si="45"/>
        <v>-</v>
      </c>
      <c r="N69" s="352">
        <f t="shared" si="46"/>
        <v>2.7877176015473886E-2</v>
      </c>
      <c r="O69" s="397"/>
      <c r="P69" s="413">
        <f>+P68</f>
        <v>683724.3162</v>
      </c>
      <c r="Q69" s="431">
        <f>Q68</f>
        <v>683724.3162</v>
      </c>
    </row>
    <row r="70" spans="1:17" ht="24.6" thickBot="1" x14ac:dyDescent="0.35">
      <c r="A70" s="322"/>
      <c r="B70" s="964" t="s">
        <v>182</v>
      </c>
      <c r="C70" s="965"/>
      <c r="D70" s="377">
        <f>+D69+D37+D28</f>
        <v>0</v>
      </c>
      <c r="E70" s="377">
        <f>+E69+E37+E28</f>
        <v>230000</v>
      </c>
      <c r="F70" s="377">
        <f>+F69+F37+F28</f>
        <v>225039</v>
      </c>
      <c r="G70" s="377">
        <f>+G69+G37+G28</f>
        <v>220814</v>
      </c>
      <c r="H70" s="377">
        <f>+H69+H37+H28</f>
        <v>4225</v>
      </c>
      <c r="I70" s="378" t="str">
        <f>IFERROR(F70/#REF!,"-")</f>
        <v>-</v>
      </c>
      <c r="J70" s="377">
        <f>+J69+J37+J28</f>
        <v>225039</v>
      </c>
      <c r="K70" s="377">
        <f>+K69+K37+K28</f>
        <v>223214</v>
      </c>
      <c r="L70" s="377">
        <f>+L69+L37+L28</f>
        <v>4225</v>
      </c>
      <c r="M70" s="378" t="str">
        <f t="shared" si="45"/>
        <v>-</v>
      </c>
      <c r="N70" s="378">
        <f>IFERROR(L70/J70,"-")</f>
        <v>1.8774523527033092E-2</v>
      </c>
      <c r="O70" s="404"/>
      <c r="P70" s="421">
        <f>+P69+P37+P28</f>
        <v>1269217.3962000001</v>
      </c>
      <c r="Q70" s="421">
        <f>+Q69+Q37+Q28</f>
        <v>1269217.3962000001</v>
      </c>
    </row>
    <row r="71" spans="1:17" ht="23.4" x14ac:dyDescent="0.3">
      <c r="A71" s="991" t="s">
        <v>1</v>
      </c>
      <c r="B71" s="994" t="s">
        <v>2</v>
      </c>
      <c r="C71" s="997" t="s">
        <v>3</v>
      </c>
      <c r="D71" s="1000" t="s">
        <v>4</v>
      </c>
      <c r="E71" s="1001"/>
      <c r="F71" s="1001"/>
      <c r="G71" s="1001"/>
      <c r="H71" s="1001"/>
      <c r="I71" s="1001"/>
      <c r="J71" s="1001"/>
      <c r="K71" s="1001"/>
      <c r="L71" s="1001"/>
      <c r="M71" s="1001"/>
      <c r="N71" s="1002"/>
      <c r="O71" s="1021" t="s">
        <v>175</v>
      </c>
      <c r="P71" s="1022"/>
      <c r="Q71" s="1052"/>
    </row>
    <row r="72" spans="1:17" ht="23.4" x14ac:dyDescent="0.3">
      <c r="A72" s="992"/>
      <c r="B72" s="995"/>
      <c r="C72" s="998"/>
      <c r="D72" s="1003" t="s">
        <v>7</v>
      </c>
      <c r="E72" s="1005" t="s">
        <v>115</v>
      </c>
      <c r="F72" s="1053" t="s">
        <v>430</v>
      </c>
      <c r="G72" s="1008"/>
      <c r="H72" s="1008"/>
      <c r="I72" s="1009"/>
      <c r="J72" s="1010" t="s">
        <v>8</v>
      </c>
      <c r="K72" s="1011"/>
      <c r="L72" s="1012"/>
      <c r="M72" s="1013" t="s">
        <v>173</v>
      </c>
      <c r="N72" s="1015" t="s">
        <v>172</v>
      </c>
      <c r="O72" s="1023" t="s">
        <v>177</v>
      </c>
      <c r="P72" s="1024"/>
      <c r="Q72" s="1025"/>
    </row>
    <row r="73" spans="1:17" ht="47.4" thickBot="1" x14ac:dyDescent="0.35">
      <c r="A73" s="993"/>
      <c r="B73" s="996"/>
      <c r="C73" s="999"/>
      <c r="D73" s="1004"/>
      <c r="E73" s="1006"/>
      <c r="F73" s="455" t="s">
        <v>13</v>
      </c>
      <c r="G73" s="456" t="s">
        <v>14</v>
      </c>
      <c r="H73" s="456" t="s">
        <v>15</v>
      </c>
      <c r="I73" s="457" t="s">
        <v>174</v>
      </c>
      <c r="J73" s="712" t="s">
        <v>13</v>
      </c>
      <c r="K73" s="710" t="s">
        <v>14</v>
      </c>
      <c r="L73" s="711" t="s">
        <v>15</v>
      </c>
      <c r="M73" s="1014"/>
      <c r="N73" s="1016"/>
      <c r="O73" s="447" t="s">
        <v>178</v>
      </c>
      <c r="P73" s="448" t="s">
        <v>11</v>
      </c>
      <c r="Q73" s="449" t="s">
        <v>12</v>
      </c>
    </row>
    <row r="74" spans="1:17" ht="23.4" x14ac:dyDescent="0.3">
      <c r="A74" s="271" t="s">
        <v>110</v>
      </c>
      <c r="B74" s="442"/>
      <c r="C74" s="272" t="s">
        <v>266</v>
      </c>
      <c r="D74" s="273"/>
      <c r="E74" s="274"/>
      <c r="F74" s="335">
        <f>+G74+H74</f>
        <v>0</v>
      </c>
      <c r="G74" s="275">
        <v>0</v>
      </c>
      <c r="H74" s="275">
        <v>0</v>
      </c>
      <c r="I74" s="354" t="str">
        <f>IFERROR(F74/#REF!,"-")</f>
        <v>-</v>
      </c>
      <c r="J74" s="461">
        <f>+K74+L74</f>
        <v>0</v>
      </c>
      <c r="K74" s="462">
        <f>+K14+G74</f>
        <v>0</v>
      </c>
      <c r="L74" s="463">
        <f>+L14+H74</f>
        <v>0</v>
      </c>
      <c r="M74" s="339" t="str">
        <f>IFERROR(J74/D74,"-")</f>
        <v>-</v>
      </c>
      <c r="N74" s="346" t="str">
        <f t="shared" ref="N74:N75" si="52">IFERROR(L74/J74,"-")</f>
        <v>-</v>
      </c>
      <c r="O74" s="511">
        <v>1.5669</v>
      </c>
      <c r="P74" s="405">
        <f>+O74*G74</f>
        <v>0</v>
      </c>
      <c r="Q74" s="450">
        <f>+O74*K74</f>
        <v>0</v>
      </c>
    </row>
    <row r="75" spans="1:17" ht="23.4" x14ac:dyDescent="0.3">
      <c r="A75" s="277" t="s">
        <v>110</v>
      </c>
      <c r="B75" s="441"/>
      <c r="C75" s="278" t="s">
        <v>265</v>
      </c>
      <c r="D75" s="279"/>
      <c r="E75" s="280"/>
      <c r="F75" s="336">
        <f t="shared" ref="F75:F78" si="53">+G75+H75</f>
        <v>115762</v>
      </c>
      <c r="G75" s="281">
        <v>115000</v>
      </c>
      <c r="H75" s="281">
        <v>762</v>
      </c>
      <c r="I75" s="355" t="str">
        <f>IFERROR(F75/#REF!,"-")</f>
        <v>-</v>
      </c>
      <c r="J75" s="336">
        <f t="shared" ref="J75:J78" si="54">+K75+L75</f>
        <v>231544</v>
      </c>
      <c r="K75" s="281">
        <f t="shared" ref="K75:L75" si="55">+K15+G75</f>
        <v>230000</v>
      </c>
      <c r="L75" s="439">
        <f t="shared" si="55"/>
        <v>1544</v>
      </c>
      <c r="M75" s="340" t="str">
        <f t="shared" ref="M75:M78" si="56">IFERROR(J75/D75,"-")</f>
        <v>-</v>
      </c>
      <c r="N75" s="268">
        <f t="shared" si="52"/>
        <v>6.6682790311992533E-3</v>
      </c>
      <c r="O75" s="512">
        <v>2.3978999999999999</v>
      </c>
      <c r="P75" s="407">
        <f>+O75*G75</f>
        <v>275758.5</v>
      </c>
      <c r="Q75" s="452">
        <f>+O75*K75</f>
        <v>551517</v>
      </c>
    </row>
    <row r="76" spans="1:17" ht="23.4" x14ac:dyDescent="0.3">
      <c r="A76" s="277" t="s">
        <v>110</v>
      </c>
      <c r="B76" s="441"/>
      <c r="C76" s="278" t="s">
        <v>409</v>
      </c>
      <c r="D76" s="279"/>
      <c r="E76" s="280"/>
      <c r="F76" s="336">
        <f t="shared" si="53"/>
        <v>0</v>
      </c>
      <c r="G76" s="281"/>
      <c r="H76" s="281"/>
      <c r="I76" s="355" t="str">
        <f>IFERROR(F76/#REF!,"-")</f>
        <v>-</v>
      </c>
      <c r="J76" s="336">
        <f t="shared" si="54"/>
        <v>0</v>
      </c>
      <c r="K76" s="281">
        <f t="shared" ref="K76:L76" si="57">+K16+G76</f>
        <v>0</v>
      </c>
      <c r="L76" s="439">
        <f t="shared" si="57"/>
        <v>0</v>
      </c>
      <c r="M76" s="340" t="str">
        <f t="shared" si="56"/>
        <v>-</v>
      </c>
      <c r="N76" s="268" t="str">
        <f>IFERROR(L76/J76,"-")</f>
        <v>-</v>
      </c>
      <c r="O76" s="513">
        <v>4.6797000000000004</v>
      </c>
      <c r="P76" s="407">
        <f t="shared" ref="P76:P78" si="58">+O76*G76</f>
        <v>0</v>
      </c>
      <c r="Q76" s="452">
        <f t="shared" ref="Q76:Q78" si="59">+O76*K76</f>
        <v>0</v>
      </c>
    </row>
    <row r="77" spans="1:17" ht="23.4" x14ac:dyDescent="0.3">
      <c r="A77" s="277"/>
      <c r="B77" s="454"/>
      <c r="C77" s="278" t="s">
        <v>353</v>
      </c>
      <c r="D77" s="283"/>
      <c r="E77" s="284"/>
      <c r="F77" s="336">
        <f t="shared" si="53"/>
        <v>24438</v>
      </c>
      <c r="G77" s="285">
        <f>13000+11200</f>
        <v>24200</v>
      </c>
      <c r="H77" s="285">
        <f>114+124</f>
        <v>238</v>
      </c>
      <c r="I77" s="355" t="str">
        <f>IFERROR(F77/#REF!,"-")</f>
        <v>-</v>
      </c>
      <c r="J77" s="336">
        <f t="shared" si="54"/>
        <v>41923</v>
      </c>
      <c r="K77" s="281">
        <f t="shared" ref="K77:L77" si="60">+K17+G77</f>
        <v>40600</v>
      </c>
      <c r="L77" s="439">
        <f t="shared" si="60"/>
        <v>1323</v>
      </c>
      <c r="M77" s="340" t="str">
        <f t="shared" si="56"/>
        <v>-</v>
      </c>
      <c r="N77" s="268">
        <f>IFERROR(L77/J77,"-")</f>
        <v>3.1557856069460676E-2</v>
      </c>
      <c r="O77" s="513">
        <v>12.284700000000001</v>
      </c>
      <c r="P77" s="407">
        <f t="shared" si="58"/>
        <v>297289.74000000005</v>
      </c>
      <c r="Q77" s="452">
        <f t="shared" si="59"/>
        <v>498758.82</v>
      </c>
    </row>
    <row r="78" spans="1:17" ht="24" thickBot="1" x14ac:dyDescent="0.35">
      <c r="A78" s="277" t="s">
        <v>110</v>
      </c>
      <c r="B78" s="454"/>
      <c r="C78" s="278" t="s">
        <v>408</v>
      </c>
      <c r="D78" s="283"/>
      <c r="E78" s="284"/>
      <c r="F78" s="337">
        <f t="shared" si="53"/>
        <v>31450</v>
      </c>
      <c r="G78" s="285">
        <v>30000</v>
      </c>
      <c r="H78" s="285">
        <v>1450</v>
      </c>
      <c r="I78" s="356" t="str">
        <f>IFERROR(F78/#REF!,"-")</f>
        <v>-</v>
      </c>
      <c r="J78" s="464">
        <f t="shared" si="54"/>
        <v>31450</v>
      </c>
      <c r="K78" s="465">
        <f t="shared" ref="K78:L78" si="61">+K18+G78</f>
        <v>30000</v>
      </c>
      <c r="L78" s="466">
        <f t="shared" si="61"/>
        <v>1450</v>
      </c>
      <c r="M78" s="341" t="str">
        <f t="shared" si="56"/>
        <v>-</v>
      </c>
      <c r="N78" s="347">
        <f t="shared" ref="N78:N90" si="62">IFERROR(L78/J78,"-")</f>
        <v>4.6104928457869634E-2</v>
      </c>
      <c r="O78" s="513">
        <v>4.6797000000000004</v>
      </c>
      <c r="P78" s="408">
        <f t="shared" si="58"/>
        <v>140391</v>
      </c>
      <c r="Q78" s="453">
        <f t="shared" si="59"/>
        <v>140391</v>
      </c>
    </row>
    <row r="79" spans="1:17" ht="24" thickBot="1" x14ac:dyDescent="0.35">
      <c r="A79" s="277" t="s">
        <v>110</v>
      </c>
      <c r="B79" s="967" t="s">
        <v>21</v>
      </c>
      <c r="C79" s="968"/>
      <c r="D79" s="323">
        <f>SUM(D74:D78)</f>
        <v>0</v>
      </c>
      <c r="E79" s="288">
        <v>15000</v>
      </c>
      <c r="F79" s="323">
        <f>SUM(F74:F78)</f>
        <v>171650</v>
      </c>
      <c r="G79" s="324">
        <f>SUM(G74:G78)</f>
        <v>169200</v>
      </c>
      <c r="H79" s="324">
        <f>SUM(H74:H78)</f>
        <v>2450</v>
      </c>
      <c r="I79" s="348" t="str">
        <f>IFERROR(F79/#REF!,"-")</f>
        <v>-</v>
      </c>
      <c r="J79" s="323">
        <f>SUM(J74:J78)</f>
        <v>304917</v>
      </c>
      <c r="K79" s="324">
        <f>SUM(K74:K78)</f>
        <v>300600</v>
      </c>
      <c r="L79" s="325">
        <f>SUM(L74:L78)</f>
        <v>4317</v>
      </c>
      <c r="M79" s="342" t="str">
        <f>IFERROR(J79/D79,"-")</f>
        <v>-</v>
      </c>
      <c r="N79" s="348">
        <f t="shared" si="62"/>
        <v>1.4157951180157223E-2</v>
      </c>
      <c r="O79" s="394"/>
      <c r="P79" s="409">
        <f>SUM(P74:P78)</f>
        <v>713439.24</v>
      </c>
      <c r="Q79" s="428">
        <f>SUM(Q74:Q78)</f>
        <v>1190666.82</v>
      </c>
    </row>
    <row r="80" spans="1:17" ht="23.4" x14ac:dyDescent="0.3">
      <c r="A80" s="277" t="s">
        <v>110</v>
      </c>
      <c r="B80" s="442"/>
      <c r="C80" s="272" t="s">
        <v>264</v>
      </c>
      <c r="D80" s="273"/>
      <c r="E80" s="274"/>
      <c r="F80" s="335">
        <f t="shared" ref="F80:F86" si="63">+G80+H80</f>
        <v>8812</v>
      </c>
      <c r="G80" s="275">
        <v>8640</v>
      </c>
      <c r="H80" s="275">
        <v>172</v>
      </c>
      <c r="I80" s="354" t="str">
        <f>IFERROR(F80/#REF!,"-")</f>
        <v>-</v>
      </c>
      <c r="J80" s="461">
        <f t="shared" ref="J80:J86" si="64">+K80+L80</f>
        <v>8812</v>
      </c>
      <c r="K80" s="462">
        <f t="shared" ref="K80:L80" si="65">+K20+G80</f>
        <v>8640</v>
      </c>
      <c r="L80" s="463">
        <f t="shared" si="65"/>
        <v>172</v>
      </c>
      <c r="M80" s="339" t="str">
        <f t="shared" ref="M80:M88" si="66">IFERROR(J80/D80,"-")</f>
        <v>-</v>
      </c>
      <c r="N80" s="349">
        <f t="shared" si="62"/>
        <v>1.9518837948252384E-2</v>
      </c>
      <c r="O80" s="511">
        <v>18.2316</v>
      </c>
      <c r="P80" s="405">
        <f t="shared" ref="P80:P86" si="67">+O80*G80</f>
        <v>157521.024</v>
      </c>
      <c r="Q80" s="450">
        <f t="shared" ref="Q80:Q86" si="68">+O80*K80</f>
        <v>157521.024</v>
      </c>
    </row>
    <row r="81" spans="1:17" ht="23.4" x14ac:dyDescent="0.3">
      <c r="A81" s="277" t="s">
        <v>110</v>
      </c>
      <c r="B81" s="441"/>
      <c r="C81" s="278" t="s">
        <v>92</v>
      </c>
      <c r="D81" s="279"/>
      <c r="E81" s="280"/>
      <c r="F81" s="336">
        <f t="shared" si="63"/>
        <v>0</v>
      </c>
      <c r="G81" s="281"/>
      <c r="H81" s="281"/>
      <c r="I81" s="355" t="str">
        <f>IFERROR(F81/#REF!,"-")</f>
        <v>-</v>
      </c>
      <c r="J81" s="336">
        <f t="shared" si="64"/>
        <v>0</v>
      </c>
      <c r="K81" s="281">
        <f t="shared" ref="K81:L81" si="69">+K21+G81</f>
        <v>0</v>
      </c>
      <c r="L81" s="439">
        <f t="shared" si="69"/>
        <v>0</v>
      </c>
      <c r="M81" s="340" t="str">
        <f t="shared" si="66"/>
        <v>-</v>
      </c>
      <c r="N81" s="264" t="str">
        <f t="shared" si="62"/>
        <v>-</v>
      </c>
      <c r="O81" s="512">
        <v>1.2824</v>
      </c>
      <c r="P81" s="407">
        <f t="shared" si="67"/>
        <v>0</v>
      </c>
      <c r="Q81" s="452">
        <f t="shared" si="68"/>
        <v>0</v>
      </c>
    </row>
    <row r="82" spans="1:17" ht="23.4" x14ac:dyDescent="0.3">
      <c r="A82" s="277" t="s">
        <v>110</v>
      </c>
      <c r="B82" s="441"/>
      <c r="C82" s="278" t="s">
        <v>329</v>
      </c>
      <c r="D82" s="279"/>
      <c r="E82" s="280"/>
      <c r="F82" s="336">
        <f t="shared" si="63"/>
        <v>0</v>
      </c>
      <c r="G82" s="281"/>
      <c r="H82" s="281"/>
      <c r="I82" s="355" t="str">
        <f>IFERROR(F82/#REF!,"-")</f>
        <v>-</v>
      </c>
      <c r="J82" s="336">
        <f t="shared" si="64"/>
        <v>0</v>
      </c>
      <c r="K82" s="281">
        <f t="shared" ref="K82:L82" si="70">+K22+G82</f>
        <v>0</v>
      </c>
      <c r="L82" s="439">
        <f t="shared" si="70"/>
        <v>0</v>
      </c>
      <c r="M82" s="340" t="str">
        <f t="shared" si="66"/>
        <v>-</v>
      </c>
      <c r="N82" s="264" t="str">
        <f t="shared" si="62"/>
        <v>-</v>
      </c>
      <c r="O82" s="512">
        <v>5.7342000000000004</v>
      </c>
      <c r="P82" s="407">
        <f t="shared" si="67"/>
        <v>0</v>
      </c>
      <c r="Q82" s="452">
        <f t="shared" si="68"/>
        <v>0</v>
      </c>
    </row>
    <row r="83" spans="1:17" ht="23.4" x14ac:dyDescent="0.3">
      <c r="A83" s="277" t="s">
        <v>110</v>
      </c>
      <c r="B83" s="441"/>
      <c r="C83" s="278" t="s">
        <v>346</v>
      </c>
      <c r="D83" s="279"/>
      <c r="E83" s="280"/>
      <c r="F83" s="336">
        <f t="shared" si="63"/>
        <v>0</v>
      </c>
      <c r="G83" s="281"/>
      <c r="H83" s="281"/>
      <c r="I83" s="355" t="str">
        <f>IFERROR(F83/#REF!,"-")</f>
        <v>-</v>
      </c>
      <c r="J83" s="336">
        <f t="shared" si="64"/>
        <v>0</v>
      </c>
      <c r="K83" s="281">
        <f t="shared" ref="K83:L83" si="71">+K23+G83</f>
        <v>0</v>
      </c>
      <c r="L83" s="439">
        <f t="shared" si="71"/>
        <v>0</v>
      </c>
      <c r="M83" s="340" t="str">
        <f t="shared" si="66"/>
        <v>-</v>
      </c>
      <c r="N83" s="264" t="str">
        <f t="shared" si="62"/>
        <v>-</v>
      </c>
      <c r="O83" s="512"/>
      <c r="P83" s="407">
        <f t="shared" si="67"/>
        <v>0</v>
      </c>
      <c r="Q83" s="452">
        <f t="shared" si="68"/>
        <v>0</v>
      </c>
    </row>
    <row r="84" spans="1:17" ht="23.4" x14ac:dyDescent="0.3">
      <c r="A84" s="277" t="s">
        <v>110</v>
      </c>
      <c r="B84" s="441"/>
      <c r="C84" s="278" t="s">
        <v>354</v>
      </c>
      <c r="D84" s="279"/>
      <c r="E84" s="280"/>
      <c r="F84" s="336">
        <f t="shared" si="63"/>
        <v>9565</v>
      </c>
      <c r="G84" s="281">
        <v>9000</v>
      </c>
      <c r="H84" s="281">
        <v>565</v>
      </c>
      <c r="I84" s="355" t="str">
        <f>IFERROR(F84/#REF!,"-")</f>
        <v>-</v>
      </c>
      <c r="J84" s="336">
        <f t="shared" si="64"/>
        <v>18617</v>
      </c>
      <c r="K84" s="281">
        <f t="shared" ref="K84:L84" si="72">+K24+G84</f>
        <v>18000</v>
      </c>
      <c r="L84" s="439">
        <f t="shared" si="72"/>
        <v>617</v>
      </c>
      <c r="M84" s="340" t="str">
        <f t="shared" si="66"/>
        <v>-</v>
      </c>
      <c r="N84" s="264">
        <f t="shared" si="62"/>
        <v>3.314175216200247E-2</v>
      </c>
      <c r="O84" s="512">
        <v>12.029500000000001</v>
      </c>
      <c r="P84" s="407">
        <f t="shared" si="67"/>
        <v>108265.5</v>
      </c>
      <c r="Q84" s="452">
        <f t="shared" si="68"/>
        <v>216531</v>
      </c>
    </row>
    <row r="85" spans="1:17" ht="23.4" x14ac:dyDescent="0.3">
      <c r="A85" s="277" t="s">
        <v>110</v>
      </c>
      <c r="B85" s="441"/>
      <c r="C85" s="278"/>
      <c r="D85" s="279"/>
      <c r="E85" s="280"/>
      <c r="F85" s="336">
        <f t="shared" si="63"/>
        <v>0</v>
      </c>
      <c r="G85" s="281"/>
      <c r="H85" s="281"/>
      <c r="I85" s="355" t="str">
        <f>IFERROR(F85/#REF!,"-")</f>
        <v>-</v>
      </c>
      <c r="J85" s="336">
        <f t="shared" si="64"/>
        <v>0</v>
      </c>
      <c r="K85" s="281">
        <f t="shared" ref="K85:L85" si="73">+K25+G85</f>
        <v>0</v>
      </c>
      <c r="L85" s="439">
        <f t="shared" si="73"/>
        <v>0</v>
      </c>
      <c r="M85" s="340" t="str">
        <f t="shared" si="66"/>
        <v>-</v>
      </c>
      <c r="N85" s="264" t="str">
        <f t="shared" si="62"/>
        <v>-</v>
      </c>
      <c r="O85" s="512"/>
      <c r="P85" s="407">
        <f t="shared" si="67"/>
        <v>0</v>
      </c>
      <c r="Q85" s="452">
        <f t="shared" si="68"/>
        <v>0</v>
      </c>
    </row>
    <row r="86" spans="1:17" ht="24" thickBot="1" x14ac:dyDescent="0.35">
      <c r="A86" s="277" t="s">
        <v>110</v>
      </c>
      <c r="B86" s="454"/>
      <c r="C86" s="282"/>
      <c r="D86" s="283">
        <v>0</v>
      </c>
      <c r="E86" s="284"/>
      <c r="F86" s="337">
        <f t="shared" si="63"/>
        <v>0</v>
      </c>
      <c r="G86" s="285"/>
      <c r="H86" s="285"/>
      <c r="I86" s="356" t="str">
        <f>IFERROR(F86/#REF!,"-")</f>
        <v>-</v>
      </c>
      <c r="J86" s="464">
        <f t="shared" si="64"/>
        <v>0</v>
      </c>
      <c r="K86" s="465">
        <f t="shared" ref="K86:L86" si="74">+K26+G86</f>
        <v>0</v>
      </c>
      <c r="L86" s="466">
        <f t="shared" si="74"/>
        <v>0</v>
      </c>
      <c r="M86" s="341" t="str">
        <f t="shared" si="66"/>
        <v>-</v>
      </c>
      <c r="N86" s="350" t="str">
        <f t="shared" si="62"/>
        <v>-</v>
      </c>
      <c r="O86" s="513"/>
      <c r="P86" s="408">
        <f t="shared" si="67"/>
        <v>0</v>
      </c>
      <c r="Q86" s="453">
        <f t="shared" si="68"/>
        <v>0</v>
      </c>
    </row>
    <row r="87" spans="1:17" ht="24" thickBot="1" x14ac:dyDescent="0.35">
      <c r="A87" s="277" t="s">
        <v>110</v>
      </c>
      <c r="B87" s="967" t="s">
        <v>25</v>
      </c>
      <c r="C87" s="968"/>
      <c r="D87" s="323">
        <f t="shared" ref="D87" si="75">SUM(D80:D86)</f>
        <v>0</v>
      </c>
      <c r="E87" s="288">
        <v>100000</v>
      </c>
      <c r="F87" s="323">
        <f>SUM(F80:F86)</f>
        <v>18377</v>
      </c>
      <c r="G87" s="324">
        <f t="shared" ref="G87:H87" si="76">SUM(G80:G86)</f>
        <v>17640</v>
      </c>
      <c r="H87" s="324">
        <f t="shared" si="76"/>
        <v>737</v>
      </c>
      <c r="I87" s="348" t="str">
        <f>IFERROR(F87/#REF!,"-")</f>
        <v>-</v>
      </c>
      <c r="J87" s="323">
        <f t="shared" ref="J87:L87" si="77">SUM(J80:J86)</f>
        <v>27429</v>
      </c>
      <c r="K87" s="324">
        <f t="shared" si="77"/>
        <v>26640</v>
      </c>
      <c r="L87" s="325">
        <f t="shared" si="77"/>
        <v>789</v>
      </c>
      <c r="M87" s="342" t="str">
        <f t="shared" si="66"/>
        <v>-</v>
      </c>
      <c r="N87" s="348">
        <f t="shared" si="62"/>
        <v>2.8765175544132122E-2</v>
      </c>
      <c r="O87" s="394"/>
      <c r="P87" s="409">
        <f t="shared" ref="P87:Q87" si="78">SUM(P80:P86)</f>
        <v>265786.52399999998</v>
      </c>
      <c r="Q87" s="428">
        <f t="shared" si="78"/>
        <v>374052.02399999998</v>
      </c>
    </row>
    <row r="88" spans="1:17" ht="24" thickBot="1" x14ac:dyDescent="0.35">
      <c r="A88" s="277" t="s">
        <v>110</v>
      </c>
      <c r="B88" s="1057" t="s">
        <v>180</v>
      </c>
      <c r="C88" s="1040"/>
      <c r="D88" s="329">
        <f>+D79+D87</f>
        <v>0</v>
      </c>
      <c r="E88" s="330">
        <f t="shared" ref="E88:H88" si="79">+E79+E87</f>
        <v>115000</v>
      </c>
      <c r="F88" s="329">
        <f t="shared" si="79"/>
        <v>190027</v>
      </c>
      <c r="G88" s="327">
        <f t="shared" si="79"/>
        <v>186840</v>
      </c>
      <c r="H88" s="327">
        <f t="shared" si="79"/>
        <v>3187</v>
      </c>
      <c r="I88" s="352" t="str">
        <f>IFERROR(F88/#REF!,"-")</f>
        <v>-</v>
      </c>
      <c r="J88" s="329">
        <f t="shared" ref="J88:L88" si="80">+J79+J87</f>
        <v>332346</v>
      </c>
      <c r="K88" s="327">
        <f t="shared" si="80"/>
        <v>327240</v>
      </c>
      <c r="L88" s="328">
        <f t="shared" si="80"/>
        <v>5106</v>
      </c>
      <c r="M88" s="344" t="str">
        <f t="shared" si="66"/>
        <v>-</v>
      </c>
      <c r="N88" s="352">
        <f t="shared" si="62"/>
        <v>1.5363506706865737E-2</v>
      </c>
      <c r="O88" s="397"/>
      <c r="P88" s="413">
        <f t="shared" ref="P88:Q88" si="81">+P79+P87</f>
        <v>979225.76399999997</v>
      </c>
      <c r="Q88" s="431">
        <f t="shared" si="81"/>
        <v>1564718.844</v>
      </c>
    </row>
    <row r="89" spans="1:17" ht="23.4" x14ac:dyDescent="0.3">
      <c r="A89" s="244" t="s">
        <v>108</v>
      </c>
      <c r="B89" s="591"/>
      <c r="C89" s="592" t="s">
        <v>306</v>
      </c>
      <c r="D89" s="532"/>
      <c r="E89" s="463"/>
      <c r="F89" s="461">
        <f>+G89+H89</f>
        <v>0</v>
      </c>
      <c r="G89" s="462">
        <v>0</v>
      </c>
      <c r="H89" s="462">
        <v>0</v>
      </c>
      <c r="I89" s="536" t="str">
        <f>IFERROR(F89/#REF!,"-")</f>
        <v>-</v>
      </c>
      <c r="J89" s="461">
        <f>+K89+L89</f>
        <v>0</v>
      </c>
      <c r="K89" s="462">
        <f t="shared" ref="K89:L89" si="82">+K29+G89</f>
        <v>0</v>
      </c>
      <c r="L89" s="463">
        <f t="shared" si="82"/>
        <v>0</v>
      </c>
      <c r="M89" s="596" t="str">
        <f>IFERROR(J89/D89,"-")</f>
        <v>-</v>
      </c>
      <c r="N89" s="538" t="str">
        <f t="shared" si="62"/>
        <v>-</v>
      </c>
      <c r="O89" s="638">
        <v>4.8285999999999998</v>
      </c>
      <c r="P89" s="539">
        <f t="shared" ref="P89:P95" si="83">+O89*G89</f>
        <v>0</v>
      </c>
      <c r="Q89" s="540">
        <f t="shared" ref="Q89:Q95" si="84">+O89*K89</f>
        <v>0</v>
      </c>
    </row>
    <row r="90" spans="1:17" ht="23.4" x14ac:dyDescent="0.3">
      <c r="A90" s="248" t="s">
        <v>108</v>
      </c>
      <c r="B90" s="593"/>
      <c r="C90" s="278" t="s">
        <v>307</v>
      </c>
      <c r="D90" s="279"/>
      <c r="E90" s="439"/>
      <c r="F90" s="336">
        <f t="shared" ref="F90:F95" si="85">+G90+H90</f>
        <v>0</v>
      </c>
      <c r="G90" s="281">
        <v>0</v>
      </c>
      <c r="H90" s="281">
        <v>0</v>
      </c>
      <c r="I90" s="355" t="str">
        <f>IFERROR(F90/#REF!,"-")</f>
        <v>-</v>
      </c>
      <c r="J90" s="336">
        <f t="shared" ref="J90:J95" si="86">+K90+L90</f>
        <v>0</v>
      </c>
      <c r="K90" s="281">
        <f t="shared" ref="K90:L90" si="87">+K30+G90</f>
        <v>0</v>
      </c>
      <c r="L90" s="439">
        <f t="shared" si="87"/>
        <v>0</v>
      </c>
      <c r="M90" s="340" t="str">
        <f t="shared" ref="M90:M92" si="88">IFERROR(J90/D90,"-")</f>
        <v>-</v>
      </c>
      <c r="N90" s="268" t="str">
        <f t="shared" si="62"/>
        <v>-</v>
      </c>
      <c r="O90" s="639">
        <v>1.4086000000000001</v>
      </c>
      <c r="P90" s="407">
        <f t="shared" si="83"/>
        <v>0</v>
      </c>
      <c r="Q90" s="452">
        <f t="shared" si="84"/>
        <v>0</v>
      </c>
    </row>
    <row r="91" spans="1:17" ht="23.4" x14ac:dyDescent="0.3">
      <c r="A91" s="248" t="s">
        <v>108</v>
      </c>
      <c r="B91" s="593"/>
      <c r="C91" s="278" t="s">
        <v>348</v>
      </c>
      <c r="D91" s="279"/>
      <c r="E91" s="439"/>
      <c r="F91" s="336">
        <f t="shared" si="85"/>
        <v>0</v>
      </c>
      <c r="G91" s="281">
        <v>0</v>
      </c>
      <c r="H91" s="281">
        <v>0</v>
      </c>
      <c r="I91" s="355" t="str">
        <f>IFERROR(F91/#REF!,"-")</f>
        <v>-</v>
      </c>
      <c r="J91" s="336">
        <f t="shared" si="86"/>
        <v>0</v>
      </c>
      <c r="K91" s="281">
        <f t="shared" ref="K91:L91" si="89">+K31+G91</f>
        <v>0</v>
      </c>
      <c r="L91" s="439">
        <f t="shared" si="89"/>
        <v>0</v>
      </c>
      <c r="M91" s="340" t="str">
        <f t="shared" si="88"/>
        <v>-</v>
      </c>
      <c r="N91" s="268" t="str">
        <f>IFERROR(L91/J91,"-")</f>
        <v>-</v>
      </c>
      <c r="O91" s="639">
        <v>2.2141000000000002</v>
      </c>
      <c r="P91" s="407">
        <f t="shared" si="83"/>
        <v>0</v>
      </c>
      <c r="Q91" s="452">
        <f t="shared" si="84"/>
        <v>0</v>
      </c>
    </row>
    <row r="92" spans="1:17" ht="23.4" x14ac:dyDescent="0.3">
      <c r="A92" s="248" t="s">
        <v>108</v>
      </c>
      <c r="B92" s="594"/>
      <c r="C92" s="278" t="s">
        <v>387</v>
      </c>
      <c r="D92" s="283"/>
      <c r="E92" s="533"/>
      <c r="F92" s="337">
        <f t="shared" si="85"/>
        <v>0</v>
      </c>
      <c r="G92" s="285">
        <v>0</v>
      </c>
      <c r="H92" s="285">
        <v>0</v>
      </c>
      <c r="I92" s="356" t="str">
        <f>IFERROR(F92/#REF!,"-")</f>
        <v>-</v>
      </c>
      <c r="J92" s="336">
        <f t="shared" si="86"/>
        <v>0</v>
      </c>
      <c r="K92" s="281">
        <f t="shared" ref="K92:L92" si="90">+K32+G92</f>
        <v>0</v>
      </c>
      <c r="L92" s="439">
        <f t="shared" si="90"/>
        <v>0</v>
      </c>
      <c r="M92" s="341" t="str">
        <f t="shared" si="88"/>
        <v>-</v>
      </c>
      <c r="N92" s="347" t="str">
        <f t="shared" ref="N92:N99" si="91">IFERROR(L92/J92,"-")</f>
        <v>-</v>
      </c>
      <c r="O92" s="640">
        <v>2.4565999999999999</v>
      </c>
      <c r="P92" s="408">
        <f t="shared" si="83"/>
        <v>0</v>
      </c>
      <c r="Q92" s="453">
        <f t="shared" si="84"/>
        <v>0</v>
      </c>
    </row>
    <row r="93" spans="1:17" ht="23.4" x14ac:dyDescent="0.3">
      <c r="A93" s="248" t="s">
        <v>108</v>
      </c>
      <c r="B93" s="443"/>
      <c r="C93" s="637" t="s">
        <v>393</v>
      </c>
      <c r="D93" s="514"/>
      <c r="E93" s="534"/>
      <c r="F93" s="336">
        <f t="shared" si="85"/>
        <v>0</v>
      </c>
      <c r="G93" s="553">
        <v>0</v>
      </c>
      <c r="H93" s="553">
        <v>0</v>
      </c>
      <c r="I93" s="355" t="str">
        <f>IFERROR(F93/#REF!,"-")</f>
        <v>-</v>
      </c>
      <c r="J93" s="336">
        <f t="shared" si="86"/>
        <v>0</v>
      </c>
      <c r="K93" s="281">
        <f t="shared" ref="K93:L93" si="92">+K33+G93</f>
        <v>0</v>
      </c>
      <c r="L93" s="439">
        <f t="shared" si="92"/>
        <v>0</v>
      </c>
      <c r="M93" s="725"/>
      <c r="N93" s="268" t="str">
        <f t="shared" si="91"/>
        <v>-</v>
      </c>
      <c r="O93" s="545">
        <v>4.8285999999999998</v>
      </c>
      <c r="P93" s="407">
        <f t="shared" si="83"/>
        <v>0</v>
      </c>
      <c r="Q93" s="452">
        <f t="shared" si="84"/>
        <v>0</v>
      </c>
    </row>
    <row r="94" spans="1:17" ht="23.4" x14ac:dyDescent="0.3">
      <c r="A94" s="248" t="s">
        <v>108</v>
      </c>
      <c r="B94" s="595"/>
      <c r="C94" s="637" t="s">
        <v>389</v>
      </c>
      <c r="D94" s="273"/>
      <c r="E94" s="438"/>
      <c r="F94" s="335">
        <f t="shared" si="85"/>
        <v>0</v>
      </c>
      <c r="G94" s="275">
        <v>0</v>
      </c>
      <c r="H94" s="275">
        <v>0</v>
      </c>
      <c r="I94" s="354" t="str">
        <f>IFERROR(F94/#REF!,"-")</f>
        <v>-</v>
      </c>
      <c r="J94" s="336">
        <f t="shared" si="86"/>
        <v>0</v>
      </c>
      <c r="K94" s="281">
        <f t="shared" ref="K94:L94" si="93">+K34+G94</f>
        <v>0</v>
      </c>
      <c r="L94" s="439">
        <f t="shared" si="93"/>
        <v>0</v>
      </c>
      <c r="M94" s="339" t="str">
        <f t="shared" ref="M94:M95" si="94">IFERROR(J94/D94,"-")</f>
        <v>-</v>
      </c>
      <c r="N94" s="349" t="str">
        <f t="shared" si="91"/>
        <v>-</v>
      </c>
      <c r="O94" s="511">
        <v>4.1712999999999996</v>
      </c>
      <c r="P94" s="405">
        <f t="shared" si="83"/>
        <v>0</v>
      </c>
      <c r="Q94" s="450">
        <f t="shared" si="84"/>
        <v>0</v>
      </c>
    </row>
    <row r="95" spans="1:17" ht="24" thickBot="1" x14ac:dyDescent="0.35">
      <c r="A95" s="248" t="s">
        <v>108</v>
      </c>
      <c r="B95" s="593"/>
      <c r="C95" s="278"/>
      <c r="D95" s="279"/>
      <c r="E95" s="439"/>
      <c r="F95" s="336">
        <f t="shared" si="85"/>
        <v>0</v>
      </c>
      <c r="G95" s="281"/>
      <c r="H95" s="281"/>
      <c r="I95" s="355" t="str">
        <f>IFERROR(F95/#REF!,"-")</f>
        <v>-</v>
      </c>
      <c r="J95" s="464">
        <f t="shared" si="86"/>
        <v>0</v>
      </c>
      <c r="K95" s="465">
        <f t="shared" ref="K95:L95" si="95">+K35+G95</f>
        <v>0</v>
      </c>
      <c r="L95" s="466">
        <f t="shared" si="95"/>
        <v>0</v>
      </c>
      <c r="M95" s="340" t="str">
        <f t="shared" si="94"/>
        <v>-</v>
      </c>
      <c r="N95" s="264" t="str">
        <f t="shared" si="91"/>
        <v>-</v>
      </c>
      <c r="O95" s="451"/>
      <c r="P95" s="407">
        <f t="shared" si="83"/>
        <v>0</v>
      </c>
      <c r="Q95" s="452">
        <f t="shared" si="84"/>
        <v>0</v>
      </c>
    </row>
    <row r="96" spans="1:17" ht="24" thickBot="1" x14ac:dyDescent="0.35">
      <c r="A96" s="277" t="s">
        <v>108</v>
      </c>
      <c r="B96" s="1038" t="s">
        <v>21</v>
      </c>
      <c r="C96" s="989"/>
      <c r="D96" s="323">
        <v>0</v>
      </c>
      <c r="E96" s="288">
        <v>15000</v>
      </c>
      <c r="F96" s="323">
        <f>SUM(F89:F95)</f>
        <v>0</v>
      </c>
      <c r="G96" s="324">
        <f t="shared" ref="G96:H96" si="96">SUM(G89:G95)</f>
        <v>0</v>
      </c>
      <c r="H96" s="324">
        <f t="shared" si="96"/>
        <v>0</v>
      </c>
      <c r="I96" s="348" t="str">
        <f>IFERROR(F96/#REF!,"-")</f>
        <v>-</v>
      </c>
      <c r="J96" s="518">
        <f t="shared" ref="J96" si="97">SUM(J89:J95)</f>
        <v>0</v>
      </c>
      <c r="K96" s="524">
        <f>SUM(K89:K95)</f>
        <v>0</v>
      </c>
      <c r="L96" s="524">
        <f>SUM(L89:L95)</f>
        <v>0</v>
      </c>
      <c r="M96" s="342" t="str">
        <f>IFERROR(J96/D96,"-")</f>
        <v>-</v>
      </c>
      <c r="N96" s="348" t="str">
        <f t="shared" si="91"/>
        <v>-</v>
      </c>
      <c r="O96" s="394"/>
      <c r="P96" s="409">
        <f>SUM(P89:P95)</f>
        <v>0</v>
      </c>
      <c r="Q96" s="428">
        <f>SUM(Q89:Q95)</f>
        <v>0</v>
      </c>
    </row>
    <row r="97" spans="1:17" ht="24" thickBot="1" x14ac:dyDescent="0.35">
      <c r="A97" s="277" t="s">
        <v>108</v>
      </c>
      <c r="B97" s="1058" t="s">
        <v>268</v>
      </c>
      <c r="C97" s="1059"/>
      <c r="D97" s="517">
        <f>+D93+D96</f>
        <v>0</v>
      </c>
      <c r="E97" s="530">
        <f>+E93+E96</f>
        <v>15000</v>
      </c>
      <c r="F97" s="517">
        <f>+F93+F96</f>
        <v>0</v>
      </c>
      <c r="G97" s="519">
        <f>+G93+G96</f>
        <v>0</v>
      </c>
      <c r="H97" s="519">
        <f>+H93+H96</f>
        <v>0</v>
      </c>
      <c r="I97" s="520" t="str">
        <f>IFERROR(F97/#REF!,"-")</f>
        <v>-</v>
      </c>
      <c r="J97" s="517">
        <f>+J93+J96</f>
        <v>0</v>
      </c>
      <c r="K97" s="519">
        <f>+K96</f>
        <v>0</v>
      </c>
      <c r="L97" s="519">
        <f>+L96</f>
        <v>0</v>
      </c>
      <c r="M97" s="521" t="str">
        <f t="shared" ref="M97" si="98">IFERROR(J97/D97,"-")</f>
        <v>-</v>
      </c>
      <c r="N97" s="520" t="str">
        <f t="shared" si="91"/>
        <v>-</v>
      </c>
      <c r="O97" s="522"/>
      <c r="P97" s="523">
        <f>+P96</f>
        <v>0</v>
      </c>
      <c r="Q97" s="523">
        <f>+Q96</f>
        <v>0</v>
      </c>
    </row>
    <row r="98" spans="1:17" ht="23.4" x14ac:dyDescent="0.4">
      <c r="A98" s="244" t="s">
        <v>108</v>
      </c>
      <c r="B98" s="1035" t="s">
        <v>270</v>
      </c>
      <c r="C98" s="547" t="s">
        <v>74</v>
      </c>
      <c r="D98" s="532"/>
      <c r="E98" s="463"/>
      <c r="F98" s="461">
        <f>+G98+H98</f>
        <v>0</v>
      </c>
      <c r="G98" s="462"/>
      <c r="H98" s="462"/>
      <c r="I98" s="536" t="str">
        <f>IFERROR(F98/#REF!,"-")</f>
        <v>-</v>
      </c>
      <c r="J98" s="461">
        <f>+K98+L98</f>
        <v>0</v>
      </c>
      <c r="K98" s="462">
        <f t="shared" ref="K98:L98" si="99">+K38+G98</f>
        <v>0</v>
      </c>
      <c r="L98" s="463">
        <f t="shared" si="99"/>
        <v>0</v>
      </c>
      <c r="M98" s="596" t="str">
        <f>IFERROR(J98/D98,"-")</f>
        <v>-</v>
      </c>
      <c r="N98" s="538" t="str">
        <f t="shared" si="91"/>
        <v>-</v>
      </c>
      <c r="O98" s="543">
        <v>32.946300000000001</v>
      </c>
      <c r="P98" s="539">
        <f t="shared" ref="P98:P127" si="100">+O98*G98</f>
        <v>0</v>
      </c>
      <c r="Q98" s="540">
        <f t="shared" ref="Q98:Q127" si="101">+O98*K98</f>
        <v>0</v>
      </c>
    </row>
    <row r="99" spans="1:17" ht="23.4" x14ac:dyDescent="0.4">
      <c r="A99" s="248" t="s">
        <v>108</v>
      </c>
      <c r="B99" s="1036"/>
      <c r="C99" s="548" t="s">
        <v>75</v>
      </c>
      <c r="D99" s="516"/>
      <c r="E99" s="439"/>
      <c r="F99" s="336">
        <f t="shared" ref="F99:F127" si="102">+G99+H99</f>
        <v>0</v>
      </c>
      <c r="G99" s="281"/>
      <c r="H99" s="281"/>
      <c r="I99" s="355" t="str">
        <f>IFERROR(F99/#REF!,"-")</f>
        <v>-</v>
      </c>
      <c r="J99" s="336">
        <f t="shared" ref="J99:J127" si="103">+K99+L99</f>
        <v>0</v>
      </c>
      <c r="K99" s="281">
        <f t="shared" ref="K99:L99" si="104">+K39+G99</f>
        <v>0</v>
      </c>
      <c r="L99" s="439">
        <f t="shared" si="104"/>
        <v>0</v>
      </c>
      <c r="M99" s="340" t="str">
        <f t="shared" ref="M99:M101" si="105">IFERROR(J99/D99,"-")</f>
        <v>-</v>
      </c>
      <c r="N99" s="268" t="str">
        <f t="shared" si="91"/>
        <v>-</v>
      </c>
      <c r="O99" s="512">
        <v>35.398400000000002</v>
      </c>
      <c r="P99" s="407">
        <f t="shared" si="100"/>
        <v>0</v>
      </c>
      <c r="Q99" s="452">
        <f t="shared" si="101"/>
        <v>0</v>
      </c>
    </row>
    <row r="100" spans="1:17" ht="24" thickBot="1" x14ac:dyDescent="0.45">
      <c r="A100" s="248" t="s">
        <v>108</v>
      </c>
      <c r="B100" s="1036"/>
      <c r="C100" s="548" t="s">
        <v>76</v>
      </c>
      <c r="D100" s="279"/>
      <c r="E100" s="439"/>
      <c r="F100" s="336">
        <f t="shared" si="102"/>
        <v>0</v>
      </c>
      <c r="G100" s="281"/>
      <c r="H100" s="281"/>
      <c r="I100" s="355" t="str">
        <f>IFERROR(F100/#REF!,"-")</f>
        <v>-</v>
      </c>
      <c r="J100" s="336">
        <f t="shared" si="103"/>
        <v>0</v>
      </c>
      <c r="K100" s="281">
        <f t="shared" ref="K100:L100" si="106">+K40+G100</f>
        <v>0</v>
      </c>
      <c r="L100" s="439">
        <f t="shared" si="106"/>
        <v>0</v>
      </c>
      <c r="M100" s="340" t="str">
        <f t="shared" si="105"/>
        <v>-</v>
      </c>
      <c r="N100" s="268" t="str">
        <f>IFERROR(L100/J100,"-")</f>
        <v>-</v>
      </c>
      <c r="O100" s="512">
        <v>32.946300000000001</v>
      </c>
      <c r="P100" s="407">
        <f t="shared" si="100"/>
        <v>0</v>
      </c>
      <c r="Q100" s="452">
        <f t="shared" si="101"/>
        <v>0</v>
      </c>
    </row>
    <row r="101" spans="1:17" ht="23.4" x14ac:dyDescent="0.4">
      <c r="A101" s="248" t="s">
        <v>108</v>
      </c>
      <c r="B101" s="1035" t="s">
        <v>271</v>
      </c>
      <c r="C101" s="550" t="s">
        <v>78</v>
      </c>
      <c r="D101" s="279"/>
      <c r="E101" s="533"/>
      <c r="F101" s="337">
        <f t="shared" si="102"/>
        <v>0</v>
      </c>
      <c r="G101" s="281"/>
      <c r="H101" s="281"/>
      <c r="I101" s="355" t="str">
        <f>IFERROR(F101/#REF!,"-")</f>
        <v>-</v>
      </c>
      <c r="J101" s="336">
        <f t="shared" si="103"/>
        <v>0</v>
      </c>
      <c r="K101" s="281">
        <f t="shared" ref="K101:L101" si="107">+K41+G101</f>
        <v>0</v>
      </c>
      <c r="L101" s="439">
        <f t="shared" si="107"/>
        <v>0</v>
      </c>
      <c r="M101" s="340" t="str">
        <f t="shared" si="105"/>
        <v>-</v>
      </c>
      <c r="N101" s="268" t="str">
        <f t="shared" ref="N101" si="108">IFERROR(L101/J101,"-")</f>
        <v>-</v>
      </c>
      <c r="O101" s="512">
        <v>55.4758</v>
      </c>
      <c r="P101" s="407">
        <f t="shared" si="100"/>
        <v>0</v>
      </c>
      <c r="Q101" s="452">
        <f t="shared" si="101"/>
        <v>0</v>
      </c>
    </row>
    <row r="102" spans="1:17" ht="23.4" x14ac:dyDescent="0.4">
      <c r="A102" s="248" t="s">
        <v>108</v>
      </c>
      <c r="B102" s="1036"/>
      <c r="C102" s="550" t="s">
        <v>75</v>
      </c>
      <c r="D102" s="279"/>
      <c r="E102" s="534"/>
      <c r="F102" s="337">
        <f t="shared" si="102"/>
        <v>2488</v>
      </c>
      <c r="G102" s="281">
        <v>2000</v>
      </c>
      <c r="H102" s="281">
        <v>488</v>
      </c>
      <c r="I102" s="355" t="str">
        <f>IFERROR(F102/#REF!,"-")</f>
        <v>-</v>
      </c>
      <c r="J102" s="336">
        <f t="shared" si="103"/>
        <v>5468</v>
      </c>
      <c r="K102" s="281">
        <f t="shared" ref="K102:L102" si="109">+K42+G102</f>
        <v>4400</v>
      </c>
      <c r="L102" s="439">
        <f t="shared" si="109"/>
        <v>1068</v>
      </c>
      <c r="M102" s="725"/>
      <c r="N102" s="375"/>
      <c r="O102" s="545">
        <v>58.836300000000001</v>
      </c>
      <c r="P102" s="407">
        <f t="shared" si="100"/>
        <v>117672.6</v>
      </c>
      <c r="Q102" s="452">
        <f t="shared" si="101"/>
        <v>258879.72</v>
      </c>
    </row>
    <row r="103" spans="1:17" ht="23.4" x14ac:dyDescent="0.4">
      <c r="A103" s="248" t="s">
        <v>108</v>
      </c>
      <c r="B103" s="1036"/>
      <c r="C103" s="550" t="s">
        <v>386</v>
      </c>
      <c r="D103" s="279"/>
      <c r="E103" s="438"/>
      <c r="F103" s="337">
        <f t="shared" si="102"/>
        <v>470</v>
      </c>
      <c r="G103" s="281">
        <v>400</v>
      </c>
      <c r="H103" s="281">
        <v>70</v>
      </c>
      <c r="I103" s="355" t="str">
        <f>IFERROR(F103/#REF!,"-")</f>
        <v>-</v>
      </c>
      <c r="J103" s="336">
        <f t="shared" si="103"/>
        <v>470</v>
      </c>
      <c r="K103" s="281">
        <f t="shared" ref="K103:K127" si="110">+K43+G103</f>
        <v>400</v>
      </c>
      <c r="L103" s="439">
        <f t="shared" ref="L103:L127" si="111">+L43+H103</f>
        <v>70</v>
      </c>
      <c r="M103" s="340" t="str">
        <f t="shared" ref="M103" si="112">IFERROR(J103/D103,"-")</f>
        <v>-</v>
      </c>
      <c r="N103" s="264">
        <f t="shared" ref="N103" si="113">IFERROR(L103/J103,"-")</f>
        <v>0.14893617021276595</v>
      </c>
      <c r="O103" s="512">
        <v>55.4758</v>
      </c>
      <c r="P103" s="407">
        <f t="shared" si="100"/>
        <v>22190.32</v>
      </c>
      <c r="Q103" s="452">
        <f t="shared" si="101"/>
        <v>22190.32</v>
      </c>
    </row>
    <row r="104" spans="1:17" ht="24" thickBot="1" x14ac:dyDescent="0.45">
      <c r="A104" s="248"/>
      <c r="B104" s="1037"/>
      <c r="C104" s="550" t="s">
        <v>404</v>
      </c>
      <c r="D104" s="279"/>
      <c r="E104" s="438"/>
      <c r="F104" s="337">
        <f t="shared" si="102"/>
        <v>0</v>
      </c>
      <c r="G104" s="281"/>
      <c r="H104" s="281"/>
      <c r="I104" s="355"/>
      <c r="J104" s="336">
        <f t="shared" si="103"/>
        <v>2220</v>
      </c>
      <c r="K104" s="281">
        <f t="shared" si="110"/>
        <v>2064</v>
      </c>
      <c r="L104" s="439">
        <f t="shared" si="111"/>
        <v>156</v>
      </c>
      <c r="M104" s="340"/>
      <c r="N104" s="264">
        <f>IFERROR(L104/J104,"-")</f>
        <v>7.0270270270270274E-2</v>
      </c>
      <c r="O104" s="512">
        <v>55.4758</v>
      </c>
      <c r="P104" s="407">
        <f t="shared" si="100"/>
        <v>0</v>
      </c>
      <c r="Q104" s="452">
        <f t="shared" si="101"/>
        <v>114502.0512</v>
      </c>
    </row>
    <row r="105" spans="1:17" ht="23.4" x14ac:dyDescent="0.4">
      <c r="A105" s="248" t="s">
        <v>108</v>
      </c>
      <c r="B105" s="1035" t="s">
        <v>79</v>
      </c>
      <c r="C105" s="548" t="s">
        <v>80</v>
      </c>
      <c r="D105" s="279"/>
      <c r="E105" s="439"/>
      <c r="F105" s="336">
        <f t="shared" si="102"/>
        <v>0</v>
      </c>
      <c r="G105" s="281">
        <v>0</v>
      </c>
      <c r="H105" s="281">
        <v>0</v>
      </c>
      <c r="I105" s="355" t="str">
        <f>IFERROR(F105/#REF!,"-")</f>
        <v>-</v>
      </c>
      <c r="J105" s="336">
        <f t="shared" si="103"/>
        <v>1170</v>
      </c>
      <c r="K105" s="281">
        <f t="shared" si="110"/>
        <v>1100</v>
      </c>
      <c r="L105" s="439">
        <f t="shared" si="111"/>
        <v>70</v>
      </c>
      <c r="M105" s="340" t="str">
        <f t="shared" ref="M105:M130" si="114">IFERROR(J105/D105,"-")</f>
        <v>-</v>
      </c>
      <c r="N105" s="264">
        <f t="shared" ref="N105:N129" si="115">IFERROR(L105/J105,"-")</f>
        <v>5.9829059829059832E-2</v>
      </c>
      <c r="O105" s="512">
        <v>25.687200000000001</v>
      </c>
      <c r="P105" s="407">
        <f t="shared" si="100"/>
        <v>0</v>
      </c>
      <c r="Q105" s="452">
        <f t="shared" si="101"/>
        <v>28255.920000000002</v>
      </c>
    </row>
    <row r="106" spans="1:17" ht="24" thickBot="1" x14ac:dyDescent="0.45">
      <c r="A106" s="248" t="s">
        <v>108</v>
      </c>
      <c r="B106" s="1037"/>
      <c r="C106" s="548" t="s">
        <v>124</v>
      </c>
      <c r="D106" s="279"/>
      <c r="E106" s="439"/>
      <c r="F106" s="336">
        <f t="shared" si="102"/>
        <v>0</v>
      </c>
      <c r="G106" s="281"/>
      <c r="H106" s="281"/>
      <c r="I106" s="355" t="str">
        <f>IFERROR(F106/#REF!,"-")</f>
        <v>-</v>
      </c>
      <c r="J106" s="336">
        <f t="shared" si="103"/>
        <v>0</v>
      </c>
      <c r="K106" s="281">
        <f t="shared" si="110"/>
        <v>0</v>
      </c>
      <c r="L106" s="439">
        <f t="shared" si="111"/>
        <v>0</v>
      </c>
      <c r="M106" s="340" t="str">
        <f t="shared" si="114"/>
        <v>-</v>
      </c>
      <c r="N106" s="264" t="str">
        <f t="shared" si="115"/>
        <v>-</v>
      </c>
      <c r="O106" s="512">
        <v>25.033899999999999</v>
      </c>
      <c r="P106" s="407">
        <f t="shared" si="100"/>
        <v>0</v>
      </c>
      <c r="Q106" s="452">
        <f t="shared" si="101"/>
        <v>0</v>
      </c>
    </row>
    <row r="107" spans="1:17" ht="23.4" x14ac:dyDescent="0.4">
      <c r="A107" s="248"/>
      <c r="B107" s="1035" t="s">
        <v>81</v>
      </c>
      <c r="C107" s="548" t="s">
        <v>82</v>
      </c>
      <c r="D107" s="279"/>
      <c r="E107" s="439"/>
      <c r="F107" s="336">
        <f t="shared" si="102"/>
        <v>0</v>
      </c>
      <c r="G107" s="281"/>
      <c r="H107" s="281"/>
      <c r="I107" s="355" t="str">
        <f>IFERROR(F107/#REF!,"-")</f>
        <v>-</v>
      </c>
      <c r="J107" s="336">
        <f t="shared" si="103"/>
        <v>0</v>
      </c>
      <c r="K107" s="281">
        <f t="shared" si="110"/>
        <v>0</v>
      </c>
      <c r="L107" s="439">
        <f t="shared" si="111"/>
        <v>0</v>
      </c>
      <c r="M107" s="340" t="str">
        <f t="shared" si="114"/>
        <v>-</v>
      </c>
      <c r="N107" s="264" t="str">
        <f t="shared" si="115"/>
        <v>-</v>
      </c>
      <c r="O107" s="512">
        <v>41.992699999999999</v>
      </c>
      <c r="P107" s="407">
        <f t="shared" si="100"/>
        <v>0</v>
      </c>
      <c r="Q107" s="452">
        <f t="shared" si="101"/>
        <v>0</v>
      </c>
    </row>
    <row r="108" spans="1:17" ht="24" thickBot="1" x14ac:dyDescent="0.45">
      <c r="A108" s="248"/>
      <c r="B108" s="1036"/>
      <c r="C108" s="548" t="s">
        <v>347</v>
      </c>
      <c r="D108" s="279"/>
      <c r="E108" s="439"/>
      <c r="F108" s="336">
        <f t="shared" si="102"/>
        <v>0</v>
      </c>
      <c r="G108" s="281"/>
      <c r="H108" s="281"/>
      <c r="I108" s="355" t="str">
        <f>IFERROR(F108/#REF!,"-")</f>
        <v>-</v>
      </c>
      <c r="J108" s="336">
        <f t="shared" si="103"/>
        <v>0</v>
      </c>
      <c r="K108" s="281">
        <f t="shared" si="110"/>
        <v>0</v>
      </c>
      <c r="L108" s="439">
        <f t="shared" si="111"/>
        <v>0</v>
      </c>
      <c r="M108" s="340" t="str">
        <f t="shared" si="114"/>
        <v>-</v>
      </c>
      <c r="N108" s="264" t="str">
        <f t="shared" si="115"/>
        <v>-</v>
      </c>
      <c r="O108" s="512">
        <v>41.992699999999999</v>
      </c>
      <c r="P108" s="407">
        <f t="shared" si="100"/>
        <v>0</v>
      </c>
      <c r="Q108" s="452">
        <f t="shared" si="101"/>
        <v>0</v>
      </c>
    </row>
    <row r="109" spans="1:17" ht="24" thickBot="1" x14ac:dyDescent="0.45">
      <c r="A109" s="248"/>
      <c r="B109" s="551" t="s">
        <v>83</v>
      </c>
      <c r="C109" s="548" t="s">
        <v>84</v>
      </c>
      <c r="D109" s="279"/>
      <c r="E109" s="439"/>
      <c r="F109" s="336">
        <f t="shared" si="102"/>
        <v>0</v>
      </c>
      <c r="G109" s="281"/>
      <c r="H109" s="281"/>
      <c r="I109" s="355" t="str">
        <f>IFERROR(F109/#REF!,"-")</f>
        <v>-</v>
      </c>
      <c r="J109" s="336">
        <f t="shared" si="103"/>
        <v>0</v>
      </c>
      <c r="K109" s="281">
        <f t="shared" si="110"/>
        <v>0</v>
      </c>
      <c r="L109" s="439">
        <f t="shared" si="111"/>
        <v>0</v>
      </c>
      <c r="M109" s="340" t="str">
        <f t="shared" si="114"/>
        <v>-</v>
      </c>
      <c r="N109" s="264" t="str">
        <f t="shared" si="115"/>
        <v>-</v>
      </c>
      <c r="O109" s="512">
        <v>4.3535000000000004</v>
      </c>
      <c r="P109" s="407">
        <f t="shared" si="100"/>
        <v>0</v>
      </c>
      <c r="Q109" s="452">
        <f t="shared" si="101"/>
        <v>0</v>
      </c>
    </row>
    <row r="110" spans="1:17" ht="23.4" x14ac:dyDescent="0.4">
      <c r="A110" s="248"/>
      <c r="B110" s="1035" t="s">
        <v>273</v>
      </c>
      <c r="C110" s="548" t="s">
        <v>80</v>
      </c>
      <c r="D110" s="279"/>
      <c r="E110" s="439"/>
      <c r="F110" s="336">
        <f t="shared" si="102"/>
        <v>0</v>
      </c>
      <c r="G110" s="281"/>
      <c r="H110" s="281"/>
      <c r="I110" s="355" t="str">
        <f>IFERROR(F110/#REF!,"-")</f>
        <v>-</v>
      </c>
      <c r="J110" s="336">
        <f t="shared" si="103"/>
        <v>0</v>
      </c>
      <c r="K110" s="281">
        <f t="shared" si="110"/>
        <v>0</v>
      </c>
      <c r="L110" s="439">
        <f t="shared" si="111"/>
        <v>0</v>
      </c>
      <c r="M110" s="340" t="str">
        <f t="shared" si="114"/>
        <v>-</v>
      </c>
      <c r="N110" s="264" t="str">
        <f t="shared" si="115"/>
        <v>-</v>
      </c>
      <c r="O110" s="512">
        <v>4.6184000000000003</v>
      </c>
      <c r="P110" s="407">
        <f t="shared" si="100"/>
        <v>0</v>
      </c>
      <c r="Q110" s="452">
        <f t="shared" si="101"/>
        <v>0</v>
      </c>
    </row>
    <row r="111" spans="1:17" ht="23.4" x14ac:dyDescent="0.4">
      <c r="A111" s="248"/>
      <c r="B111" s="1036"/>
      <c r="C111" s="548" t="s">
        <v>378</v>
      </c>
      <c r="D111" s="279"/>
      <c r="E111" s="439"/>
      <c r="F111" s="336">
        <f t="shared" si="102"/>
        <v>0</v>
      </c>
      <c r="G111" s="281"/>
      <c r="H111" s="281"/>
      <c r="I111" s="355" t="str">
        <f>IFERROR(F111/#REF!,"-")</f>
        <v>-</v>
      </c>
      <c r="J111" s="336">
        <f t="shared" si="103"/>
        <v>0</v>
      </c>
      <c r="K111" s="281">
        <f t="shared" si="110"/>
        <v>0</v>
      </c>
      <c r="L111" s="439">
        <f t="shared" si="111"/>
        <v>0</v>
      </c>
      <c r="M111" s="340" t="str">
        <f t="shared" si="114"/>
        <v>-</v>
      </c>
      <c r="N111" s="264" t="str">
        <f t="shared" si="115"/>
        <v>-</v>
      </c>
      <c r="O111" s="512">
        <v>4.6184000000000003</v>
      </c>
      <c r="P111" s="407">
        <f t="shared" si="100"/>
        <v>0</v>
      </c>
      <c r="Q111" s="452">
        <f t="shared" si="101"/>
        <v>0</v>
      </c>
    </row>
    <row r="112" spans="1:17" ht="23.4" x14ac:dyDescent="0.4">
      <c r="A112" s="248"/>
      <c r="B112" s="1036"/>
      <c r="C112" s="548" t="s">
        <v>272</v>
      </c>
      <c r="D112" s="279"/>
      <c r="E112" s="439"/>
      <c r="F112" s="336">
        <f t="shared" si="102"/>
        <v>0</v>
      </c>
      <c r="G112" s="281"/>
      <c r="H112" s="281"/>
      <c r="I112" s="355" t="str">
        <f>IFERROR(F112/#REF!,"-")</f>
        <v>-</v>
      </c>
      <c r="J112" s="336">
        <f t="shared" si="103"/>
        <v>0</v>
      </c>
      <c r="K112" s="281">
        <f t="shared" si="110"/>
        <v>0</v>
      </c>
      <c r="L112" s="439">
        <f t="shared" si="111"/>
        <v>0</v>
      </c>
      <c r="M112" s="340" t="str">
        <f t="shared" si="114"/>
        <v>-</v>
      </c>
      <c r="N112" s="264" t="str">
        <f t="shared" si="115"/>
        <v>-</v>
      </c>
      <c r="O112" s="512">
        <v>4.6184000000000003</v>
      </c>
      <c r="P112" s="407">
        <f t="shared" si="100"/>
        <v>0</v>
      </c>
      <c r="Q112" s="452">
        <f t="shared" si="101"/>
        <v>0</v>
      </c>
    </row>
    <row r="113" spans="1:17" ht="23.4" x14ac:dyDescent="0.4">
      <c r="A113" s="248"/>
      <c r="B113" s="1036"/>
      <c r="C113" s="548" t="s">
        <v>390</v>
      </c>
      <c r="D113" s="279"/>
      <c r="E113" s="439"/>
      <c r="F113" s="336">
        <f t="shared" si="102"/>
        <v>56601</v>
      </c>
      <c r="G113" s="281">
        <f>29700+26400</f>
        <v>56100</v>
      </c>
      <c r="H113" s="281">
        <f>211+290</f>
        <v>501</v>
      </c>
      <c r="I113" s="355" t="str">
        <f>IFERROR(F113/#REF!,"-")</f>
        <v>-</v>
      </c>
      <c r="J113" s="336">
        <f t="shared" si="103"/>
        <v>90131</v>
      </c>
      <c r="K113" s="730">
        <f t="shared" si="110"/>
        <v>89100</v>
      </c>
      <c r="L113" s="731">
        <f t="shared" si="111"/>
        <v>1031</v>
      </c>
      <c r="M113" s="340" t="str">
        <f t="shared" si="114"/>
        <v>-</v>
      </c>
      <c r="N113" s="264">
        <f t="shared" si="115"/>
        <v>1.1438905592970233E-2</v>
      </c>
      <c r="O113" s="512">
        <v>4.7636000000000003</v>
      </c>
      <c r="P113" s="407">
        <f t="shared" si="100"/>
        <v>267237.96000000002</v>
      </c>
      <c r="Q113" s="452">
        <f t="shared" si="101"/>
        <v>424436.76</v>
      </c>
    </row>
    <row r="114" spans="1:17" ht="24" thickBot="1" x14ac:dyDescent="0.45">
      <c r="A114" s="248"/>
      <c r="B114" s="1037"/>
      <c r="C114" s="548" t="s">
        <v>384</v>
      </c>
      <c r="D114" s="279"/>
      <c r="E114" s="439"/>
      <c r="F114" s="336">
        <f t="shared" si="102"/>
        <v>0</v>
      </c>
      <c r="G114" s="281"/>
      <c r="H114" s="281"/>
      <c r="I114" s="355" t="str">
        <f>IFERROR(F114/#REF!,"-")</f>
        <v>-</v>
      </c>
      <c r="J114" s="336">
        <f t="shared" si="103"/>
        <v>0</v>
      </c>
      <c r="K114" s="281">
        <f t="shared" si="110"/>
        <v>0</v>
      </c>
      <c r="L114" s="439">
        <f t="shared" si="111"/>
        <v>0</v>
      </c>
      <c r="M114" s="340" t="str">
        <f t="shared" si="114"/>
        <v>-</v>
      </c>
      <c r="N114" s="264" t="str">
        <f t="shared" si="115"/>
        <v>-</v>
      </c>
      <c r="O114" s="512">
        <v>4.8738000000000001</v>
      </c>
      <c r="P114" s="407">
        <f t="shared" si="100"/>
        <v>0</v>
      </c>
      <c r="Q114" s="452">
        <f t="shared" si="101"/>
        <v>0</v>
      </c>
    </row>
    <row r="115" spans="1:17" ht="24" thickBot="1" x14ac:dyDescent="0.45">
      <c r="A115" s="248"/>
      <c r="B115" s="551" t="s">
        <v>274</v>
      </c>
      <c r="C115" s="548" t="s">
        <v>131</v>
      </c>
      <c r="D115" s="279"/>
      <c r="E115" s="439"/>
      <c r="F115" s="336">
        <f t="shared" si="102"/>
        <v>0</v>
      </c>
      <c r="G115" s="281"/>
      <c r="H115" s="281"/>
      <c r="I115" s="355" t="str">
        <f>IFERROR(F115/#REF!,"-")</f>
        <v>-</v>
      </c>
      <c r="J115" s="336">
        <f t="shared" si="103"/>
        <v>0</v>
      </c>
      <c r="K115" s="281">
        <f t="shared" si="110"/>
        <v>0</v>
      </c>
      <c r="L115" s="439">
        <f t="shared" si="111"/>
        <v>0</v>
      </c>
      <c r="M115" s="340" t="str">
        <f t="shared" si="114"/>
        <v>-</v>
      </c>
      <c r="N115" s="264" t="str">
        <f t="shared" si="115"/>
        <v>-</v>
      </c>
      <c r="O115" s="512">
        <v>4.8738000000000001</v>
      </c>
      <c r="P115" s="407">
        <f t="shared" si="100"/>
        <v>0</v>
      </c>
      <c r="Q115" s="452">
        <f t="shared" si="101"/>
        <v>0</v>
      </c>
    </row>
    <row r="116" spans="1:17" ht="23.4" x14ac:dyDescent="0.4">
      <c r="A116" s="248"/>
      <c r="B116" s="1035" t="s">
        <v>276</v>
      </c>
      <c r="C116" s="548" t="s">
        <v>80</v>
      </c>
      <c r="D116" s="279"/>
      <c r="E116" s="439"/>
      <c r="F116" s="336">
        <f t="shared" si="102"/>
        <v>21513</v>
      </c>
      <c r="G116" s="281">
        <v>21300</v>
      </c>
      <c r="H116" s="281">
        <v>213</v>
      </c>
      <c r="I116" s="355" t="str">
        <f>IFERROR(F116/#REF!,"-")</f>
        <v>-</v>
      </c>
      <c r="J116" s="336">
        <f t="shared" si="103"/>
        <v>32783</v>
      </c>
      <c r="K116" s="730">
        <f t="shared" si="110"/>
        <v>31950</v>
      </c>
      <c r="L116" s="731">
        <f t="shared" si="111"/>
        <v>833</v>
      </c>
      <c r="M116" s="340" t="str">
        <f t="shared" si="114"/>
        <v>-</v>
      </c>
      <c r="N116" s="264">
        <f t="shared" si="115"/>
        <v>2.5409511027056707E-2</v>
      </c>
      <c r="O116" s="512">
        <v>4.9344999999999999</v>
      </c>
      <c r="P116" s="407">
        <f t="shared" si="100"/>
        <v>105104.84999999999</v>
      </c>
      <c r="Q116" s="452">
        <f t="shared" si="101"/>
        <v>157657.27499999999</v>
      </c>
    </row>
    <row r="117" spans="1:17" ht="23.4" x14ac:dyDescent="0.4">
      <c r="A117" s="248"/>
      <c r="B117" s="1036"/>
      <c r="C117" s="548" t="s">
        <v>142</v>
      </c>
      <c r="D117" s="279"/>
      <c r="E117" s="439"/>
      <c r="F117" s="336">
        <f t="shared" si="102"/>
        <v>0</v>
      </c>
      <c r="G117" s="281"/>
      <c r="H117" s="281"/>
      <c r="I117" s="355" t="str">
        <f>IFERROR(F117/#REF!,"-")</f>
        <v>-</v>
      </c>
      <c r="J117" s="336">
        <f t="shared" si="103"/>
        <v>0</v>
      </c>
      <c r="K117" s="281">
        <f t="shared" si="110"/>
        <v>0</v>
      </c>
      <c r="L117" s="439">
        <f t="shared" si="111"/>
        <v>0</v>
      </c>
      <c r="M117" s="340" t="str">
        <f t="shared" si="114"/>
        <v>-</v>
      </c>
      <c r="N117" s="264" t="str">
        <f t="shared" si="115"/>
        <v>-</v>
      </c>
      <c r="O117" s="512">
        <v>4.9344999999999999</v>
      </c>
      <c r="P117" s="407">
        <f t="shared" si="100"/>
        <v>0</v>
      </c>
      <c r="Q117" s="452">
        <f t="shared" si="101"/>
        <v>0</v>
      </c>
    </row>
    <row r="118" spans="1:17" ht="23.4" x14ac:dyDescent="0.4">
      <c r="A118" s="248"/>
      <c r="B118" s="1036"/>
      <c r="C118" s="548" t="s">
        <v>136</v>
      </c>
      <c r="D118" s="279"/>
      <c r="E118" s="439"/>
      <c r="F118" s="336">
        <f t="shared" si="102"/>
        <v>0</v>
      </c>
      <c r="G118" s="281"/>
      <c r="H118" s="281"/>
      <c r="I118" s="355" t="str">
        <f>IFERROR(F118/#REF!,"-")</f>
        <v>-</v>
      </c>
      <c r="J118" s="336">
        <f t="shared" si="103"/>
        <v>0</v>
      </c>
      <c r="K118" s="281">
        <f t="shared" si="110"/>
        <v>0</v>
      </c>
      <c r="L118" s="439">
        <f t="shared" si="111"/>
        <v>0</v>
      </c>
      <c r="M118" s="340" t="str">
        <f t="shared" si="114"/>
        <v>-</v>
      </c>
      <c r="N118" s="264" t="str">
        <f t="shared" si="115"/>
        <v>-</v>
      </c>
      <c r="O118" s="512">
        <v>4.9344999999999999</v>
      </c>
      <c r="P118" s="407">
        <f t="shared" si="100"/>
        <v>0</v>
      </c>
      <c r="Q118" s="452">
        <f t="shared" si="101"/>
        <v>0</v>
      </c>
    </row>
    <row r="119" spans="1:17" ht="24" thickBot="1" x14ac:dyDescent="0.45">
      <c r="A119" s="248"/>
      <c r="B119" s="1037"/>
      <c r="C119" s="548" t="s">
        <v>275</v>
      </c>
      <c r="D119" s="279"/>
      <c r="E119" s="439"/>
      <c r="F119" s="336">
        <f t="shared" si="102"/>
        <v>0</v>
      </c>
      <c r="G119" s="281"/>
      <c r="H119" s="281"/>
      <c r="I119" s="355" t="str">
        <f>IFERROR(F119/#REF!,"-")</f>
        <v>-</v>
      </c>
      <c r="J119" s="336">
        <f t="shared" si="103"/>
        <v>0</v>
      </c>
      <c r="K119" s="281">
        <f t="shared" si="110"/>
        <v>0</v>
      </c>
      <c r="L119" s="439">
        <f t="shared" si="111"/>
        <v>0</v>
      </c>
      <c r="M119" s="340" t="str">
        <f t="shared" si="114"/>
        <v>-</v>
      </c>
      <c r="N119" s="264" t="str">
        <f t="shared" si="115"/>
        <v>-</v>
      </c>
      <c r="O119" s="512">
        <v>5.5069999999999997</v>
      </c>
      <c r="P119" s="407">
        <f t="shared" si="100"/>
        <v>0</v>
      </c>
      <c r="Q119" s="452">
        <f t="shared" si="101"/>
        <v>0</v>
      </c>
    </row>
    <row r="120" spans="1:17" ht="23.4" x14ac:dyDescent="0.4">
      <c r="A120" s="248"/>
      <c r="B120" s="1035" t="s">
        <v>281</v>
      </c>
      <c r="C120" s="548" t="s">
        <v>277</v>
      </c>
      <c r="D120" s="279"/>
      <c r="E120" s="439"/>
      <c r="F120" s="336">
        <f t="shared" si="102"/>
        <v>0</v>
      </c>
      <c r="G120" s="281"/>
      <c r="H120" s="281"/>
      <c r="I120" s="355" t="str">
        <f>IFERROR(F120/#REF!,"-")</f>
        <v>-</v>
      </c>
      <c r="J120" s="336">
        <f t="shared" si="103"/>
        <v>0</v>
      </c>
      <c r="K120" s="281">
        <f t="shared" si="110"/>
        <v>0</v>
      </c>
      <c r="L120" s="439">
        <f t="shared" si="111"/>
        <v>0</v>
      </c>
      <c r="M120" s="340" t="str">
        <f t="shared" si="114"/>
        <v>-</v>
      </c>
      <c r="N120" s="264" t="str">
        <f t="shared" si="115"/>
        <v>-</v>
      </c>
      <c r="O120" s="512">
        <v>5.6550000000000002</v>
      </c>
      <c r="P120" s="407">
        <f t="shared" si="100"/>
        <v>0</v>
      </c>
      <c r="Q120" s="452">
        <f t="shared" si="101"/>
        <v>0</v>
      </c>
    </row>
    <row r="121" spans="1:17" ht="23.4" x14ac:dyDescent="0.4">
      <c r="A121" s="248"/>
      <c r="B121" s="1036"/>
      <c r="C121" s="548" t="s">
        <v>278</v>
      </c>
      <c r="D121" s="279"/>
      <c r="E121" s="439"/>
      <c r="F121" s="336">
        <f t="shared" si="102"/>
        <v>0</v>
      </c>
      <c r="G121" s="281"/>
      <c r="H121" s="281"/>
      <c r="I121" s="355" t="str">
        <f>IFERROR(F121/#REF!,"-")</f>
        <v>-</v>
      </c>
      <c r="J121" s="336">
        <f t="shared" si="103"/>
        <v>0</v>
      </c>
      <c r="K121" s="281">
        <f t="shared" si="110"/>
        <v>0</v>
      </c>
      <c r="L121" s="439">
        <f t="shared" si="111"/>
        <v>0</v>
      </c>
      <c r="M121" s="340" t="str">
        <f t="shared" si="114"/>
        <v>-</v>
      </c>
      <c r="N121" s="264" t="str">
        <f t="shared" si="115"/>
        <v>-</v>
      </c>
      <c r="O121" s="512">
        <v>5.6550000000000002</v>
      </c>
      <c r="P121" s="407">
        <f t="shared" si="100"/>
        <v>0</v>
      </c>
      <c r="Q121" s="452">
        <f t="shared" si="101"/>
        <v>0</v>
      </c>
    </row>
    <row r="122" spans="1:17" ht="23.4" x14ac:dyDescent="0.4">
      <c r="A122" s="248"/>
      <c r="B122" s="1036"/>
      <c r="C122" s="548" t="s">
        <v>355</v>
      </c>
      <c r="D122" s="279"/>
      <c r="E122" s="439"/>
      <c r="F122" s="336">
        <f t="shared" si="102"/>
        <v>49518</v>
      </c>
      <c r="G122" s="281">
        <f>32300+15650</f>
        <v>47950</v>
      </c>
      <c r="H122" s="281">
        <f>747+821</f>
        <v>1568</v>
      </c>
      <c r="I122" s="355" t="str">
        <f>IFERROR(F122/#REF!,"-")</f>
        <v>-</v>
      </c>
      <c r="J122" s="336">
        <f t="shared" si="103"/>
        <v>84048</v>
      </c>
      <c r="K122" s="730">
        <f t="shared" si="110"/>
        <v>81550</v>
      </c>
      <c r="L122" s="731">
        <f t="shared" si="111"/>
        <v>2498</v>
      </c>
      <c r="M122" s="340" t="str">
        <f t="shared" si="114"/>
        <v>-</v>
      </c>
      <c r="N122" s="264">
        <f t="shared" si="115"/>
        <v>2.9721111745669142E-2</v>
      </c>
      <c r="O122" s="512">
        <v>5.6550000000000002</v>
      </c>
      <c r="P122" s="407">
        <f t="shared" si="100"/>
        <v>271157.25</v>
      </c>
      <c r="Q122" s="452">
        <f t="shared" si="101"/>
        <v>461165.25</v>
      </c>
    </row>
    <row r="123" spans="1:17" ht="23.4" x14ac:dyDescent="0.4">
      <c r="A123" s="248"/>
      <c r="B123" s="1036"/>
      <c r="C123" s="548" t="s">
        <v>279</v>
      </c>
      <c r="D123" s="279"/>
      <c r="E123" s="439"/>
      <c r="F123" s="336">
        <f t="shared" si="102"/>
        <v>0</v>
      </c>
      <c r="G123" s="281"/>
      <c r="H123" s="281"/>
      <c r="I123" s="355" t="str">
        <f>IFERROR(F123/#REF!,"-")</f>
        <v>-</v>
      </c>
      <c r="J123" s="336">
        <f t="shared" si="103"/>
        <v>0</v>
      </c>
      <c r="K123" s="281">
        <f t="shared" si="110"/>
        <v>0</v>
      </c>
      <c r="L123" s="439">
        <f t="shared" si="111"/>
        <v>0</v>
      </c>
      <c r="M123" s="340" t="str">
        <f t="shared" si="114"/>
        <v>-</v>
      </c>
      <c r="N123" s="264" t="str">
        <f t="shared" si="115"/>
        <v>-</v>
      </c>
      <c r="O123" s="512">
        <v>5.6550000000000002</v>
      </c>
      <c r="P123" s="407">
        <f t="shared" si="100"/>
        <v>0</v>
      </c>
      <c r="Q123" s="452">
        <f t="shared" si="101"/>
        <v>0</v>
      </c>
    </row>
    <row r="124" spans="1:17" ht="23.4" x14ac:dyDescent="0.4">
      <c r="A124" s="248" t="s">
        <v>108</v>
      </c>
      <c r="B124" s="1036"/>
      <c r="C124" s="548" t="s">
        <v>280</v>
      </c>
      <c r="D124" s="279"/>
      <c r="E124" s="439"/>
      <c r="F124" s="336">
        <f t="shared" si="102"/>
        <v>0</v>
      </c>
      <c r="G124" s="281"/>
      <c r="H124" s="281"/>
      <c r="I124" s="355" t="str">
        <f>IFERROR(F124/#REF!,"-")</f>
        <v>-</v>
      </c>
      <c r="J124" s="336">
        <f t="shared" si="103"/>
        <v>0</v>
      </c>
      <c r="K124" s="281">
        <f t="shared" si="110"/>
        <v>0</v>
      </c>
      <c r="L124" s="439">
        <f t="shared" si="111"/>
        <v>0</v>
      </c>
      <c r="M124" s="340" t="str">
        <f t="shared" si="114"/>
        <v>-</v>
      </c>
      <c r="N124" s="264" t="str">
        <f t="shared" si="115"/>
        <v>-</v>
      </c>
      <c r="O124" s="512">
        <v>3.2963</v>
      </c>
      <c r="P124" s="407">
        <f t="shared" si="100"/>
        <v>0</v>
      </c>
      <c r="Q124" s="452">
        <f t="shared" si="101"/>
        <v>0</v>
      </c>
    </row>
    <row r="125" spans="1:17" ht="24" thickBot="1" x14ac:dyDescent="0.45">
      <c r="A125" s="248" t="s">
        <v>108</v>
      </c>
      <c r="B125" s="1037"/>
      <c r="C125" s="548" t="s">
        <v>275</v>
      </c>
      <c r="D125" s="279"/>
      <c r="E125" s="439"/>
      <c r="F125" s="336">
        <f t="shared" si="102"/>
        <v>0</v>
      </c>
      <c r="G125" s="281"/>
      <c r="H125" s="281"/>
      <c r="I125" s="355" t="str">
        <f>IFERROR(F125/#REF!,"-")</f>
        <v>-</v>
      </c>
      <c r="J125" s="336">
        <f t="shared" si="103"/>
        <v>0</v>
      </c>
      <c r="K125" s="281">
        <f t="shared" si="110"/>
        <v>0</v>
      </c>
      <c r="L125" s="439">
        <f t="shared" si="111"/>
        <v>0</v>
      </c>
      <c r="M125" s="340" t="str">
        <f t="shared" si="114"/>
        <v>-</v>
      </c>
      <c r="N125" s="264" t="str">
        <f t="shared" si="115"/>
        <v>-</v>
      </c>
      <c r="O125" s="512">
        <v>3.2963</v>
      </c>
      <c r="P125" s="407">
        <f t="shared" si="100"/>
        <v>0</v>
      </c>
      <c r="Q125" s="452">
        <f t="shared" si="101"/>
        <v>0</v>
      </c>
    </row>
    <row r="126" spans="1:17" ht="23.4" x14ac:dyDescent="0.4">
      <c r="A126" s="248" t="s">
        <v>108</v>
      </c>
      <c r="B126" s="552"/>
      <c r="C126" s="549" t="s">
        <v>92</v>
      </c>
      <c r="D126" s="516"/>
      <c r="E126" s="439"/>
      <c r="F126" s="336">
        <f t="shared" si="102"/>
        <v>0</v>
      </c>
      <c r="G126" s="281"/>
      <c r="H126" s="281"/>
      <c r="I126" s="355" t="str">
        <f>IFERROR(F126/#REF!,"-")</f>
        <v>-</v>
      </c>
      <c r="J126" s="336">
        <f t="shared" si="103"/>
        <v>0</v>
      </c>
      <c r="K126" s="281">
        <f t="shared" si="110"/>
        <v>0</v>
      </c>
      <c r="L126" s="439">
        <f t="shared" si="111"/>
        <v>0</v>
      </c>
      <c r="M126" s="340" t="str">
        <f t="shared" si="114"/>
        <v>-</v>
      </c>
      <c r="N126" s="264" t="str">
        <f t="shared" si="115"/>
        <v>-</v>
      </c>
      <c r="O126" s="512">
        <v>2.3201000000000001</v>
      </c>
      <c r="P126" s="407">
        <f t="shared" si="100"/>
        <v>0</v>
      </c>
      <c r="Q126" s="452">
        <f t="shared" si="101"/>
        <v>0</v>
      </c>
    </row>
    <row r="127" spans="1:17" ht="24" thickBot="1" x14ac:dyDescent="0.35">
      <c r="A127" s="248" t="s">
        <v>108</v>
      </c>
      <c r="B127" s="529"/>
      <c r="C127" s="546"/>
      <c r="D127" s="535"/>
      <c r="E127" s="466"/>
      <c r="F127" s="464">
        <f t="shared" si="102"/>
        <v>0</v>
      </c>
      <c r="G127" s="465"/>
      <c r="H127" s="465"/>
      <c r="I127" s="537" t="str">
        <f>IFERROR(F127/#REF!,"-")</f>
        <v>-</v>
      </c>
      <c r="J127" s="464">
        <f t="shared" si="103"/>
        <v>0</v>
      </c>
      <c r="K127" s="465">
        <f t="shared" si="110"/>
        <v>0</v>
      </c>
      <c r="L127" s="466">
        <f t="shared" si="111"/>
        <v>0</v>
      </c>
      <c r="M127" s="726" t="str">
        <f t="shared" si="114"/>
        <v>-</v>
      </c>
      <c r="N127" s="266" t="str">
        <f t="shared" si="115"/>
        <v>-</v>
      </c>
      <c r="O127" s="544"/>
      <c r="P127" s="541">
        <f t="shared" si="100"/>
        <v>0</v>
      </c>
      <c r="Q127" s="542">
        <f t="shared" si="101"/>
        <v>0</v>
      </c>
    </row>
    <row r="128" spans="1:17" ht="24" thickBot="1" x14ac:dyDescent="0.35">
      <c r="A128" s="277" t="s">
        <v>108</v>
      </c>
      <c r="B128" s="1060" t="s">
        <v>25</v>
      </c>
      <c r="C128" s="1061"/>
      <c r="D128" s="518">
        <f t="shared" ref="D128" si="116">SUM(D103:D127)</f>
        <v>0</v>
      </c>
      <c r="E128" s="531">
        <v>100000</v>
      </c>
      <c r="F128" s="518">
        <f>SUM(F103:F127)</f>
        <v>128102</v>
      </c>
      <c r="G128" s="524">
        <f t="shared" ref="G128:H128" si="117">SUM(G103:G127)</f>
        <v>125750</v>
      </c>
      <c r="H128" s="524">
        <f t="shared" si="117"/>
        <v>2352</v>
      </c>
      <c r="I128" s="525" t="str">
        <f>IFERROR(F128/#REF!,"-")</f>
        <v>-</v>
      </c>
      <c r="J128" s="518">
        <f t="shared" ref="J128" si="118">SUM(J103:J127)</f>
        <v>210822</v>
      </c>
      <c r="K128" s="524">
        <f>SUM(K98:K127)</f>
        <v>210564</v>
      </c>
      <c r="L128" s="724">
        <f>+H128+L68</f>
        <v>4658</v>
      </c>
      <c r="M128" s="526" t="str">
        <f t="shared" si="114"/>
        <v>-</v>
      </c>
      <c r="N128" s="525">
        <f t="shared" si="115"/>
        <v>2.2094468319245619E-2</v>
      </c>
      <c r="O128" s="527"/>
      <c r="P128" s="528">
        <f>SUM(P98:P127)</f>
        <v>783362.98</v>
      </c>
      <c r="Q128" s="528">
        <f>SUM(Q98:Q127)</f>
        <v>1467087.2962</v>
      </c>
    </row>
    <row r="129" spans="1:17" ht="24" thickBot="1" x14ac:dyDescent="0.35">
      <c r="A129" s="321" t="s">
        <v>108</v>
      </c>
      <c r="B129" s="1062" t="s">
        <v>269</v>
      </c>
      <c r="C129" s="982"/>
      <c r="D129" s="329">
        <f>+D102+D128</f>
        <v>0</v>
      </c>
      <c r="E129" s="330">
        <f>+E102+E128</f>
        <v>100000</v>
      </c>
      <c r="F129" s="329">
        <f>+F128</f>
        <v>128102</v>
      </c>
      <c r="G129" s="329">
        <f t="shared" ref="G129:H129" si="119">+G128</f>
        <v>125750</v>
      </c>
      <c r="H129" s="329">
        <f t="shared" si="119"/>
        <v>2352</v>
      </c>
      <c r="I129" s="352" t="str">
        <f>IFERROR(F129/#REF!,"-")</f>
        <v>-</v>
      </c>
      <c r="J129" s="329">
        <f>+J128</f>
        <v>210822</v>
      </c>
      <c r="K129" s="329">
        <f t="shared" ref="K129:L129" si="120">+K128</f>
        <v>210564</v>
      </c>
      <c r="L129" s="329">
        <f t="shared" si="120"/>
        <v>4658</v>
      </c>
      <c r="M129" s="344" t="str">
        <f t="shared" si="114"/>
        <v>-</v>
      </c>
      <c r="N129" s="352">
        <f t="shared" si="115"/>
        <v>2.2094468319245619E-2</v>
      </c>
      <c r="O129" s="397"/>
      <c r="P129" s="413">
        <f>+P128</f>
        <v>783362.98</v>
      </c>
      <c r="Q129" s="431">
        <f>Q128</f>
        <v>1467087.2962</v>
      </c>
    </row>
    <row r="130" spans="1:17" ht="24.6" thickBot="1" x14ac:dyDescent="0.35">
      <c r="A130" s="322"/>
      <c r="B130" s="964" t="s">
        <v>182</v>
      </c>
      <c r="C130" s="965"/>
      <c r="D130" s="377">
        <f>+D129+D97+D88</f>
        <v>0</v>
      </c>
      <c r="E130" s="377">
        <f>+E129+E97+E88</f>
        <v>230000</v>
      </c>
      <c r="F130" s="377">
        <f>+F129+F97+F88</f>
        <v>318129</v>
      </c>
      <c r="G130" s="377">
        <f>+G129+G97+G88</f>
        <v>312590</v>
      </c>
      <c r="H130" s="377">
        <f>+H129+H97+H88</f>
        <v>5539</v>
      </c>
      <c r="I130" s="378" t="str">
        <f>IFERROR(F130/#REF!,"-")</f>
        <v>-</v>
      </c>
      <c r="J130" s="377">
        <f>+J129+J97+J88</f>
        <v>543168</v>
      </c>
      <c r="K130" s="377">
        <f>+K129+K97+K88</f>
        <v>537804</v>
      </c>
      <c r="L130" s="377">
        <f>+L129+L97+L88</f>
        <v>9764</v>
      </c>
      <c r="M130" s="378" t="str">
        <f t="shared" si="114"/>
        <v>-</v>
      </c>
      <c r="N130" s="378">
        <f>IFERROR(L130/J130,"-")</f>
        <v>1.7976022151525863E-2</v>
      </c>
      <c r="O130" s="404"/>
      <c r="P130" s="421">
        <f>+P129+P97+P88</f>
        <v>1762588.7439999999</v>
      </c>
      <c r="Q130" s="421">
        <f>+Q129+Q97+Q88</f>
        <v>3031806.1402000003</v>
      </c>
    </row>
    <row r="131" spans="1:17" ht="23.4" x14ac:dyDescent="0.3">
      <c r="A131" s="991" t="s">
        <v>1</v>
      </c>
      <c r="B131" s="994" t="s">
        <v>2</v>
      </c>
      <c r="C131" s="997" t="s">
        <v>3</v>
      </c>
      <c r="D131" s="1000" t="s">
        <v>4</v>
      </c>
      <c r="E131" s="1001"/>
      <c r="F131" s="1001"/>
      <c r="G131" s="1001"/>
      <c r="H131" s="1001"/>
      <c r="I131" s="1001"/>
      <c r="J131" s="1001"/>
      <c r="K131" s="1001"/>
      <c r="L131" s="1001"/>
      <c r="M131" s="1001"/>
      <c r="N131" s="1002"/>
      <c r="O131" s="1021" t="s">
        <v>175</v>
      </c>
      <c r="P131" s="1022"/>
      <c r="Q131" s="1052"/>
    </row>
    <row r="132" spans="1:17" ht="23.4" x14ac:dyDescent="0.3">
      <c r="A132" s="992"/>
      <c r="B132" s="995"/>
      <c r="C132" s="998"/>
      <c r="D132" s="1003" t="s">
        <v>7</v>
      </c>
      <c r="E132" s="1005" t="s">
        <v>115</v>
      </c>
      <c r="F132" s="1053" t="s">
        <v>433</v>
      </c>
      <c r="G132" s="1008"/>
      <c r="H132" s="1008"/>
      <c r="I132" s="1009"/>
      <c r="J132" s="1010" t="s">
        <v>8</v>
      </c>
      <c r="K132" s="1011"/>
      <c r="L132" s="1012"/>
      <c r="M132" s="1013" t="s">
        <v>173</v>
      </c>
      <c r="N132" s="1015" t="s">
        <v>172</v>
      </c>
      <c r="O132" s="1023" t="s">
        <v>177</v>
      </c>
      <c r="P132" s="1024"/>
      <c r="Q132" s="1025"/>
    </row>
    <row r="133" spans="1:17" ht="47.4" thickBot="1" x14ac:dyDescent="0.35">
      <c r="A133" s="993"/>
      <c r="B133" s="996"/>
      <c r="C133" s="999"/>
      <c r="D133" s="1004"/>
      <c r="E133" s="1006"/>
      <c r="F133" s="455" t="s">
        <v>13</v>
      </c>
      <c r="G133" s="456" t="s">
        <v>14</v>
      </c>
      <c r="H133" s="456" t="s">
        <v>15</v>
      </c>
      <c r="I133" s="457" t="s">
        <v>174</v>
      </c>
      <c r="J133" s="712" t="s">
        <v>13</v>
      </c>
      <c r="K133" s="710" t="s">
        <v>14</v>
      </c>
      <c r="L133" s="711" t="s">
        <v>15</v>
      </c>
      <c r="M133" s="1014"/>
      <c r="N133" s="1016"/>
      <c r="O133" s="447" t="s">
        <v>178</v>
      </c>
      <c r="P133" s="448" t="s">
        <v>11</v>
      </c>
      <c r="Q133" s="449" t="s">
        <v>12</v>
      </c>
    </row>
    <row r="134" spans="1:17" ht="23.4" x14ac:dyDescent="0.3">
      <c r="A134" s="271" t="s">
        <v>110</v>
      </c>
      <c r="B134" s="442"/>
      <c r="C134" s="272" t="s">
        <v>266</v>
      </c>
      <c r="D134" s="273"/>
      <c r="E134" s="274"/>
      <c r="F134" s="335">
        <f>+G134+H134</f>
        <v>0</v>
      </c>
      <c r="G134" s="275">
        <v>0</v>
      </c>
      <c r="H134" s="275">
        <v>0</v>
      </c>
      <c r="I134" s="354" t="str">
        <f>IFERROR(F134/#REF!,"-")</f>
        <v>-</v>
      </c>
      <c r="J134" s="461">
        <f>+K134+L134</f>
        <v>0</v>
      </c>
      <c r="K134" s="462">
        <f>+K74+G134</f>
        <v>0</v>
      </c>
      <c r="L134" s="463">
        <f>+L74+H134</f>
        <v>0</v>
      </c>
      <c r="M134" s="339" t="str">
        <f>IFERROR(J134/D134,"-")</f>
        <v>-</v>
      </c>
      <c r="N134" s="346" t="str">
        <f t="shared" ref="N134:N135" si="121">IFERROR(L134/J134,"-")</f>
        <v>-</v>
      </c>
      <c r="O134" s="511">
        <v>1.5669</v>
      </c>
      <c r="P134" s="405">
        <f>+O134*G134</f>
        <v>0</v>
      </c>
      <c r="Q134" s="450">
        <f>+O134*K134</f>
        <v>0</v>
      </c>
    </row>
    <row r="135" spans="1:17" ht="23.4" x14ac:dyDescent="0.3">
      <c r="A135" s="277" t="s">
        <v>110</v>
      </c>
      <c r="B135" s="441"/>
      <c r="C135" s="278" t="s">
        <v>265</v>
      </c>
      <c r="D135" s="279"/>
      <c r="E135" s="280"/>
      <c r="F135" s="336">
        <f t="shared" ref="F135:F138" si="122">+G135+H135</f>
        <v>115764</v>
      </c>
      <c r="G135" s="281">
        <v>115000</v>
      </c>
      <c r="H135" s="281">
        <v>764</v>
      </c>
      <c r="I135" s="355" t="str">
        <f>IFERROR(F135/#REF!,"-")</f>
        <v>-</v>
      </c>
      <c r="J135" s="336">
        <f t="shared" ref="J135:J138" si="123">+K135+L135</f>
        <v>347308</v>
      </c>
      <c r="K135" s="281">
        <f t="shared" ref="K135:K138" si="124">+K75+G135</f>
        <v>345000</v>
      </c>
      <c r="L135" s="439">
        <f t="shared" ref="L135:L138" si="125">+L75+H135</f>
        <v>2308</v>
      </c>
      <c r="M135" s="340" t="str">
        <f t="shared" ref="M135:M138" si="126">IFERROR(J135/D135,"-")</f>
        <v>-</v>
      </c>
      <c r="N135" s="268">
        <f t="shared" si="121"/>
        <v>6.6453983207988296E-3</v>
      </c>
      <c r="O135" s="512">
        <v>2.3978999999999999</v>
      </c>
      <c r="P135" s="407">
        <f>+O135*G135</f>
        <v>275758.5</v>
      </c>
      <c r="Q135" s="452">
        <f>+O135*K135</f>
        <v>827275.5</v>
      </c>
    </row>
    <row r="136" spans="1:17" ht="23.4" x14ac:dyDescent="0.3">
      <c r="A136" s="277" t="s">
        <v>110</v>
      </c>
      <c r="B136" s="441"/>
      <c r="C136" s="278" t="s">
        <v>409</v>
      </c>
      <c r="D136" s="279"/>
      <c r="E136" s="280"/>
      <c r="F136" s="336">
        <f t="shared" si="122"/>
        <v>0</v>
      </c>
      <c r="G136" s="281"/>
      <c r="H136" s="281"/>
      <c r="I136" s="355" t="str">
        <f>IFERROR(F136/#REF!,"-")</f>
        <v>-</v>
      </c>
      <c r="J136" s="336">
        <f t="shared" si="123"/>
        <v>0</v>
      </c>
      <c r="K136" s="281">
        <f t="shared" si="124"/>
        <v>0</v>
      </c>
      <c r="L136" s="439">
        <f t="shared" si="125"/>
        <v>0</v>
      </c>
      <c r="M136" s="340" t="str">
        <f t="shared" si="126"/>
        <v>-</v>
      </c>
      <c r="N136" s="268" t="str">
        <f>IFERROR(L136/J136,"-")</f>
        <v>-</v>
      </c>
      <c r="O136" s="513">
        <v>4.6797000000000004</v>
      </c>
      <c r="P136" s="407">
        <f t="shared" ref="P136:P138" si="127">+O136*G136</f>
        <v>0</v>
      </c>
      <c r="Q136" s="452">
        <f t="shared" ref="Q136:Q138" si="128">+O136*K136</f>
        <v>0</v>
      </c>
    </row>
    <row r="137" spans="1:17" ht="23.4" x14ac:dyDescent="0.3">
      <c r="A137" s="277"/>
      <c r="B137" s="454"/>
      <c r="C137" s="278" t="s">
        <v>353</v>
      </c>
      <c r="D137" s="283"/>
      <c r="E137" s="284"/>
      <c r="F137" s="336">
        <f t="shared" si="122"/>
        <v>0</v>
      </c>
      <c r="G137" s="285">
        <v>0</v>
      </c>
      <c r="H137" s="285">
        <v>0</v>
      </c>
      <c r="I137" s="355" t="str">
        <f>IFERROR(F137/#REF!,"-")</f>
        <v>-</v>
      </c>
      <c r="J137" s="336">
        <f t="shared" si="123"/>
        <v>41923</v>
      </c>
      <c r="K137" s="281">
        <f t="shared" si="124"/>
        <v>40600</v>
      </c>
      <c r="L137" s="439">
        <f t="shared" si="125"/>
        <v>1323</v>
      </c>
      <c r="M137" s="340" t="str">
        <f t="shared" si="126"/>
        <v>-</v>
      </c>
      <c r="N137" s="268">
        <f>IFERROR(L137/J137,"-")</f>
        <v>3.1557856069460676E-2</v>
      </c>
      <c r="O137" s="513">
        <v>12.284700000000001</v>
      </c>
      <c r="P137" s="407">
        <f t="shared" si="127"/>
        <v>0</v>
      </c>
      <c r="Q137" s="452">
        <f t="shared" si="128"/>
        <v>498758.82</v>
      </c>
    </row>
    <row r="138" spans="1:17" ht="24" thickBot="1" x14ac:dyDescent="0.35">
      <c r="A138" s="277" t="s">
        <v>110</v>
      </c>
      <c r="B138" s="454"/>
      <c r="C138" s="278" t="s">
        <v>408</v>
      </c>
      <c r="D138" s="283"/>
      <c r="E138" s="284"/>
      <c r="F138" s="337">
        <f t="shared" si="122"/>
        <v>55280</v>
      </c>
      <c r="G138" s="285">
        <f>22750+30000</f>
        <v>52750</v>
      </c>
      <c r="H138" s="285">
        <v>2530</v>
      </c>
      <c r="I138" s="356" t="str">
        <f>IFERROR(F138/#REF!,"-")</f>
        <v>-</v>
      </c>
      <c r="J138" s="464">
        <f t="shared" si="123"/>
        <v>86730</v>
      </c>
      <c r="K138" s="465">
        <f t="shared" si="124"/>
        <v>82750</v>
      </c>
      <c r="L138" s="466">
        <f t="shared" si="125"/>
        <v>3980</v>
      </c>
      <c r="M138" s="341" t="str">
        <f t="shared" si="126"/>
        <v>-</v>
      </c>
      <c r="N138" s="347">
        <f t="shared" ref="N138:N150" si="129">IFERROR(L138/J138,"-")</f>
        <v>4.5889542257580997E-2</v>
      </c>
      <c r="O138" s="513">
        <v>4.6797000000000004</v>
      </c>
      <c r="P138" s="408">
        <f t="shared" si="127"/>
        <v>246854.17500000002</v>
      </c>
      <c r="Q138" s="453">
        <f t="shared" si="128"/>
        <v>387245.17500000005</v>
      </c>
    </row>
    <row r="139" spans="1:17" ht="24" thickBot="1" x14ac:dyDescent="0.35">
      <c r="A139" s="277" t="s">
        <v>110</v>
      </c>
      <c r="B139" s="967" t="s">
        <v>21</v>
      </c>
      <c r="C139" s="968"/>
      <c r="D139" s="323">
        <f>SUM(D134:D138)</f>
        <v>0</v>
      </c>
      <c r="E139" s="288">
        <v>15000</v>
      </c>
      <c r="F139" s="323">
        <f>SUM(F134:F138)</f>
        <v>171044</v>
      </c>
      <c r="G139" s="324">
        <f>SUM(G134:G138)</f>
        <v>167750</v>
      </c>
      <c r="H139" s="324">
        <f>SUM(H134:H138)</f>
        <v>3294</v>
      </c>
      <c r="I139" s="348" t="str">
        <f>IFERROR(F139/#REF!,"-")</f>
        <v>-</v>
      </c>
      <c r="J139" s="323">
        <f>SUM(J134:J138)</f>
        <v>475961</v>
      </c>
      <c r="K139" s="324">
        <f>SUM(K134:K138)</f>
        <v>468350</v>
      </c>
      <c r="L139" s="325">
        <f>SUM(L134:L138)</f>
        <v>7611</v>
      </c>
      <c r="M139" s="342" t="str">
        <f>IFERROR(J139/D139,"-")</f>
        <v>-</v>
      </c>
      <c r="N139" s="348">
        <f t="shared" si="129"/>
        <v>1.5990805969396654E-2</v>
      </c>
      <c r="O139" s="394"/>
      <c r="P139" s="409">
        <f>SUM(P134:P138)</f>
        <v>522612.67500000005</v>
      </c>
      <c r="Q139" s="428">
        <f>SUM(Q134:Q138)</f>
        <v>1713279.4950000001</v>
      </c>
    </row>
    <row r="140" spans="1:17" ht="23.4" x14ac:dyDescent="0.3">
      <c r="A140" s="277" t="s">
        <v>110</v>
      </c>
      <c r="B140" s="442"/>
      <c r="C140" s="272" t="s">
        <v>264</v>
      </c>
      <c r="D140" s="273"/>
      <c r="E140" s="274"/>
      <c r="F140" s="335">
        <f t="shared" ref="F140:F146" si="130">+G140+H140</f>
        <v>4462</v>
      </c>
      <c r="G140" s="275">
        <v>4320</v>
      </c>
      <c r="H140" s="275">
        <v>142</v>
      </c>
      <c r="I140" s="354" t="str">
        <f>IFERROR(F140/#REF!,"-")</f>
        <v>-</v>
      </c>
      <c r="J140" s="461">
        <f t="shared" ref="J140:J146" si="131">+K140+L140</f>
        <v>13274</v>
      </c>
      <c r="K140" s="462">
        <f t="shared" ref="K140:K146" si="132">+K80+G140</f>
        <v>12960</v>
      </c>
      <c r="L140" s="463">
        <f t="shared" ref="L140:L146" si="133">+L80+H140</f>
        <v>314</v>
      </c>
      <c r="M140" s="339" t="str">
        <f t="shared" ref="M140:M148" si="134">IFERROR(J140/D140,"-")</f>
        <v>-</v>
      </c>
      <c r="N140" s="349">
        <f t="shared" si="129"/>
        <v>2.3655265933403648E-2</v>
      </c>
      <c r="O140" s="511">
        <v>18.2316</v>
      </c>
      <c r="P140" s="405">
        <f t="shared" ref="P140:P146" si="135">+O140*G140</f>
        <v>78760.512000000002</v>
      </c>
      <c r="Q140" s="450">
        <f t="shared" ref="Q140:Q146" si="136">+O140*K140</f>
        <v>236281.53599999999</v>
      </c>
    </row>
    <row r="141" spans="1:17" ht="23.4" x14ac:dyDescent="0.3">
      <c r="A141" s="277" t="s">
        <v>110</v>
      </c>
      <c r="B141" s="441"/>
      <c r="C141" s="278" t="s">
        <v>92</v>
      </c>
      <c r="D141" s="279"/>
      <c r="E141" s="280"/>
      <c r="F141" s="336">
        <f t="shared" si="130"/>
        <v>0</v>
      </c>
      <c r="G141" s="281"/>
      <c r="H141" s="281"/>
      <c r="I141" s="355" t="str">
        <f>IFERROR(F141/#REF!,"-")</f>
        <v>-</v>
      </c>
      <c r="J141" s="336">
        <f t="shared" si="131"/>
        <v>0</v>
      </c>
      <c r="K141" s="281">
        <f t="shared" si="132"/>
        <v>0</v>
      </c>
      <c r="L141" s="439">
        <f t="shared" si="133"/>
        <v>0</v>
      </c>
      <c r="M141" s="340" t="str">
        <f t="shared" si="134"/>
        <v>-</v>
      </c>
      <c r="N141" s="264" t="str">
        <f t="shared" si="129"/>
        <v>-</v>
      </c>
      <c r="O141" s="512">
        <v>1.2824</v>
      </c>
      <c r="P141" s="407">
        <f t="shared" si="135"/>
        <v>0</v>
      </c>
      <c r="Q141" s="452">
        <f t="shared" si="136"/>
        <v>0</v>
      </c>
    </row>
    <row r="142" spans="1:17" ht="23.4" x14ac:dyDescent="0.3">
      <c r="A142" s="277" t="s">
        <v>110</v>
      </c>
      <c r="B142" s="441"/>
      <c r="C142" s="278" t="s">
        <v>329</v>
      </c>
      <c r="D142" s="279"/>
      <c r="E142" s="280"/>
      <c r="F142" s="336">
        <f t="shared" si="130"/>
        <v>0</v>
      </c>
      <c r="G142" s="281"/>
      <c r="H142" s="281"/>
      <c r="I142" s="355" t="str">
        <f>IFERROR(F142/#REF!,"-")</f>
        <v>-</v>
      </c>
      <c r="J142" s="336">
        <f t="shared" si="131"/>
        <v>0</v>
      </c>
      <c r="K142" s="281">
        <f t="shared" si="132"/>
        <v>0</v>
      </c>
      <c r="L142" s="439">
        <f t="shared" si="133"/>
        <v>0</v>
      </c>
      <c r="M142" s="340" t="str">
        <f t="shared" si="134"/>
        <v>-</v>
      </c>
      <c r="N142" s="264" t="str">
        <f t="shared" si="129"/>
        <v>-</v>
      </c>
      <c r="O142" s="512">
        <v>5.7342000000000004</v>
      </c>
      <c r="P142" s="407">
        <f t="shared" si="135"/>
        <v>0</v>
      </c>
      <c r="Q142" s="452">
        <f t="shared" si="136"/>
        <v>0</v>
      </c>
    </row>
    <row r="143" spans="1:17" ht="23.4" x14ac:dyDescent="0.3">
      <c r="A143" s="277" t="s">
        <v>110</v>
      </c>
      <c r="B143" s="441"/>
      <c r="C143" s="278" t="s">
        <v>346</v>
      </c>
      <c r="D143" s="279"/>
      <c r="E143" s="280"/>
      <c r="F143" s="336">
        <f t="shared" si="130"/>
        <v>0</v>
      </c>
      <c r="G143" s="281"/>
      <c r="H143" s="281"/>
      <c r="I143" s="355" t="str">
        <f>IFERROR(F143/#REF!,"-")</f>
        <v>-</v>
      </c>
      <c r="J143" s="336">
        <f t="shared" si="131"/>
        <v>0</v>
      </c>
      <c r="K143" s="281">
        <f t="shared" si="132"/>
        <v>0</v>
      </c>
      <c r="L143" s="439">
        <f t="shared" si="133"/>
        <v>0</v>
      </c>
      <c r="M143" s="340" t="str">
        <f t="shared" si="134"/>
        <v>-</v>
      </c>
      <c r="N143" s="264" t="str">
        <f t="shared" si="129"/>
        <v>-</v>
      </c>
      <c r="O143" s="512"/>
      <c r="P143" s="407">
        <f t="shared" si="135"/>
        <v>0</v>
      </c>
      <c r="Q143" s="452">
        <f t="shared" si="136"/>
        <v>0</v>
      </c>
    </row>
    <row r="144" spans="1:17" ht="23.4" x14ac:dyDescent="0.3">
      <c r="A144" s="277" t="s">
        <v>110</v>
      </c>
      <c r="B144" s="441"/>
      <c r="C144" s="278" t="s">
        <v>354</v>
      </c>
      <c r="D144" s="279"/>
      <c r="E144" s="280"/>
      <c r="F144" s="336">
        <f t="shared" si="130"/>
        <v>18000</v>
      </c>
      <c r="G144" s="281">
        <v>18000</v>
      </c>
      <c r="H144" s="281">
        <v>0</v>
      </c>
      <c r="I144" s="355" t="str">
        <f>IFERROR(F144/#REF!,"-")</f>
        <v>-</v>
      </c>
      <c r="J144" s="336">
        <f t="shared" si="131"/>
        <v>36617</v>
      </c>
      <c r="K144" s="281">
        <f t="shared" si="132"/>
        <v>36000</v>
      </c>
      <c r="L144" s="439">
        <f t="shared" si="133"/>
        <v>617</v>
      </c>
      <c r="M144" s="340" t="str">
        <f t="shared" si="134"/>
        <v>-</v>
      </c>
      <c r="N144" s="264">
        <f t="shared" si="129"/>
        <v>1.6850096949504328E-2</v>
      </c>
      <c r="O144" s="512">
        <v>12.029500000000001</v>
      </c>
      <c r="P144" s="407">
        <f t="shared" si="135"/>
        <v>216531</v>
      </c>
      <c r="Q144" s="452">
        <f t="shared" si="136"/>
        <v>433062</v>
      </c>
    </row>
    <row r="145" spans="1:17" ht="23.4" x14ac:dyDescent="0.3">
      <c r="A145" s="277" t="s">
        <v>110</v>
      </c>
      <c r="B145" s="441"/>
      <c r="C145" s="278"/>
      <c r="D145" s="279"/>
      <c r="E145" s="280"/>
      <c r="F145" s="336">
        <f t="shared" si="130"/>
        <v>0</v>
      </c>
      <c r="G145" s="281"/>
      <c r="H145" s="281"/>
      <c r="I145" s="355" t="str">
        <f>IFERROR(F145/#REF!,"-")</f>
        <v>-</v>
      </c>
      <c r="J145" s="336">
        <f t="shared" si="131"/>
        <v>0</v>
      </c>
      <c r="K145" s="281">
        <f t="shared" si="132"/>
        <v>0</v>
      </c>
      <c r="L145" s="439">
        <f t="shared" si="133"/>
        <v>0</v>
      </c>
      <c r="M145" s="340" t="str">
        <f t="shared" si="134"/>
        <v>-</v>
      </c>
      <c r="N145" s="264" t="str">
        <f t="shared" si="129"/>
        <v>-</v>
      </c>
      <c r="O145" s="512"/>
      <c r="P145" s="407">
        <f t="shared" si="135"/>
        <v>0</v>
      </c>
      <c r="Q145" s="452">
        <f t="shared" si="136"/>
        <v>0</v>
      </c>
    </row>
    <row r="146" spans="1:17" ht="24" thickBot="1" x14ac:dyDescent="0.35">
      <c r="A146" s="277" t="s">
        <v>110</v>
      </c>
      <c r="B146" s="454"/>
      <c r="C146" s="282"/>
      <c r="D146" s="283">
        <v>0</v>
      </c>
      <c r="E146" s="284"/>
      <c r="F146" s="337">
        <f t="shared" si="130"/>
        <v>0</v>
      </c>
      <c r="G146" s="285"/>
      <c r="H146" s="285"/>
      <c r="I146" s="356" t="str">
        <f>IFERROR(F146/#REF!,"-")</f>
        <v>-</v>
      </c>
      <c r="J146" s="464">
        <f t="shared" si="131"/>
        <v>0</v>
      </c>
      <c r="K146" s="465">
        <f t="shared" si="132"/>
        <v>0</v>
      </c>
      <c r="L146" s="466">
        <f t="shared" si="133"/>
        <v>0</v>
      </c>
      <c r="M146" s="341" t="str">
        <f t="shared" si="134"/>
        <v>-</v>
      </c>
      <c r="N146" s="350" t="str">
        <f t="shared" si="129"/>
        <v>-</v>
      </c>
      <c r="O146" s="513"/>
      <c r="P146" s="408">
        <f t="shared" si="135"/>
        <v>0</v>
      </c>
      <c r="Q146" s="453">
        <f t="shared" si="136"/>
        <v>0</v>
      </c>
    </row>
    <row r="147" spans="1:17" ht="24" thickBot="1" x14ac:dyDescent="0.35">
      <c r="A147" s="277" t="s">
        <v>110</v>
      </c>
      <c r="B147" s="967" t="s">
        <v>25</v>
      </c>
      <c r="C147" s="968"/>
      <c r="D147" s="323">
        <f t="shared" ref="D147" si="137">SUM(D140:D146)</f>
        <v>0</v>
      </c>
      <c r="E147" s="288">
        <v>100000</v>
      </c>
      <c r="F147" s="323">
        <f>SUM(F140:F146)</f>
        <v>22462</v>
      </c>
      <c r="G147" s="324">
        <f t="shared" ref="G147:H147" si="138">SUM(G140:G146)</f>
        <v>22320</v>
      </c>
      <c r="H147" s="324">
        <f t="shared" si="138"/>
        <v>142</v>
      </c>
      <c r="I147" s="348" t="str">
        <f>IFERROR(F147/#REF!,"-")</f>
        <v>-</v>
      </c>
      <c r="J147" s="323">
        <f t="shared" ref="J147:L147" si="139">SUM(J140:J146)</f>
        <v>49891</v>
      </c>
      <c r="K147" s="324">
        <f t="shared" si="139"/>
        <v>48960</v>
      </c>
      <c r="L147" s="325">
        <f t="shared" si="139"/>
        <v>931</v>
      </c>
      <c r="M147" s="342" t="str">
        <f t="shared" si="134"/>
        <v>-</v>
      </c>
      <c r="N147" s="348">
        <f t="shared" si="129"/>
        <v>1.8660680283016977E-2</v>
      </c>
      <c r="O147" s="394"/>
      <c r="P147" s="409">
        <f t="shared" ref="P147:Q147" si="140">SUM(P140:P146)</f>
        <v>295291.51199999999</v>
      </c>
      <c r="Q147" s="428">
        <f t="shared" si="140"/>
        <v>669343.53599999996</v>
      </c>
    </row>
    <row r="148" spans="1:17" ht="24" thickBot="1" x14ac:dyDescent="0.35">
      <c r="A148" s="277" t="s">
        <v>110</v>
      </c>
      <c r="B148" s="1057" t="s">
        <v>180</v>
      </c>
      <c r="C148" s="1040"/>
      <c r="D148" s="329">
        <f>+D139+D147</f>
        <v>0</v>
      </c>
      <c r="E148" s="330">
        <f t="shared" ref="E148:H148" si="141">+E139+E147</f>
        <v>115000</v>
      </c>
      <c r="F148" s="329">
        <f t="shared" si="141"/>
        <v>193506</v>
      </c>
      <c r="G148" s="327">
        <f t="shared" si="141"/>
        <v>190070</v>
      </c>
      <c r="H148" s="327">
        <f t="shared" si="141"/>
        <v>3436</v>
      </c>
      <c r="I148" s="352" t="str">
        <f>IFERROR(F148/#REF!,"-")</f>
        <v>-</v>
      </c>
      <c r="J148" s="329">
        <f t="shared" ref="J148:L148" si="142">+J139+J147</f>
        <v>525852</v>
      </c>
      <c r="K148" s="327">
        <f t="shared" si="142"/>
        <v>517310</v>
      </c>
      <c r="L148" s="328">
        <f t="shared" si="142"/>
        <v>8542</v>
      </c>
      <c r="M148" s="344" t="str">
        <f t="shared" si="134"/>
        <v>-</v>
      </c>
      <c r="N148" s="352">
        <f t="shared" si="129"/>
        <v>1.6244114313533085E-2</v>
      </c>
      <c r="O148" s="397"/>
      <c r="P148" s="413">
        <f t="shared" ref="P148:Q148" si="143">+P139+P147</f>
        <v>817904.18700000003</v>
      </c>
      <c r="Q148" s="431">
        <f t="shared" si="143"/>
        <v>2382623.031</v>
      </c>
    </row>
    <row r="149" spans="1:17" ht="23.4" x14ac:dyDescent="0.3">
      <c r="A149" s="244" t="s">
        <v>108</v>
      </c>
      <c r="B149" s="591"/>
      <c r="C149" s="592" t="s">
        <v>306</v>
      </c>
      <c r="D149" s="532"/>
      <c r="E149" s="463"/>
      <c r="F149" s="461">
        <f>+G149+H149</f>
        <v>0</v>
      </c>
      <c r="G149" s="462">
        <v>0</v>
      </c>
      <c r="H149" s="462">
        <v>0</v>
      </c>
      <c r="I149" s="536" t="str">
        <f>IFERROR(F149/#REF!,"-")</f>
        <v>-</v>
      </c>
      <c r="J149" s="461">
        <f>+K149+L149</f>
        <v>0</v>
      </c>
      <c r="K149" s="462">
        <f t="shared" ref="K149:K155" si="144">+K89+G149</f>
        <v>0</v>
      </c>
      <c r="L149" s="463">
        <f t="shared" ref="L149:L155" si="145">+L89+H149</f>
        <v>0</v>
      </c>
      <c r="M149" s="596" t="str">
        <f>IFERROR(J149/D149,"-")</f>
        <v>-</v>
      </c>
      <c r="N149" s="538" t="str">
        <f t="shared" si="129"/>
        <v>-</v>
      </c>
      <c r="O149" s="638">
        <v>4.8285999999999998</v>
      </c>
      <c r="P149" s="539">
        <f t="shared" ref="P149:P155" si="146">+O149*G149</f>
        <v>0</v>
      </c>
      <c r="Q149" s="540">
        <f t="shared" ref="Q149:Q155" si="147">+O149*K149</f>
        <v>0</v>
      </c>
    </row>
    <row r="150" spans="1:17" ht="23.4" x14ac:dyDescent="0.3">
      <c r="A150" s="248" t="s">
        <v>108</v>
      </c>
      <c r="B150" s="593"/>
      <c r="C150" s="278" t="s">
        <v>307</v>
      </c>
      <c r="D150" s="279"/>
      <c r="E150" s="439"/>
      <c r="F150" s="336">
        <f t="shared" ref="F150:F155" si="148">+G150+H150</f>
        <v>0</v>
      </c>
      <c r="G150" s="281">
        <v>0</v>
      </c>
      <c r="H150" s="281">
        <v>0</v>
      </c>
      <c r="I150" s="355" t="str">
        <f>IFERROR(F150/#REF!,"-")</f>
        <v>-</v>
      </c>
      <c r="J150" s="336">
        <f t="shared" ref="J150:J155" si="149">+K150+L150</f>
        <v>0</v>
      </c>
      <c r="K150" s="281">
        <f t="shared" si="144"/>
        <v>0</v>
      </c>
      <c r="L150" s="439">
        <f t="shared" si="145"/>
        <v>0</v>
      </c>
      <c r="M150" s="340" t="str">
        <f t="shared" ref="M150:M152" si="150">IFERROR(J150/D150,"-")</f>
        <v>-</v>
      </c>
      <c r="N150" s="268" t="str">
        <f t="shared" si="129"/>
        <v>-</v>
      </c>
      <c r="O150" s="639">
        <v>1.4086000000000001</v>
      </c>
      <c r="P150" s="407">
        <f t="shared" si="146"/>
        <v>0</v>
      </c>
      <c r="Q150" s="452">
        <f t="shared" si="147"/>
        <v>0</v>
      </c>
    </row>
    <row r="151" spans="1:17" ht="23.4" x14ac:dyDescent="0.3">
      <c r="A151" s="248" t="s">
        <v>108</v>
      </c>
      <c r="B151" s="593"/>
      <c r="C151" s="278" t="s">
        <v>348</v>
      </c>
      <c r="D151" s="279"/>
      <c r="E151" s="439"/>
      <c r="F151" s="336">
        <f t="shared" si="148"/>
        <v>0</v>
      </c>
      <c r="G151" s="281">
        <v>0</v>
      </c>
      <c r="H151" s="281">
        <v>0</v>
      </c>
      <c r="I151" s="355" t="str">
        <f>IFERROR(F151/#REF!,"-")</f>
        <v>-</v>
      </c>
      <c r="J151" s="336">
        <f t="shared" si="149"/>
        <v>0</v>
      </c>
      <c r="K151" s="281">
        <f t="shared" si="144"/>
        <v>0</v>
      </c>
      <c r="L151" s="439">
        <f t="shared" si="145"/>
        <v>0</v>
      </c>
      <c r="M151" s="340" t="str">
        <f t="shared" si="150"/>
        <v>-</v>
      </c>
      <c r="N151" s="268" t="str">
        <f>IFERROR(L151/J151,"-")</f>
        <v>-</v>
      </c>
      <c r="O151" s="639">
        <v>2.2141000000000002</v>
      </c>
      <c r="P151" s="407">
        <f t="shared" si="146"/>
        <v>0</v>
      </c>
      <c r="Q151" s="452">
        <f t="shared" si="147"/>
        <v>0</v>
      </c>
    </row>
    <row r="152" spans="1:17" ht="23.4" x14ac:dyDescent="0.3">
      <c r="A152" s="248" t="s">
        <v>108</v>
      </c>
      <c r="B152" s="594"/>
      <c r="C152" s="278" t="s">
        <v>387</v>
      </c>
      <c r="D152" s="283"/>
      <c r="E152" s="533"/>
      <c r="F152" s="337">
        <f t="shared" si="148"/>
        <v>0</v>
      </c>
      <c r="G152" s="285">
        <v>0</v>
      </c>
      <c r="H152" s="285">
        <v>0</v>
      </c>
      <c r="I152" s="356" t="str">
        <f>IFERROR(F152/#REF!,"-")</f>
        <v>-</v>
      </c>
      <c r="J152" s="336">
        <f t="shared" si="149"/>
        <v>0</v>
      </c>
      <c r="K152" s="281">
        <f t="shared" si="144"/>
        <v>0</v>
      </c>
      <c r="L152" s="439">
        <f t="shared" si="145"/>
        <v>0</v>
      </c>
      <c r="M152" s="341" t="str">
        <f t="shared" si="150"/>
        <v>-</v>
      </c>
      <c r="N152" s="347" t="str">
        <f t="shared" ref="N152:N159" si="151">IFERROR(L152/J152,"-")</f>
        <v>-</v>
      </c>
      <c r="O152" s="640">
        <v>2.4565999999999999</v>
      </c>
      <c r="P152" s="408">
        <f t="shared" si="146"/>
        <v>0</v>
      </c>
      <c r="Q152" s="453">
        <f t="shared" si="147"/>
        <v>0</v>
      </c>
    </row>
    <row r="153" spans="1:17" ht="23.4" x14ac:dyDescent="0.3">
      <c r="A153" s="248" t="s">
        <v>108</v>
      </c>
      <c r="B153" s="443"/>
      <c r="C153" s="637" t="s">
        <v>393</v>
      </c>
      <c r="D153" s="514"/>
      <c r="E153" s="534"/>
      <c r="F153" s="336">
        <f t="shared" si="148"/>
        <v>0</v>
      </c>
      <c r="G153" s="553">
        <v>0</v>
      </c>
      <c r="H153" s="553">
        <v>0</v>
      </c>
      <c r="I153" s="355" t="str">
        <f>IFERROR(F153/#REF!,"-")</f>
        <v>-</v>
      </c>
      <c r="J153" s="336">
        <f t="shared" si="149"/>
        <v>0</v>
      </c>
      <c r="K153" s="281">
        <f t="shared" si="144"/>
        <v>0</v>
      </c>
      <c r="L153" s="439">
        <f t="shared" si="145"/>
        <v>0</v>
      </c>
      <c r="M153" s="725"/>
      <c r="N153" s="268" t="str">
        <f t="shared" si="151"/>
        <v>-</v>
      </c>
      <c r="O153" s="545">
        <v>4.8285999999999998</v>
      </c>
      <c r="P153" s="407">
        <f t="shared" si="146"/>
        <v>0</v>
      </c>
      <c r="Q153" s="452">
        <f t="shared" si="147"/>
        <v>0</v>
      </c>
    </row>
    <row r="154" spans="1:17" ht="23.4" x14ac:dyDescent="0.3">
      <c r="A154" s="248" t="s">
        <v>108</v>
      </c>
      <c r="B154" s="595"/>
      <c r="C154" s="637" t="s">
        <v>389</v>
      </c>
      <c r="D154" s="273"/>
      <c r="E154" s="438"/>
      <c r="F154" s="335">
        <f t="shared" si="148"/>
        <v>0</v>
      </c>
      <c r="G154" s="275">
        <v>0</v>
      </c>
      <c r="H154" s="275">
        <v>0</v>
      </c>
      <c r="I154" s="354" t="str">
        <f>IFERROR(F154/#REF!,"-")</f>
        <v>-</v>
      </c>
      <c r="J154" s="336">
        <f t="shared" si="149"/>
        <v>0</v>
      </c>
      <c r="K154" s="281">
        <f t="shared" si="144"/>
        <v>0</v>
      </c>
      <c r="L154" s="439">
        <f t="shared" si="145"/>
        <v>0</v>
      </c>
      <c r="M154" s="339" t="str">
        <f t="shared" ref="M154:M155" si="152">IFERROR(J154/D154,"-")</f>
        <v>-</v>
      </c>
      <c r="N154" s="349" t="str">
        <f t="shared" si="151"/>
        <v>-</v>
      </c>
      <c r="O154" s="511">
        <v>4.1712999999999996</v>
      </c>
      <c r="P154" s="405">
        <f t="shared" si="146"/>
        <v>0</v>
      </c>
      <c r="Q154" s="450">
        <f t="shared" si="147"/>
        <v>0</v>
      </c>
    </row>
    <row r="155" spans="1:17" ht="24" thickBot="1" x14ac:dyDescent="0.35">
      <c r="A155" s="248" t="s">
        <v>108</v>
      </c>
      <c r="B155" s="593"/>
      <c r="C155" s="278"/>
      <c r="D155" s="279"/>
      <c r="E155" s="439"/>
      <c r="F155" s="336">
        <f t="shared" si="148"/>
        <v>0</v>
      </c>
      <c r="G155" s="281"/>
      <c r="H155" s="281"/>
      <c r="I155" s="355" t="str">
        <f>IFERROR(F155/#REF!,"-")</f>
        <v>-</v>
      </c>
      <c r="J155" s="464">
        <f t="shared" si="149"/>
        <v>0</v>
      </c>
      <c r="K155" s="465">
        <f t="shared" si="144"/>
        <v>0</v>
      </c>
      <c r="L155" s="466">
        <f t="shared" si="145"/>
        <v>0</v>
      </c>
      <c r="M155" s="340" t="str">
        <f t="shared" si="152"/>
        <v>-</v>
      </c>
      <c r="N155" s="264" t="str">
        <f t="shared" si="151"/>
        <v>-</v>
      </c>
      <c r="O155" s="451"/>
      <c r="P155" s="407">
        <f t="shared" si="146"/>
        <v>0</v>
      </c>
      <c r="Q155" s="452">
        <f t="shared" si="147"/>
        <v>0</v>
      </c>
    </row>
    <row r="156" spans="1:17" ht="24" thickBot="1" x14ac:dyDescent="0.35">
      <c r="A156" s="277" t="s">
        <v>108</v>
      </c>
      <c r="B156" s="1038" t="s">
        <v>21</v>
      </c>
      <c r="C156" s="989"/>
      <c r="D156" s="323">
        <v>0</v>
      </c>
      <c r="E156" s="288">
        <v>15000</v>
      </c>
      <c r="F156" s="323">
        <f>SUM(F149:F155)</f>
        <v>0</v>
      </c>
      <c r="G156" s="324">
        <f t="shared" ref="G156:H156" si="153">SUM(G149:G155)</f>
        <v>0</v>
      </c>
      <c r="H156" s="324">
        <f t="shared" si="153"/>
        <v>0</v>
      </c>
      <c r="I156" s="348" t="str">
        <f>IFERROR(F156/#REF!,"-")</f>
        <v>-</v>
      </c>
      <c r="J156" s="518">
        <f t="shared" ref="J156" si="154">SUM(J149:J155)</f>
        <v>0</v>
      </c>
      <c r="K156" s="524">
        <f>SUM(K149:K155)</f>
        <v>0</v>
      </c>
      <c r="L156" s="524">
        <f>SUM(L149:L155)</f>
        <v>0</v>
      </c>
      <c r="M156" s="342" t="str">
        <f>IFERROR(J156/D156,"-")</f>
        <v>-</v>
      </c>
      <c r="N156" s="348" t="str">
        <f t="shared" si="151"/>
        <v>-</v>
      </c>
      <c r="O156" s="394"/>
      <c r="P156" s="409">
        <f>SUM(P149:P155)</f>
        <v>0</v>
      </c>
      <c r="Q156" s="428">
        <f>SUM(Q149:Q155)</f>
        <v>0</v>
      </c>
    </row>
    <row r="157" spans="1:17" ht="24" thickBot="1" x14ac:dyDescent="0.35">
      <c r="A157" s="277" t="s">
        <v>108</v>
      </c>
      <c r="B157" s="1058" t="s">
        <v>268</v>
      </c>
      <c r="C157" s="1059"/>
      <c r="D157" s="517">
        <f>+D153+D156</f>
        <v>0</v>
      </c>
      <c r="E157" s="530">
        <f>+E153+E156</f>
        <v>15000</v>
      </c>
      <c r="F157" s="517">
        <f>+F153+F156</f>
        <v>0</v>
      </c>
      <c r="G157" s="519">
        <f>+G153+G156</f>
        <v>0</v>
      </c>
      <c r="H157" s="519">
        <f>+H153+H156</f>
        <v>0</v>
      </c>
      <c r="I157" s="520" t="str">
        <f>IFERROR(F157/#REF!,"-")</f>
        <v>-</v>
      </c>
      <c r="J157" s="517">
        <f>+J153+J156</f>
        <v>0</v>
      </c>
      <c r="K157" s="519">
        <f>+K156</f>
        <v>0</v>
      </c>
      <c r="L157" s="519">
        <f>+L156</f>
        <v>0</v>
      </c>
      <c r="M157" s="521" t="str">
        <f t="shared" ref="M157" si="155">IFERROR(J157/D157,"-")</f>
        <v>-</v>
      </c>
      <c r="N157" s="520" t="str">
        <f t="shared" si="151"/>
        <v>-</v>
      </c>
      <c r="O157" s="522"/>
      <c r="P157" s="523">
        <f>+P156</f>
        <v>0</v>
      </c>
      <c r="Q157" s="523">
        <f>+Q156</f>
        <v>0</v>
      </c>
    </row>
    <row r="158" spans="1:17" ht="23.4" x14ac:dyDescent="0.4">
      <c r="A158" s="244" t="s">
        <v>108</v>
      </c>
      <c r="B158" s="1035" t="s">
        <v>270</v>
      </c>
      <c r="C158" s="547" t="s">
        <v>74</v>
      </c>
      <c r="D158" s="532"/>
      <c r="E158" s="463"/>
      <c r="F158" s="461">
        <f>+G158+H158</f>
        <v>0</v>
      </c>
      <c r="G158" s="462"/>
      <c r="H158" s="462"/>
      <c r="I158" s="536" t="str">
        <f>IFERROR(F158/#REF!,"-")</f>
        <v>-</v>
      </c>
      <c r="J158" s="461">
        <f>+K158+L158</f>
        <v>0</v>
      </c>
      <c r="K158" s="462">
        <f t="shared" ref="K158:K162" si="156">+K98+G158</f>
        <v>0</v>
      </c>
      <c r="L158" s="463">
        <f t="shared" ref="L158:L162" si="157">+L98+H158</f>
        <v>0</v>
      </c>
      <c r="M158" s="596" t="str">
        <f>IFERROR(J158/D158,"-")</f>
        <v>-</v>
      </c>
      <c r="N158" s="538" t="str">
        <f t="shared" si="151"/>
        <v>-</v>
      </c>
      <c r="O158" s="543">
        <v>32.946300000000001</v>
      </c>
      <c r="P158" s="539">
        <f t="shared" ref="P158:P187" si="158">+O158*G158</f>
        <v>0</v>
      </c>
      <c r="Q158" s="540">
        <f t="shared" ref="Q158:Q187" si="159">+O158*K158</f>
        <v>0</v>
      </c>
    </row>
    <row r="159" spans="1:17" ht="23.4" x14ac:dyDescent="0.4">
      <c r="A159" s="248" t="s">
        <v>108</v>
      </c>
      <c r="B159" s="1036"/>
      <c r="C159" s="548" t="s">
        <v>75</v>
      </c>
      <c r="D159" s="516"/>
      <c r="E159" s="439"/>
      <c r="F159" s="336">
        <f t="shared" ref="F159:F187" si="160">+G159+H159</f>
        <v>0</v>
      </c>
      <c r="G159" s="281"/>
      <c r="H159" s="281"/>
      <c r="I159" s="355" t="str">
        <f>IFERROR(F159/#REF!,"-")</f>
        <v>-</v>
      </c>
      <c r="J159" s="336">
        <f t="shared" ref="J159:J187" si="161">+K159+L159</f>
        <v>0</v>
      </c>
      <c r="K159" s="281">
        <f t="shared" si="156"/>
        <v>0</v>
      </c>
      <c r="L159" s="439">
        <f t="shared" si="157"/>
        <v>0</v>
      </c>
      <c r="M159" s="340" t="str">
        <f t="shared" ref="M159:M161" si="162">IFERROR(J159/D159,"-")</f>
        <v>-</v>
      </c>
      <c r="N159" s="268" t="str">
        <f t="shared" si="151"/>
        <v>-</v>
      </c>
      <c r="O159" s="512">
        <v>35.398400000000002</v>
      </c>
      <c r="P159" s="407">
        <f t="shared" si="158"/>
        <v>0</v>
      </c>
      <c r="Q159" s="452">
        <f t="shared" si="159"/>
        <v>0</v>
      </c>
    </row>
    <row r="160" spans="1:17" ht="24" thickBot="1" x14ac:dyDescent="0.45">
      <c r="A160" s="248" t="s">
        <v>108</v>
      </c>
      <c r="B160" s="1036"/>
      <c r="C160" s="548" t="s">
        <v>76</v>
      </c>
      <c r="D160" s="279"/>
      <c r="E160" s="439"/>
      <c r="F160" s="336">
        <f t="shared" si="160"/>
        <v>0</v>
      </c>
      <c r="G160" s="281"/>
      <c r="H160" s="281"/>
      <c r="I160" s="355" t="str">
        <f>IFERROR(F160/#REF!,"-")</f>
        <v>-</v>
      </c>
      <c r="J160" s="336">
        <f t="shared" si="161"/>
        <v>0</v>
      </c>
      <c r="K160" s="281">
        <f t="shared" si="156"/>
        <v>0</v>
      </c>
      <c r="L160" s="439">
        <f t="shared" si="157"/>
        <v>0</v>
      </c>
      <c r="M160" s="340" t="str">
        <f t="shared" si="162"/>
        <v>-</v>
      </c>
      <c r="N160" s="268" t="str">
        <f>IFERROR(L160/J160,"-")</f>
        <v>-</v>
      </c>
      <c r="O160" s="512">
        <v>32.946300000000001</v>
      </c>
      <c r="P160" s="407">
        <f t="shared" si="158"/>
        <v>0</v>
      </c>
      <c r="Q160" s="452">
        <f t="shared" si="159"/>
        <v>0</v>
      </c>
    </row>
    <row r="161" spans="1:17" ht="23.4" x14ac:dyDescent="0.4">
      <c r="A161" s="248" t="s">
        <v>108</v>
      </c>
      <c r="B161" s="1035" t="s">
        <v>271</v>
      </c>
      <c r="C161" s="550" t="s">
        <v>78</v>
      </c>
      <c r="D161" s="279"/>
      <c r="E161" s="533"/>
      <c r="F161" s="337">
        <f t="shared" si="160"/>
        <v>9027</v>
      </c>
      <c r="G161" s="281">
        <v>9000</v>
      </c>
      <c r="H161" s="281">
        <v>27</v>
      </c>
      <c r="I161" s="355" t="str">
        <f>IFERROR(F161/#REF!,"-")</f>
        <v>-</v>
      </c>
      <c r="J161" s="336">
        <f t="shared" si="161"/>
        <v>9027</v>
      </c>
      <c r="K161" s="281">
        <f t="shared" si="156"/>
        <v>9000</v>
      </c>
      <c r="L161" s="439">
        <f t="shared" si="157"/>
        <v>27</v>
      </c>
      <c r="M161" s="340" t="str">
        <f t="shared" si="162"/>
        <v>-</v>
      </c>
      <c r="N161" s="268">
        <f t="shared" ref="N161" si="163">IFERROR(L161/J161,"-")</f>
        <v>2.9910269192422734E-3</v>
      </c>
      <c r="O161" s="512">
        <v>55.4758</v>
      </c>
      <c r="P161" s="407">
        <f t="shared" si="158"/>
        <v>499282.2</v>
      </c>
      <c r="Q161" s="452">
        <f t="shared" si="159"/>
        <v>499282.2</v>
      </c>
    </row>
    <row r="162" spans="1:17" ht="23.4" x14ac:dyDescent="0.4">
      <c r="A162" s="248" t="s">
        <v>108</v>
      </c>
      <c r="B162" s="1036"/>
      <c r="C162" s="550" t="s">
        <v>75</v>
      </c>
      <c r="D162" s="279"/>
      <c r="E162" s="534"/>
      <c r="F162" s="337">
        <f t="shared" si="160"/>
        <v>0</v>
      </c>
      <c r="G162" s="281">
        <v>0</v>
      </c>
      <c r="H162" s="281">
        <v>0</v>
      </c>
      <c r="I162" s="355" t="str">
        <f>IFERROR(F162/#REF!,"-")</f>
        <v>-</v>
      </c>
      <c r="J162" s="336">
        <f t="shared" si="161"/>
        <v>5468</v>
      </c>
      <c r="K162" s="281">
        <f t="shared" si="156"/>
        <v>4400</v>
      </c>
      <c r="L162" s="439">
        <f t="shared" si="157"/>
        <v>1068</v>
      </c>
      <c r="M162" s="725"/>
      <c r="N162" s="375"/>
      <c r="O162" s="545">
        <v>58.836300000000001</v>
      </c>
      <c r="P162" s="407">
        <f t="shared" si="158"/>
        <v>0</v>
      </c>
      <c r="Q162" s="452">
        <f t="shared" si="159"/>
        <v>258879.72</v>
      </c>
    </row>
    <row r="163" spans="1:17" ht="23.4" x14ac:dyDescent="0.4">
      <c r="A163" s="248" t="s">
        <v>108</v>
      </c>
      <c r="B163" s="1036"/>
      <c r="C163" s="550" t="s">
        <v>386</v>
      </c>
      <c r="D163" s="279"/>
      <c r="E163" s="438"/>
      <c r="F163" s="337">
        <f t="shared" si="160"/>
        <v>0</v>
      </c>
      <c r="G163" s="281">
        <v>0</v>
      </c>
      <c r="H163" s="281">
        <v>0</v>
      </c>
      <c r="I163" s="355" t="str">
        <f>IFERROR(F163/#REF!,"-")</f>
        <v>-</v>
      </c>
      <c r="J163" s="336">
        <f t="shared" si="161"/>
        <v>470</v>
      </c>
      <c r="K163" s="281">
        <f t="shared" ref="K163:K187" si="164">+K103+G163</f>
        <v>400</v>
      </c>
      <c r="L163" s="439">
        <f t="shared" ref="L163:L187" si="165">+L103+H163</f>
        <v>70</v>
      </c>
      <c r="M163" s="340" t="str">
        <f t="shared" ref="M163" si="166">IFERROR(J163/D163,"-")</f>
        <v>-</v>
      </c>
      <c r="N163" s="264">
        <f t="shared" ref="N163" si="167">IFERROR(L163/J163,"-")</f>
        <v>0.14893617021276595</v>
      </c>
      <c r="O163" s="512">
        <v>55.4758</v>
      </c>
      <c r="P163" s="407">
        <f t="shared" si="158"/>
        <v>0</v>
      </c>
      <c r="Q163" s="452">
        <f t="shared" si="159"/>
        <v>22190.32</v>
      </c>
    </row>
    <row r="164" spans="1:17" ht="24" thickBot="1" x14ac:dyDescent="0.45">
      <c r="A164" s="248"/>
      <c r="B164" s="1037"/>
      <c r="C164" s="550" t="s">
        <v>404</v>
      </c>
      <c r="D164" s="279"/>
      <c r="E164" s="438"/>
      <c r="F164" s="337">
        <f t="shared" si="160"/>
        <v>0</v>
      </c>
      <c r="G164" s="281"/>
      <c r="H164" s="281"/>
      <c r="I164" s="355"/>
      <c r="J164" s="336">
        <f t="shared" si="161"/>
        <v>2220</v>
      </c>
      <c r="K164" s="281">
        <f t="shared" si="164"/>
        <v>2064</v>
      </c>
      <c r="L164" s="439">
        <f t="shared" si="165"/>
        <v>156</v>
      </c>
      <c r="M164" s="340"/>
      <c r="N164" s="264">
        <f>IFERROR(L164/J164,"-")</f>
        <v>7.0270270270270274E-2</v>
      </c>
      <c r="O164" s="512">
        <v>55.4758</v>
      </c>
      <c r="P164" s="407">
        <f t="shared" si="158"/>
        <v>0</v>
      </c>
      <c r="Q164" s="452">
        <f t="shared" si="159"/>
        <v>114502.0512</v>
      </c>
    </row>
    <row r="165" spans="1:17" ht="23.4" x14ac:dyDescent="0.4">
      <c r="A165" s="248" t="s">
        <v>108</v>
      </c>
      <c r="B165" s="1035" t="s">
        <v>79</v>
      </c>
      <c r="C165" s="548" t="s">
        <v>80</v>
      </c>
      <c r="D165" s="279"/>
      <c r="E165" s="439"/>
      <c r="F165" s="336">
        <f t="shared" si="160"/>
        <v>0</v>
      </c>
      <c r="G165" s="281">
        <v>0</v>
      </c>
      <c r="H165" s="281">
        <v>0</v>
      </c>
      <c r="I165" s="355" t="str">
        <f>IFERROR(F165/#REF!,"-")</f>
        <v>-</v>
      </c>
      <c r="J165" s="336">
        <f t="shared" si="161"/>
        <v>1170</v>
      </c>
      <c r="K165" s="281">
        <f t="shared" si="164"/>
        <v>1100</v>
      </c>
      <c r="L165" s="439">
        <f t="shared" si="165"/>
        <v>70</v>
      </c>
      <c r="M165" s="340" t="str">
        <f t="shared" ref="M165:M190" si="168">IFERROR(J165/D165,"-")</f>
        <v>-</v>
      </c>
      <c r="N165" s="264">
        <f t="shared" ref="N165:N189" si="169">IFERROR(L165/J165,"-")</f>
        <v>5.9829059829059832E-2</v>
      </c>
      <c r="O165" s="512">
        <v>25.687200000000001</v>
      </c>
      <c r="P165" s="407">
        <f t="shared" si="158"/>
        <v>0</v>
      </c>
      <c r="Q165" s="452">
        <f t="shared" si="159"/>
        <v>28255.920000000002</v>
      </c>
    </row>
    <row r="166" spans="1:17" ht="24" thickBot="1" x14ac:dyDescent="0.45">
      <c r="A166" s="248" t="s">
        <v>108</v>
      </c>
      <c r="B166" s="1037"/>
      <c r="C166" s="548" t="s">
        <v>124</v>
      </c>
      <c r="D166" s="279"/>
      <c r="E166" s="439"/>
      <c r="F166" s="336">
        <f t="shared" si="160"/>
        <v>0</v>
      </c>
      <c r="G166" s="281"/>
      <c r="H166" s="281"/>
      <c r="I166" s="355" t="str">
        <f>IFERROR(F166/#REF!,"-")</f>
        <v>-</v>
      </c>
      <c r="J166" s="336">
        <f t="shared" si="161"/>
        <v>0</v>
      </c>
      <c r="K166" s="281">
        <f t="shared" si="164"/>
        <v>0</v>
      </c>
      <c r="L166" s="439">
        <f t="shared" si="165"/>
        <v>0</v>
      </c>
      <c r="M166" s="340" t="str">
        <f t="shared" si="168"/>
        <v>-</v>
      </c>
      <c r="N166" s="264" t="str">
        <f t="shared" si="169"/>
        <v>-</v>
      </c>
      <c r="O166" s="512">
        <v>25.033899999999999</v>
      </c>
      <c r="P166" s="407">
        <f t="shared" si="158"/>
        <v>0</v>
      </c>
      <c r="Q166" s="452">
        <f t="shared" si="159"/>
        <v>0</v>
      </c>
    </row>
    <row r="167" spans="1:17" ht="23.4" x14ac:dyDescent="0.4">
      <c r="A167" s="248"/>
      <c r="B167" s="1035" t="s">
        <v>81</v>
      </c>
      <c r="C167" s="548" t="s">
        <v>82</v>
      </c>
      <c r="D167" s="279"/>
      <c r="E167" s="439"/>
      <c r="F167" s="336">
        <f t="shared" si="160"/>
        <v>2026</v>
      </c>
      <c r="G167" s="281">
        <v>2000</v>
      </c>
      <c r="H167" s="281">
        <v>26</v>
      </c>
      <c r="I167" s="355" t="str">
        <f>IFERROR(F167/#REF!,"-")</f>
        <v>-</v>
      </c>
      <c r="J167" s="336">
        <f t="shared" si="161"/>
        <v>2026</v>
      </c>
      <c r="K167" s="281">
        <f t="shared" si="164"/>
        <v>2000</v>
      </c>
      <c r="L167" s="439">
        <f t="shared" si="165"/>
        <v>26</v>
      </c>
      <c r="M167" s="340" t="str">
        <f t="shared" si="168"/>
        <v>-</v>
      </c>
      <c r="N167" s="264">
        <f t="shared" si="169"/>
        <v>1.2833168805528134E-2</v>
      </c>
      <c r="O167" s="512">
        <v>41.992699999999999</v>
      </c>
      <c r="P167" s="407">
        <f t="shared" si="158"/>
        <v>83985.4</v>
      </c>
      <c r="Q167" s="452">
        <f t="shared" si="159"/>
        <v>83985.4</v>
      </c>
    </row>
    <row r="168" spans="1:17" ht="24" thickBot="1" x14ac:dyDescent="0.45">
      <c r="A168" s="248"/>
      <c r="B168" s="1036"/>
      <c r="C168" s="548" t="s">
        <v>347</v>
      </c>
      <c r="D168" s="279"/>
      <c r="E168" s="439"/>
      <c r="F168" s="336">
        <f t="shared" si="160"/>
        <v>0</v>
      </c>
      <c r="G168" s="281"/>
      <c r="H168" s="281"/>
      <c r="I168" s="355" t="str">
        <f>IFERROR(F168/#REF!,"-")</f>
        <v>-</v>
      </c>
      <c r="J168" s="336">
        <f t="shared" si="161"/>
        <v>0</v>
      </c>
      <c r="K168" s="281">
        <f t="shared" si="164"/>
        <v>0</v>
      </c>
      <c r="L168" s="439">
        <f t="shared" si="165"/>
        <v>0</v>
      </c>
      <c r="M168" s="340" t="str">
        <f t="shared" si="168"/>
        <v>-</v>
      </c>
      <c r="N168" s="264" t="str">
        <f t="shared" si="169"/>
        <v>-</v>
      </c>
      <c r="O168" s="512">
        <v>41.992699999999999</v>
      </c>
      <c r="P168" s="407">
        <f t="shared" si="158"/>
        <v>0</v>
      </c>
      <c r="Q168" s="452">
        <f t="shared" si="159"/>
        <v>0</v>
      </c>
    </row>
    <row r="169" spans="1:17" ht="24" thickBot="1" x14ac:dyDescent="0.45">
      <c r="A169" s="248"/>
      <c r="B169" s="551" t="s">
        <v>83</v>
      </c>
      <c r="C169" s="548" t="s">
        <v>84</v>
      </c>
      <c r="D169" s="279"/>
      <c r="E169" s="439"/>
      <c r="F169" s="336">
        <f t="shared" si="160"/>
        <v>0</v>
      </c>
      <c r="G169" s="281"/>
      <c r="H169" s="281"/>
      <c r="I169" s="355" t="str">
        <f>IFERROR(F169/#REF!,"-")</f>
        <v>-</v>
      </c>
      <c r="J169" s="336">
        <f t="shared" si="161"/>
        <v>0</v>
      </c>
      <c r="K169" s="281">
        <f t="shared" si="164"/>
        <v>0</v>
      </c>
      <c r="L169" s="439">
        <f t="shared" si="165"/>
        <v>0</v>
      </c>
      <c r="M169" s="340" t="str">
        <f t="shared" si="168"/>
        <v>-</v>
      </c>
      <c r="N169" s="264" t="str">
        <f t="shared" si="169"/>
        <v>-</v>
      </c>
      <c r="O169" s="512">
        <v>4.3535000000000004</v>
      </c>
      <c r="P169" s="407">
        <f t="shared" si="158"/>
        <v>0</v>
      </c>
      <c r="Q169" s="452">
        <f t="shared" si="159"/>
        <v>0</v>
      </c>
    </row>
    <row r="170" spans="1:17" ht="23.4" x14ac:dyDescent="0.4">
      <c r="A170" s="248"/>
      <c r="B170" s="1035" t="s">
        <v>273</v>
      </c>
      <c r="C170" s="548" t="s">
        <v>80</v>
      </c>
      <c r="D170" s="279"/>
      <c r="E170" s="439"/>
      <c r="F170" s="336">
        <f t="shared" si="160"/>
        <v>0</v>
      </c>
      <c r="G170" s="281"/>
      <c r="H170" s="281"/>
      <c r="I170" s="355" t="str">
        <f>IFERROR(F170/#REF!,"-")</f>
        <v>-</v>
      </c>
      <c r="J170" s="336">
        <f t="shared" si="161"/>
        <v>0</v>
      </c>
      <c r="K170" s="281">
        <f t="shared" si="164"/>
        <v>0</v>
      </c>
      <c r="L170" s="439">
        <f t="shared" si="165"/>
        <v>0</v>
      </c>
      <c r="M170" s="340" t="str">
        <f t="shared" si="168"/>
        <v>-</v>
      </c>
      <c r="N170" s="264" t="str">
        <f t="shared" si="169"/>
        <v>-</v>
      </c>
      <c r="O170" s="512">
        <v>4.6184000000000003</v>
      </c>
      <c r="P170" s="407">
        <f t="shared" si="158"/>
        <v>0</v>
      </c>
      <c r="Q170" s="452">
        <f t="shared" si="159"/>
        <v>0</v>
      </c>
    </row>
    <row r="171" spans="1:17" ht="23.4" x14ac:dyDescent="0.4">
      <c r="A171" s="248"/>
      <c r="B171" s="1036"/>
      <c r="C171" s="548" t="s">
        <v>378</v>
      </c>
      <c r="D171" s="279"/>
      <c r="E171" s="439"/>
      <c r="F171" s="336">
        <f t="shared" si="160"/>
        <v>0</v>
      </c>
      <c r="G171" s="281"/>
      <c r="H171" s="281"/>
      <c r="I171" s="355" t="str">
        <f>IFERROR(F171/#REF!,"-")</f>
        <v>-</v>
      </c>
      <c r="J171" s="336">
        <f t="shared" si="161"/>
        <v>0</v>
      </c>
      <c r="K171" s="281">
        <f t="shared" si="164"/>
        <v>0</v>
      </c>
      <c r="L171" s="439">
        <f t="shared" si="165"/>
        <v>0</v>
      </c>
      <c r="M171" s="340" t="str">
        <f t="shared" si="168"/>
        <v>-</v>
      </c>
      <c r="N171" s="264" t="str">
        <f t="shared" si="169"/>
        <v>-</v>
      </c>
      <c r="O171" s="512">
        <v>4.6184000000000003</v>
      </c>
      <c r="P171" s="407">
        <f t="shared" si="158"/>
        <v>0</v>
      </c>
      <c r="Q171" s="452">
        <f t="shared" si="159"/>
        <v>0</v>
      </c>
    </row>
    <row r="172" spans="1:17" ht="23.4" x14ac:dyDescent="0.4">
      <c r="A172" s="248"/>
      <c r="B172" s="1036"/>
      <c r="C172" s="548" t="s">
        <v>272</v>
      </c>
      <c r="D172" s="279"/>
      <c r="E172" s="439"/>
      <c r="F172" s="336">
        <f t="shared" si="160"/>
        <v>0</v>
      </c>
      <c r="G172" s="281"/>
      <c r="H172" s="281"/>
      <c r="I172" s="355" t="str">
        <f>IFERROR(F172/#REF!,"-")</f>
        <v>-</v>
      </c>
      <c r="J172" s="336">
        <f t="shared" si="161"/>
        <v>0</v>
      </c>
      <c r="K172" s="281">
        <f t="shared" si="164"/>
        <v>0</v>
      </c>
      <c r="L172" s="439">
        <f t="shared" si="165"/>
        <v>0</v>
      </c>
      <c r="M172" s="340" t="str">
        <f t="shared" si="168"/>
        <v>-</v>
      </c>
      <c r="N172" s="264" t="str">
        <f t="shared" si="169"/>
        <v>-</v>
      </c>
      <c r="O172" s="512">
        <v>4.6184000000000003</v>
      </c>
      <c r="P172" s="407">
        <f t="shared" si="158"/>
        <v>0</v>
      </c>
      <c r="Q172" s="452">
        <f t="shared" si="159"/>
        <v>0</v>
      </c>
    </row>
    <row r="173" spans="1:17" ht="23.4" x14ac:dyDescent="0.4">
      <c r="A173" s="248"/>
      <c r="B173" s="1036"/>
      <c r="C173" s="548" t="s">
        <v>390</v>
      </c>
      <c r="D173" s="279"/>
      <c r="E173" s="439"/>
      <c r="F173" s="336">
        <f t="shared" si="160"/>
        <v>65512</v>
      </c>
      <c r="G173" s="281">
        <f>44000+20900</f>
        <v>64900</v>
      </c>
      <c r="H173" s="281">
        <f>370+242</f>
        <v>612</v>
      </c>
      <c r="I173" s="355" t="str">
        <f>IFERROR(F173/#REF!,"-")</f>
        <v>-</v>
      </c>
      <c r="J173" s="336">
        <f t="shared" si="161"/>
        <v>155643</v>
      </c>
      <c r="K173" s="730">
        <f t="shared" si="164"/>
        <v>154000</v>
      </c>
      <c r="L173" s="731">
        <f t="shared" si="165"/>
        <v>1643</v>
      </c>
      <c r="M173" s="340" t="str">
        <f t="shared" si="168"/>
        <v>-</v>
      </c>
      <c r="N173" s="264">
        <f t="shared" si="169"/>
        <v>1.0556208759790032E-2</v>
      </c>
      <c r="O173" s="512">
        <v>4.7636000000000003</v>
      </c>
      <c r="P173" s="407">
        <f t="shared" si="158"/>
        <v>309157.64</v>
      </c>
      <c r="Q173" s="452">
        <f t="shared" si="159"/>
        <v>733594.4</v>
      </c>
    </row>
    <row r="174" spans="1:17" ht="24" thickBot="1" x14ac:dyDescent="0.45">
      <c r="A174" s="248"/>
      <c r="B174" s="1037"/>
      <c r="C174" s="548" t="s">
        <v>384</v>
      </c>
      <c r="D174" s="279"/>
      <c r="E174" s="439"/>
      <c r="F174" s="336">
        <f t="shared" si="160"/>
        <v>0</v>
      </c>
      <c r="G174" s="281"/>
      <c r="H174" s="281"/>
      <c r="I174" s="355" t="str">
        <f>IFERROR(F174/#REF!,"-")</f>
        <v>-</v>
      </c>
      <c r="J174" s="336">
        <f t="shared" si="161"/>
        <v>0</v>
      </c>
      <c r="K174" s="281">
        <f t="shared" si="164"/>
        <v>0</v>
      </c>
      <c r="L174" s="439">
        <f t="shared" si="165"/>
        <v>0</v>
      </c>
      <c r="M174" s="340" t="str">
        <f t="shared" si="168"/>
        <v>-</v>
      </c>
      <c r="N174" s="264" t="str">
        <f t="shared" si="169"/>
        <v>-</v>
      </c>
      <c r="O174" s="512">
        <v>4.8738000000000001</v>
      </c>
      <c r="P174" s="407">
        <f t="shared" si="158"/>
        <v>0</v>
      </c>
      <c r="Q174" s="452">
        <f t="shared" si="159"/>
        <v>0</v>
      </c>
    </row>
    <row r="175" spans="1:17" ht="24" thickBot="1" x14ac:dyDescent="0.45">
      <c r="A175" s="248"/>
      <c r="B175" s="551" t="s">
        <v>274</v>
      </c>
      <c r="C175" s="548" t="s">
        <v>131</v>
      </c>
      <c r="D175" s="279"/>
      <c r="E175" s="439"/>
      <c r="F175" s="336">
        <f t="shared" si="160"/>
        <v>0</v>
      </c>
      <c r="G175" s="281"/>
      <c r="H175" s="281"/>
      <c r="I175" s="355" t="str">
        <f>IFERROR(F175/#REF!,"-")</f>
        <v>-</v>
      </c>
      <c r="J175" s="336">
        <f t="shared" si="161"/>
        <v>0</v>
      </c>
      <c r="K175" s="281">
        <f t="shared" si="164"/>
        <v>0</v>
      </c>
      <c r="L175" s="439">
        <f t="shared" si="165"/>
        <v>0</v>
      </c>
      <c r="M175" s="340" t="str">
        <f t="shared" si="168"/>
        <v>-</v>
      </c>
      <c r="N175" s="264" t="str">
        <f t="shared" si="169"/>
        <v>-</v>
      </c>
      <c r="O175" s="512">
        <v>4.8738000000000001</v>
      </c>
      <c r="P175" s="407">
        <f t="shared" si="158"/>
        <v>0</v>
      </c>
      <c r="Q175" s="452">
        <f t="shared" si="159"/>
        <v>0</v>
      </c>
    </row>
    <row r="176" spans="1:17" ht="23.4" x14ac:dyDescent="0.4">
      <c r="A176" s="248"/>
      <c r="B176" s="1035" t="s">
        <v>276</v>
      </c>
      <c r="C176" s="548" t="s">
        <v>80</v>
      </c>
      <c r="D176" s="279"/>
      <c r="E176" s="439"/>
      <c r="F176" s="336">
        <f t="shared" si="160"/>
        <v>29769</v>
      </c>
      <c r="G176" s="281">
        <f>19500+9750</f>
        <v>29250</v>
      </c>
      <c r="H176" s="281">
        <f>422+97</f>
        <v>519</v>
      </c>
      <c r="I176" s="355" t="str">
        <f>IFERROR(F176/#REF!,"-")</f>
        <v>-</v>
      </c>
      <c r="J176" s="336">
        <f t="shared" si="161"/>
        <v>62552</v>
      </c>
      <c r="K176" s="730">
        <f t="shared" si="164"/>
        <v>61200</v>
      </c>
      <c r="L176" s="731">
        <f t="shared" si="165"/>
        <v>1352</v>
      </c>
      <c r="M176" s="340" t="str">
        <f t="shared" si="168"/>
        <v>-</v>
      </c>
      <c r="N176" s="264">
        <f t="shared" si="169"/>
        <v>2.1614017137741401E-2</v>
      </c>
      <c r="O176" s="512">
        <v>4.9344999999999999</v>
      </c>
      <c r="P176" s="407">
        <f t="shared" si="158"/>
        <v>144334.125</v>
      </c>
      <c r="Q176" s="452">
        <f t="shared" si="159"/>
        <v>301991.39999999997</v>
      </c>
    </row>
    <row r="177" spans="1:17" ht="23.4" x14ac:dyDescent="0.4">
      <c r="A177" s="248"/>
      <c r="B177" s="1036"/>
      <c r="C177" s="548" t="s">
        <v>142</v>
      </c>
      <c r="D177" s="279"/>
      <c r="E177" s="439"/>
      <c r="F177" s="336">
        <f t="shared" si="160"/>
        <v>0</v>
      </c>
      <c r="G177" s="281"/>
      <c r="H177" s="281"/>
      <c r="I177" s="355" t="str">
        <f>IFERROR(F177/#REF!,"-")</f>
        <v>-</v>
      </c>
      <c r="J177" s="336">
        <f t="shared" si="161"/>
        <v>0</v>
      </c>
      <c r="K177" s="281">
        <f t="shared" si="164"/>
        <v>0</v>
      </c>
      <c r="L177" s="439">
        <f t="shared" si="165"/>
        <v>0</v>
      </c>
      <c r="M177" s="340" t="str">
        <f t="shared" si="168"/>
        <v>-</v>
      </c>
      <c r="N177" s="264" t="str">
        <f t="shared" si="169"/>
        <v>-</v>
      </c>
      <c r="O177" s="512">
        <v>4.9344999999999999</v>
      </c>
      <c r="P177" s="407">
        <f t="shared" si="158"/>
        <v>0</v>
      </c>
      <c r="Q177" s="452">
        <f t="shared" si="159"/>
        <v>0</v>
      </c>
    </row>
    <row r="178" spans="1:17" ht="23.4" x14ac:dyDescent="0.4">
      <c r="A178" s="248"/>
      <c r="B178" s="1036"/>
      <c r="C178" s="548" t="s">
        <v>136</v>
      </c>
      <c r="D178" s="279"/>
      <c r="E178" s="439"/>
      <c r="F178" s="336">
        <f t="shared" si="160"/>
        <v>0</v>
      </c>
      <c r="G178" s="281"/>
      <c r="H178" s="281"/>
      <c r="I178" s="355" t="str">
        <f>IFERROR(F178/#REF!,"-")</f>
        <v>-</v>
      </c>
      <c r="J178" s="336">
        <f t="shared" si="161"/>
        <v>0</v>
      </c>
      <c r="K178" s="281">
        <f t="shared" si="164"/>
        <v>0</v>
      </c>
      <c r="L178" s="439">
        <f t="shared" si="165"/>
        <v>0</v>
      </c>
      <c r="M178" s="340" t="str">
        <f t="shared" si="168"/>
        <v>-</v>
      </c>
      <c r="N178" s="264" t="str">
        <f t="shared" si="169"/>
        <v>-</v>
      </c>
      <c r="O178" s="512">
        <v>4.9344999999999999</v>
      </c>
      <c r="P178" s="407">
        <f t="shared" si="158"/>
        <v>0</v>
      </c>
      <c r="Q178" s="452">
        <f t="shared" si="159"/>
        <v>0</v>
      </c>
    </row>
    <row r="179" spans="1:17" ht="24" thickBot="1" x14ac:dyDescent="0.45">
      <c r="A179" s="248"/>
      <c r="B179" s="1037"/>
      <c r="C179" s="548" t="s">
        <v>275</v>
      </c>
      <c r="D179" s="279"/>
      <c r="E179" s="439"/>
      <c r="F179" s="336">
        <f t="shared" si="160"/>
        <v>0</v>
      </c>
      <c r="G179" s="281"/>
      <c r="H179" s="281"/>
      <c r="I179" s="355" t="str">
        <f>IFERROR(F179/#REF!,"-")</f>
        <v>-</v>
      </c>
      <c r="J179" s="336">
        <f t="shared" si="161"/>
        <v>0</v>
      </c>
      <c r="K179" s="281">
        <f t="shared" si="164"/>
        <v>0</v>
      </c>
      <c r="L179" s="439">
        <f t="shared" si="165"/>
        <v>0</v>
      </c>
      <c r="M179" s="340" t="str">
        <f t="shared" si="168"/>
        <v>-</v>
      </c>
      <c r="N179" s="264" t="str">
        <f t="shared" si="169"/>
        <v>-</v>
      </c>
      <c r="O179" s="512">
        <v>5.5069999999999997</v>
      </c>
      <c r="P179" s="407">
        <f t="shared" si="158"/>
        <v>0</v>
      </c>
      <c r="Q179" s="452">
        <f t="shared" si="159"/>
        <v>0</v>
      </c>
    </row>
    <row r="180" spans="1:17" ht="23.4" x14ac:dyDescent="0.4">
      <c r="A180" s="248"/>
      <c r="B180" s="1035" t="s">
        <v>281</v>
      </c>
      <c r="C180" s="548" t="s">
        <v>277</v>
      </c>
      <c r="D180" s="279"/>
      <c r="E180" s="439"/>
      <c r="F180" s="336">
        <f t="shared" si="160"/>
        <v>0</v>
      </c>
      <c r="G180" s="281"/>
      <c r="H180" s="281"/>
      <c r="I180" s="355" t="str">
        <f>IFERROR(F180/#REF!,"-")</f>
        <v>-</v>
      </c>
      <c r="J180" s="336">
        <f t="shared" si="161"/>
        <v>0</v>
      </c>
      <c r="K180" s="281">
        <f t="shared" si="164"/>
        <v>0</v>
      </c>
      <c r="L180" s="439">
        <f t="shared" si="165"/>
        <v>0</v>
      </c>
      <c r="M180" s="340" t="str">
        <f t="shared" si="168"/>
        <v>-</v>
      </c>
      <c r="N180" s="264" t="str">
        <f t="shared" si="169"/>
        <v>-</v>
      </c>
      <c r="O180" s="512">
        <v>5.6550000000000002</v>
      </c>
      <c r="P180" s="407">
        <f t="shared" si="158"/>
        <v>0</v>
      </c>
      <c r="Q180" s="452">
        <f t="shared" si="159"/>
        <v>0</v>
      </c>
    </row>
    <row r="181" spans="1:17" ht="23.4" x14ac:dyDescent="0.4">
      <c r="A181" s="248"/>
      <c r="B181" s="1036"/>
      <c r="C181" s="548" t="s">
        <v>278</v>
      </c>
      <c r="D181" s="279"/>
      <c r="E181" s="439"/>
      <c r="F181" s="336">
        <f t="shared" si="160"/>
        <v>0</v>
      </c>
      <c r="G181" s="281"/>
      <c r="H181" s="281"/>
      <c r="I181" s="355" t="str">
        <f>IFERROR(F181/#REF!,"-")</f>
        <v>-</v>
      </c>
      <c r="J181" s="336">
        <f t="shared" si="161"/>
        <v>0</v>
      </c>
      <c r="K181" s="281">
        <f t="shared" si="164"/>
        <v>0</v>
      </c>
      <c r="L181" s="439">
        <f t="shared" si="165"/>
        <v>0</v>
      </c>
      <c r="M181" s="340" t="str">
        <f t="shared" si="168"/>
        <v>-</v>
      </c>
      <c r="N181" s="264" t="str">
        <f t="shared" si="169"/>
        <v>-</v>
      </c>
      <c r="O181" s="512">
        <v>5.6550000000000002</v>
      </c>
      <c r="P181" s="407">
        <f t="shared" si="158"/>
        <v>0</v>
      </c>
      <c r="Q181" s="452">
        <f t="shared" si="159"/>
        <v>0</v>
      </c>
    </row>
    <row r="182" spans="1:17" ht="23.4" x14ac:dyDescent="0.4">
      <c r="A182" s="248"/>
      <c r="B182" s="1036"/>
      <c r="C182" s="548" t="s">
        <v>355</v>
      </c>
      <c r="D182" s="279"/>
      <c r="E182" s="439"/>
      <c r="F182" s="336">
        <f t="shared" si="160"/>
        <v>36940</v>
      </c>
      <c r="G182" s="281">
        <f>22700+12850</f>
        <v>35550</v>
      </c>
      <c r="H182" s="281">
        <f>895+495</f>
        <v>1390</v>
      </c>
      <c r="I182" s="355" t="str">
        <f>IFERROR(F182/#REF!,"-")</f>
        <v>-</v>
      </c>
      <c r="J182" s="336">
        <f t="shared" si="161"/>
        <v>120988</v>
      </c>
      <c r="K182" s="730">
        <f t="shared" si="164"/>
        <v>117100</v>
      </c>
      <c r="L182" s="731">
        <f t="shared" si="165"/>
        <v>3888</v>
      </c>
      <c r="M182" s="340" t="str">
        <f t="shared" si="168"/>
        <v>-</v>
      </c>
      <c r="N182" s="264">
        <f t="shared" si="169"/>
        <v>3.2135418388600526E-2</v>
      </c>
      <c r="O182" s="512">
        <v>5.6550000000000002</v>
      </c>
      <c r="P182" s="407">
        <f t="shared" si="158"/>
        <v>201035.25</v>
      </c>
      <c r="Q182" s="452">
        <f t="shared" si="159"/>
        <v>662200.5</v>
      </c>
    </row>
    <row r="183" spans="1:17" ht="23.4" x14ac:dyDescent="0.4">
      <c r="A183" s="248"/>
      <c r="B183" s="1036"/>
      <c r="C183" s="548" t="s">
        <v>279</v>
      </c>
      <c r="D183" s="279"/>
      <c r="E183" s="439"/>
      <c r="F183" s="336">
        <f t="shared" si="160"/>
        <v>0</v>
      </c>
      <c r="G183" s="281"/>
      <c r="H183" s="281"/>
      <c r="I183" s="355" t="str">
        <f>IFERROR(F183/#REF!,"-")</f>
        <v>-</v>
      </c>
      <c r="J183" s="336">
        <f t="shared" si="161"/>
        <v>0</v>
      </c>
      <c r="K183" s="281">
        <f t="shared" si="164"/>
        <v>0</v>
      </c>
      <c r="L183" s="439">
        <f t="shared" si="165"/>
        <v>0</v>
      </c>
      <c r="M183" s="340" t="str">
        <f t="shared" si="168"/>
        <v>-</v>
      </c>
      <c r="N183" s="264" t="str">
        <f t="shared" si="169"/>
        <v>-</v>
      </c>
      <c r="O183" s="512">
        <v>5.6550000000000002</v>
      </c>
      <c r="P183" s="407">
        <f t="shared" si="158"/>
        <v>0</v>
      </c>
      <c r="Q183" s="452">
        <f t="shared" si="159"/>
        <v>0</v>
      </c>
    </row>
    <row r="184" spans="1:17" ht="23.4" x14ac:dyDescent="0.4">
      <c r="A184" s="248" t="s">
        <v>108</v>
      </c>
      <c r="B184" s="1036"/>
      <c r="C184" s="548" t="s">
        <v>280</v>
      </c>
      <c r="D184" s="279"/>
      <c r="E184" s="439"/>
      <c r="F184" s="336">
        <f t="shared" si="160"/>
        <v>0</v>
      </c>
      <c r="G184" s="281"/>
      <c r="H184" s="281"/>
      <c r="I184" s="355" t="str">
        <f>IFERROR(F184/#REF!,"-")</f>
        <v>-</v>
      </c>
      <c r="J184" s="336">
        <f t="shared" si="161"/>
        <v>0</v>
      </c>
      <c r="K184" s="281">
        <f t="shared" si="164"/>
        <v>0</v>
      </c>
      <c r="L184" s="439">
        <f t="shared" si="165"/>
        <v>0</v>
      </c>
      <c r="M184" s="340" t="str">
        <f t="shared" si="168"/>
        <v>-</v>
      </c>
      <c r="N184" s="264" t="str">
        <f t="shared" si="169"/>
        <v>-</v>
      </c>
      <c r="O184" s="512">
        <v>3.2963</v>
      </c>
      <c r="P184" s="407">
        <f t="shared" si="158"/>
        <v>0</v>
      </c>
      <c r="Q184" s="452">
        <f t="shared" si="159"/>
        <v>0</v>
      </c>
    </row>
    <row r="185" spans="1:17" ht="24" thickBot="1" x14ac:dyDescent="0.45">
      <c r="A185" s="248" t="s">
        <v>108</v>
      </c>
      <c r="B185" s="1037"/>
      <c r="C185" s="548" t="s">
        <v>275</v>
      </c>
      <c r="D185" s="279"/>
      <c r="E185" s="439"/>
      <c r="F185" s="336">
        <f t="shared" si="160"/>
        <v>0</v>
      </c>
      <c r="G185" s="281"/>
      <c r="H185" s="281"/>
      <c r="I185" s="355" t="str">
        <f>IFERROR(F185/#REF!,"-")</f>
        <v>-</v>
      </c>
      <c r="J185" s="336">
        <f t="shared" si="161"/>
        <v>0</v>
      </c>
      <c r="K185" s="281">
        <f t="shared" si="164"/>
        <v>0</v>
      </c>
      <c r="L185" s="439">
        <f t="shared" si="165"/>
        <v>0</v>
      </c>
      <c r="M185" s="340" t="str">
        <f t="shared" si="168"/>
        <v>-</v>
      </c>
      <c r="N185" s="264" t="str">
        <f t="shared" si="169"/>
        <v>-</v>
      </c>
      <c r="O185" s="512">
        <v>3.2963</v>
      </c>
      <c r="P185" s="407">
        <f t="shared" si="158"/>
        <v>0</v>
      </c>
      <c r="Q185" s="452">
        <f t="shared" si="159"/>
        <v>0</v>
      </c>
    </row>
    <row r="186" spans="1:17" ht="23.4" x14ac:dyDescent="0.4">
      <c r="A186" s="248" t="s">
        <v>108</v>
      </c>
      <c r="B186" s="552"/>
      <c r="C186" s="549" t="s">
        <v>92</v>
      </c>
      <c r="D186" s="516"/>
      <c r="E186" s="439"/>
      <c r="F186" s="336">
        <f t="shared" si="160"/>
        <v>0</v>
      </c>
      <c r="G186" s="281"/>
      <c r="H186" s="281"/>
      <c r="I186" s="355" t="str">
        <f>IFERROR(F186/#REF!,"-")</f>
        <v>-</v>
      </c>
      <c r="J186" s="336">
        <f t="shared" si="161"/>
        <v>0</v>
      </c>
      <c r="K186" s="281">
        <f t="shared" si="164"/>
        <v>0</v>
      </c>
      <c r="L186" s="439">
        <f t="shared" si="165"/>
        <v>0</v>
      </c>
      <c r="M186" s="340" t="str">
        <f t="shared" si="168"/>
        <v>-</v>
      </c>
      <c r="N186" s="264" t="str">
        <f t="shared" si="169"/>
        <v>-</v>
      </c>
      <c r="O186" s="512">
        <v>2.3201000000000001</v>
      </c>
      <c r="P186" s="407">
        <f t="shared" si="158"/>
        <v>0</v>
      </c>
      <c r="Q186" s="452">
        <f t="shared" si="159"/>
        <v>0</v>
      </c>
    </row>
    <row r="187" spans="1:17" ht="24" thickBot="1" x14ac:dyDescent="0.35">
      <c r="A187" s="248" t="s">
        <v>108</v>
      </c>
      <c r="B187" s="529"/>
      <c r="C187" s="546"/>
      <c r="D187" s="535"/>
      <c r="E187" s="466"/>
      <c r="F187" s="464">
        <f t="shared" si="160"/>
        <v>0</v>
      </c>
      <c r="G187" s="465"/>
      <c r="H187" s="465"/>
      <c r="I187" s="537" t="str">
        <f>IFERROR(F187/#REF!,"-")</f>
        <v>-</v>
      </c>
      <c r="J187" s="464">
        <f t="shared" si="161"/>
        <v>0</v>
      </c>
      <c r="K187" s="465">
        <f t="shared" si="164"/>
        <v>0</v>
      </c>
      <c r="L187" s="466">
        <f t="shared" si="165"/>
        <v>0</v>
      </c>
      <c r="M187" s="726" t="str">
        <f t="shared" si="168"/>
        <v>-</v>
      </c>
      <c r="N187" s="266" t="str">
        <f t="shared" si="169"/>
        <v>-</v>
      </c>
      <c r="O187" s="544"/>
      <c r="P187" s="541">
        <f t="shared" si="158"/>
        <v>0</v>
      </c>
      <c r="Q187" s="542">
        <f t="shared" si="159"/>
        <v>0</v>
      </c>
    </row>
    <row r="188" spans="1:17" ht="24" thickBot="1" x14ac:dyDescent="0.35">
      <c r="A188" s="277" t="s">
        <v>108</v>
      </c>
      <c r="B188" s="1060" t="s">
        <v>25</v>
      </c>
      <c r="C188" s="1061"/>
      <c r="D188" s="518">
        <f t="shared" ref="D188" si="170">SUM(D163:D187)</f>
        <v>0</v>
      </c>
      <c r="E188" s="531">
        <v>100000</v>
      </c>
      <c r="F188" s="518">
        <f>SUM(F163:F187)</f>
        <v>134247</v>
      </c>
      <c r="G188" s="524">
        <f>SUM(G158:G187)</f>
        <v>140700</v>
      </c>
      <c r="H188" s="524">
        <f>SUM(H158:H187)</f>
        <v>2574</v>
      </c>
      <c r="I188" s="525" t="str">
        <f>IFERROR(F188/#REF!,"-")</f>
        <v>-</v>
      </c>
      <c r="J188" s="518">
        <f>SUM(J158:J187)</f>
        <v>359564</v>
      </c>
      <c r="K188" s="518">
        <f t="shared" ref="K188:L188" si="171">SUM(K158:K187)</f>
        <v>351264</v>
      </c>
      <c r="L188" s="518">
        <f t="shared" si="171"/>
        <v>8300</v>
      </c>
      <c r="M188" s="526" t="str">
        <f t="shared" si="168"/>
        <v>-</v>
      </c>
      <c r="N188" s="525">
        <f t="shared" si="169"/>
        <v>2.3083512253729517E-2</v>
      </c>
      <c r="O188" s="527"/>
      <c r="P188" s="528">
        <f>SUM(P158:P187)</f>
        <v>1237794.615</v>
      </c>
      <c r="Q188" s="528">
        <f>SUM(Q158:Q187)</f>
        <v>2704881.9112</v>
      </c>
    </row>
    <row r="189" spans="1:17" ht="24" thickBot="1" x14ac:dyDescent="0.35">
      <c r="A189" s="321" t="s">
        <v>108</v>
      </c>
      <c r="B189" s="1062" t="s">
        <v>269</v>
      </c>
      <c r="C189" s="982"/>
      <c r="D189" s="329">
        <f>+D162+D188</f>
        <v>0</v>
      </c>
      <c r="E189" s="330">
        <f>+E162+E188</f>
        <v>100000</v>
      </c>
      <c r="F189" s="329">
        <f>+F188</f>
        <v>134247</v>
      </c>
      <c r="G189" s="329">
        <f t="shared" ref="G189:H189" si="172">+G188</f>
        <v>140700</v>
      </c>
      <c r="H189" s="329">
        <f t="shared" si="172"/>
        <v>2574</v>
      </c>
      <c r="I189" s="352" t="str">
        <f>IFERROR(F189/#REF!,"-")</f>
        <v>-</v>
      </c>
      <c r="J189" s="329">
        <f>+J188</f>
        <v>359564</v>
      </c>
      <c r="K189" s="329">
        <f t="shared" ref="K189:L189" si="173">+K188</f>
        <v>351264</v>
      </c>
      <c r="L189" s="329">
        <f t="shared" si="173"/>
        <v>8300</v>
      </c>
      <c r="M189" s="344" t="str">
        <f t="shared" si="168"/>
        <v>-</v>
      </c>
      <c r="N189" s="352">
        <f t="shared" si="169"/>
        <v>2.3083512253729517E-2</v>
      </c>
      <c r="O189" s="397"/>
      <c r="P189" s="413">
        <f>+P188</f>
        <v>1237794.615</v>
      </c>
      <c r="Q189" s="431">
        <f>Q188</f>
        <v>2704881.9112</v>
      </c>
    </row>
    <row r="190" spans="1:17" ht="24.6" thickBot="1" x14ac:dyDescent="0.35">
      <c r="A190" s="322"/>
      <c r="B190" s="964" t="s">
        <v>182</v>
      </c>
      <c r="C190" s="965"/>
      <c r="D190" s="377">
        <f>+D189+D157+D148</f>
        <v>0</v>
      </c>
      <c r="E190" s="377">
        <f>+E189+E157+E148</f>
        <v>230000</v>
      </c>
      <c r="F190" s="377">
        <f>+F189+F157+F148</f>
        <v>327753</v>
      </c>
      <c r="G190" s="377">
        <f>+G189+G157+G148</f>
        <v>330770</v>
      </c>
      <c r="H190" s="377">
        <f>+H189+H157+H148</f>
        <v>6010</v>
      </c>
      <c r="I190" s="378" t="str">
        <f>IFERROR(F190/#REF!,"-")</f>
        <v>-</v>
      </c>
      <c r="J190" s="377">
        <f>+J189+J157+J148</f>
        <v>885416</v>
      </c>
      <c r="K190" s="377">
        <f>+K189+K157+K148</f>
        <v>868574</v>
      </c>
      <c r="L190" s="377">
        <f>+L189+L157+L148</f>
        <v>16842</v>
      </c>
      <c r="M190" s="378" t="str">
        <f t="shared" si="168"/>
        <v>-</v>
      </c>
      <c r="N190" s="378">
        <f>IFERROR(L190/J190,"-")</f>
        <v>1.9021567263297703E-2</v>
      </c>
      <c r="O190" s="404"/>
      <c r="P190" s="421">
        <f>+P189+P157+P148</f>
        <v>2055698.8020000001</v>
      </c>
      <c r="Q190" s="421">
        <f>+Q189+Q157+Q148</f>
        <v>5087504.9421999995</v>
      </c>
    </row>
    <row r="191" spans="1:17" ht="23.4" x14ac:dyDescent="0.3">
      <c r="A191" s="991" t="s">
        <v>1</v>
      </c>
      <c r="B191" s="994" t="s">
        <v>2</v>
      </c>
      <c r="C191" s="997" t="s">
        <v>3</v>
      </c>
      <c r="D191" s="1000" t="s">
        <v>4</v>
      </c>
      <c r="E191" s="1001"/>
      <c r="F191" s="1001"/>
      <c r="G191" s="1001"/>
      <c r="H191" s="1001"/>
      <c r="I191" s="1001"/>
      <c r="J191" s="1001"/>
      <c r="K191" s="1001"/>
      <c r="L191" s="1001"/>
      <c r="M191" s="1001"/>
      <c r="N191" s="1002"/>
      <c r="O191" s="1021" t="s">
        <v>175</v>
      </c>
      <c r="P191" s="1022"/>
      <c r="Q191" s="1052"/>
    </row>
    <row r="192" spans="1:17" ht="23.4" x14ac:dyDescent="0.3">
      <c r="A192" s="992"/>
      <c r="B192" s="995"/>
      <c r="C192" s="998"/>
      <c r="D192" s="1003" t="s">
        <v>7</v>
      </c>
      <c r="E192" s="1005" t="s">
        <v>115</v>
      </c>
      <c r="F192" s="1053" t="s">
        <v>442</v>
      </c>
      <c r="G192" s="1008"/>
      <c r="H192" s="1008"/>
      <c r="I192" s="1009"/>
      <c r="J192" s="1010" t="s">
        <v>8</v>
      </c>
      <c r="K192" s="1011"/>
      <c r="L192" s="1012"/>
      <c r="M192" s="1013" t="s">
        <v>173</v>
      </c>
      <c r="N192" s="1015" t="s">
        <v>172</v>
      </c>
      <c r="O192" s="1023" t="s">
        <v>177</v>
      </c>
      <c r="P192" s="1024"/>
      <c r="Q192" s="1025"/>
    </row>
    <row r="193" spans="1:17" ht="47.4" thickBot="1" x14ac:dyDescent="0.35">
      <c r="A193" s="993"/>
      <c r="B193" s="996"/>
      <c r="C193" s="999"/>
      <c r="D193" s="1004"/>
      <c r="E193" s="1006"/>
      <c r="F193" s="455" t="s">
        <v>13</v>
      </c>
      <c r="G193" s="456" t="s">
        <v>14</v>
      </c>
      <c r="H193" s="456" t="s">
        <v>15</v>
      </c>
      <c r="I193" s="457" t="s">
        <v>174</v>
      </c>
      <c r="J193" s="712" t="s">
        <v>13</v>
      </c>
      <c r="K193" s="710" t="s">
        <v>14</v>
      </c>
      <c r="L193" s="711" t="s">
        <v>15</v>
      </c>
      <c r="M193" s="1014"/>
      <c r="N193" s="1016"/>
      <c r="O193" s="447" t="s">
        <v>178</v>
      </c>
      <c r="P193" s="448" t="s">
        <v>11</v>
      </c>
      <c r="Q193" s="449" t="s">
        <v>12</v>
      </c>
    </row>
    <row r="194" spans="1:17" ht="23.4" x14ac:dyDescent="0.3">
      <c r="A194" s="271" t="s">
        <v>110</v>
      </c>
      <c r="B194" s="442"/>
      <c r="C194" s="272" t="s">
        <v>266</v>
      </c>
      <c r="D194" s="273"/>
      <c r="E194" s="274"/>
      <c r="F194" s="335">
        <f>+G194+H194</f>
        <v>0</v>
      </c>
      <c r="G194" s="275">
        <v>0</v>
      </c>
      <c r="H194" s="275">
        <v>0</v>
      </c>
      <c r="I194" s="354" t="str">
        <f>IFERROR(F194/#REF!,"-")</f>
        <v>-</v>
      </c>
      <c r="J194" s="461">
        <f>+K194+L194</f>
        <v>0</v>
      </c>
      <c r="K194" s="462">
        <f>+K134+G194</f>
        <v>0</v>
      </c>
      <c r="L194" s="463">
        <f>+L134+H194</f>
        <v>0</v>
      </c>
      <c r="M194" s="339" t="str">
        <f>IFERROR(J194/D194,"-")</f>
        <v>-</v>
      </c>
      <c r="N194" s="346" t="str">
        <f t="shared" ref="N194:N195" si="174">IFERROR(L194/J194,"-")</f>
        <v>-</v>
      </c>
      <c r="O194" s="511">
        <v>1.5669</v>
      </c>
      <c r="P194" s="405">
        <f>+O194*G194</f>
        <v>0</v>
      </c>
      <c r="Q194" s="450">
        <f>+O194*K194</f>
        <v>0</v>
      </c>
    </row>
    <row r="195" spans="1:17" ht="23.4" x14ac:dyDescent="0.3">
      <c r="A195" s="277" t="s">
        <v>110</v>
      </c>
      <c r="B195" s="441"/>
      <c r="C195" s="278" t="s">
        <v>265</v>
      </c>
      <c r="D195" s="279"/>
      <c r="E195" s="280"/>
      <c r="F195" s="336">
        <f t="shared" ref="F195:F198" si="175">+G195+H195</f>
        <v>115722</v>
      </c>
      <c r="G195" s="281">
        <v>115000</v>
      </c>
      <c r="H195" s="281">
        <v>722</v>
      </c>
      <c r="I195" s="355" t="str">
        <f>IFERROR(F195/#REF!,"-")</f>
        <v>-</v>
      </c>
      <c r="J195" s="336">
        <f t="shared" ref="J195:J198" si="176">+K195+L195</f>
        <v>463030</v>
      </c>
      <c r="K195" s="281">
        <f t="shared" ref="K195:K198" si="177">+K135+G195</f>
        <v>460000</v>
      </c>
      <c r="L195" s="439">
        <f t="shared" ref="L195:L198" si="178">+L135+H195</f>
        <v>3030</v>
      </c>
      <c r="M195" s="340" t="str">
        <f t="shared" ref="M195:M198" si="179">IFERROR(J195/D195,"-")</f>
        <v>-</v>
      </c>
      <c r="N195" s="268">
        <f t="shared" si="174"/>
        <v>6.543852450165216E-3</v>
      </c>
      <c r="O195" s="512">
        <v>2.3978999999999999</v>
      </c>
      <c r="P195" s="407">
        <f>+O195*G195</f>
        <v>275758.5</v>
      </c>
      <c r="Q195" s="452">
        <f>+O195*K195</f>
        <v>1103034</v>
      </c>
    </row>
    <row r="196" spans="1:17" ht="23.4" x14ac:dyDescent="0.3">
      <c r="A196" s="277" t="s">
        <v>110</v>
      </c>
      <c r="B196" s="441"/>
      <c r="C196" s="278" t="s">
        <v>409</v>
      </c>
      <c r="D196" s="279"/>
      <c r="E196" s="280"/>
      <c r="F196" s="336">
        <f t="shared" si="175"/>
        <v>0</v>
      </c>
      <c r="G196" s="281">
        <v>0</v>
      </c>
      <c r="H196" s="281">
        <v>0</v>
      </c>
      <c r="I196" s="355" t="str">
        <f>IFERROR(F196/#REF!,"-")</f>
        <v>-</v>
      </c>
      <c r="J196" s="336">
        <f t="shared" si="176"/>
        <v>0</v>
      </c>
      <c r="K196" s="281">
        <f t="shared" si="177"/>
        <v>0</v>
      </c>
      <c r="L196" s="439">
        <f t="shared" si="178"/>
        <v>0</v>
      </c>
      <c r="M196" s="340" t="str">
        <f t="shared" si="179"/>
        <v>-</v>
      </c>
      <c r="N196" s="268" t="str">
        <f>IFERROR(L196/J196,"-")</f>
        <v>-</v>
      </c>
      <c r="O196" s="513">
        <v>4.6797000000000004</v>
      </c>
      <c r="P196" s="407">
        <f t="shared" ref="P196:P198" si="180">+O196*G196</f>
        <v>0</v>
      </c>
      <c r="Q196" s="452">
        <f t="shared" ref="Q196:Q198" si="181">+O196*K196</f>
        <v>0</v>
      </c>
    </row>
    <row r="197" spans="1:17" ht="23.4" x14ac:dyDescent="0.3">
      <c r="A197" s="277"/>
      <c r="B197" s="454"/>
      <c r="C197" s="278" t="s">
        <v>353</v>
      </c>
      <c r="D197" s="283"/>
      <c r="E197" s="284"/>
      <c r="F197" s="336">
        <f t="shared" si="175"/>
        <v>22182</v>
      </c>
      <c r="G197" s="285">
        <v>22000</v>
      </c>
      <c r="H197" s="285">
        <v>182</v>
      </c>
      <c r="I197" s="355" t="str">
        <f>IFERROR(F197/#REF!,"-")</f>
        <v>-</v>
      </c>
      <c r="J197" s="336">
        <f t="shared" si="176"/>
        <v>64105</v>
      </c>
      <c r="K197" s="281">
        <f t="shared" si="177"/>
        <v>62600</v>
      </c>
      <c r="L197" s="439">
        <f t="shared" si="178"/>
        <v>1505</v>
      </c>
      <c r="M197" s="340" t="str">
        <f t="shared" si="179"/>
        <v>-</v>
      </c>
      <c r="N197" s="268">
        <f>IFERROR(L197/J197,"-")</f>
        <v>2.3477107869900943E-2</v>
      </c>
      <c r="O197" s="513">
        <v>12.284700000000001</v>
      </c>
      <c r="P197" s="407">
        <f t="shared" si="180"/>
        <v>270263.40000000002</v>
      </c>
      <c r="Q197" s="452">
        <f t="shared" si="181"/>
        <v>769022.22000000009</v>
      </c>
    </row>
    <row r="198" spans="1:17" ht="24" thickBot="1" x14ac:dyDescent="0.35">
      <c r="A198" s="277" t="s">
        <v>110</v>
      </c>
      <c r="B198" s="454"/>
      <c r="C198" s="278" t="s">
        <v>408</v>
      </c>
      <c r="D198" s="283"/>
      <c r="E198" s="284"/>
      <c r="F198" s="337">
        <f t="shared" si="175"/>
        <v>62730</v>
      </c>
      <c r="G198" s="285">
        <v>60000</v>
      </c>
      <c r="H198" s="285">
        <v>2730</v>
      </c>
      <c r="I198" s="356" t="str">
        <f>IFERROR(F198/#REF!,"-")</f>
        <v>-</v>
      </c>
      <c r="J198" s="464">
        <f t="shared" si="176"/>
        <v>149460</v>
      </c>
      <c r="K198" s="465">
        <f t="shared" si="177"/>
        <v>142750</v>
      </c>
      <c r="L198" s="466">
        <f t="shared" si="178"/>
        <v>6710</v>
      </c>
      <c r="M198" s="341" t="str">
        <f t="shared" si="179"/>
        <v>-</v>
      </c>
      <c r="N198" s="347">
        <f t="shared" ref="N198:N210" si="182">IFERROR(L198/J198,"-")</f>
        <v>4.4894955171952362E-2</v>
      </c>
      <c r="O198" s="513">
        <v>4.6797000000000004</v>
      </c>
      <c r="P198" s="408">
        <f t="shared" si="180"/>
        <v>280782</v>
      </c>
      <c r="Q198" s="453">
        <f t="shared" si="181"/>
        <v>668027.17500000005</v>
      </c>
    </row>
    <row r="199" spans="1:17" ht="24" thickBot="1" x14ac:dyDescent="0.35">
      <c r="A199" s="277" t="s">
        <v>110</v>
      </c>
      <c r="B199" s="967" t="s">
        <v>21</v>
      </c>
      <c r="C199" s="968"/>
      <c r="D199" s="323">
        <f>SUM(D194:D198)</f>
        <v>0</v>
      </c>
      <c r="E199" s="288">
        <v>15000</v>
      </c>
      <c r="F199" s="323">
        <f>SUM(F194:F198)</f>
        <v>200634</v>
      </c>
      <c r="G199" s="324">
        <f>SUM(G194:G198)</f>
        <v>197000</v>
      </c>
      <c r="H199" s="324">
        <f>SUM(H194:H198)</f>
        <v>3634</v>
      </c>
      <c r="I199" s="348" t="str">
        <f>IFERROR(F199/#REF!,"-")</f>
        <v>-</v>
      </c>
      <c r="J199" s="323">
        <f>SUM(J194:J198)</f>
        <v>676595</v>
      </c>
      <c r="K199" s="324">
        <f>SUM(K194:K198)</f>
        <v>665350</v>
      </c>
      <c r="L199" s="325">
        <f>SUM(L194:L198)</f>
        <v>11245</v>
      </c>
      <c r="M199" s="342" t="str">
        <f>IFERROR(J199/D199,"-")</f>
        <v>-</v>
      </c>
      <c r="N199" s="348">
        <f t="shared" si="182"/>
        <v>1.6619986845897473E-2</v>
      </c>
      <c r="O199" s="394"/>
      <c r="P199" s="409">
        <f>SUM(P194:P198)</f>
        <v>826803.9</v>
      </c>
      <c r="Q199" s="428">
        <f>SUM(Q194:Q198)</f>
        <v>2540083.3950000005</v>
      </c>
    </row>
    <row r="200" spans="1:17" ht="23.4" x14ac:dyDescent="0.3">
      <c r="A200" s="277" t="s">
        <v>110</v>
      </c>
      <c r="B200" s="442"/>
      <c r="C200" s="272" t="s">
        <v>264</v>
      </c>
      <c r="D200" s="273"/>
      <c r="E200" s="274"/>
      <c r="F200" s="335">
        <f t="shared" ref="F200:F206" si="183">+G200+H200</f>
        <v>0</v>
      </c>
      <c r="G200" s="275">
        <v>0</v>
      </c>
      <c r="H200" s="275">
        <v>0</v>
      </c>
      <c r="I200" s="354" t="str">
        <f>IFERROR(F200/#REF!,"-")</f>
        <v>-</v>
      </c>
      <c r="J200" s="461">
        <f t="shared" ref="J200:J206" si="184">+K200+L200</f>
        <v>13274</v>
      </c>
      <c r="K200" s="462">
        <f t="shared" ref="K200:K206" si="185">+K140+G200</f>
        <v>12960</v>
      </c>
      <c r="L200" s="463">
        <f t="shared" ref="L200:L206" si="186">+L140+H200</f>
        <v>314</v>
      </c>
      <c r="M200" s="339" t="str">
        <f t="shared" ref="M200:M208" si="187">IFERROR(J200/D200,"-")</f>
        <v>-</v>
      </c>
      <c r="N200" s="349">
        <f t="shared" si="182"/>
        <v>2.3655265933403648E-2</v>
      </c>
      <c r="O200" s="511">
        <v>18.2316</v>
      </c>
      <c r="P200" s="405">
        <f t="shared" ref="P200:P206" si="188">+O200*G200</f>
        <v>0</v>
      </c>
      <c r="Q200" s="450">
        <f t="shared" ref="Q200:Q206" si="189">+O200*K200</f>
        <v>236281.53599999999</v>
      </c>
    </row>
    <row r="201" spans="1:17" ht="23.4" x14ac:dyDescent="0.3">
      <c r="A201" s="277" t="s">
        <v>110</v>
      </c>
      <c r="B201" s="441"/>
      <c r="C201" s="278" t="s">
        <v>92</v>
      </c>
      <c r="D201" s="279"/>
      <c r="E201" s="280"/>
      <c r="F201" s="336">
        <f t="shared" si="183"/>
        <v>60000</v>
      </c>
      <c r="G201" s="281">
        <v>60000</v>
      </c>
      <c r="H201" s="281">
        <v>0</v>
      </c>
      <c r="I201" s="355" t="str">
        <f>IFERROR(F201/#REF!,"-")</f>
        <v>-</v>
      </c>
      <c r="J201" s="336">
        <f t="shared" si="184"/>
        <v>60000</v>
      </c>
      <c r="K201" s="281">
        <f t="shared" si="185"/>
        <v>60000</v>
      </c>
      <c r="L201" s="439">
        <f t="shared" si="186"/>
        <v>0</v>
      </c>
      <c r="M201" s="340" t="str">
        <f t="shared" si="187"/>
        <v>-</v>
      </c>
      <c r="N201" s="264">
        <f t="shared" si="182"/>
        <v>0</v>
      </c>
      <c r="O201" s="512">
        <v>1.2824</v>
      </c>
      <c r="P201" s="407">
        <f t="shared" si="188"/>
        <v>76944</v>
      </c>
      <c r="Q201" s="452">
        <f t="shared" si="189"/>
        <v>76944</v>
      </c>
    </row>
    <row r="202" spans="1:17" ht="23.4" x14ac:dyDescent="0.3">
      <c r="A202" s="277" t="s">
        <v>110</v>
      </c>
      <c r="B202" s="441"/>
      <c r="C202" s="278" t="s">
        <v>329</v>
      </c>
      <c r="D202" s="279"/>
      <c r="E202" s="280"/>
      <c r="F202" s="336">
        <f t="shared" si="183"/>
        <v>0</v>
      </c>
      <c r="G202" s="281">
        <v>0</v>
      </c>
      <c r="H202" s="281">
        <v>0</v>
      </c>
      <c r="I202" s="355" t="str">
        <f>IFERROR(F202/#REF!,"-")</f>
        <v>-</v>
      </c>
      <c r="J202" s="336">
        <f t="shared" si="184"/>
        <v>0</v>
      </c>
      <c r="K202" s="281">
        <f t="shared" si="185"/>
        <v>0</v>
      </c>
      <c r="L202" s="439">
        <f t="shared" si="186"/>
        <v>0</v>
      </c>
      <c r="M202" s="340" t="str">
        <f t="shared" si="187"/>
        <v>-</v>
      </c>
      <c r="N202" s="264" t="str">
        <f t="shared" si="182"/>
        <v>-</v>
      </c>
      <c r="O202" s="512">
        <v>5.7342000000000004</v>
      </c>
      <c r="P202" s="407">
        <f t="shared" si="188"/>
        <v>0</v>
      </c>
      <c r="Q202" s="452">
        <f t="shared" si="189"/>
        <v>0</v>
      </c>
    </row>
    <row r="203" spans="1:17" ht="23.4" x14ac:dyDescent="0.3">
      <c r="A203" s="277" t="s">
        <v>110</v>
      </c>
      <c r="B203" s="441"/>
      <c r="C203" s="278" t="s">
        <v>346</v>
      </c>
      <c r="D203" s="279"/>
      <c r="E203" s="280"/>
      <c r="F203" s="336">
        <f t="shared" si="183"/>
        <v>0</v>
      </c>
      <c r="G203" s="281">
        <v>0</v>
      </c>
      <c r="H203" s="281">
        <v>0</v>
      </c>
      <c r="I203" s="355" t="str">
        <f>IFERROR(F203/#REF!,"-")</f>
        <v>-</v>
      </c>
      <c r="J203" s="336">
        <f t="shared" si="184"/>
        <v>0</v>
      </c>
      <c r="K203" s="281">
        <f t="shared" si="185"/>
        <v>0</v>
      </c>
      <c r="L203" s="439">
        <f t="shared" si="186"/>
        <v>0</v>
      </c>
      <c r="M203" s="340" t="str">
        <f t="shared" si="187"/>
        <v>-</v>
      </c>
      <c r="N203" s="264" t="str">
        <f t="shared" si="182"/>
        <v>-</v>
      </c>
      <c r="O203" s="512"/>
      <c r="P203" s="407">
        <f t="shared" si="188"/>
        <v>0</v>
      </c>
      <c r="Q203" s="452">
        <f t="shared" si="189"/>
        <v>0</v>
      </c>
    </row>
    <row r="204" spans="1:17" ht="23.4" x14ac:dyDescent="0.3">
      <c r="A204" s="277" t="s">
        <v>110</v>
      </c>
      <c r="B204" s="441"/>
      <c r="C204" s="278" t="s">
        <v>354</v>
      </c>
      <c r="D204" s="279"/>
      <c r="E204" s="280"/>
      <c r="F204" s="336">
        <f t="shared" si="183"/>
        <v>0</v>
      </c>
      <c r="G204" s="281">
        <v>0</v>
      </c>
      <c r="H204" s="281">
        <v>0</v>
      </c>
      <c r="I204" s="355" t="str">
        <f>IFERROR(F204/#REF!,"-")</f>
        <v>-</v>
      </c>
      <c r="J204" s="336">
        <f t="shared" si="184"/>
        <v>36617</v>
      </c>
      <c r="K204" s="281">
        <f t="shared" si="185"/>
        <v>36000</v>
      </c>
      <c r="L204" s="439">
        <f t="shared" si="186"/>
        <v>617</v>
      </c>
      <c r="M204" s="340" t="str">
        <f t="shared" si="187"/>
        <v>-</v>
      </c>
      <c r="N204" s="264">
        <f t="shared" si="182"/>
        <v>1.6850096949504328E-2</v>
      </c>
      <c r="O204" s="512">
        <v>12.029500000000001</v>
      </c>
      <c r="P204" s="407">
        <f t="shared" si="188"/>
        <v>0</v>
      </c>
      <c r="Q204" s="452">
        <f t="shared" si="189"/>
        <v>433062</v>
      </c>
    </row>
    <row r="205" spans="1:17" ht="23.4" x14ac:dyDescent="0.3">
      <c r="A205" s="277" t="s">
        <v>110</v>
      </c>
      <c r="B205" s="441"/>
      <c r="C205" s="278"/>
      <c r="D205" s="279"/>
      <c r="E205" s="280"/>
      <c r="F205" s="336">
        <f t="shared" si="183"/>
        <v>0</v>
      </c>
      <c r="G205" s="281">
        <v>0</v>
      </c>
      <c r="H205" s="281">
        <v>0</v>
      </c>
      <c r="I205" s="355" t="str">
        <f>IFERROR(F205/#REF!,"-")</f>
        <v>-</v>
      </c>
      <c r="J205" s="336">
        <f t="shared" si="184"/>
        <v>0</v>
      </c>
      <c r="K205" s="281">
        <f t="shared" si="185"/>
        <v>0</v>
      </c>
      <c r="L205" s="439">
        <f t="shared" si="186"/>
        <v>0</v>
      </c>
      <c r="M205" s="340" t="str">
        <f t="shared" si="187"/>
        <v>-</v>
      </c>
      <c r="N205" s="264" t="str">
        <f t="shared" si="182"/>
        <v>-</v>
      </c>
      <c r="O205" s="512"/>
      <c r="P205" s="407">
        <f t="shared" si="188"/>
        <v>0</v>
      </c>
      <c r="Q205" s="452">
        <f t="shared" si="189"/>
        <v>0</v>
      </c>
    </row>
    <row r="206" spans="1:17" ht="24" thickBot="1" x14ac:dyDescent="0.35">
      <c r="A206" s="277" t="s">
        <v>110</v>
      </c>
      <c r="B206" s="454"/>
      <c r="C206" s="282"/>
      <c r="D206" s="283">
        <v>0</v>
      </c>
      <c r="E206" s="284"/>
      <c r="F206" s="337">
        <f t="shared" si="183"/>
        <v>0</v>
      </c>
      <c r="G206" s="285">
        <v>0</v>
      </c>
      <c r="H206" s="285">
        <v>0</v>
      </c>
      <c r="I206" s="356" t="str">
        <f>IFERROR(F206/#REF!,"-")</f>
        <v>-</v>
      </c>
      <c r="J206" s="464">
        <f t="shared" si="184"/>
        <v>0</v>
      </c>
      <c r="K206" s="465">
        <f t="shared" si="185"/>
        <v>0</v>
      </c>
      <c r="L206" s="466">
        <f t="shared" si="186"/>
        <v>0</v>
      </c>
      <c r="M206" s="341" t="str">
        <f t="shared" si="187"/>
        <v>-</v>
      </c>
      <c r="N206" s="350" t="str">
        <f t="shared" si="182"/>
        <v>-</v>
      </c>
      <c r="O206" s="513"/>
      <c r="P206" s="408">
        <f t="shared" si="188"/>
        <v>0</v>
      </c>
      <c r="Q206" s="453">
        <f t="shared" si="189"/>
        <v>0</v>
      </c>
    </row>
    <row r="207" spans="1:17" ht="24" thickBot="1" x14ac:dyDescent="0.35">
      <c r="A207" s="277" t="s">
        <v>110</v>
      </c>
      <c r="B207" s="967" t="s">
        <v>25</v>
      </c>
      <c r="C207" s="968"/>
      <c r="D207" s="323">
        <f t="shared" ref="D207" si="190">SUM(D200:D206)</f>
        <v>0</v>
      </c>
      <c r="E207" s="288">
        <v>100000</v>
      </c>
      <c r="F207" s="323">
        <f>SUM(F200:F206)</f>
        <v>60000</v>
      </c>
      <c r="G207" s="324">
        <f t="shared" ref="G207:H207" si="191">SUM(G200:G206)</f>
        <v>60000</v>
      </c>
      <c r="H207" s="324">
        <f t="shared" si="191"/>
        <v>0</v>
      </c>
      <c r="I207" s="348" t="str">
        <f>IFERROR(F207/#REF!,"-")</f>
        <v>-</v>
      </c>
      <c r="J207" s="323">
        <f t="shared" ref="J207:L207" si="192">SUM(J200:J206)</f>
        <v>109891</v>
      </c>
      <c r="K207" s="324">
        <f t="shared" si="192"/>
        <v>108960</v>
      </c>
      <c r="L207" s="325">
        <f t="shared" si="192"/>
        <v>931</v>
      </c>
      <c r="M207" s="342" t="str">
        <f t="shared" si="187"/>
        <v>-</v>
      </c>
      <c r="N207" s="348">
        <f t="shared" si="182"/>
        <v>8.4720313765458497E-3</v>
      </c>
      <c r="O207" s="394"/>
      <c r="P207" s="409">
        <f t="shared" ref="P207:Q207" si="193">SUM(P200:P206)</f>
        <v>76944</v>
      </c>
      <c r="Q207" s="428">
        <f t="shared" si="193"/>
        <v>746287.53599999996</v>
      </c>
    </row>
    <row r="208" spans="1:17" ht="24" thickBot="1" x14ac:dyDescent="0.35">
      <c r="A208" s="277" t="s">
        <v>110</v>
      </c>
      <c r="B208" s="1057" t="s">
        <v>180</v>
      </c>
      <c r="C208" s="1040"/>
      <c r="D208" s="329">
        <f>+D199+D207</f>
        <v>0</v>
      </c>
      <c r="E208" s="330">
        <f t="shared" ref="E208:H208" si="194">+E199+E207</f>
        <v>115000</v>
      </c>
      <c r="F208" s="329">
        <f t="shared" si="194"/>
        <v>260634</v>
      </c>
      <c r="G208" s="327">
        <f t="shared" si="194"/>
        <v>257000</v>
      </c>
      <c r="H208" s="327">
        <f t="shared" si="194"/>
        <v>3634</v>
      </c>
      <c r="I208" s="352" t="str">
        <f>IFERROR(F208/#REF!,"-")</f>
        <v>-</v>
      </c>
      <c r="J208" s="329">
        <f t="shared" ref="J208:L208" si="195">+J199+J207</f>
        <v>786486</v>
      </c>
      <c r="K208" s="327">
        <f t="shared" si="195"/>
        <v>774310</v>
      </c>
      <c r="L208" s="328">
        <f t="shared" si="195"/>
        <v>12176</v>
      </c>
      <c r="M208" s="344" t="str">
        <f t="shared" si="187"/>
        <v>-</v>
      </c>
      <c r="N208" s="352">
        <f t="shared" si="182"/>
        <v>1.5481521603690339E-2</v>
      </c>
      <c r="O208" s="397"/>
      <c r="P208" s="413">
        <f t="shared" ref="P208:Q208" si="196">+P199+P207</f>
        <v>903747.9</v>
      </c>
      <c r="Q208" s="431">
        <f t="shared" si="196"/>
        <v>3286370.9310000003</v>
      </c>
    </row>
    <row r="209" spans="1:17" ht="23.4" x14ac:dyDescent="0.3">
      <c r="A209" s="244" t="s">
        <v>108</v>
      </c>
      <c r="B209" s="591"/>
      <c r="C209" s="592" t="s">
        <v>306</v>
      </c>
      <c r="D209" s="532"/>
      <c r="E209" s="463"/>
      <c r="F209" s="461">
        <f>+G209+H209</f>
        <v>0</v>
      </c>
      <c r="G209" s="462">
        <v>0</v>
      </c>
      <c r="H209" s="462">
        <v>0</v>
      </c>
      <c r="I209" s="536" t="str">
        <f>IFERROR(F209/#REF!,"-")</f>
        <v>-</v>
      </c>
      <c r="J209" s="461">
        <f>+K209+L209</f>
        <v>0</v>
      </c>
      <c r="K209" s="462">
        <f t="shared" ref="K209:K215" si="197">+K149+G209</f>
        <v>0</v>
      </c>
      <c r="L209" s="463">
        <f t="shared" ref="L209:L215" si="198">+L149+H209</f>
        <v>0</v>
      </c>
      <c r="M209" s="596" t="str">
        <f>IFERROR(J209/D209,"-")</f>
        <v>-</v>
      </c>
      <c r="N209" s="538" t="str">
        <f t="shared" si="182"/>
        <v>-</v>
      </c>
      <c r="O209" s="638">
        <v>4.8285999999999998</v>
      </c>
      <c r="P209" s="539">
        <f t="shared" ref="P209:P215" si="199">+O209*G209</f>
        <v>0</v>
      </c>
      <c r="Q209" s="540">
        <f t="shared" ref="Q209:Q215" si="200">+O209*K209</f>
        <v>0</v>
      </c>
    </row>
    <row r="210" spans="1:17" ht="23.4" x14ac:dyDescent="0.3">
      <c r="A210" s="248" t="s">
        <v>108</v>
      </c>
      <c r="B210" s="593"/>
      <c r="C210" s="278" t="s">
        <v>307</v>
      </c>
      <c r="D210" s="279"/>
      <c r="E210" s="439"/>
      <c r="F210" s="336">
        <f t="shared" ref="F210:F215" si="201">+G210+H210</f>
        <v>0</v>
      </c>
      <c r="G210" s="281">
        <v>0</v>
      </c>
      <c r="H210" s="281">
        <v>0</v>
      </c>
      <c r="I210" s="355" t="str">
        <f>IFERROR(F210/#REF!,"-")</f>
        <v>-</v>
      </c>
      <c r="J210" s="336">
        <f t="shared" ref="J210:J215" si="202">+K210+L210</f>
        <v>0</v>
      </c>
      <c r="K210" s="281">
        <f t="shared" si="197"/>
        <v>0</v>
      </c>
      <c r="L210" s="439">
        <f t="shared" si="198"/>
        <v>0</v>
      </c>
      <c r="M210" s="340" t="str">
        <f t="shared" ref="M210:M212" si="203">IFERROR(J210/D210,"-")</f>
        <v>-</v>
      </c>
      <c r="N210" s="268" t="str">
        <f t="shared" si="182"/>
        <v>-</v>
      </c>
      <c r="O210" s="639">
        <v>1.4086000000000001</v>
      </c>
      <c r="P210" s="407">
        <f t="shared" si="199"/>
        <v>0</v>
      </c>
      <c r="Q210" s="452">
        <f t="shared" si="200"/>
        <v>0</v>
      </c>
    </row>
    <row r="211" spans="1:17" ht="23.4" x14ac:dyDescent="0.3">
      <c r="A211" s="248" t="s">
        <v>108</v>
      </c>
      <c r="B211" s="593"/>
      <c r="C211" s="278" t="s">
        <v>348</v>
      </c>
      <c r="D211" s="279"/>
      <c r="E211" s="439"/>
      <c r="F211" s="336">
        <f t="shared" si="201"/>
        <v>0</v>
      </c>
      <c r="G211" s="281">
        <v>0</v>
      </c>
      <c r="H211" s="281">
        <v>0</v>
      </c>
      <c r="I211" s="355" t="str">
        <f>IFERROR(F211/#REF!,"-")</f>
        <v>-</v>
      </c>
      <c r="J211" s="336">
        <f t="shared" si="202"/>
        <v>0</v>
      </c>
      <c r="K211" s="281">
        <f t="shared" si="197"/>
        <v>0</v>
      </c>
      <c r="L211" s="439">
        <f t="shared" si="198"/>
        <v>0</v>
      </c>
      <c r="M211" s="340" t="str">
        <f t="shared" si="203"/>
        <v>-</v>
      </c>
      <c r="N211" s="268" t="str">
        <f>IFERROR(L211/J211,"-")</f>
        <v>-</v>
      </c>
      <c r="O211" s="639">
        <v>2.2141000000000002</v>
      </c>
      <c r="P211" s="407">
        <f t="shared" si="199"/>
        <v>0</v>
      </c>
      <c r="Q211" s="452">
        <f t="shared" si="200"/>
        <v>0</v>
      </c>
    </row>
    <row r="212" spans="1:17" ht="23.4" x14ac:dyDescent="0.3">
      <c r="A212" s="248" t="s">
        <v>108</v>
      </c>
      <c r="B212" s="594"/>
      <c r="C212" s="278" t="s">
        <v>387</v>
      </c>
      <c r="D212" s="283"/>
      <c r="E212" s="533"/>
      <c r="F212" s="337">
        <f t="shared" si="201"/>
        <v>0</v>
      </c>
      <c r="G212" s="285">
        <v>0</v>
      </c>
      <c r="H212" s="285">
        <v>0</v>
      </c>
      <c r="I212" s="356" t="str">
        <f>IFERROR(F212/#REF!,"-")</f>
        <v>-</v>
      </c>
      <c r="J212" s="336">
        <f t="shared" si="202"/>
        <v>0</v>
      </c>
      <c r="K212" s="281">
        <f t="shared" si="197"/>
        <v>0</v>
      </c>
      <c r="L212" s="439">
        <f t="shared" si="198"/>
        <v>0</v>
      </c>
      <c r="M212" s="341" t="str">
        <f t="shared" si="203"/>
        <v>-</v>
      </c>
      <c r="N212" s="347" t="str">
        <f t="shared" ref="N212:N219" si="204">IFERROR(L212/J212,"-")</f>
        <v>-</v>
      </c>
      <c r="O212" s="640">
        <v>2.4565999999999999</v>
      </c>
      <c r="P212" s="408">
        <f t="shared" si="199"/>
        <v>0</v>
      </c>
      <c r="Q212" s="453">
        <f t="shared" si="200"/>
        <v>0</v>
      </c>
    </row>
    <row r="213" spans="1:17" ht="23.4" x14ac:dyDescent="0.3">
      <c r="A213" s="248" t="s">
        <v>108</v>
      </c>
      <c r="B213" s="443"/>
      <c r="C213" s="637" t="s">
        <v>393</v>
      </c>
      <c r="D213" s="514"/>
      <c r="E213" s="534"/>
      <c r="F213" s="336">
        <f t="shared" si="201"/>
        <v>0</v>
      </c>
      <c r="G213" s="553">
        <v>0</v>
      </c>
      <c r="H213" s="553">
        <v>0</v>
      </c>
      <c r="I213" s="355" t="str">
        <f>IFERROR(F213/#REF!,"-")</f>
        <v>-</v>
      </c>
      <c r="J213" s="336">
        <f t="shared" si="202"/>
        <v>0</v>
      </c>
      <c r="K213" s="281">
        <f t="shared" si="197"/>
        <v>0</v>
      </c>
      <c r="L213" s="439">
        <f t="shared" si="198"/>
        <v>0</v>
      </c>
      <c r="M213" s="725"/>
      <c r="N213" s="268" t="str">
        <f t="shared" si="204"/>
        <v>-</v>
      </c>
      <c r="O213" s="545">
        <v>4.8285999999999998</v>
      </c>
      <c r="P213" s="407">
        <f t="shared" si="199"/>
        <v>0</v>
      </c>
      <c r="Q213" s="452">
        <f t="shared" si="200"/>
        <v>0</v>
      </c>
    </row>
    <row r="214" spans="1:17" ht="23.4" x14ac:dyDescent="0.3">
      <c r="A214" s="248" t="s">
        <v>108</v>
      </c>
      <c r="B214" s="595"/>
      <c r="C214" s="637" t="s">
        <v>389</v>
      </c>
      <c r="D214" s="273"/>
      <c r="E214" s="438"/>
      <c r="F214" s="335">
        <f t="shared" si="201"/>
        <v>0</v>
      </c>
      <c r="G214" s="275">
        <v>0</v>
      </c>
      <c r="H214" s="275">
        <v>0</v>
      </c>
      <c r="I214" s="354" t="str">
        <f>IFERROR(F214/#REF!,"-")</f>
        <v>-</v>
      </c>
      <c r="J214" s="336">
        <f t="shared" si="202"/>
        <v>0</v>
      </c>
      <c r="K214" s="281">
        <f t="shared" si="197"/>
        <v>0</v>
      </c>
      <c r="L214" s="439">
        <f t="shared" si="198"/>
        <v>0</v>
      </c>
      <c r="M214" s="339" t="str">
        <f t="shared" ref="M214:M215" si="205">IFERROR(J214/D214,"-")</f>
        <v>-</v>
      </c>
      <c r="N214" s="349" t="str">
        <f t="shared" si="204"/>
        <v>-</v>
      </c>
      <c r="O214" s="511">
        <v>4.1712999999999996</v>
      </c>
      <c r="P214" s="405">
        <f t="shared" si="199"/>
        <v>0</v>
      </c>
      <c r="Q214" s="450">
        <f t="shared" si="200"/>
        <v>0</v>
      </c>
    </row>
    <row r="215" spans="1:17" ht="24" thickBot="1" x14ac:dyDescent="0.35">
      <c r="A215" s="248" t="s">
        <v>108</v>
      </c>
      <c r="B215" s="593"/>
      <c r="C215" s="278"/>
      <c r="D215" s="279"/>
      <c r="E215" s="439"/>
      <c r="F215" s="336">
        <f t="shared" si="201"/>
        <v>0</v>
      </c>
      <c r="G215" s="281">
        <v>0</v>
      </c>
      <c r="H215" s="281">
        <v>0</v>
      </c>
      <c r="I215" s="355" t="str">
        <f>IFERROR(F215/#REF!,"-")</f>
        <v>-</v>
      </c>
      <c r="J215" s="464">
        <f t="shared" si="202"/>
        <v>0</v>
      </c>
      <c r="K215" s="465">
        <f t="shared" si="197"/>
        <v>0</v>
      </c>
      <c r="L215" s="466">
        <f t="shared" si="198"/>
        <v>0</v>
      </c>
      <c r="M215" s="340" t="str">
        <f t="shared" si="205"/>
        <v>-</v>
      </c>
      <c r="N215" s="264" t="str">
        <f t="shared" si="204"/>
        <v>-</v>
      </c>
      <c r="O215" s="451"/>
      <c r="P215" s="407">
        <f t="shared" si="199"/>
        <v>0</v>
      </c>
      <c r="Q215" s="452">
        <f t="shared" si="200"/>
        <v>0</v>
      </c>
    </row>
    <row r="216" spans="1:17" ht="24" thickBot="1" x14ac:dyDescent="0.35">
      <c r="A216" s="277" t="s">
        <v>108</v>
      </c>
      <c r="B216" s="1038" t="s">
        <v>21</v>
      </c>
      <c r="C216" s="989"/>
      <c r="D216" s="323">
        <v>0</v>
      </c>
      <c r="E216" s="288">
        <v>15000</v>
      </c>
      <c r="F216" s="323">
        <f>SUM(F209:F215)</f>
        <v>0</v>
      </c>
      <c r="G216" s="324">
        <f t="shared" ref="G216:H216" si="206">SUM(G209:G215)</f>
        <v>0</v>
      </c>
      <c r="H216" s="324">
        <f t="shared" si="206"/>
        <v>0</v>
      </c>
      <c r="I216" s="348" t="str">
        <f>IFERROR(F216/#REF!,"-")</f>
        <v>-</v>
      </c>
      <c r="J216" s="518">
        <f t="shared" ref="J216" si="207">SUM(J209:J215)</f>
        <v>0</v>
      </c>
      <c r="K216" s="524">
        <f>SUM(K209:K215)</f>
        <v>0</v>
      </c>
      <c r="L216" s="524">
        <f>SUM(L209:L215)</f>
        <v>0</v>
      </c>
      <c r="M216" s="342" t="str">
        <f>IFERROR(J216/D216,"-")</f>
        <v>-</v>
      </c>
      <c r="N216" s="348" t="str">
        <f t="shared" si="204"/>
        <v>-</v>
      </c>
      <c r="O216" s="394"/>
      <c r="P216" s="409">
        <f>SUM(P209:P215)</f>
        <v>0</v>
      </c>
      <c r="Q216" s="428">
        <f>SUM(Q209:Q215)</f>
        <v>0</v>
      </c>
    </row>
    <row r="217" spans="1:17" ht="24" thickBot="1" x14ac:dyDescent="0.35">
      <c r="A217" s="277" t="s">
        <v>108</v>
      </c>
      <c r="B217" s="1058" t="s">
        <v>268</v>
      </c>
      <c r="C217" s="1059"/>
      <c r="D217" s="517">
        <f>+D213+D216</f>
        <v>0</v>
      </c>
      <c r="E217" s="530">
        <f>+E213+E216</f>
        <v>15000</v>
      </c>
      <c r="F217" s="517">
        <f>+F213+F216</f>
        <v>0</v>
      </c>
      <c r="G217" s="519">
        <f>+G213+G216</f>
        <v>0</v>
      </c>
      <c r="H217" s="519">
        <f>+H213+H216</f>
        <v>0</v>
      </c>
      <c r="I217" s="520" t="str">
        <f>IFERROR(F217/#REF!,"-")</f>
        <v>-</v>
      </c>
      <c r="J217" s="517">
        <f>+J213+J216</f>
        <v>0</v>
      </c>
      <c r="K217" s="519">
        <f>+K216</f>
        <v>0</v>
      </c>
      <c r="L217" s="519">
        <f>+L216</f>
        <v>0</v>
      </c>
      <c r="M217" s="521" t="str">
        <f t="shared" ref="M217" si="208">IFERROR(J217/D217,"-")</f>
        <v>-</v>
      </c>
      <c r="N217" s="520" t="str">
        <f t="shared" si="204"/>
        <v>-</v>
      </c>
      <c r="O217" s="522"/>
      <c r="P217" s="523">
        <f>+P216</f>
        <v>0</v>
      </c>
      <c r="Q217" s="523">
        <f>+Q216</f>
        <v>0</v>
      </c>
    </row>
    <row r="218" spans="1:17" ht="23.4" x14ac:dyDescent="0.4">
      <c r="A218" s="244" t="s">
        <v>108</v>
      </c>
      <c r="B218" s="1035" t="s">
        <v>270</v>
      </c>
      <c r="C218" s="547" t="s">
        <v>74</v>
      </c>
      <c r="D218" s="532"/>
      <c r="E218" s="463"/>
      <c r="F218" s="461">
        <f>+G218+H218</f>
        <v>9027</v>
      </c>
      <c r="G218" s="462">
        <v>9000</v>
      </c>
      <c r="H218" s="462">
        <v>27</v>
      </c>
      <c r="I218" s="536" t="str">
        <f>IFERROR(F218/#REF!,"-")</f>
        <v>-</v>
      </c>
      <c r="J218" s="461">
        <f>+K218+L218</f>
        <v>9027</v>
      </c>
      <c r="K218" s="462">
        <f t="shared" ref="K218:K247" si="209">+K158+G218</f>
        <v>9000</v>
      </c>
      <c r="L218" s="463">
        <f t="shared" ref="L218:L247" si="210">+L158+H218</f>
        <v>27</v>
      </c>
      <c r="M218" s="596" t="str">
        <f>IFERROR(J218/D218,"-")</f>
        <v>-</v>
      </c>
      <c r="N218" s="538">
        <f t="shared" si="204"/>
        <v>2.9910269192422734E-3</v>
      </c>
      <c r="O218" s="543">
        <v>32.946300000000001</v>
      </c>
      <c r="P218" s="539">
        <f t="shared" ref="P218:P247" si="211">+O218*G218</f>
        <v>296516.7</v>
      </c>
      <c r="Q218" s="540">
        <f t="shared" ref="Q218:Q247" si="212">+O218*K218</f>
        <v>296516.7</v>
      </c>
    </row>
    <row r="219" spans="1:17" ht="23.4" x14ac:dyDescent="0.4">
      <c r="A219" s="248" t="s">
        <v>108</v>
      </c>
      <c r="B219" s="1036"/>
      <c r="C219" s="548" t="s">
        <v>75</v>
      </c>
      <c r="D219" s="516"/>
      <c r="E219" s="439"/>
      <c r="F219" s="336">
        <f t="shared" ref="F219:F247" si="213">+G219+H219</f>
        <v>0</v>
      </c>
      <c r="G219" s="281">
        <v>0</v>
      </c>
      <c r="H219" s="281">
        <v>0</v>
      </c>
      <c r="I219" s="355" t="str">
        <f>IFERROR(F219/#REF!,"-")</f>
        <v>-</v>
      </c>
      <c r="J219" s="336">
        <f t="shared" ref="J219:J247" si="214">+K219+L219</f>
        <v>0</v>
      </c>
      <c r="K219" s="281">
        <f t="shared" si="209"/>
        <v>0</v>
      </c>
      <c r="L219" s="439">
        <f t="shared" si="210"/>
        <v>0</v>
      </c>
      <c r="M219" s="340" t="str">
        <f t="shared" ref="M219:M221" si="215">IFERROR(J219/D219,"-")</f>
        <v>-</v>
      </c>
      <c r="N219" s="268" t="str">
        <f t="shared" si="204"/>
        <v>-</v>
      </c>
      <c r="O219" s="512">
        <v>35.398400000000002</v>
      </c>
      <c r="P219" s="407">
        <f t="shared" si="211"/>
        <v>0</v>
      </c>
      <c r="Q219" s="452">
        <f t="shared" si="212"/>
        <v>0</v>
      </c>
    </row>
    <row r="220" spans="1:17" ht="24" thickBot="1" x14ac:dyDescent="0.45">
      <c r="A220" s="248" t="s">
        <v>108</v>
      </c>
      <c r="B220" s="1036"/>
      <c r="C220" s="548" t="s">
        <v>76</v>
      </c>
      <c r="D220" s="279"/>
      <c r="E220" s="439"/>
      <c r="F220" s="336">
        <f t="shared" si="213"/>
        <v>0</v>
      </c>
      <c r="G220" s="281">
        <v>0</v>
      </c>
      <c r="H220" s="281">
        <v>0</v>
      </c>
      <c r="I220" s="355" t="str">
        <f>IFERROR(F220/#REF!,"-")</f>
        <v>-</v>
      </c>
      <c r="J220" s="336">
        <f t="shared" si="214"/>
        <v>0</v>
      </c>
      <c r="K220" s="281">
        <f t="shared" si="209"/>
        <v>0</v>
      </c>
      <c r="L220" s="439">
        <f t="shared" si="210"/>
        <v>0</v>
      </c>
      <c r="M220" s="340" t="str">
        <f t="shared" si="215"/>
        <v>-</v>
      </c>
      <c r="N220" s="268" t="str">
        <f>IFERROR(L220/J220,"-")</f>
        <v>-</v>
      </c>
      <c r="O220" s="512">
        <v>32.946300000000001</v>
      </c>
      <c r="P220" s="407">
        <f t="shared" si="211"/>
        <v>0</v>
      </c>
      <c r="Q220" s="452">
        <f t="shared" si="212"/>
        <v>0</v>
      </c>
    </row>
    <row r="221" spans="1:17" ht="23.4" x14ac:dyDescent="0.4">
      <c r="A221" s="248" t="s">
        <v>108</v>
      </c>
      <c r="B221" s="1035" t="s">
        <v>271</v>
      </c>
      <c r="C221" s="550" t="s">
        <v>78</v>
      </c>
      <c r="D221" s="279"/>
      <c r="E221" s="533"/>
      <c r="F221" s="337">
        <f t="shared" si="213"/>
        <v>0</v>
      </c>
      <c r="G221" s="281">
        <v>0</v>
      </c>
      <c r="H221" s="281">
        <v>0</v>
      </c>
      <c r="I221" s="355" t="str">
        <f>IFERROR(F221/#REF!,"-")</f>
        <v>-</v>
      </c>
      <c r="J221" s="336">
        <f t="shared" si="214"/>
        <v>0</v>
      </c>
      <c r="K221" s="281">
        <v>0</v>
      </c>
      <c r="L221" s="439">
        <v>0</v>
      </c>
      <c r="M221" s="340" t="str">
        <f t="shared" si="215"/>
        <v>-</v>
      </c>
      <c r="N221" s="268" t="str">
        <f t="shared" ref="N221" si="216">IFERROR(L221/J221,"-")</f>
        <v>-</v>
      </c>
      <c r="O221" s="512">
        <v>55.4758</v>
      </c>
      <c r="P221" s="407">
        <f t="shared" si="211"/>
        <v>0</v>
      </c>
      <c r="Q221" s="452">
        <f t="shared" si="212"/>
        <v>0</v>
      </c>
    </row>
    <row r="222" spans="1:17" ht="23.4" x14ac:dyDescent="0.4">
      <c r="A222" s="248" t="s">
        <v>108</v>
      </c>
      <c r="B222" s="1036"/>
      <c r="C222" s="550" t="s">
        <v>75</v>
      </c>
      <c r="D222" s="279"/>
      <c r="E222" s="534"/>
      <c r="F222" s="337">
        <f t="shared" si="213"/>
        <v>0</v>
      </c>
      <c r="G222" s="281">
        <v>0</v>
      </c>
      <c r="H222" s="281">
        <v>0</v>
      </c>
      <c r="I222" s="355" t="str">
        <f>IFERROR(F222/#REF!,"-")</f>
        <v>-</v>
      </c>
      <c r="J222" s="336">
        <f t="shared" si="214"/>
        <v>5468</v>
      </c>
      <c r="K222" s="281">
        <f t="shared" si="209"/>
        <v>4400</v>
      </c>
      <c r="L222" s="439">
        <f t="shared" si="210"/>
        <v>1068</v>
      </c>
      <c r="M222" s="725"/>
      <c r="N222" s="375"/>
      <c r="O222" s="545">
        <v>58.836300000000001</v>
      </c>
      <c r="P222" s="407">
        <f t="shared" si="211"/>
        <v>0</v>
      </c>
      <c r="Q222" s="452">
        <f t="shared" si="212"/>
        <v>258879.72</v>
      </c>
    </row>
    <row r="223" spans="1:17" ht="23.4" x14ac:dyDescent="0.4">
      <c r="A223" s="248" t="s">
        <v>108</v>
      </c>
      <c r="B223" s="1036"/>
      <c r="C223" s="550" t="s">
        <v>386</v>
      </c>
      <c r="D223" s="279"/>
      <c r="E223" s="438"/>
      <c r="F223" s="337">
        <f t="shared" si="213"/>
        <v>0</v>
      </c>
      <c r="G223" s="281">
        <v>0</v>
      </c>
      <c r="H223" s="281">
        <v>0</v>
      </c>
      <c r="I223" s="355" t="str">
        <f>IFERROR(F223/#REF!,"-")</f>
        <v>-</v>
      </c>
      <c r="J223" s="336">
        <f t="shared" si="214"/>
        <v>470</v>
      </c>
      <c r="K223" s="281">
        <f t="shared" si="209"/>
        <v>400</v>
      </c>
      <c r="L223" s="439">
        <f t="shared" si="210"/>
        <v>70</v>
      </c>
      <c r="M223" s="340" t="str">
        <f t="shared" ref="M223" si="217">IFERROR(J223/D223,"-")</f>
        <v>-</v>
      </c>
      <c r="N223" s="264">
        <f t="shared" ref="N223" si="218">IFERROR(L223/J223,"-")</f>
        <v>0.14893617021276595</v>
      </c>
      <c r="O223" s="512">
        <v>55.4758</v>
      </c>
      <c r="P223" s="407">
        <f t="shared" si="211"/>
        <v>0</v>
      </c>
      <c r="Q223" s="452">
        <f t="shared" si="212"/>
        <v>22190.32</v>
      </c>
    </row>
    <row r="224" spans="1:17" ht="24" thickBot="1" x14ac:dyDescent="0.45">
      <c r="A224" s="248"/>
      <c r="B224" s="1037"/>
      <c r="C224" s="550" t="s">
        <v>404</v>
      </c>
      <c r="D224" s="279"/>
      <c r="E224" s="438"/>
      <c r="F224" s="337">
        <f t="shared" si="213"/>
        <v>0</v>
      </c>
      <c r="G224" s="281">
        <v>0</v>
      </c>
      <c r="H224" s="281">
        <v>0</v>
      </c>
      <c r="I224" s="355"/>
      <c r="J224" s="336">
        <f t="shared" si="214"/>
        <v>2220</v>
      </c>
      <c r="K224" s="281">
        <f t="shared" si="209"/>
        <v>2064</v>
      </c>
      <c r="L224" s="439">
        <f t="shared" si="210"/>
        <v>156</v>
      </c>
      <c r="M224" s="340"/>
      <c r="N224" s="264">
        <f>IFERROR(L224/J224,"-")</f>
        <v>7.0270270270270274E-2</v>
      </c>
      <c r="O224" s="512">
        <v>55.4758</v>
      </c>
      <c r="P224" s="407">
        <f t="shared" si="211"/>
        <v>0</v>
      </c>
      <c r="Q224" s="452">
        <f t="shared" si="212"/>
        <v>114502.0512</v>
      </c>
    </row>
    <row r="225" spans="1:17" ht="23.4" x14ac:dyDescent="0.4">
      <c r="A225" s="248" t="s">
        <v>108</v>
      </c>
      <c r="B225" s="1035" t="s">
        <v>79</v>
      </c>
      <c r="C225" s="548" t="s">
        <v>80</v>
      </c>
      <c r="D225" s="279"/>
      <c r="E225" s="439"/>
      <c r="F225" s="336">
        <f t="shared" si="213"/>
        <v>0</v>
      </c>
      <c r="G225" s="281">
        <v>0</v>
      </c>
      <c r="H225" s="281">
        <v>0</v>
      </c>
      <c r="I225" s="355" t="str">
        <f>IFERROR(F225/#REF!,"-")</f>
        <v>-</v>
      </c>
      <c r="J225" s="336">
        <f t="shared" si="214"/>
        <v>1170</v>
      </c>
      <c r="K225" s="281">
        <f t="shared" si="209"/>
        <v>1100</v>
      </c>
      <c r="L225" s="439">
        <f t="shared" si="210"/>
        <v>70</v>
      </c>
      <c r="M225" s="340" t="str">
        <f t="shared" ref="M225:M250" si="219">IFERROR(J225/D225,"-")</f>
        <v>-</v>
      </c>
      <c r="N225" s="264">
        <f t="shared" ref="N225:N249" si="220">IFERROR(L225/J225,"-")</f>
        <v>5.9829059829059832E-2</v>
      </c>
      <c r="O225" s="512">
        <v>25.687200000000001</v>
      </c>
      <c r="P225" s="407">
        <f t="shared" si="211"/>
        <v>0</v>
      </c>
      <c r="Q225" s="452">
        <f t="shared" si="212"/>
        <v>28255.920000000002</v>
      </c>
    </row>
    <row r="226" spans="1:17" ht="24" thickBot="1" x14ac:dyDescent="0.45">
      <c r="A226" s="248" t="s">
        <v>108</v>
      </c>
      <c r="B226" s="1037"/>
      <c r="C226" s="548" t="s">
        <v>124</v>
      </c>
      <c r="D226" s="279"/>
      <c r="E226" s="439"/>
      <c r="F226" s="336">
        <f t="shared" si="213"/>
        <v>0</v>
      </c>
      <c r="G226" s="281">
        <v>0</v>
      </c>
      <c r="H226" s="281">
        <v>0</v>
      </c>
      <c r="I226" s="355" t="str">
        <f>IFERROR(F226/#REF!,"-")</f>
        <v>-</v>
      </c>
      <c r="J226" s="336">
        <f t="shared" si="214"/>
        <v>0</v>
      </c>
      <c r="K226" s="281">
        <f t="shared" si="209"/>
        <v>0</v>
      </c>
      <c r="L226" s="439">
        <f t="shared" si="210"/>
        <v>0</v>
      </c>
      <c r="M226" s="340" t="str">
        <f t="shared" si="219"/>
        <v>-</v>
      </c>
      <c r="N226" s="264" t="str">
        <f t="shared" si="220"/>
        <v>-</v>
      </c>
      <c r="O226" s="512">
        <v>25.033899999999999</v>
      </c>
      <c r="P226" s="407">
        <f t="shared" si="211"/>
        <v>0</v>
      </c>
      <c r="Q226" s="452">
        <f t="shared" si="212"/>
        <v>0</v>
      </c>
    </row>
    <row r="227" spans="1:17" ht="23.4" x14ac:dyDescent="0.4">
      <c r="A227" s="248"/>
      <c r="B227" s="1035" t="s">
        <v>81</v>
      </c>
      <c r="C227" s="548" t="s">
        <v>82</v>
      </c>
      <c r="D227" s="279"/>
      <c r="E227" s="439"/>
      <c r="F227" s="336">
        <f t="shared" si="213"/>
        <v>4011</v>
      </c>
      <c r="G227" s="281">
        <v>4000</v>
      </c>
      <c r="H227" s="281">
        <v>11</v>
      </c>
      <c r="I227" s="355" t="str">
        <f>IFERROR(F227/#REF!,"-")</f>
        <v>-</v>
      </c>
      <c r="J227" s="336">
        <f t="shared" si="214"/>
        <v>6037</v>
      </c>
      <c r="K227" s="281">
        <f t="shared" si="209"/>
        <v>6000</v>
      </c>
      <c r="L227" s="439">
        <f t="shared" si="210"/>
        <v>37</v>
      </c>
      <c r="M227" s="340" t="str">
        <f t="shared" si="219"/>
        <v>-</v>
      </c>
      <c r="N227" s="264">
        <f t="shared" si="220"/>
        <v>6.1288719562696704E-3</v>
      </c>
      <c r="O227" s="512">
        <v>41.992699999999999</v>
      </c>
      <c r="P227" s="407">
        <f t="shared" si="211"/>
        <v>167970.8</v>
      </c>
      <c r="Q227" s="452">
        <f t="shared" si="212"/>
        <v>251956.19999999998</v>
      </c>
    </row>
    <row r="228" spans="1:17" ht="24" thickBot="1" x14ac:dyDescent="0.45">
      <c r="A228" s="248"/>
      <c r="B228" s="1036"/>
      <c r="C228" s="548" t="s">
        <v>75</v>
      </c>
      <c r="D228" s="279"/>
      <c r="E228" s="439"/>
      <c r="F228" s="336">
        <f t="shared" si="213"/>
        <v>45</v>
      </c>
      <c r="G228" s="281">
        <v>45</v>
      </c>
      <c r="H228" s="281">
        <v>0</v>
      </c>
      <c r="I228" s="355" t="str">
        <f>IFERROR(F228/#REF!,"-")</f>
        <v>-</v>
      </c>
      <c r="J228" s="336">
        <f t="shared" si="214"/>
        <v>45</v>
      </c>
      <c r="K228" s="281">
        <f t="shared" si="209"/>
        <v>45</v>
      </c>
      <c r="L228" s="439">
        <f t="shared" si="210"/>
        <v>0</v>
      </c>
      <c r="M228" s="340" t="str">
        <f t="shared" si="219"/>
        <v>-</v>
      </c>
      <c r="N228" s="264">
        <f t="shared" si="220"/>
        <v>0</v>
      </c>
      <c r="O228" s="512">
        <v>42.283700000000003</v>
      </c>
      <c r="P228" s="407">
        <f t="shared" si="211"/>
        <v>1902.7665000000002</v>
      </c>
      <c r="Q228" s="452">
        <f t="shared" si="212"/>
        <v>1902.7665000000002</v>
      </c>
    </row>
    <row r="229" spans="1:17" ht="24" thickBot="1" x14ac:dyDescent="0.45">
      <c r="A229" s="248"/>
      <c r="B229" s="551" t="s">
        <v>83</v>
      </c>
      <c r="C229" s="548" t="s">
        <v>84</v>
      </c>
      <c r="D229" s="279"/>
      <c r="E229" s="439"/>
      <c r="F229" s="336">
        <f t="shared" si="213"/>
        <v>0</v>
      </c>
      <c r="G229" s="281">
        <v>0</v>
      </c>
      <c r="H229" s="281">
        <v>0</v>
      </c>
      <c r="I229" s="355" t="str">
        <f>IFERROR(F229/#REF!,"-")</f>
        <v>-</v>
      </c>
      <c r="J229" s="336">
        <f t="shared" si="214"/>
        <v>0</v>
      </c>
      <c r="K229" s="281">
        <f t="shared" si="209"/>
        <v>0</v>
      </c>
      <c r="L229" s="439">
        <f t="shared" si="210"/>
        <v>0</v>
      </c>
      <c r="M229" s="340" t="str">
        <f t="shared" si="219"/>
        <v>-</v>
      </c>
      <c r="N229" s="264" t="str">
        <f t="shared" si="220"/>
        <v>-</v>
      </c>
      <c r="O229" s="512">
        <v>4.3535000000000004</v>
      </c>
      <c r="P229" s="407">
        <f t="shared" si="211"/>
        <v>0</v>
      </c>
      <c r="Q229" s="452">
        <f t="shared" si="212"/>
        <v>0</v>
      </c>
    </row>
    <row r="230" spans="1:17" ht="23.4" x14ac:dyDescent="0.4">
      <c r="A230" s="248"/>
      <c r="B230" s="1035" t="s">
        <v>273</v>
      </c>
      <c r="C230" s="548" t="s">
        <v>80</v>
      </c>
      <c r="D230" s="279"/>
      <c r="E230" s="439"/>
      <c r="F230" s="336">
        <f t="shared" si="213"/>
        <v>0</v>
      </c>
      <c r="G230" s="281">
        <v>0</v>
      </c>
      <c r="H230" s="281">
        <v>0</v>
      </c>
      <c r="I230" s="355" t="str">
        <f>IFERROR(F230/#REF!,"-")</f>
        <v>-</v>
      </c>
      <c r="J230" s="336">
        <f t="shared" si="214"/>
        <v>0</v>
      </c>
      <c r="K230" s="281">
        <f t="shared" si="209"/>
        <v>0</v>
      </c>
      <c r="L230" s="439">
        <f t="shared" si="210"/>
        <v>0</v>
      </c>
      <c r="M230" s="340" t="str">
        <f t="shared" si="219"/>
        <v>-</v>
      </c>
      <c r="N230" s="264" t="str">
        <f t="shared" si="220"/>
        <v>-</v>
      </c>
      <c r="O230" s="512">
        <v>4.6184000000000003</v>
      </c>
      <c r="P230" s="407">
        <f t="shared" si="211"/>
        <v>0</v>
      </c>
      <c r="Q230" s="452">
        <f t="shared" si="212"/>
        <v>0</v>
      </c>
    </row>
    <row r="231" spans="1:17" ht="23.4" x14ac:dyDescent="0.4">
      <c r="A231" s="248"/>
      <c r="B231" s="1036"/>
      <c r="C231" s="548" t="s">
        <v>378</v>
      </c>
      <c r="D231" s="279"/>
      <c r="E231" s="439"/>
      <c r="F231" s="336">
        <f t="shared" si="213"/>
        <v>0</v>
      </c>
      <c r="G231" s="281">
        <v>0</v>
      </c>
      <c r="H231" s="281">
        <v>0</v>
      </c>
      <c r="I231" s="355" t="str">
        <f>IFERROR(F231/#REF!,"-")</f>
        <v>-</v>
      </c>
      <c r="J231" s="336">
        <f t="shared" si="214"/>
        <v>0</v>
      </c>
      <c r="K231" s="281">
        <f t="shared" si="209"/>
        <v>0</v>
      </c>
      <c r="L231" s="439">
        <f t="shared" si="210"/>
        <v>0</v>
      </c>
      <c r="M231" s="340" t="str">
        <f t="shared" si="219"/>
        <v>-</v>
      </c>
      <c r="N231" s="264" t="str">
        <f t="shared" si="220"/>
        <v>-</v>
      </c>
      <c r="O231" s="512">
        <v>4.6184000000000003</v>
      </c>
      <c r="P231" s="407">
        <f t="shared" si="211"/>
        <v>0</v>
      </c>
      <c r="Q231" s="452">
        <f t="shared" si="212"/>
        <v>0</v>
      </c>
    </row>
    <row r="232" spans="1:17" ht="23.4" x14ac:dyDescent="0.4">
      <c r="A232" s="248"/>
      <c r="B232" s="1036"/>
      <c r="C232" s="548" t="s">
        <v>272</v>
      </c>
      <c r="D232" s="279"/>
      <c r="E232" s="439"/>
      <c r="F232" s="336">
        <f t="shared" si="213"/>
        <v>0</v>
      </c>
      <c r="G232" s="281">
        <v>0</v>
      </c>
      <c r="H232" s="281">
        <v>0</v>
      </c>
      <c r="I232" s="355" t="str">
        <f>IFERROR(F232/#REF!,"-")</f>
        <v>-</v>
      </c>
      <c r="J232" s="336">
        <f t="shared" si="214"/>
        <v>0</v>
      </c>
      <c r="K232" s="281">
        <f t="shared" si="209"/>
        <v>0</v>
      </c>
      <c r="L232" s="439">
        <f t="shared" si="210"/>
        <v>0</v>
      </c>
      <c r="M232" s="340" t="str">
        <f t="shared" si="219"/>
        <v>-</v>
      </c>
      <c r="N232" s="264" t="str">
        <f t="shared" si="220"/>
        <v>-</v>
      </c>
      <c r="O232" s="512">
        <v>4.6184000000000003</v>
      </c>
      <c r="P232" s="407">
        <f t="shared" si="211"/>
        <v>0</v>
      </c>
      <c r="Q232" s="452">
        <f t="shared" si="212"/>
        <v>0</v>
      </c>
    </row>
    <row r="233" spans="1:17" ht="23.4" x14ac:dyDescent="0.4">
      <c r="A233" s="248"/>
      <c r="B233" s="1036"/>
      <c r="C233" s="548" t="s">
        <v>390</v>
      </c>
      <c r="D233" s="279"/>
      <c r="E233" s="439"/>
      <c r="F233" s="336">
        <f t="shared" si="213"/>
        <v>46492</v>
      </c>
      <c r="G233" s="281">
        <v>46200</v>
      </c>
      <c r="H233" s="281">
        <v>292</v>
      </c>
      <c r="I233" s="355" t="str">
        <f>IFERROR(F233/#REF!,"-")</f>
        <v>-</v>
      </c>
      <c r="J233" s="336">
        <f t="shared" si="214"/>
        <v>202135</v>
      </c>
      <c r="K233" s="730">
        <f t="shared" si="209"/>
        <v>200200</v>
      </c>
      <c r="L233" s="731">
        <f t="shared" si="210"/>
        <v>1935</v>
      </c>
      <c r="M233" s="340" t="str">
        <f t="shared" si="219"/>
        <v>-</v>
      </c>
      <c r="N233" s="264">
        <f t="shared" si="220"/>
        <v>9.5728102505751103E-3</v>
      </c>
      <c r="O233" s="512">
        <v>4.7636000000000003</v>
      </c>
      <c r="P233" s="407">
        <f t="shared" si="211"/>
        <v>220078.32</v>
      </c>
      <c r="Q233" s="452">
        <f t="shared" si="212"/>
        <v>953672.72000000009</v>
      </c>
    </row>
    <row r="234" spans="1:17" ht="24" thickBot="1" x14ac:dyDescent="0.45">
      <c r="A234" s="248"/>
      <c r="B234" s="1037"/>
      <c r="C234" s="548" t="s">
        <v>384</v>
      </c>
      <c r="D234" s="279"/>
      <c r="E234" s="439"/>
      <c r="F234" s="336">
        <f t="shared" si="213"/>
        <v>0</v>
      </c>
      <c r="G234" s="281">
        <v>0</v>
      </c>
      <c r="H234" s="281">
        <v>0</v>
      </c>
      <c r="I234" s="355" t="str">
        <f>IFERROR(F234/#REF!,"-")</f>
        <v>-</v>
      </c>
      <c r="J234" s="336">
        <f t="shared" si="214"/>
        <v>0</v>
      </c>
      <c r="K234" s="281">
        <f t="shared" si="209"/>
        <v>0</v>
      </c>
      <c r="L234" s="439">
        <f t="shared" si="210"/>
        <v>0</v>
      </c>
      <c r="M234" s="340" t="str">
        <f t="shared" si="219"/>
        <v>-</v>
      </c>
      <c r="N234" s="264" t="str">
        <f t="shared" si="220"/>
        <v>-</v>
      </c>
      <c r="O234" s="512">
        <v>4.8738000000000001</v>
      </c>
      <c r="P234" s="407">
        <f t="shared" si="211"/>
        <v>0</v>
      </c>
      <c r="Q234" s="452">
        <f t="shared" si="212"/>
        <v>0</v>
      </c>
    </row>
    <row r="235" spans="1:17" ht="24" thickBot="1" x14ac:dyDescent="0.45">
      <c r="A235" s="248"/>
      <c r="B235" s="551" t="s">
        <v>274</v>
      </c>
      <c r="C235" s="548" t="s">
        <v>131</v>
      </c>
      <c r="D235" s="279"/>
      <c r="E235" s="439"/>
      <c r="F235" s="336">
        <f t="shared" si="213"/>
        <v>0</v>
      </c>
      <c r="G235" s="281">
        <v>0</v>
      </c>
      <c r="H235" s="281">
        <v>0</v>
      </c>
      <c r="I235" s="355" t="str">
        <f>IFERROR(F235/#REF!,"-")</f>
        <v>-</v>
      </c>
      <c r="J235" s="336">
        <f t="shared" si="214"/>
        <v>0</v>
      </c>
      <c r="K235" s="281">
        <f t="shared" si="209"/>
        <v>0</v>
      </c>
      <c r="L235" s="439">
        <f t="shared" si="210"/>
        <v>0</v>
      </c>
      <c r="M235" s="340" t="str">
        <f t="shared" si="219"/>
        <v>-</v>
      </c>
      <c r="N235" s="264" t="str">
        <f t="shared" si="220"/>
        <v>-</v>
      </c>
      <c r="O235" s="512">
        <v>4.8738000000000001</v>
      </c>
      <c r="P235" s="407">
        <f t="shared" si="211"/>
        <v>0</v>
      </c>
      <c r="Q235" s="452">
        <f t="shared" si="212"/>
        <v>0</v>
      </c>
    </row>
    <row r="236" spans="1:17" ht="23.4" x14ac:dyDescent="0.4">
      <c r="A236" s="248"/>
      <c r="B236" s="1035" t="s">
        <v>276</v>
      </c>
      <c r="C236" s="548" t="s">
        <v>80</v>
      </c>
      <c r="D236" s="279"/>
      <c r="E236" s="439"/>
      <c r="F236" s="336">
        <f t="shared" si="213"/>
        <v>20970</v>
      </c>
      <c r="G236" s="281">
        <v>20400</v>
      </c>
      <c r="H236" s="281">
        <v>570</v>
      </c>
      <c r="I236" s="355" t="str">
        <f>IFERROR(F236/#REF!,"-")</f>
        <v>-</v>
      </c>
      <c r="J236" s="336">
        <f t="shared" si="214"/>
        <v>83522</v>
      </c>
      <c r="K236" s="730">
        <f t="shared" si="209"/>
        <v>81600</v>
      </c>
      <c r="L236" s="731">
        <f t="shared" si="210"/>
        <v>1922</v>
      </c>
      <c r="M236" s="340" t="str">
        <f t="shared" si="219"/>
        <v>-</v>
      </c>
      <c r="N236" s="264">
        <f t="shared" si="220"/>
        <v>2.3011901056009195E-2</v>
      </c>
      <c r="O236" s="512">
        <v>4.9344999999999999</v>
      </c>
      <c r="P236" s="407">
        <f t="shared" si="211"/>
        <v>100663.8</v>
      </c>
      <c r="Q236" s="452">
        <f t="shared" si="212"/>
        <v>402655.2</v>
      </c>
    </row>
    <row r="237" spans="1:17" ht="23.4" x14ac:dyDescent="0.4">
      <c r="A237" s="248"/>
      <c r="B237" s="1036"/>
      <c r="C237" s="548" t="s">
        <v>142</v>
      </c>
      <c r="D237" s="279"/>
      <c r="E237" s="439"/>
      <c r="F237" s="336">
        <f t="shared" si="213"/>
        <v>0</v>
      </c>
      <c r="G237" s="281">
        <v>0</v>
      </c>
      <c r="H237" s="281">
        <v>0</v>
      </c>
      <c r="I237" s="355" t="str">
        <f>IFERROR(F237/#REF!,"-")</f>
        <v>-</v>
      </c>
      <c r="J237" s="336">
        <f t="shared" si="214"/>
        <v>0</v>
      </c>
      <c r="K237" s="281">
        <f t="shared" si="209"/>
        <v>0</v>
      </c>
      <c r="L237" s="439">
        <f t="shared" si="210"/>
        <v>0</v>
      </c>
      <c r="M237" s="340" t="str">
        <f t="shared" si="219"/>
        <v>-</v>
      </c>
      <c r="N237" s="264" t="str">
        <f t="shared" si="220"/>
        <v>-</v>
      </c>
      <c r="O237" s="512">
        <v>4.9344999999999999</v>
      </c>
      <c r="P237" s="407">
        <f t="shared" si="211"/>
        <v>0</v>
      </c>
      <c r="Q237" s="452">
        <f t="shared" si="212"/>
        <v>0</v>
      </c>
    </row>
    <row r="238" spans="1:17" ht="23.4" x14ac:dyDescent="0.4">
      <c r="A238" s="248"/>
      <c r="B238" s="1036"/>
      <c r="C238" s="548" t="s">
        <v>136</v>
      </c>
      <c r="D238" s="279"/>
      <c r="E238" s="439"/>
      <c r="F238" s="336">
        <f t="shared" si="213"/>
        <v>0</v>
      </c>
      <c r="G238" s="281">
        <v>0</v>
      </c>
      <c r="H238" s="281">
        <v>0</v>
      </c>
      <c r="I238" s="355" t="str">
        <f>IFERROR(F238/#REF!,"-")</f>
        <v>-</v>
      </c>
      <c r="J238" s="336">
        <f t="shared" si="214"/>
        <v>0</v>
      </c>
      <c r="K238" s="281">
        <f t="shared" si="209"/>
        <v>0</v>
      </c>
      <c r="L238" s="439">
        <f t="shared" si="210"/>
        <v>0</v>
      </c>
      <c r="M238" s="340" t="str">
        <f t="shared" si="219"/>
        <v>-</v>
      </c>
      <c r="N238" s="264" t="str">
        <f t="shared" si="220"/>
        <v>-</v>
      </c>
      <c r="O238" s="512">
        <v>4.9344999999999999</v>
      </c>
      <c r="P238" s="407">
        <f t="shared" si="211"/>
        <v>0</v>
      </c>
      <c r="Q238" s="452">
        <f t="shared" si="212"/>
        <v>0</v>
      </c>
    </row>
    <row r="239" spans="1:17" ht="24" thickBot="1" x14ac:dyDescent="0.45">
      <c r="A239" s="248"/>
      <c r="B239" s="1037"/>
      <c r="C239" s="548" t="s">
        <v>275</v>
      </c>
      <c r="D239" s="279"/>
      <c r="E239" s="439"/>
      <c r="F239" s="336">
        <f t="shared" si="213"/>
        <v>0</v>
      </c>
      <c r="G239" s="281">
        <v>0</v>
      </c>
      <c r="H239" s="281">
        <v>0</v>
      </c>
      <c r="I239" s="355" t="str">
        <f>IFERROR(F239/#REF!,"-")</f>
        <v>-</v>
      </c>
      <c r="J239" s="336">
        <f t="shared" si="214"/>
        <v>0</v>
      </c>
      <c r="K239" s="281">
        <f t="shared" si="209"/>
        <v>0</v>
      </c>
      <c r="L239" s="439">
        <f t="shared" si="210"/>
        <v>0</v>
      </c>
      <c r="M239" s="340" t="str">
        <f t="shared" si="219"/>
        <v>-</v>
      </c>
      <c r="N239" s="264" t="str">
        <f t="shared" si="220"/>
        <v>-</v>
      </c>
      <c r="O239" s="512">
        <v>5.5069999999999997</v>
      </c>
      <c r="P239" s="407">
        <f t="shared" si="211"/>
        <v>0</v>
      </c>
      <c r="Q239" s="452">
        <f t="shared" si="212"/>
        <v>0</v>
      </c>
    </row>
    <row r="240" spans="1:17" ht="23.4" x14ac:dyDescent="0.4">
      <c r="A240" s="248"/>
      <c r="B240" s="1035" t="s">
        <v>281</v>
      </c>
      <c r="C240" s="548" t="s">
        <v>277</v>
      </c>
      <c r="D240" s="279"/>
      <c r="E240" s="439"/>
      <c r="F240" s="336">
        <f t="shared" si="213"/>
        <v>0</v>
      </c>
      <c r="G240" s="281">
        <v>0</v>
      </c>
      <c r="H240" s="281">
        <v>0</v>
      </c>
      <c r="I240" s="355" t="str">
        <f>IFERROR(F240/#REF!,"-")</f>
        <v>-</v>
      </c>
      <c r="J240" s="336">
        <f t="shared" si="214"/>
        <v>0</v>
      </c>
      <c r="K240" s="281">
        <f t="shared" si="209"/>
        <v>0</v>
      </c>
      <c r="L240" s="439">
        <f t="shared" si="210"/>
        <v>0</v>
      </c>
      <c r="M240" s="340" t="str">
        <f t="shared" si="219"/>
        <v>-</v>
      </c>
      <c r="N240" s="264" t="str">
        <f t="shared" si="220"/>
        <v>-</v>
      </c>
      <c r="O240" s="512">
        <v>5.6550000000000002</v>
      </c>
      <c r="P240" s="407">
        <f t="shared" si="211"/>
        <v>0</v>
      </c>
      <c r="Q240" s="452">
        <f t="shared" si="212"/>
        <v>0</v>
      </c>
    </row>
    <row r="241" spans="1:17" ht="23.4" x14ac:dyDescent="0.4">
      <c r="A241" s="248"/>
      <c r="B241" s="1036"/>
      <c r="C241" s="548" t="s">
        <v>278</v>
      </c>
      <c r="D241" s="279"/>
      <c r="E241" s="439"/>
      <c r="F241" s="336">
        <f t="shared" si="213"/>
        <v>0</v>
      </c>
      <c r="G241" s="281">
        <v>0</v>
      </c>
      <c r="H241" s="281">
        <v>0</v>
      </c>
      <c r="I241" s="355" t="str">
        <f>IFERROR(F241/#REF!,"-")</f>
        <v>-</v>
      </c>
      <c r="J241" s="336">
        <f t="shared" si="214"/>
        <v>0</v>
      </c>
      <c r="K241" s="281">
        <f t="shared" si="209"/>
        <v>0</v>
      </c>
      <c r="L241" s="439">
        <f t="shared" si="210"/>
        <v>0</v>
      </c>
      <c r="M241" s="340" t="str">
        <f t="shared" si="219"/>
        <v>-</v>
      </c>
      <c r="N241" s="264" t="str">
        <f t="shared" si="220"/>
        <v>-</v>
      </c>
      <c r="O241" s="512">
        <v>5.6550000000000002</v>
      </c>
      <c r="P241" s="407">
        <f t="shared" si="211"/>
        <v>0</v>
      </c>
      <c r="Q241" s="452">
        <f t="shared" si="212"/>
        <v>0</v>
      </c>
    </row>
    <row r="242" spans="1:17" ht="23.4" x14ac:dyDescent="0.4">
      <c r="A242" s="248"/>
      <c r="B242" s="1036"/>
      <c r="C242" s="548" t="s">
        <v>355</v>
      </c>
      <c r="D242" s="279"/>
      <c r="E242" s="439"/>
      <c r="F242" s="336">
        <f t="shared" si="213"/>
        <v>25980</v>
      </c>
      <c r="G242" s="281">
        <v>25150</v>
      </c>
      <c r="H242" s="281">
        <v>830</v>
      </c>
      <c r="I242" s="355" t="str">
        <f>IFERROR(F242/#REF!,"-")</f>
        <v>-</v>
      </c>
      <c r="J242" s="336">
        <f t="shared" si="214"/>
        <v>146968</v>
      </c>
      <c r="K242" s="730">
        <f t="shared" si="209"/>
        <v>142250</v>
      </c>
      <c r="L242" s="731">
        <f t="shared" si="210"/>
        <v>4718</v>
      </c>
      <c r="M242" s="340" t="str">
        <f t="shared" si="219"/>
        <v>-</v>
      </c>
      <c r="N242" s="264">
        <f t="shared" si="220"/>
        <v>3.2102226334984489E-2</v>
      </c>
      <c r="O242" s="512">
        <v>5.6550000000000002</v>
      </c>
      <c r="P242" s="407">
        <f t="shared" si="211"/>
        <v>142223.25</v>
      </c>
      <c r="Q242" s="452">
        <f t="shared" si="212"/>
        <v>804423.75</v>
      </c>
    </row>
    <row r="243" spans="1:17" ht="23.4" x14ac:dyDescent="0.4">
      <c r="A243" s="248"/>
      <c r="B243" s="1036"/>
      <c r="C243" s="548" t="s">
        <v>279</v>
      </c>
      <c r="D243" s="279"/>
      <c r="E243" s="439"/>
      <c r="F243" s="336">
        <f t="shared" si="213"/>
        <v>0</v>
      </c>
      <c r="G243" s="281">
        <v>0</v>
      </c>
      <c r="H243" s="281">
        <v>0</v>
      </c>
      <c r="I243" s="355" t="str">
        <f>IFERROR(F243/#REF!,"-")</f>
        <v>-</v>
      </c>
      <c r="J243" s="336">
        <f t="shared" si="214"/>
        <v>0</v>
      </c>
      <c r="K243" s="281">
        <f t="shared" si="209"/>
        <v>0</v>
      </c>
      <c r="L243" s="439">
        <f t="shared" si="210"/>
        <v>0</v>
      </c>
      <c r="M243" s="340" t="str">
        <f t="shared" si="219"/>
        <v>-</v>
      </c>
      <c r="N243" s="264" t="str">
        <f t="shared" si="220"/>
        <v>-</v>
      </c>
      <c r="O243" s="512">
        <v>5.6550000000000002</v>
      </c>
      <c r="P243" s="407">
        <f t="shared" si="211"/>
        <v>0</v>
      </c>
      <c r="Q243" s="452">
        <f t="shared" si="212"/>
        <v>0</v>
      </c>
    </row>
    <row r="244" spans="1:17" ht="23.4" x14ac:dyDescent="0.4">
      <c r="A244" s="248" t="s">
        <v>108</v>
      </c>
      <c r="B244" s="1036"/>
      <c r="C244" s="548" t="s">
        <v>280</v>
      </c>
      <c r="D244" s="279"/>
      <c r="E244" s="439"/>
      <c r="F244" s="336">
        <f t="shared" si="213"/>
        <v>0</v>
      </c>
      <c r="G244" s="281">
        <v>0</v>
      </c>
      <c r="H244" s="281">
        <v>0</v>
      </c>
      <c r="I244" s="355" t="str">
        <f>IFERROR(F244/#REF!,"-")</f>
        <v>-</v>
      </c>
      <c r="J244" s="336">
        <f t="shared" si="214"/>
        <v>0</v>
      </c>
      <c r="K244" s="281">
        <f t="shared" si="209"/>
        <v>0</v>
      </c>
      <c r="L244" s="439">
        <f t="shared" si="210"/>
        <v>0</v>
      </c>
      <c r="M244" s="340" t="str">
        <f t="shared" si="219"/>
        <v>-</v>
      </c>
      <c r="N244" s="264" t="str">
        <f t="shared" si="220"/>
        <v>-</v>
      </c>
      <c r="O244" s="512">
        <v>3.2963</v>
      </c>
      <c r="P244" s="407">
        <f t="shared" si="211"/>
        <v>0</v>
      </c>
      <c r="Q244" s="452">
        <f t="shared" si="212"/>
        <v>0</v>
      </c>
    </row>
    <row r="245" spans="1:17" ht="24" thickBot="1" x14ac:dyDescent="0.45">
      <c r="A245" s="248" t="s">
        <v>108</v>
      </c>
      <c r="B245" s="1037"/>
      <c r="C245" s="548" t="s">
        <v>275</v>
      </c>
      <c r="D245" s="279"/>
      <c r="E245" s="439"/>
      <c r="F245" s="336">
        <f t="shared" si="213"/>
        <v>0</v>
      </c>
      <c r="G245" s="281">
        <v>0</v>
      </c>
      <c r="H245" s="281">
        <v>0</v>
      </c>
      <c r="I245" s="355" t="str">
        <f>IFERROR(F245/#REF!,"-")</f>
        <v>-</v>
      </c>
      <c r="J245" s="336">
        <f t="shared" si="214"/>
        <v>0</v>
      </c>
      <c r="K245" s="281">
        <f t="shared" si="209"/>
        <v>0</v>
      </c>
      <c r="L245" s="439">
        <f t="shared" si="210"/>
        <v>0</v>
      </c>
      <c r="M245" s="340" t="str">
        <f t="shared" si="219"/>
        <v>-</v>
      </c>
      <c r="N245" s="264" t="str">
        <f t="shared" si="220"/>
        <v>-</v>
      </c>
      <c r="O245" s="512">
        <v>3.2963</v>
      </c>
      <c r="P245" s="407">
        <f t="shared" si="211"/>
        <v>0</v>
      </c>
      <c r="Q245" s="452">
        <f t="shared" si="212"/>
        <v>0</v>
      </c>
    </row>
    <row r="246" spans="1:17" ht="23.4" x14ac:dyDescent="0.4">
      <c r="A246" s="248" t="s">
        <v>108</v>
      </c>
      <c r="B246" s="552"/>
      <c r="C246" s="549" t="s">
        <v>92</v>
      </c>
      <c r="D246" s="516"/>
      <c r="E246" s="439"/>
      <c r="F246" s="336">
        <f t="shared" si="213"/>
        <v>0</v>
      </c>
      <c r="G246" s="281">
        <v>0</v>
      </c>
      <c r="H246" s="281">
        <v>0</v>
      </c>
      <c r="I246" s="355" t="str">
        <f>IFERROR(F246/#REF!,"-")</f>
        <v>-</v>
      </c>
      <c r="J246" s="336">
        <f t="shared" si="214"/>
        <v>0</v>
      </c>
      <c r="K246" s="281">
        <f t="shared" si="209"/>
        <v>0</v>
      </c>
      <c r="L246" s="439">
        <f t="shared" si="210"/>
        <v>0</v>
      </c>
      <c r="M246" s="340" t="str">
        <f t="shared" si="219"/>
        <v>-</v>
      </c>
      <c r="N246" s="264" t="str">
        <f t="shared" si="220"/>
        <v>-</v>
      </c>
      <c r="O246" s="512">
        <v>2.3201000000000001</v>
      </c>
      <c r="P246" s="407">
        <f t="shared" si="211"/>
        <v>0</v>
      </c>
      <c r="Q246" s="452">
        <f t="shared" si="212"/>
        <v>0</v>
      </c>
    </row>
    <row r="247" spans="1:17" ht="24" thickBot="1" x14ac:dyDescent="0.35">
      <c r="A247" s="248" t="s">
        <v>108</v>
      </c>
      <c r="B247" s="529"/>
      <c r="C247" s="546"/>
      <c r="D247" s="535"/>
      <c r="E247" s="466"/>
      <c r="F247" s="464">
        <f t="shared" si="213"/>
        <v>0</v>
      </c>
      <c r="G247" s="465">
        <v>0</v>
      </c>
      <c r="H247" s="465">
        <v>0</v>
      </c>
      <c r="I247" s="537" t="str">
        <f>IFERROR(F247/#REF!,"-")</f>
        <v>-</v>
      </c>
      <c r="J247" s="464">
        <f t="shared" si="214"/>
        <v>0</v>
      </c>
      <c r="K247" s="465">
        <f t="shared" si="209"/>
        <v>0</v>
      </c>
      <c r="L247" s="466">
        <f t="shared" si="210"/>
        <v>0</v>
      </c>
      <c r="M247" s="726" t="str">
        <f t="shared" si="219"/>
        <v>-</v>
      </c>
      <c r="N247" s="266" t="str">
        <f t="shared" si="220"/>
        <v>-</v>
      </c>
      <c r="O247" s="544"/>
      <c r="P247" s="541">
        <f t="shared" si="211"/>
        <v>0</v>
      </c>
      <c r="Q247" s="542">
        <f t="shared" si="212"/>
        <v>0</v>
      </c>
    </row>
    <row r="248" spans="1:17" ht="24" thickBot="1" x14ac:dyDescent="0.35">
      <c r="A248" s="277" t="s">
        <v>108</v>
      </c>
      <c r="B248" s="1060" t="s">
        <v>25</v>
      </c>
      <c r="C248" s="1061"/>
      <c r="D248" s="518">
        <f t="shared" ref="D248" si="221">SUM(D223:D247)</f>
        <v>0</v>
      </c>
      <c r="E248" s="531">
        <v>100000</v>
      </c>
      <c r="F248" s="518">
        <f>SUM(F223:F247)</f>
        <v>97498</v>
      </c>
      <c r="G248" s="524">
        <f t="shared" ref="G248:H248" si="222">SUM(G223:G247)</f>
        <v>95795</v>
      </c>
      <c r="H248" s="524">
        <f t="shared" si="222"/>
        <v>1703</v>
      </c>
      <c r="I248" s="525" t="str">
        <f>IFERROR(F248/#REF!,"-")</f>
        <v>-</v>
      </c>
      <c r="J248" s="518">
        <f t="shared" ref="J248" si="223">SUM(J223:J247)</f>
        <v>442567</v>
      </c>
      <c r="K248" s="524">
        <f>SUM(K218:K247)</f>
        <v>447059</v>
      </c>
      <c r="L248" s="524">
        <f>SUM(L188+H248)</f>
        <v>10003</v>
      </c>
      <c r="M248" s="526" t="str">
        <f t="shared" si="219"/>
        <v>-</v>
      </c>
      <c r="N248" s="525">
        <f t="shared" si="220"/>
        <v>2.2602227459345137E-2</v>
      </c>
      <c r="O248" s="527"/>
      <c r="P248" s="528">
        <f>SUM(P218:P247)</f>
        <v>929355.63650000002</v>
      </c>
      <c r="Q248" s="528">
        <f>SUM(Q218:Q247)</f>
        <v>3134955.3477000003</v>
      </c>
    </row>
    <row r="249" spans="1:17" ht="24" thickBot="1" x14ac:dyDescent="0.35">
      <c r="A249" s="321" t="s">
        <v>108</v>
      </c>
      <c r="B249" s="1062" t="s">
        <v>269</v>
      </c>
      <c r="C249" s="982"/>
      <c r="D249" s="329">
        <f>+D222+D248</f>
        <v>0</v>
      </c>
      <c r="E249" s="330">
        <f>+E222+E248</f>
        <v>100000</v>
      </c>
      <c r="F249" s="329">
        <f>+F248</f>
        <v>97498</v>
      </c>
      <c r="G249" s="329">
        <f t="shared" ref="G249:H249" si="224">+G248</f>
        <v>95795</v>
      </c>
      <c r="H249" s="329">
        <f t="shared" si="224"/>
        <v>1703</v>
      </c>
      <c r="I249" s="352" t="str">
        <f>IFERROR(F249/#REF!,"-")</f>
        <v>-</v>
      </c>
      <c r="J249" s="329">
        <f>+J248</f>
        <v>442567</v>
      </c>
      <c r="K249" s="329">
        <f t="shared" ref="K249:L249" si="225">+K248</f>
        <v>447059</v>
      </c>
      <c r="L249" s="329">
        <f t="shared" si="225"/>
        <v>10003</v>
      </c>
      <c r="M249" s="344" t="str">
        <f t="shared" si="219"/>
        <v>-</v>
      </c>
      <c r="N249" s="352">
        <f t="shared" si="220"/>
        <v>2.2602227459345137E-2</v>
      </c>
      <c r="O249" s="397"/>
      <c r="P249" s="413">
        <f>+P248</f>
        <v>929355.63650000002</v>
      </c>
      <c r="Q249" s="431">
        <f>Q248</f>
        <v>3134955.3477000003</v>
      </c>
    </row>
    <row r="250" spans="1:17" ht="24.6" thickBot="1" x14ac:dyDescent="0.35">
      <c r="A250" s="322"/>
      <c r="B250" s="964" t="s">
        <v>182</v>
      </c>
      <c r="C250" s="965"/>
      <c r="D250" s="377">
        <f>+D249+D217+D208</f>
        <v>0</v>
      </c>
      <c r="E250" s="377">
        <f>+E249+E217+E208</f>
        <v>230000</v>
      </c>
      <c r="F250" s="377">
        <f>+F249+F217+F208</f>
        <v>358132</v>
      </c>
      <c r="G250" s="377">
        <f>+G249+G217+G208</f>
        <v>352795</v>
      </c>
      <c r="H250" s="377">
        <f>+H249+H217+H208</f>
        <v>5337</v>
      </c>
      <c r="I250" s="378" t="str">
        <f>IFERROR(F250/#REF!,"-")</f>
        <v>-</v>
      </c>
      <c r="J250" s="377">
        <f>+J249+J217+J208</f>
        <v>1229053</v>
      </c>
      <c r="K250" s="377">
        <f>+K249+K217+K208</f>
        <v>1221369</v>
      </c>
      <c r="L250" s="377">
        <f>+L249+L217+L208</f>
        <v>22179</v>
      </c>
      <c r="M250" s="378" t="str">
        <f t="shared" si="219"/>
        <v>-</v>
      </c>
      <c r="N250" s="378">
        <f>IFERROR(L250/J250,"-")</f>
        <v>1.8045600962692414E-2</v>
      </c>
      <c r="O250" s="404"/>
      <c r="P250" s="421">
        <f>+P249+P217+P208</f>
        <v>1833103.5364999999</v>
      </c>
      <c r="Q250" s="421">
        <f>+Q249+Q217+Q208</f>
        <v>6421326.2787000006</v>
      </c>
    </row>
    <row r="251" spans="1:17" ht="23.4" x14ac:dyDescent="0.3">
      <c r="A251" s="991" t="s">
        <v>1</v>
      </c>
      <c r="B251" s="994" t="s">
        <v>2</v>
      </c>
      <c r="C251" s="997" t="s">
        <v>3</v>
      </c>
      <c r="D251" s="1000" t="s">
        <v>4</v>
      </c>
      <c r="E251" s="1001"/>
      <c r="F251" s="1001"/>
      <c r="G251" s="1001"/>
      <c r="H251" s="1001"/>
      <c r="I251" s="1001"/>
      <c r="J251" s="1001"/>
      <c r="K251" s="1001"/>
      <c r="L251" s="1001"/>
      <c r="M251" s="1001"/>
      <c r="N251" s="1002"/>
      <c r="O251" s="1021" t="s">
        <v>175</v>
      </c>
      <c r="P251" s="1022"/>
      <c r="Q251" s="1052"/>
    </row>
    <row r="252" spans="1:17" ht="23.4" x14ac:dyDescent="0.3">
      <c r="A252" s="992"/>
      <c r="B252" s="995"/>
      <c r="C252" s="998"/>
      <c r="D252" s="1003" t="s">
        <v>7</v>
      </c>
      <c r="E252" s="1005" t="s">
        <v>115</v>
      </c>
      <c r="F252" s="1053" t="s">
        <v>447</v>
      </c>
      <c r="G252" s="1008"/>
      <c r="H252" s="1008"/>
      <c r="I252" s="1009"/>
      <c r="J252" s="1010" t="s">
        <v>8</v>
      </c>
      <c r="K252" s="1011"/>
      <c r="L252" s="1012"/>
      <c r="M252" s="1013" t="s">
        <v>173</v>
      </c>
      <c r="N252" s="1015" t="s">
        <v>172</v>
      </c>
      <c r="O252" s="1023" t="s">
        <v>177</v>
      </c>
      <c r="P252" s="1024"/>
      <c r="Q252" s="1025"/>
    </row>
    <row r="253" spans="1:17" ht="47.4" thickBot="1" x14ac:dyDescent="0.35">
      <c r="A253" s="993"/>
      <c r="B253" s="996"/>
      <c r="C253" s="999"/>
      <c r="D253" s="1004"/>
      <c r="E253" s="1006"/>
      <c r="F253" s="455" t="s">
        <v>13</v>
      </c>
      <c r="G253" s="456" t="s">
        <v>14</v>
      </c>
      <c r="H253" s="456" t="s">
        <v>15</v>
      </c>
      <c r="I253" s="457" t="s">
        <v>174</v>
      </c>
      <c r="J253" s="712" t="s">
        <v>13</v>
      </c>
      <c r="K253" s="710" t="s">
        <v>14</v>
      </c>
      <c r="L253" s="711" t="s">
        <v>15</v>
      </c>
      <c r="M253" s="1014"/>
      <c r="N253" s="1016"/>
      <c r="O253" s="447" t="s">
        <v>178</v>
      </c>
      <c r="P253" s="448" t="s">
        <v>11</v>
      </c>
      <c r="Q253" s="449" t="s">
        <v>12</v>
      </c>
    </row>
    <row r="254" spans="1:17" ht="23.4" x14ac:dyDescent="0.3">
      <c r="A254" s="271" t="s">
        <v>110</v>
      </c>
      <c r="B254" s="442"/>
      <c r="C254" s="272" t="s">
        <v>266</v>
      </c>
      <c r="D254" s="273"/>
      <c r="E254" s="274"/>
      <c r="F254" s="335">
        <f>+G254+H254</f>
        <v>0</v>
      </c>
      <c r="G254" s="275">
        <v>0</v>
      </c>
      <c r="H254" s="275">
        <v>0</v>
      </c>
      <c r="I254" s="354" t="str">
        <f>IFERROR(F254/#REF!,"-")</f>
        <v>-</v>
      </c>
      <c r="J254" s="461">
        <f>+K254+L254</f>
        <v>0</v>
      </c>
      <c r="K254" s="462">
        <f>+K194+G254</f>
        <v>0</v>
      </c>
      <c r="L254" s="463">
        <f>+L194+H254</f>
        <v>0</v>
      </c>
      <c r="M254" s="339" t="str">
        <f>IFERROR(J254/D254,"-")</f>
        <v>-</v>
      </c>
      <c r="N254" s="346" t="str">
        <f t="shared" ref="N254:N255" si="226">IFERROR(L254/J254,"-")</f>
        <v>-</v>
      </c>
      <c r="O254" s="511">
        <v>1.5669</v>
      </c>
      <c r="P254" s="405">
        <f>+O254*G254</f>
        <v>0</v>
      </c>
      <c r="Q254" s="450">
        <f>+O254*K254</f>
        <v>0</v>
      </c>
    </row>
    <row r="255" spans="1:17" ht="23.4" x14ac:dyDescent="0.3">
      <c r="A255" s="277" t="s">
        <v>110</v>
      </c>
      <c r="B255" s="441"/>
      <c r="C255" s="278" t="s">
        <v>265</v>
      </c>
      <c r="D255" s="279"/>
      <c r="E255" s="280"/>
      <c r="F255" s="336">
        <f t="shared" ref="F255:F258" si="227">+G255+H255</f>
        <v>115764</v>
      </c>
      <c r="G255" s="281">
        <v>115000</v>
      </c>
      <c r="H255" s="281">
        <v>764</v>
      </c>
      <c r="I255" s="355" t="str">
        <f>IFERROR(F255/#REF!,"-")</f>
        <v>-</v>
      </c>
      <c r="J255" s="336">
        <f t="shared" ref="J255:J258" si="228">+K255+L255</f>
        <v>578794</v>
      </c>
      <c r="K255" s="281">
        <f t="shared" ref="K255:K258" si="229">+K195+G255</f>
        <v>575000</v>
      </c>
      <c r="L255" s="439">
        <f t="shared" ref="L255:L258" si="230">+L195+H255</f>
        <v>3794</v>
      </c>
      <c r="M255" s="340" t="str">
        <f t="shared" ref="M255:M258" si="231">IFERROR(J255/D255,"-")</f>
        <v>-</v>
      </c>
      <c r="N255" s="268">
        <f t="shared" si="226"/>
        <v>6.5550092088031324E-3</v>
      </c>
      <c r="O255" s="512">
        <v>2.3978999999999999</v>
      </c>
      <c r="P255" s="407">
        <f>+O255*G255</f>
        <v>275758.5</v>
      </c>
      <c r="Q255" s="452">
        <f>+O255*K255</f>
        <v>1378792.5</v>
      </c>
    </row>
    <row r="256" spans="1:17" ht="23.4" x14ac:dyDescent="0.3">
      <c r="A256" s="277" t="s">
        <v>110</v>
      </c>
      <c r="B256" s="441"/>
      <c r="C256" s="278" t="s">
        <v>409</v>
      </c>
      <c r="D256" s="279"/>
      <c r="E256" s="280"/>
      <c r="F256" s="336">
        <f t="shared" si="227"/>
        <v>0</v>
      </c>
      <c r="G256" s="281">
        <v>0</v>
      </c>
      <c r="H256" s="281">
        <v>0</v>
      </c>
      <c r="I256" s="355" t="str">
        <f>IFERROR(F256/#REF!,"-")</f>
        <v>-</v>
      </c>
      <c r="J256" s="336">
        <f t="shared" si="228"/>
        <v>0</v>
      </c>
      <c r="K256" s="281">
        <f t="shared" si="229"/>
        <v>0</v>
      </c>
      <c r="L256" s="439">
        <f t="shared" si="230"/>
        <v>0</v>
      </c>
      <c r="M256" s="340" t="str">
        <f t="shared" si="231"/>
        <v>-</v>
      </c>
      <c r="N256" s="268" t="str">
        <f>IFERROR(L256/J256,"-")</f>
        <v>-</v>
      </c>
      <c r="O256" s="513">
        <v>4.6797000000000004</v>
      </c>
      <c r="P256" s="407">
        <f t="shared" ref="P256:P258" si="232">+O256*G256</f>
        <v>0</v>
      </c>
      <c r="Q256" s="452">
        <f t="shared" ref="Q256:Q258" si="233">+O256*K256</f>
        <v>0</v>
      </c>
    </row>
    <row r="257" spans="1:17" ht="23.4" x14ac:dyDescent="0.3">
      <c r="A257" s="277"/>
      <c r="B257" s="454"/>
      <c r="C257" s="278" t="s">
        <v>353</v>
      </c>
      <c r="D257" s="283"/>
      <c r="E257" s="284"/>
      <c r="F257" s="336">
        <f t="shared" si="227"/>
        <v>23112</v>
      </c>
      <c r="G257" s="285">
        <v>22000</v>
      </c>
      <c r="H257" s="285">
        <v>1112</v>
      </c>
      <c r="I257" s="355" t="str">
        <f>IFERROR(F257/#REF!,"-")</f>
        <v>-</v>
      </c>
      <c r="J257" s="336">
        <f t="shared" si="228"/>
        <v>87217</v>
      </c>
      <c r="K257" s="281">
        <f t="shared" si="229"/>
        <v>84600</v>
      </c>
      <c r="L257" s="439">
        <f t="shared" si="230"/>
        <v>2617</v>
      </c>
      <c r="M257" s="340" t="str">
        <f t="shared" si="231"/>
        <v>-</v>
      </c>
      <c r="N257" s="268">
        <f>IFERROR(L257/J257,"-")</f>
        <v>3.0005618170769459E-2</v>
      </c>
      <c r="O257" s="513">
        <v>12.284700000000001</v>
      </c>
      <c r="P257" s="407">
        <f t="shared" si="232"/>
        <v>270263.40000000002</v>
      </c>
      <c r="Q257" s="452">
        <f t="shared" si="233"/>
        <v>1039285.6200000001</v>
      </c>
    </row>
    <row r="258" spans="1:17" ht="24" thickBot="1" x14ac:dyDescent="0.35">
      <c r="A258" s="277" t="s">
        <v>110</v>
      </c>
      <c r="B258" s="454"/>
      <c r="C258" s="278" t="s">
        <v>408</v>
      </c>
      <c r="D258" s="283"/>
      <c r="E258" s="284"/>
      <c r="F258" s="337">
        <f t="shared" si="227"/>
        <v>27824</v>
      </c>
      <c r="G258" s="285">
        <v>25500</v>
      </c>
      <c r="H258" s="285">
        <v>2324</v>
      </c>
      <c r="I258" s="356" t="str">
        <f>IFERROR(F258/#REF!,"-")</f>
        <v>-</v>
      </c>
      <c r="J258" s="464">
        <f t="shared" si="228"/>
        <v>177284</v>
      </c>
      <c r="K258" s="465">
        <f t="shared" si="229"/>
        <v>168250</v>
      </c>
      <c r="L258" s="466">
        <f t="shared" si="230"/>
        <v>9034</v>
      </c>
      <c r="M258" s="341" t="str">
        <f t="shared" si="231"/>
        <v>-</v>
      </c>
      <c r="N258" s="347">
        <f t="shared" ref="N258:N270" si="234">IFERROR(L258/J258,"-")</f>
        <v>5.0957785248527787E-2</v>
      </c>
      <c r="O258" s="513">
        <v>4.6797000000000004</v>
      </c>
      <c r="P258" s="408">
        <f t="shared" si="232"/>
        <v>119332.35</v>
      </c>
      <c r="Q258" s="453">
        <f t="shared" si="233"/>
        <v>787359.52500000002</v>
      </c>
    </row>
    <row r="259" spans="1:17" ht="24" thickBot="1" x14ac:dyDescent="0.35">
      <c r="A259" s="277" t="s">
        <v>110</v>
      </c>
      <c r="B259" s="967" t="s">
        <v>21</v>
      </c>
      <c r="C259" s="968"/>
      <c r="D259" s="323">
        <f>SUM(D254:D258)</f>
        <v>0</v>
      </c>
      <c r="E259" s="288">
        <v>15000</v>
      </c>
      <c r="F259" s="323">
        <f>SUM(F254:F258)</f>
        <v>166700</v>
      </c>
      <c r="G259" s="324">
        <f>SUM(G254:G258)</f>
        <v>162500</v>
      </c>
      <c r="H259" s="324">
        <f>SUM(H254:H258)</f>
        <v>4200</v>
      </c>
      <c r="I259" s="348" t="str">
        <f>IFERROR(F259/#REF!,"-")</f>
        <v>-</v>
      </c>
      <c r="J259" s="323">
        <f>SUM(J254:J258)</f>
        <v>843295</v>
      </c>
      <c r="K259" s="324">
        <f>SUM(K254:K258)</f>
        <v>827850</v>
      </c>
      <c r="L259" s="325">
        <f>SUM(L254:L258)</f>
        <v>15445</v>
      </c>
      <c r="M259" s="342" t="str">
        <f>IFERROR(J259/D259,"-")</f>
        <v>-</v>
      </c>
      <c r="N259" s="348">
        <f t="shared" si="234"/>
        <v>1.8315061751818757E-2</v>
      </c>
      <c r="O259" s="394"/>
      <c r="P259" s="409">
        <f>SUM(P254:P258)</f>
        <v>665354.25</v>
      </c>
      <c r="Q259" s="428">
        <f>SUM(Q254:Q258)</f>
        <v>3205437.645</v>
      </c>
    </row>
    <row r="260" spans="1:17" ht="23.4" x14ac:dyDescent="0.3">
      <c r="A260" s="277" t="s">
        <v>110</v>
      </c>
      <c r="B260" s="442"/>
      <c r="C260" s="272" t="s">
        <v>264</v>
      </c>
      <c r="D260" s="273"/>
      <c r="E260" s="274"/>
      <c r="F260" s="335">
        <f t="shared" ref="F260:F266" si="235">+G260+H260</f>
        <v>8812</v>
      </c>
      <c r="G260" s="275">
        <v>8640</v>
      </c>
      <c r="H260" s="275">
        <v>172</v>
      </c>
      <c r="I260" s="354" t="str">
        <f>IFERROR(F260/#REF!,"-")</f>
        <v>-</v>
      </c>
      <c r="J260" s="461">
        <f t="shared" ref="J260:J266" si="236">+K260+L260</f>
        <v>22086</v>
      </c>
      <c r="K260" s="462">
        <f t="shared" ref="K260:K266" si="237">+K200+G260</f>
        <v>21600</v>
      </c>
      <c r="L260" s="463">
        <f t="shared" ref="L260:L266" si="238">+L200+H260</f>
        <v>486</v>
      </c>
      <c r="M260" s="339" t="str">
        <f t="shared" ref="M260:M268" si="239">IFERROR(J260/D260,"-")</f>
        <v>-</v>
      </c>
      <c r="N260" s="349">
        <f t="shared" si="234"/>
        <v>2.2004889975550123E-2</v>
      </c>
      <c r="O260" s="511">
        <v>18.2316</v>
      </c>
      <c r="P260" s="405">
        <f t="shared" ref="P260:P266" si="240">+O260*G260</f>
        <v>157521.024</v>
      </c>
      <c r="Q260" s="450">
        <f t="shared" ref="Q260:Q266" si="241">+O260*K260</f>
        <v>393802.56</v>
      </c>
    </row>
    <row r="261" spans="1:17" ht="23.4" x14ac:dyDescent="0.3">
      <c r="A261" s="277" t="s">
        <v>110</v>
      </c>
      <c r="B261" s="441"/>
      <c r="C261" s="278" t="s">
        <v>92</v>
      </c>
      <c r="D261" s="279"/>
      <c r="E261" s="280"/>
      <c r="F261" s="336">
        <f t="shared" si="235"/>
        <v>0</v>
      </c>
      <c r="G261" s="281">
        <v>0</v>
      </c>
      <c r="H261" s="281">
        <v>0</v>
      </c>
      <c r="I261" s="355" t="str">
        <f>IFERROR(F261/#REF!,"-")</f>
        <v>-</v>
      </c>
      <c r="J261" s="336">
        <f t="shared" si="236"/>
        <v>60000</v>
      </c>
      <c r="K261" s="281">
        <f t="shared" si="237"/>
        <v>60000</v>
      </c>
      <c r="L261" s="439">
        <f t="shared" si="238"/>
        <v>0</v>
      </c>
      <c r="M261" s="340" t="str">
        <f t="shared" si="239"/>
        <v>-</v>
      </c>
      <c r="N261" s="264">
        <f t="shared" si="234"/>
        <v>0</v>
      </c>
      <c r="O261" s="512">
        <v>1.2824</v>
      </c>
      <c r="P261" s="407">
        <f t="shared" si="240"/>
        <v>0</v>
      </c>
      <c r="Q261" s="452">
        <f t="shared" si="241"/>
        <v>76944</v>
      </c>
    </row>
    <row r="262" spans="1:17" ht="23.4" x14ac:dyDescent="0.3">
      <c r="A262" s="277" t="s">
        <v>110</v>
      </c>
      <c r="B262" s="441"/>
      <c r="C262" s="278" t="s">
        <v>329</v>
      </c>
      <c r="D262" s="279"/>
      <c r="E262" s="280"/>
      <c r="F262" s="336">
        <f t="shared" si="235"/>
        <v>0</v>
      </c>
      <c r="G262" s="281">
        <v>0</v>
      </c>
      <c r="H262" s="281">
        <v>0</v>
      </c>
      <c r="I262" s="355" t="str">
        <f>IFERROR(F262/#REF!,"-")</f>
        <v>-</v>
      </c>
      <c r="J262" s="336">
        <f t="shared" si="236"/>
        <v>0</v>
      </c>
      <c r="K262" s="281">
        <f t="shared" si="237"/>
        <v>0</v>
      </c>
      <c r="L262" s="439">
        <f t="shared" si="238"/>
        <v>0</v>
      </c>
      <c r="M262" s="340" t="str">
        <f t="shared" si="239"/>
        <v>-</v>
      </c>
      <c r="N262" s="264" t="str">
        <f t="shared" si="234"/>
        <v>-</v>
      </c>
      <c r="O262" s="512">
        <v>5.7342000000000004</v>
      </c>
      <c r="P262" s="407">
        <f t="shared" si="240"/>
        <v>0</v>
      </c>
      <c r="Q262" s="452">
        <f t="shared" si="241"/>
        <v>0</v>
      </c>
    </row>
    <row r="263" spans="1:17" ht="23.4" x14ac:dyDescent="0.3">
      <c r="A263" s="277" t="s">
        <v>110</v>
      </c>
      <c r="B263" s="441"/>
      <c r="C263" s="278" t="s">
        <v>346</v>
      </c>
      <c r="D263" s="279"/>
      <c r="E263" s="280"/>
      <c r="F263" s="336">
        <f t="shared" si="235"/>
        <v>0</v>
      </c>
      <c r="G263" s="281">
        <v>0</v>
      </c>
      <c r="H263" s="281">
        <v>0</v>
      </c>
      <c r="I263" s="355" t="str">
        <f>IFERROR(F263/#REF!,"-")</f>
        <v>-</v>
      </c>
      <c r="J263" s="336">
        <f t="shared" si="236"/>
        <v>0</v>
      </c>
      <c r="K263" s="281">
        <f t="shared" si="237"/>
        <v>0</v>
      </c>
      <c r="L263" s="439">
        <f t="shared" si="238"/>
        <v>0</v>
      </c>
      <c r="M263" s="340" t="str">
        <f t="shared" si="239"/>
        <v>-</v>
      </c>
      <c r="N263" s="264" t="str">
        <f t="shared" si="234"/>
        <v>-</v>
      </c>
      <c r="O263" s="512"/>
      <c r="P263" s="407">
        <f t="shared" si="240"/>
        <v>0</v>
      </c>
      <c r="Q263" s="452">
        <f t="shared" si="241"/>
        <v>0</v>
      </c>
    </row>
    <row r="264" spans="1:17" ht="23.4" x14ac:dyDescent="0.3">
      <c r="A264" s="277" t="s">
        <v>110</v>
      </c>
      <c r="B264" s="441"/>
      <c r="C264" s="278" t="s">
        <v>354</v>
      </c>
      <c r="D264" s="279"/>
      <c r="E264" s="280"/>
      <c r="F264" s="336">
        <f t="shared" si="235"/>
        <v>18062</v>
      </c>
      <c r="G264" s="281">
        <v>18000</v>
      </c>
      <c r="H264" s="281">
        <v>62</v>
      </c>
      <c r="I264" s="355" t="str">
        <f>IFERROR(F264/#REF!,"-")</f>
        <v>-</v>
      </c>
      <c r="J264" s="336">
        <f t="shared" si="236"/>
        <v>54679</v>
      </c>
      <c r="K264" s="281">
        <f t="shared" si="237"/>
        <v>54000</v>
      </c>
      <c r="L264" s="439">
        <f t="shared" si="238"/>
        <v>679</v>
      </c>
      <c r="M264" s="340" t="str">
        <f t="shared" si="239"/>
        <v>-</v>
      </c>
      <c r="N264" s="264">
        <f t="shared" si="234"/>
        <v>1.241793010113572E-2</v>
      </c>
      <c r="O264" s="512">
        <v>12.029500000000001</v>
      </c>
      <c r="P264" s="407">
        <f t="shared" si="240"/>
        <v>216531</v>
      </c>
      <c r="Q264" s="452">
        <f t="shared" si="241"/>
        <v>649593</v>
      </c>
    </row>
    <row r="265" spans="1:17" ht="23.4" x14ac:dyDescent="0.3">
      <c r="A265" s="277" t="s">
        <v>110</v>
      </c>
      <c r="B265" s="441"/>
      <c r="C265" s="278"/>
      <c r="D265" s="279"/>
      <c r="E265" s="280"/>
      <c r="F265" s="336">
        <f t="shared" si="235"/>
        <v>0</v>
      </c>
      <c r="G265" s="281">
        <v>0</v>
      </c>
      <c r="H265" s="281">
        <v>0</v>
      </c>
      <c r="I265" s="355" t="str">
        <f>IFERROR(F265/#REF!,"-")</f>
        <v>-</v>
      </c>
      <c r="J265" s="336">
        <f t="shared" si="236"/>
        <v>0</v>
      </c>
      <c r="K265" s="281">
        <f t="shared" si="237"/>
        <v>0</v>
      </c>
      <c r="L265" s="439">
        <f t="shared" si="238"/>
        <v>0</v>
      </c>
      <c r="M265" s="340" t="str">
        <f t="shared" si="239"/>
        <v>-</v>
      </c>
      <c r="N265" s="264" t="str">
        <f t="shared" si="234"/>
        <v>-</v>
      </c>
      <c r="O265" s="512"/>
      <c r="P265" s="407">
        <f t="shared" si="240"/>
        <v>0</v>
      </c>
      <c r="Q265" s="452">
        <f t="shared" si="241"/>
        <v>0</v>
      </c>
    </row>
    <row r="266" spans="1:17" ht="24" thickBot="1" x14ac:dyDescent="0.35">
      <c r="A266" s="277" t="s">
        <v>110</v>
      </c>
      <c r="B266" s="454"/>
      <c r="C266" s="282"/>
      <c r="D266" s="283">
        <v>0</v>
      </c>
      <c r="E266" s="284"/>
      <c r="F266" s="337">
        <f t="shared" si="235"/>
        <v>0</v>
      </c>
      <c r="G266" s="285">
        <v>0</v>
      </c>
      <c r="H266" s="285">
        <v>0</v>
      </c>
      <c r="I266" s="356" t="str">
        <f>IFERROR(F266/#REF!,"-")</f>
        <v>-</v>
      </c>
      <c r="J266" s="464">
        <f t="shared" si="236"/>
        <v>0</v>
      </c>
      <c r="K266" s="465">
        <f t="shared" si="237"/>
        <v>0</v>
      </c>
      <c r="L266" s="466">
        <f t="shared" si="238"/>
        <v>0</v>
      </c>
      <c r="M266" s="341" t="str">
        <f t="shared" si="239"/>
        <v>-</v>
      </c>
      <c r="N266" s="350" t="str">
        <f t="shared" si="234"/>
        <v>-</v>
      </c>
      <c r="O266" s="513"/>
      <c r="P266" s="408">
        <f t="shared" si="240"/>
        <v>0</v>
      </c>
      <c r="Q266" s="453">
        <f t="shared" si="241"/>
        <v>0</v>
      </c>
    </row>
    <row r="267" spans="1:17" ht="24" thickBot="1" x14ac:dyDescent="0.35">
      <c r="A267" s="277" t="s">
        <v>110</v>
      </c>
      <c r="B267" s="967" t="s">
        <v>25</v>
      </c>
      <c r="C267" s="968"/>
      <c r="D267" s="323">
        <f t="shared" ref="D267" si="242">SUM(D260:D266)</f>
        <v>0</v>
      </c>
      <c r="E267" s="288">
        <v>100000</v>
      </c>
      <c r="F267" s="323">
        <f>SUM(F260:F266)</f>
        <v>26874</v>
      </c>
      <c r="G267" s="324">
        <f t="shared" ref="G267:H267" si="243">SUM(G260:G266)</f>
        <v>26640</v>
      </c>
      <c r="H267" s="324">
        <f t="shared" si="243"/>
        <v>234</v>
      </c>
      <c r="I267" s="348" t="str">
        <f>IFERROR(F267/#REF!,"-")</f>
        <v>-</v>
      </c>
      <c r="J267" s="323">
        <f t="shared" ref="J267:L267" si="244">SUM(J260:J266)</f>
        <v>136765</v>
      </c>
      <c r="K267" s="324">
        <f t="shared" si="244"/>
        <v>135600</v>
      </c>
      <c r="L267" s="325">
        <f t="shared" si="244"/>
        <v>1165</v>
      </c>
      <c r="M267" s="342" t="str">
        <f t="shared" si="239"/>
        <v>-</v>
      </c>
      <c r="N267" s="348">
        <f t="shared" si="234"/>
        <v>8.5182612510510732E-3</v>
      </c>
      <c r="O267" s="394"/>
      <c r="P267" s="409">
        <f t="shared" ref="P267:Q267" si="245">SUM(P260:P266)</f>
        <v>374052.02399999998</v>
      </c>
      <c r="Q267" s="428">
        <f t="shared" si="245"/>
        <v>1120339.56</v>
      </c>
    </row>
    <row r="268" spans="1:17" ht="24" thickBot="1" x14ac:dyDescent="0.35">
      <c r="A268" s="277" t="s">
        <v>110</v>
      </c>
      <c r="B268" s="1057" t="s">
        <v>180</v>
      </c>
      <c r="C268" s="1040"/>
      <c r="D268" s="329">
        <f>+D259+D267</f>
        <v>0</v>
      </c>
      <c r="E268" s="330">
        <f t="shared" ref="E268:H268" si="246">+E259+E267</f>
        <v>115000</v>
      </c>
      <c r="F268" s="329">
        <f t="shared" si="246"/>
        <v>193574</v>
      </c>
      <c r="G268" s="327">
        <f t="shared" si="246"/>
        <v>189140</v>
      </c>
      <c r="H268" s="327">
        <f t="shared" si="246"/>
        <v>4434</v>
      </c>
      <c r="I268" s="352" t="str">
        <f>IFERROR(F268/#REF!,"-")</f>
        <v>-</v>
      </c>
      <c r="J268" s="329">
        <f t="shared" ref="J268:L268" si="247">+J259+J267</f>
        <v>980060</v>
      </c>
      <c r="K268" s="327">
        <f t="shared" si="247"/>
        <v>963450</v>
      </c>
      <c r="L268" s="328">
        <f t="shared" si="247"/>
        <v>16610</v>
      </c>
      <c r="M268" s="344" t="str">
        <f t="shared" si="239"/>
        <v>-</v>
      </c>
      <c r="N268" s="352">
        <f t="shared" si="234"/>
        <v>1.6947941962736975E-2</v>
      </c>
      <c r="O268" s="397"/>
      <c r="P268" s="413">
        <f t="shared" ref="P268:Q268" si="248">+P259+P267</f>
        <v>1039406.274</v>
      </c>
      <c r="Q268" s="431">
        <f t="shared" si="248"/>
        <v>4325777.2050000001</v>
      </c>
    </row>
    <row r="269" spans="1:17" ht="23.4" x14ac:dyDescent="0.3">
      <c r="A269" s="244" t="s">
        <v>108</v>
      </c>
      <c r="B269" s="591"/>
      <c r="C269" s="592" t="s">
        <v>306</v>
      </c>
      <c r="D269" s="532"/>
      <c r="E269" s="463"/>
      <c r="F269" s="461">
        <f>+G269+H269</f>
        <v>0</v>
      </c>
      <c r="G269" s="462">
        <v>0</v>
      </c>
      <c r="H269" s="462">
        <v>0</v>
      </c>
      <c r="I269" s="536" t="str">
        <f>IFERROR(F269/#REF!,"-")</f>
        <v>-</v>
      </c>
      <c r="J269" s="461">
        <f>+K269+L269</f>
        <v>0</v>
      </c>
      <c r="K269" s="462">
        <f t="shared" ref="K269:K275" si="249">+K209+G269</f>
        <v>0</v>
      </c>
      <c r="L269" s="463">
        <f t="shared" ref="L269:L275" si="250">+L209+H269</f>
        <v>0</v>
      </c>
      <c r="M269" s="596" t="str">
        <f>IFERROR(J269/D269,"-")</f>
        <v>-</v>
      </c>
      <c r="N269" s="538" t="str">
        <f t="shared" si="234"/>
        <v>-</v>
      </c>
      <c r="O269" s="638">
        <v>4.8285999999999998</v>
      </c>
      <c r="P269" s="539">
        <f t="shared" ref="P269:P275" si="251">+O269*G269</f>
        <v>0</v>
      </c>
      <c r="Q269" s="540">
        <f t="shared" ref="Q269:Q275" si="252">+O269*K269</f>
        <v>0</v>
      </c>
    </row>
    <row r="270" spans="1:17" ht="23.4" x14ac:dyDescent="0.3">
      <c r="A270" s="248" t="s">
        <v>108</v>
      </c>
      <c r="B270" s="593"/>
      <c r="C270" s="278" t="s">
        <v>307</v>
      </c>
      <c r="D270" s="279"/>
      <c r="E270" s="439"/>
      <c r="F270" s="336">
        <f t="shared" ref="F270:F275" si="253">+G270+H270</f>
        <v>0</v>
      </c>
      <c r="G270" s="281">
        <v>0</v>
      </c>
      <c r="H270" s="281">
        <v>0</v>
      </c>
      <c r="I270" s="355" t="str">
        <f>IFERROR(F270/#REF!,"-")</f>
        <v>-</v>
      </c>
      <c r="J270" s="336">
        <f t="shared" ref="J270:J275" si="254">+K270+L270</f>
        <v>0</v>
      </c>
      <c r="K270" s="281">
        <f t="shared" si="249"/>
        <v>0</v>
      </c>
      <c r="L270" s="439">
        <f t="shared" si="250"/>
        <v>0</v>
      </c>
      <c r="M270" s="340" t="str">
        <f t="shared" ref="M270:M272" si="255">IFERROR(J270/D270,"-")</f>
        <v>-</v>
      </c>
      <c r="N270" s="268" t="str">
        <f t="shared" si="234"/>
        <v>-</v>
      </c>
      <c r="O270" s="639">
        <v>1.4086000000000001</v>
      </c>
      <c r="P270" s="407">
        <f t="shared" si="251"/>
        <v>0</v>
      </c>
      <c r="Q270" s="452">
        <f t="shared" si="252"/>
        <v>0</v>
      </c>
    </row>
    <row r="271" spans="1:17" ht="23.4" x14ac:dyDescent="0.3">
      <c r="A271" s="248" t="s">
        <v>108</v>
      </c>
      <c r="B271" s="593"/>
      <c r="C271" s="278" t="s">
        <v>348</v>
      </c>
      <c r="D271" s="279"/>
      <c r="E271" s="439"/>
      <c r="F271" s="336">
        <f t="shared" si="253"/>
        <v>0</v>
      </c>
      <c r="G271" s="281">
        <v>0</v>
      </c>
      <c r="H271" s="281">
        <v>0</v>
      </c>
      <c r="I271" s="355" t="str">
        <f>IFERROR(F271/#REF!,"-")</f>
        <v>-</v>
      </c>
      <c r="J271" s="336">
        <f t="shared" si="254"/>
        <v>0</v>
      </c>
      <c r="K271" s="281">
        <f t="shared" si="249"/>
        <v>0</v>
      </c>
      <c r="L271" s="439">
        <f t="shared" si="250"/>
        <v>0</v>
      </c>
      <c r="M271" s="340" t="str">
        <f t="shared" si="255"/>
        <v>-</v>
      </c>
      <c r="N271" s="268" t="str">
        <f>IFERROR(L271/J271,"-")</f>
        <v>-</v>
      </c>
      <c r="O271" s="639">
        <v>2.2141000000000002</v>
      </c>
      <c r="P271" s="407">
        <f t="shared" si="251"/>
        <v>0</v>
      </c>
      <c r="Q271" s="452">
        <f t="shared" si="252"/>
        <v>0</v>
      </c>
    </row>
    <row r="272" spans="1:17" ht="23.4" x14ac:dyDescent="0.3">
      <c r="A272" s="248" t="s">
        <v>108</v>
      </c>
      <c r="B272" s="594"/>
      <c r="C272" s="278" t="s">
        <v>387</v>
      </c>
      <c r="D272" s="283"/>
      <c r="E272" s="533"/>
      <c r="F272" s="337">
        <f t="shared" si="253"/>
        <v>0</v>
      </c>
      <c r="G272" s="285">
        <v>0</v>
      </c>
      <c r="H272" s="285">
        <v>0</v>
      </c>
      <c r="I272" s="356" t="str">
        <f>IFERROR(F272/#REF!,"-")</f>
        <v>-</v>
      </c>
      <c r="J272" s="336">
        <f t="shared" si="254"/>
        <v>0</v>
      </c>
      <c r="K272" s="281">
        <f t="shared" si="249"/>
        <v>0</v>
      </c>
      <c r="L272" s="439">
        <f t="shared" si="250"/>
        <v>0</v>
      </c>
      <c r="M272" s="341" t="str">
        <f t="shared" si="255"/>
        <v>-</v>
      </c>
      <c r="N272" s="347" t="str">
        <f t="shared" ref="N272:N279" si="256">IFERROR(L272/J272,"-")</f>
        <v>-</v>
      </c>
      <c r="O272" s="640">
        <v>2.4565999999999999</v>
      </c>
      <c r="P272" s="408">
        <f t="shared" si="251"/>
        <v>0</v>
      </c>
      <c r="Q272" s="453">
        <f t="shared" si="252"/>
        <v>0</v>
      </c>
    </row>
    <row r="273" spans="1:17" ht="23.4" x14ac:dyDescent="0.3">
      <c r="A273" s="248" t="s">
        <v>108</v>
      </c>
      <c r="B273" s="443"/>
      <c r="C273" s="637" t="s">
        <v>393</v>
      </c>
      <c r="D273" s="514"/>
      <c r="E273" s="534"/>
      <c r="F273" s="336">
        <f t="shared" si="253"/>
        <v>0</v>
      </c>
      <c r="G273" s="553">
        <v>0</v>
      </c>
      <c r="H273" s="553">
        <v>0</v>
      </c>
      <c r="I273" s="355" t="str">
        <f>IFERROR(F273/#REF!,"-")</f>
        <v>-</v>
      </c>
      <c r="J273" s="336">
        <f t="shared" si="254"/>
        <v>0</v>
      </c>
      <c r="K273" s="281">
        <f t="shared" si="249"/>
        <v>0</v>
      </c>
      <c r="L273" s="439">
        <f t="shared" si="250"/>
        <v>0</v>
      </c>
      <c r="M273" s="725"/>
      <c r="N273" s="268" t="str">
        <f t="shared" si="256"/>
        <v>-</v>
      </c>
      <c r="O273" s="545">
        <v>4.8285999999999998</v>
      </c>
      <c r="P273" s="407">
        <f t="shared" si="251"/>
        <v>0</v>
      </c>
      <c r="Q273" s="452">
        <f t="shared" si="252"/>
        <v>0</v>
      </c>
    </row>
    <row r="274" spans="1:17" ht="23.4" x14ac:dyDescent="0.3">
      <c r="A274" s="248" t="s">
        <v>108</v>
      </c>
      <c r="B274" s="595"/>
      <c r="C274" s="637" t="s">
        <v>389</v>
      </c>
      <c r="D274" s="273"/>
      <c r="E274" s="438"/>
      <c r="F274" s="335">
        <f t="shared" si="253"/>
        <v>0</v>
      </c>
      <c r="G274" s="275">
        <v>0</v>
      </c>
      <c r="H274" s="275">
        <v>0</v>
      </c>
      <c r="I274" s="354" t="str">
        <f>IFERROR(F274/#REF!,"-")</f>
        <v>-</v>
      </c>
      <c r="J274" s="336">
        <f t="shared" si="254"/>
        <v>0</v>
      </c>
      <c r="K274" s="281">
        <f t="shared" si="249"/>
        <v>0</v>
      </c>
      <c r="L274" s="439">
        <f t="shared" si="250"/>
        <v>0</v>
      </c>
      <c r="M274" s="339" t="str">
        <f t="shared" ref="M274:M275" si="257">IFERROR(J274/D274,"-")</f>
        <v>-</v>
      </c>
      <c r="N274" s="349" t="str">
        <f t="shared" si="256"/>
        <v>-</v>
      </c>
      <c r="O274" s="511">
        <v>4.1712999999999996</v>
      </c>
      <c r="P274" s="405">
        <f t="shared" si="251"/>
        <v>0</v>
      </c>
      <c r="Q274" s="450">
        <f t="shared" si="252"/>
        <v>0</v>
      </c>
    </row>
    <row r="275" spans="1:17" ht="24" thickBot="1" x14ac:dyDescent="0.35">
      <c r="A275" s="248" t="s">
        <v>108</v>
      </c>
      <c r="B275" s="593"/>
      <c r="C275" s="278"/>
      <c r="D275" s="279"/>
      <c r="E275" s="439"/>
      <c r="F275" s="336">
        <f t="shared" si="253"/>
        <v>0</v>
      </c>
      <c r="G275" s="281">
        <v>0</v>
      </c>
      <c r="H275" s="281">
        <v>0</v>
      </c>
      <c r="I275" s="355" t="str">
        <f>IFERROR(F275/#REF!,"-")</f>
        <v>-</v>
      </c>
      <c r="J275" s="464">
        <f t="shared" si="254"/>
        <v>0</v>
      </c>
      <c r="K275" s="465">
        <f t="shared" si="249"/>
        <v>0</v>
      </c>
      <c r="L275" s="466">
        <f t="shared" si="250"/>
        <v>0</v>
      </c>
      <c r="M275" s="340" t="str">
        <f t="shared" si="257"/>
        <v>-</v>
      </c>
      <c r="N275" s="264" t="str">
        <f t="shared" si="256"/>
        <v>-</v>
      </c>
      <c r="O275" s="451"/>
      <c r="P275" s="407">
        <f t="shared" si="251"/>
        <v>0</v>
      </c>
      <c r="Q275" s="452">
        <f t="shared" si="252"/>
        <v>0</v>
      </c>
    </row>
    <row r="276" spans="1:17" ht="24" thickBot="1" x14ac:dyDescent="0.35">
      <c r="A276" s="277" t="s">
        <v>108</v>
      </c>
      <c r="B276" s="1038" t="s">
        <v>21</v>
      </c>
      <c r="C276" s="989"/>
      <c r="D276" s="323">
        <v>0</v>
      </c>
      <c r="E276" s="288">
        <v>15000</v>
      </c>
      <c r="F276" s="323">
        <f>SUM(F269:F275)</f>
        <v>0</v>
      </c>
      <c r="G276" s="324">
        <f t="shared" ref="G276:H276" si="258">SUM(G269:G275)</f>
        <v>0</v>
      </c>
      <c r="H276" s="324">
        <f t="shared" si="258"/>
        <v>0</v>
      </c>
      <c r="I276" s="348" t="str">
        <f>IFERROR(F276/#REF!,"-")</f>
        <v>-</v>
      </c>
      <c r="J276" s="518">
        <f t="shared" ref="J276" si="259">SUM(J269:J275)</f>
        <v>0</v>
      </c>
      <c r="K276" s="524">
        <f>SUM(K269:K275)</f>
        <v>0</v>
      </c>
      <c r="L276" s="524">
        <f>SUM(L269:L275)</f>
        <v>0</v>
      </c>
      <c r="M276" s="342" t="str">
        <f>IFERROR(J276/D276,"-")</f>
        <v>-</v>
      </c>
      <c r="N276" s="348" t="str">
        <f t="shared" si="256"/>
        <v>-</v>
      </c>
      <c r="O276" s="394"/>
      <c r="P276" s="409">
        <f>SUM(P269:P275)</f>
        <v>0</v>
      </c>
      <c r="Q276" s="428">
        <f>SUM(Q269:Q275)</f>
        <v>0</v>
      </c>
    </row>
    <row r="277" spans="1:17" ht="24" thickBot="1" x14ac:dyDescent="0.35">
      <c r="A277" s="277" t="s">
        <v>108</v>
      </c>
      <c r="B277" s="1058" t="s">
        <v>268</v>
      </c>
      <c r="C277" s="1059"/>
      <c r="D277" s="517">
        <f>+D273+D276</f>
        <v>0</v>
      </c>
      <c r="E277" s="530">
        <f>+E273+E276</f>
        <v>15000</v>
      </c>
      <c r="F277" s="517">
        <f>+F273+F276</f>
        <v>0</v>
      </c>
      <c r="G277" s="519">
        <f>+G273+G276</f>
        <v>0</v>
      </c>
      <c r="H277" s="519">
        <f>+H273+H276</f>
        <v>0</v>
      </c>
      <c r="I277" s="520" t="str">
        <f>IFERROR(F277/#REF!,"-")</f>
        <v>-</v>
      </c>
      <c r="J277" s="517">
        <f>+J273+J276</f>
        <v>0</v>
      </c>
      <c r="K277" s="519">
        <f>+K276</f>
        <v>0</v>
      </c>
      <c r="L277" s="519">
        <f>+L276</f>
        <v>0</v>
      </c>
      <c r="M277" s="521" t="str">
        <f t="shared" ref="M277" si="260">IFERROR(J277/D277,"-")</f>
        <v>-</v>
      </c>
      <c r="N277" s="520" t="str">
        <f t="shared" si="256"/>
        <v>-</v>
      </c>
      <c r="O277" s="522"/>
      <c r="P277" s="523">
        <f>+P276</f>
        <v>0</v>
      </c>
      <c r="Q277" s="523">
        <f>+Q276</f>
        <v>0</v>
      </c>
    </row>
    <row r="278" spans="1:17" ht="23.4" x14ac:dyDescent="0.4">
      <c r="A278" s="244" t="s">
        <v>108</v>
      </c>
      <c r="B278" s="1035" t="s">
        <v>270</v>
      </c>
      <c r="C278" s="547" t="s">
        <v>74</v>
      </c>
      <c r="D278" s="532"/>
      <c r="E278" s="463"/>
      <c r="F278" s="461">
        <f>+G278+H278</f>
        <v>0</v>
      </c>
      <c r="G278" s="462">
        <v>0</v>
      </c>
      <c r="H278" s="462">
        <v>0</v>
      </c>
      <c r="I278" s="536" t="str">
        <f>IFERROR(F278/#REF!,"-")</f>
        <v>-</v>
      </c>
      <c r="J278" s="461">
        <f>+K278+L278</f>
        <v>9027</v>
      </c>
      <c r="K278" s="462">
        <f t="shared" ref="K278:K280" si="261">+K218+G278</f>
        <v>9000</v>
      </c>
      <c r="L278" s="463">
        <f t="shared" ref="L278:L280" si="262">+L218+H278</f>
        <v>27</v>
      </c>
      <c r="M278" s="596" t="str">
        <f>IFERROR(J278/D278,"-")</f>
        <v>-</v>
      </c>
      <c r="N278" s="538">
        <f t="shared" si="256"/>
        <v>2.9910269192422734E-3</v>
      </c>
      <c r="O278" s="543">
        <v>32.946300000000001</v>
      </c>
      <c r="P278" s="539">
        <f t="shared" ref="P278:P309" si="263">+O278*G278</f>
        <v>0</v>
      </c>
      <c r="Q278" s="540">
        <f t="shared" ref="Q278:Q309" si="264">+O278*K278</f>
        <v>296516.7</v>
      </c>
    </row>
    <row r="279" spans="1:17" ht="23.4" x14ac:dyDescent="0.4">
      <c r="A279" s="248" t="s">
        <v>108</v>
      </c>
      <c r="B279" s="1036"/>
      <c r="C279" s="548" t="s">
        <v>75</v>
      </c>
      <c r="D279" s="516"/>
      <c r="E279" s="439"/>
      <c r="F279" s="336">
        <f t="shared" ref="F279:F309" si="265">+G279+H279</f>
        <v>5025</v>
      </c>
      <c r="G279" s="281">
        <v>5000</v>
      </c>
      <c r="H279" s="281">
        <v>25</v>
      </c>
      <c r="I279" s="355" t="str">
        <f>IFERROR(F279/#REF!,"-")</f>
        <v>-</v>
      </c>
      <c r="J279" s="336">
        <f t="shared" ref="J279:J309" si="266">+K279+L279</f>
        <v>5025</v>
      </c>
      <c r="K279" s="281">
        <f t="shared" si="261"/>
        <v>5000</v>
      </c>
      <c r="L279" s="439">
        <f t="shared" si="262"/>
        <v>25</v>
      </c>
      <c r="M279" s="340" t="str">
        <f t="shared" ref="M279:M281" si="267">IFERROR(J279/D279,"-")</f>
        <v>-</v>
      </c>
      <c r="N279" s="268">
        <f t="shared" si="256"/>
        <v>4.9751243781094526E-3</v>
      </c>
      <c r="O279" s="512">
        <v>35.398400000000002</v>
      </c>
      <c r="P279" s="407">
        <f t="shared" si="263"/>
        <v>176992</v>
      </c>
      <c r="Q279" s="452">
        <f t="shared" si="264"/>
        <v>176992</v>
      </c>
    </row>
    <row r="280" spans="1:17" ht="24" thickBot="1" x14ac:dyDescent="0.45">
      <c r="A280" s="248" t="s">
        <v>108</v>
      </c>
      <c r="B280" s="1036"/>
      <c r="C280" s="548" t="s">
        <v>76</v>
      </c>
      <c r="D280" s="279"/>
      <c r="E280" s="439"/>
      <c r="F280" s="336">
        <f t="shared" si="265"/>
        <v>0</v>
      </c>
      <c r="G280" s="281">
        <v>0</v>
      </c>
      <c r="H280" s="281">
        <v>0</v>
      </c>
      <c r="I280" s="355" t="str">
        <f>IFERROR(F280/#REF!,"-")</f>
        <v>-</v>
      </c>
      <c r="J280" s="336">
        <f t="shared" si="266"/>
        <v>0</v>
      </c>
      <c r="K280" s="281">
        <f t="shared" si="261"/>
        <v>0</v>
      </c>
      <c r="L280" s="439">
        <f t="shared" si="262"/>
        <v>0</v>
      </c>
      <c r="M280" s="340" t="str">
        <f t="shared" si="267"/>
        <v>-</v>
      </c>
      <c r="N280" s="268" t="str">
        <f>IFERROR(L280/J280,"-")</f>
        <v>-</v>
      </c>
      <c r="O280" s="512">
        <v>32.946300000000001</v>
      </c>
      <c r="P280" s="407">
        <f t="shared" si="263"/>
        <v>0</v>
      </c>
      <c r="Q280" s="452">
        <f t="shared" si="264"/>
        <v>0</v>
      </c>
    </row>
    <row r="281" spans="1:17" ht="23.4" x14ac:dyDescent="0.4">
      <c r="A281" s="248" t="s">
        <v>108</v>
      </c>
      <c r="B281" s="1035" t="s">
        <v>271</v>
      </c>
      <c r="C281" s="550" t="s">
        <v>78</v>
      </c>
      <c r="D281" s="279"/>
      <c r="E281" s="533"/>
      <c r="F281" s="337">
        <f t="shared" si="265"/>
        <v>0</v>
      </c>
      <c r="G281" s="281">
        <v>0</v>
      </c>
      <c r="H281" s="281">
        <v>0</v>
      </c>
      <c r="I281" s="355" t="str">
        <f>IFERROR(F281/#REF!,"-")</f>
        <v>-</v>
      </c>
      <c r="J281" s="336">
        <f t="shared" si="266"/>
        <v>0</v>
      </c>
      <c r="K281" s="281">
        <v>0</v>
      </c>
      <c r="L281" s="439">
        <v>0</v>
      </c>
      <c r="M281" s="340" t="str">
        <f t="shared" si="267"/>
        <v>-</v>
      </c>
      <c r="N281" s="268" t="str">
        <f t="shared" ref="N281" si="268">IFERROR(L281/J281,"-")</f>
        <v>-</v>
      </c>
      <c r="O281" s="512">
        <v>55.4758</v>
      </c>
      <c r="P281" s="407">
        <f t="shared" si="263"/>
        <v>0</v>
      </c>
      <c r="Q281" s="452">
        <f t="shared" si="264"/>
        <v>0</v>
      </c>
    </row>
    <row r="282" spans="1:17" ht="23.4" x14ac:dyDescent="0.4">
      <c r="A282" s="248" t="s">
        <v>108</v>
      </c>
      <c r="B282" s="1036"/>
      <c r="C282" s="550" t="s">
        <v>75</v>
      </c>
      <c r="D282" s="279"/>
      <c r="E282" s="534"/>
      <c r="F282" s="337">
        <f t="shared" si="265"/>
        <v>0</v>
      </c>
      <c r="G282" s="281">
        <v>0</v>
      </c>
      <c r="H282" s="281">
        <v>0</v>
      </c>
      <c r="I282" s="355" t="str">
        <f>IFERROR(F282/#REF!,"-")</f>
        <v>-</v>
      </c>
      <c r="J282" s="336">
        <f t="shared" si="266"/>
        <v>5468</v>
      </c>
      <c r="K282" s="281">
        <f t="shared" ref="K282:K287" si="269">+K222+G282</f>
        <v>4400</v>
      </c>
      <c r="L282" s="439">
        <f t="shared" ref="L282:L287" si="270">+L222+H282</f>
        <v>1068</v>
      </c>
      <c r="M282" s="725"/>
      <c r="N282" s="375"/>
      <c r="O282" s="545">
        <v>58.836300000000001</v>
      </c>
      <c r="P282" s="407">
        <f t="shared" si="263"/>
        <v>0</v>
      </c>
      <c r="Q282" s="452">
        <f t="shared" si="264"/>
        <v>258879.72</v>
      </c>
    </row>
    <row r="283" spans="1:17" ht="23.4" x14ac:dyDescent="0.4">
      <c r="A283" s="248" t="s">
        <v>108</v>
      </c>
      <c r="B283" s="1036"/>
      <c r="C283" s="550" t="s">
        <v>386</v>
      </c>
      <c r="D283" s="279"/>
      <c r="E283" s="438"/>
      <c r="F283" s="337">
        <f t="shared" si="265"/>
        <v>2820</v>
      </c>
      <c r="G283" s="281">
        <v>2400</v>
      </c>
      <c r="H283" s="281">
        <v>420</v>
      </c>
      <c r="I283" s="355" t="str">
        <f>IFERROR(F283/#REF!,"-")</f>
        <v>-</v>
      </c>
      <c r="J283" s="336">
        <f t="shared" si="266"/>
        <v>3290</v>
      </c>
      <c r="K283" s="281">
        <f t="shared" si="269"/>
        <v>2800</v>
      </c>
      <c r="L283" s="439">
        <f t="shared" si="270"/>
        <v>490</v>
      </c>
      <c r="M283" s="340" t="str">
        <f t="shared" ref="M283" si="271">IFERROR(J283/D283,"-")</f>
        <v>-</v>
      </c>
      <c r="N283" s="264">
        <f t="shared" ref="N283" si="272">IFERROR(L283/J283,"-")</f>
        <v>0.14893617021276595</v>
      </c>
      <c r="O283" s="512">
        <v>55.4758</v>
      </c>
      <c r="P283" s="407">
        <f t="shared" si="263"/>
        <v>133141.92000000001</v>
      </c>
      <c r="Q283" s="452">
        <f t="shared" si="264"/>
        <v>155332.24</v>
      </c>
    </row>
    <row r="284" spans="1:17" ht="24" thickBot="1" x14ac:dyDescent="0.45">
      <c r="A284" s="248"/>
      <c r="B284" s="1037"/>
      <c r="C284" s="550" t="s">
        <v>404</v>
      </c>
      <c r="D284" s="279"/>
      <c r="E284" s="438"/>
      <c r="F284" s="337">
        <f t="shared" si="265"/>
        <v>0</v>
      </c>
      <c r="G284" s="281">
        <v>0</v>
      </c>
      <c r="H284" s="281">
        <v>0</v>
      </c>
      <c r="I284" s="355"/>
      <c r="J284" s="336">
        <f t="shared" si="266"/>
        <v>2220</v>
      </c>
      <c r="K284" s="281">
        <f t="shared" si="269"/>
        <v>2064</v>
      </c>
      <c r="L284" s="439">
        <f t="shared" si="270"/>
        <v>156</v>
      </c>
      <c r="M284" s="340"/>
      <c r="N284" s="264">
        <f>IFERROR(L284/J284,"-")</f>
        <v>7.0270270270270274E-2</v>
      </c>
      <c r="O284" s="512">
        <v>55.4758</v>
      </c>
      <c r="P284" s="407">
        <f t="shared" si="263"/>
        <v>0</v>
      </c>
      <c r="Q284" s="452">
        <f t="shared" si="264"/>
        <v>114502.0512</v>
      </c>
    </row>
    <row r="285" spans="1:17" ht="23.4" x14ac:dyDescent="0.4">
      <c r="A285" s="248" t="s">
        <v>108</v>
      </c>
      <c r="B285" s="1035" t="s">
        <v>79</v>
      </c>
      <c r="C285" s="548" t="s">
        <v>80</v>
      </c>
      <c r="D285" s="279"/>
      <c r="E285" s="439"/>
      <c r="F285" s="336">
        <f t="shared" si="265"/>
        <v>0</v>
      </c>
      <c r="G285" s="281">
        <v>0</v>
      </c>
      <c r="H285" s="281">
        <v>0</v>
      </c>
      <c r="I285" s="355" t="str">
        <f>IFERROR(F285/#REF!,"-")</f>
        <v>-</v>
      </c>
      <c r="J285" s="336">
        <f t="shared" si="266"/>
        <v>1170</v>
      </c>
      <c r="K285" s="281">
        <f t="shared" si="269"/>
        <v>1100</v>
      </c>
      <c r="L285" s="439">
        <f t="shared" si="270"/>
        <v>70</v>
      </c>
      <c r="M285" s="340" t="str">
        <f t="shared" ref="M285:M312" si="273">IFERROR(J285/D285,"-")</f>
        <v>-</v>
      </c>
      <c r="N285" s="264">
        <f t="shared" ref="N285:N311" si="274">IFERROR(L285/J285,"-")</f>
        <v>5.9829059829059832E-2</v>
      </c>
      <c r="O285" s="512">
        <v>25.687200000000001</v>
      </c>
      <c r="P285" s="407">
        <f t="shared" si="263"/>
        <v>0</v>
      </c>
      <c r="Q285" s="452">
        <f t="shared" si="264"/>
        <v>28255.920000000002</v>
      </c>
    </row>
    <row r="286" spans="1:17" ht="24" thickBot="1" x14ac:dyDescent="0.45">
      <c r="A286" s="248" t="s">
        <v>108</v>
      </c>
      <c r="B286" s="1037"/>
      <c r="C286" s="548" t="s">
        <v>124</v>
      </c>
      <c r="D286" s="279"/>
      <c r="E286" s="439"/>
      <c r="F286" s="336">
        <f t="shared" si="265"/>
        <v>0</v>
      </c>
      <c r="G286" s="281">
        <v>0</v>
      </c>
      <c r="H286" s="281">
        <v>0</v>
      </c>
      <c r="I286" s="355" t="str">
        <f>IFERROR(F286/#REF!,"-")</f>
        <v>-</v>
      </c>
      <c r="J286" s="336">
        <f t="shared" si="266"/>
        <v>0</v>
      </c>
      <c r="K286" s="281">
        <f t="shared" si="269"/>
        <v>0</v>
      </c>
      <c r="L286" s="439">
        <f t="shared" si="270"/>
        <v>0</v>
      </c>
      <c r="M286" s="340" t="str">
        <f t="shared" si="273"/>
        <v>-</v>
      </c>
      <c r="N286" s="264" t="str">
        <f t="shared" si="274"/>
        <v>-</v>
      </c>
      <c r="O286" s="512">
        <v>25.033899999999999</v>
      </c>
      <c r="P286" s="407">
        <f t="shared" si="263"/>
        <v>0</v>
      </c>
      <c r="Q286" s="452">
        <f t="shared" si="264"/>
        <v>0</v>
      </c>
    </row>
    <row r="287" spans="1:17" ht="23.4" x14ac:dyDescent="0.4">
      <c r="A287" s="248"/>
      <c r="B287" s="1035" t="s">
        <v>81</v>
      </c>
      <c r="C287" s="548" t="s">
        <v>82</v>
      </c>
      <c r="D287" s="279"/>
      <c r="E287" s="439"/>
      <c r="F287" s="336">
        <f t="shared" si="265"/>
        <v>1800</v>
      </c>
      <c r="G287" s="281">
        <v>1800</v>
      </c>
      <c r="H287" s="281">
        <v>0</v>
      </c>
      <c r="I287" s="355" t="str">
        <f>IFERROR(F287/#REF!,"-")</f>
        <v>-</v>
      </c>
      <c r="J287" s="336">
        <f t="shared" si="266"/>
        <v>7837</v>
      </c>
      <c r="K287" s="281">
        <f t="shared" si="269"/>
        <v>7800</v>
      </c>
      <c r="L287" s="439">
        <f t="shared" si="270"/>
        <v>37</v>
      </c>
      <c r="M287" s="340" t="str">
        <f t="shared" si="273"/>
        <v>-</v>
      </c>
      <c r="N287" s="264">
        <f t="shared" si="274"/>
        <v>4.7211943345667985E-3</v>
      </c>
      <c r="O287" s="512">
        <v>41.992699999999999</v>
      </c>
      <c r="P287" s="407">
        <f t="shared" si="263"/>
        <v>75586.86</v>
      </c>
      <c r="Q287" s="452">
        <f t="shared" si="264"/>
        <v>327543.06</v>
      </c>
    </row>
    <row r="288" spans="1:17" ht="23.4" x14ac:dyDescent="0.4">
      <c r="A288" s="248"/>
      <c r="B288" s="1036"/>
      <c r="C288" s="548" t="s">
        <v>75</v>
      </c>
      <c r="D288" s="279"/>
      <c r="E288" s="439"/>
      <c r="F288" s="336">
        <f t="shared" si="265"/>
        <v>0</v>
      </c>
      <c r="G288" s="281">
        <v>0</v>
      </c>
      <c r="H288" s="281">
        <v>0</v>
      </c>
      <c r="I288" s="355" t="str">
        <f>IFERROR(F288/#REF!,"-")</f>
        <v>-</v>
      </c>
      <c r="J288" s="336">
        <f t="shared" si="266"/>
        <v>45</v>
      </c>
      <c r="K288" s="281">
        <f>+K228+G288</f>
        <v>45</v>
      </c>
      <c r="L288" s="439">
        <f>+L228+H288</f>
        <v>0</v>
      </c>
      <c r="M288" s="340" t="str">
        <f t="shared" si="273"/>
        <v>-</v>
      </c>
      <c r="N288" s="264">
        <f t="shared" si="274"/>
        <v>0</v>
      </c>
      <c r="O288" s="512">
        <v>42.283700000000003</v>
      </c>
      <c r="P288" s="407">
        <f t="shared" si="263"/>
        <v>0</v>
      </c>
      <c r="Q288" s="452">
        <f t="shared" si="264"/>
        <v>1902.7665000000002</v>
      </c>
    </row>
    <row r="289" spans="1:17" ht="23.4" x14ac:dyDescent="0.4">
      <c r="A289" s="248"/>
      <c r="B289" s="767"/>
      <c r="C289" s="548" t="s">
        <v>450</v>
      </c>
      <c r="D289" s="279"/>
      <c r="E289" s="439"/>
      <c r="F289" s="336">
        <f t="shared" si="265"/>
        <v>1140</v>
      </c>
      <c r="G289" s="281">
        <v>1140</v>
      </c>
      <c r="H289" s="281">
        <v>0</v>
      </c>
      <c r="I289" s="355" t="str">
        <f>IFERROR(F289/#REF!,"-")</f>
        <v>-</v>
      </c>
      <c r="J289" s="336">
        <f t="shared" si="266"/>
        <v>1140</v>
      </c>
      <c r="K289" s="281">
        <f>+G289</f>
        <v>1140</v>
      </c>
      <c r="L289" s="439">
        <f>+L228+H289</f>
        <v>0</v>
      </c>
      <c r="M289" s="340" t="str">
        <f t="shared" si="273"/>
        <v>-</v>
      </c>
      <c r="N289" s="264">
        <f t="shared" si="274"/>
        <v>0</v>
      </c>
      <c r="O289" s="772">
        <v>41.992699999999999</v>
      </c>
      <c r="P289" s="407">
        <f t="shared" si="263"/>
        <v>47871.678</v>
      </c>
      <c r="Q289" s="452">
        <f t="shared" si="264"/>
        <v>47871.678</v>
      </c>
    </row>
    <row r="290" spans="1:17" ht="24" thickBot="1" x14ac:dyDescent="0.45">
      <c r="A290" s="248"/>
      <c r="B290" s="767"/>
      <c r="C290" s="548" t="s">
        <v>451</v>
      </c>
      <c r="D290" s="279"/>
      <c r="E290" s="439"/>
      <c r="F290" s="336">
        <f t="shared" ref="F290" si="275">+G290+H290</f>
        <v>712</v>
      </c>
      <c r="G290" s="281">
        <v>660</v>
      </c>
      <c r="H290" s="281">
        <v>52</v>
      </c>
      <c r="I290" s="355" t="str">
        <f>IFERROR(F290/#REF!,"-")</f>
        <v>-</v>
      </c>
      <c r="J290" s="336">
        <f t="shared" ref="J290" si="276">+K290+L290</f>
        <v>712</v>
      </c>
      <c r="K290" s="281">
        <f>+K229+G290</f>
        <v>660</v>
      </c>
      <c r="L290" s="439">
        <f>+L229+H290</f>
        <v>52</v>
      </c>
      <c r="M290" s="340" t="str">
        <f t="shared" ref="M290" si="277">IFERROR(J290/D290,"-")</f>
        <v>-</v>
      </c>
      <c r="N290" s="264">
        <f t="shared" ref="N290" si="278">IFERROR(L290/J290,"-")</f>
        <v>7.3033707865168537E-2</v>
      </c>
      <c r="O290" s="772">
        <v>42.283799999999999</v>
      </c>
      <c r="P290" s="407">
        <f t="shared" ref="P290" si="279">+O290*G290</f>
        <v>27907.308000000001</v>
      </c>
      <c r="Q290" s="452">
        <f t="shared" ref="Q290" si="280">+O290*K290</f>
        <v>27907.308000000001</v>
      </c>
    </row>
    <row r="291" spans="1:17" ht="24" thickBot="1" x14ac:dyDescent="0.45">
      <c r="A291" s="248"/>
      <c r="B291" s="551" t="s">
        <v>83</v>
      </c>
      <c r="C291" s="548" t="s">
        <v>84</v>
      </c>
      <c r="D291" s="279"/>
      <c r="E291" s="439"/>
      <c r="F291" s="336">
        <f t="shared" si="265"/>
        <v>0</v>
      </c>
      <c r="G291" s="281">
        <v>0</v>
      </c>
      <c r="H291" s="281">
        <v>0</v>
      </c>
      <c r="I291" s="355" t="str">
        <f>IFERROR(F291/#REF!,"-")</f>
        <v>-</v>
      </c>
      <c r="J291" s="336">
        <f t="shared" si="266"/>
        <v>0</v>
      </c>
      <c r="K291" s="281">
        <f t="shared" ref="K291:K309" si="281">+K229+G291</f>
        <v>0</v>
      </c>
      <c r="L291" s="439">
        <f t="shared" ref="L291:L309" si="282">+L229+H291</f>
        <v>0</v>
      </c>
      <c r="M291" s="340" t="str">
        <f t="shared" si="273"/>
        <v>-</v>
      </c>
      <c r="N291" s="264" t="str">
        <f t="shared" si="274"/>
        <v>-</v>
      </c>
      <c r="O291" s="512">
        <v>4.3535000000000004</v>
      </c>
      <c r="P291" s="407">
        <f t="shared" si="263"/>
        <v>0</v>
      </c>
      <c r="Q291" s="452">
        <f t="shared" si="264"/>
        <v>0</v>
      </c>
    </row>
    <row r="292" spans="1:17" ht="23.4" x14ac:dyDescent="0.4">
      <c r="A292" s="248"/>
      <c r="B292" s="1035" t="s">
        <v>273</v>
      </c>
      <c r="C292" s="548" t="s">
        <v>80</v>
      </c>
      <c r="D292" s="279"/>
      <c r="E292" s="439"/>
      <c r="F292" s="336">
        <f t="shared" si="265"/>
        <v>0</v>
      </c>
      <c r="G292" s="281">
        <v>0</v>
      </c>
      <c r="H292" s="281">
        <v>0</v>
      </c>
      <c r="I292" s="355" t="str">
        <f>IFERROR(F292/#REF!,"-")</f>
        <v>-</v>
      </c>
      <c r="J292" s="336">
        <f t="shared" si="266"/>
        <v>0</v>
      </c>
      <c r="K292" s="281">
        <f t="shared" si="281"/>
        <v>0</v>
      </c>
      <c r="L292" s="439">
        <f t="shared" si="282"/>
        <v>0</v>
      </c>
      <c r="M292" s="340" t="str">
        <f t="shared" si="273"/>
        <v>-</v>
      </c>
      <c r="N292" s="264" t="str">
        <f t="shared" si="274"/>
        <v>-</v>
      </c>
      <c r="O292" s="512">
        <v>4.6184000000000003</v>
      </c>
      <c r="P292" s="407">
        <f t="shared" si="263"/>
        <v>0</v>
      </c>
      <c r="Q292" s="452">
        <f t="shared" si="264"/>
        <v>0</v>
      </c>
    </row>
    <row r="293" spans="1:17" ht="23.4" x14ac:dyDescent="0.4">
      <c r="A293" s="248"/>
      <c r="B293" s="1036"/>
      <c r="C293" s="548" t="s">
        <v>378</v>
      </c>
      <c r="D293" s="279"/>
      <c r="E293" s="439"/>
      <c r="F293" s="336">
        <f t="shared" si="265"/>
        <v>0</v>
      </c>
      <c r="G293" s="281">
        <v>0</v>
      </c>
      <c r="H293" s="281">
        <v>0</v>
      </c>
      <c r="I293" s="355" t="str">
        <f>IFERROR(F293/#REF!,"-")</f>
        <v>-</v>
      </c>
      <c r="J293" s="336">
        <f t="shared" si="266"/>
        <v>0</v>
      </c>
      <c r="K293" s="281">
        <f t="shared" si="281"/>
        <v>0</v>
      </c>
      <c r="L293" s="439">
        <f t="shared" si="282"/>
        <v>0</v>
      </c>
      <c r="M293" s="340" t="str">
        <f t="shared" si="273"/>
        <v>-</v>
      </c>
      <c r="N293" s="264" t="str">
        <f t="shared" si="274"/>
        <v>-</v>
      </c>
      <c r="O293" s="512">
        <v>4.6184000000000003</v>
      </c>
      <c r="P293" s="407">
        <f t="shared" si="263"/>
        <v>0</v>
      </c>
      <c r="Q293" s="452">
        <f t="shared" si="264"/>
        <v>0</v>
      </c>
    </row>
    <row r="294" spans="1:17" ht="23.4" x14ac:dyDescent="0.4">
      <c r="A294" s="248"/>
      <c r="B294" s="1036"/>
      <c r="C294" s="548" t="s">
        <v>272</v>
      </c>
      <c r="D294" s="279"/>
      <c r="E294" s="439"/>
      <c r="F294" s="336">
        <f t="shared" si="265"/>
        <v>0</v>
      </c>
      <c r="G294" s="281">
        <v>0</v>
      </c>
      <c r="H294" s="281">
        <v>0</v>
      </c>
      <c r="I294" s="355" t="str">
        <f>IFERROR(F294/#REF!,"-")</f>
        <v>-</v>
      </c>
      <c r="J294" s="336">
        <f t="shared" si="266"/>
        <v>0</v>
      </c>
      <c r="K294" s="281">
        <f t="shared" si="281"/>
        <v>0</v>
      </c>
      <c r="L294" s="439">
        <f t="shared" si="282"/>
        <v>0</v>
      </c>
      <c r="M294" s="340" t="str">
        <f t="shared" si="273"/>
        <v>-</v>
      </c>
      <c r="N294" s="264" t="str">
        <f t="shared" si="274"/>
        <v>-</v>
      </c>
      <c r="O294" s="512">
        <v>4.6184000000000003</v>
      </c>
      <c r="P294" s="407">
        <f t="shared" si="263"/>
        <v>0</v>
      </c>
      <c r="Q294" s="452">
        <f t="shared" si="264"/>
        <v>0</v>
      </c>
    </row>
    <row r="295" spans="1:17" ht="23.4" x14ac:dyDescent="0.4">
      <c r="A295" s="248"/>
      <c r="B295" s="1036"/>
      <c r="C295" s="548" t="s">
        <v>390</v>
      </c>
      <c r="D295" s="279"/>
      <c r="E295" s="439"/>
      <c r="F295" s="336">
        <f t="shared" si="265"/>
        <v>41320</v>
      </c>
      <c r="G295" s="281">
        <v>41000</v>
      </c>
      <c r="H295" s="281">
        <v>320</v>
      </c>
      <c r="I295" s="355" t="str">
        <f>IFERROR(F295/#REF!,"-")</f>
        <v>-</v>
      </c>
      <c r="J295" s="336">
        <f t="shared" si="266"/>
        <v>243455</v>
      </c>
      <c r="K295" s="730">
        <f t="shared" si="281"/>
        <v>241200</v>
      </c>
      <c r="L295" s="731">
        <f t="shared" si="282"/>
        <v>2255</v>
      </c>
      <c r="M295" s="340" t="str">
        <f t="shared" si="273"/>
        <v>-</v>
      </c>
      <c r="N295" s="264">
        <f t="shared" si="274"/>
        <v>9.2624920416504077E-3</v>
      </c>
      <c r="O295" s="512">
        <v>4.7636000000000003</v>
      </c>
      <c r="P295" s="407">
        <f t="shared" si="263"/>
        <v>195307.6</v>
      </c>
      <c r="Q295" s="452">
        <f t="shared" si="264"/>
        <v>1148980.32</v>
      </c>
    </row>
    <row r="296" spans="1:17" ht="24" thickBot="1" x14ac:dyDescent="0.45">
      <c r="A296" s="248"/>
      <c r="B296" s="1037"/>
      <c r="C296" s="548" t="s">
        <v>384</v>
      </c>
      <c r="D296" s="279"/>
      <c r="E296" s="439"/>
      <c r="F296" s="336">
        <f t="shared" si="265"/>
        <v>0</v>
      </c>
      <c r="G296" s="281">
        <v>0</v>
      </c>
      <c r="H296" s="281">
        <v>0</v>
      </c>
      <c r="I296" s="355" t="str">
        <f>IFERROR(F296/#REF!,"-")</f>
        <v>-</v>
      </c>
      <c r="J296" s="336">
        <f t="shared" si="266"/>
        <v>0</v>
      </c>
      <c r="K296" s="281">
        <f t="shared" si="281"/>
        <v>0</v>
      </c>
      <c r="L296" s="439">
        <f t="shared" si="282"/>
        <v>0</v>
      </c>
      <c r="M296" s="340" t="str">
        <f t="shared" si="273"/>
        <v>-</v>
      </c>
      <c r="N296" s="264" t="str">
        <f t="shared" si="274"/>
        <v>-</v>
      </c>
      <c r="O296" s="512">
        <v>4.8738000000000001</v>
      </c>
      <c r="P296" s="407">
        <f t="shared" si="263"/>
        <v>0</v>
      </c>
      <c r="Q296" s="452">
        <f t="shared" si="264"/>
        <v>0</v>
      </c>
    </row>
    <row r="297" spans="1:17" ht="24" thickBot="1" x14ac:dyDescent="0.45">
      <c r="A297" s="248"/>
      <c r="B297" s="551" t="s">
        <v>274</v>
      </c>
      <c r="C297" s="548" t="s">
        <v>131</v>
      </c>
      <c r="D297" s="279"/>
      <c r="E297" s="439"/>
      <c r="F297" s="336">
        <f t="shared" si="265"/>
        <v>0</v>
      </c>
      <c r="G297" s="281">
        <v>0</v>
      </c>
      <c r="H297" s="281">
        <v>0</v>
      </c>
      <c r="I297" s="355" t="str">
        <f>IFERROR(F297/#REF!,"-")</f>
        <v>-</v>
      </c>
      <c r="J297" s="336">
        <f t="shared" si="266"/>
        <v>0</v>
      </c>
      <c r="K297" s="281">
        <f t="shared" si="281"/>
        <v>0</v>
      </c>
      <c r="L297" s="439">
        <f t="shared" si="282"/>
        <v>0</v>
      </c>
      <c r="M297" s="340" t="str">
        <f t="shared" si="273"/>
        <v>-</v>
      </c>
      <c r="N297" s="264" t="str">
        <f t="shared" si="274"/>
        <v>-</v>
      </c>
      <c r="O297" s="512">
        <v>4.8738000000000001</v>
      </c>
      <c r="P297" s="407">
        <f t="shared" si="263"/>
        <v>0</v>
      </c>
      <c r="Q297" s="452">
        <f t="shared" si="264"/>
        <v>0</v>
      </c>
    </row>
    <row r="298" spans="1:17" ht="23.4" x14ac:dyDescent="0.4">
      <c r="A298" s="248"/>
      <c r="B298" s="1035" t="s">
        <v>276</v>
      </c>
      <c r="C298" s="548" t="s">
        <v>80</v>
      </c>
      <c r="D298" s="279"/>
      <c r="E298" s="439"/>
      <c r="F298" s="336">
        <f t="shared" si="265"/>
        <v>11270</v>
      </c>
      <c r="G298" s="281">
        <v>10650</v>
      </c>
      <c r="H298" s="281">
        <v>620</v>
      </c>
      <c r="I298" s="355" t="str">
        <f>IFERROR(F298/#REF!,"-")</f>
        <v>-</v>
      </c>
      <c r="J298" s="336">
        <f t="shared" si="266"/>
        <v>94792</v>
      </c>
      <c r="K298" s="730">
        <f t="shared" si="281"/>
        <v>92250</v>
      </c>
      <c r="L298" s="731">
        <f t="shared" si="282"/>
        <v>2542</v>
      </c>
      <c r="M298" s="340" t="str">
        <f t="shared" si="273"/>
        <v>-</v>
      </c>
      <c r="N298" s="264">
        <f t="shared" si="274"/>
        <v>2.6816608996539794E-2</v>
      </c>
      <c r="O298" s="512">
        <v>4.9344999999999999</v>
      </c>
      <c r="P298" s="407">
        <f t="shared" si="263"/>
        <v>52552.424999999996</v>
      </c>
      <c r="Q298" s="452">
        <f t="shared" si="264"/>
        <v>455207.625</v>
      </c>
    </row>
    <row r="299" spans="1:17" ht="23.4" x14ac:dyDescent="0.4">
      <c r="A299" s="248"/>
      <c r="B299" s="1036"/>
      <c r="C299" s="548" t="s">
        <v>142</v>
      </c>
      <c r="D299" s="279"/>
      <c r="E299" s="439"/>
      <c r="F299" s="336">
        <f t="shared" si="265"/>
        <v>0</v>
      </c>
      <c r="G299" s="281">
        <v>0</v>
      </c>
      <c r="H299" s="281">
        <v>0</v>
      </c>
      <c r="I299" s="355" t="str">
        <f>IFERROR(F299/#REF!,"-")</f>
        <v>-</v>
      </c>
      <c r="J299" s="336">
        <f t="shared" si="266"/>
        <v>0</v>
      </c>
      <c r="K299" s="281">
        <f t="shared" si="281"/>
        <v>0</v>
      </c>
      <c r="L299" s="439">
        <f t="shared" si="282"/>
        <v>0</v>
      </c>
      <c r="M299" s="340" t="str">
        <f t="shared" si="273"/>
        <v>-</v>
      </c>
      <c r="N299" s="264" t="str">
        <f t="shared" si="274"/>
        <v>-</v>
      </c>
      <c r="O299" s="512">
        <v>4.9344999999999999</v>
      </c>
      <c r="P299" s="407">
        <f t="shared" si="263"/>
        <v>0</v>
      </c>
      <c r="Q299" s="452">
        <f t="shared" si="264"/>
        <v>0</v>
      </c>
    </row>
    <row r="300" spans="1:17" ht="23.4" x14ac:dyDescent="0.4">
      <c r="A300" s="248"/>
      <c r="B300" s="1036"/>
      <c r="C300" s="548" t="s">
        <v>136</v>
      </c>
      <c r="D300" s="279"/>
      <c r="E300" s="439"/>
      <c r="F300" s="336">
        <f t="shared" si="265"/>
        <v>0</v>
      </c>
      <c r="G300" s="281">
        <v>0</v>
      </c>
      <c r="H300" s="281">
        <v>0</v>
      </c>
      <c r="I300" s="355" t="str">
        <f>IFERROR(F300/#REF!,"-")</f>
        <v>-</v>
      </c>
      <c r="J300" s="336">
        <f t="shared" si="266"/>
        <v>0</v>
      </c>
      <c r="K300" s="281">
        <f t="shared" si="281"/>
        <v>0</v>
      </c>
      <c r="L300" s="439">
        <f t="shared" si="282"/>
        <v>0</v>
      </c>
      <c r="M300" s="340" t="str">
        <f t="shared" si="273"/>
        <v>-</v>
      </c>
      <c r="N300" s="264" t="str">
        <f t="shared" si="274"/>
        <v>-</v>
      </c>
      <c r="O300" s="512">
        <v>4.9344999999999999</v>
      </c>
      <c r="P300" s="407">
        <f t="shared" si="263"/>
        <v>0</v>
      </c>
      <c r="Q300" s="452">
        <f t="shared" si="264"/>
        <v>0</v>
      </c>
    </row>
    <row r="301" spans="1:17" ht="24" thickBot="1" x14ac:dyDescent="0.45">
      <c r="A301" s="248"/>
      <c r="B301" s="1037"/>
      <c r="C301" s="548" t="s">
        <v>275</v>
      </c>
      <c r="D301" s="279"/>
      <c r="E301" s="439"/>
      <c r="F301" s="336">
        <f t="shared" si="265"/>
        <v>0</v>
      </c>
      <c r="G301" s="281">
        <v>0</v>
      </c>
      <c r="H301" s="281">
        <v>0</v>
      </c>
      <c r="I301" s="355" t="str">
        <f>IFERROR(F301/#REF!,"-")</f>
        <v>-</v>
      </c>
      <c r="J301" s="336">
        <f t="shared" si="266"/>
        <v>0</v>
      </c>
      <c r="K301" s="281">
        <f t="shared" si="281"/>
        <v>0</v>
      </c>
      <c r="L301" s="439">
        <f t="shared" si="282"/>
        <v>0</v>
      </c>
      <c r="M301" s="340" t="str">
        <f t="shared" si="273"/>
        <v>-</v>
      </c>
      <c r="N301" s="264" t="str">
        <f t="shared" si="274"/>
        <v>-</v>
      </c>
      <c r="O301" s="512">
        <v>5.5069999999999997</v>
      </c>
      <c r="P301" s="407">
        <f t="shared" si="263"/>
        <v>0</v>
      </c>
      <c r="Q301" s="452">
        <f t="shared" si="264"/>
        <v>0</v>
      </c>
    </row>
    <row r="302" spans="1:17" ht="23.4" x14ac:dyDescent="0.4">
      <c r="A302" s="248"/>
      <c r="B302" s="1035" t="s">
        <v>281</v>
      </c>
      <c r="C302" s="548" t="s">
        <v>277</v>
      </c>
      <c r="D302" s="279"/>
      <c r="E302" s="439"/>
      <c r="F302" s="336">
        <f t="shared" si="265"/>
        <v>0</v>
      </c>
      <c r="G302" s="281">
        <v>0</v>
      </c>
      <c r="H302" s="281">
        <v>0</v>
      </c>
      <c r="I302" s="355" t="str">
        <f>IFERROR(F302/#REF!,"-")</f>
        <v>-</v>
      </c>
      <c r="J302" s="336">
        <f t="shared" si="266"/>
        <v>0</v>
      </c>
      <c r="K302" s="281">
        <f t="shared" si="281"/>
        <v>0</v>
      </c>
      <c r="L302" s="439">
        <f t="shared" si="282"/>
        <v>0</v>
      </c>
      <c r="M302" s="340" t="str">
        <f t="shared" si="273"/>
        <v>-</v>
      </c>
      <c r="N302" s="264" t="str">
        <f t="shared" si="274"/>
        <v>-</v>
      </c>
      <c r="O302" s="512">
        <v>5.6550000000000002</v>
      </c>
      <c r="P302" s="407">
        <f t="shared" si="263"/>
        <v>0</v>
      </c>
      <c r="Q302" s="452">
        <f t="shared" si="264"/>
        <v>0</v>
      </c>
    </row>
    <row r="303" spans="1:17" ht="23.4" x14ac:dyDescent="0.4">
      <c r="A303" s="248"/>
      <c r="B303" s="1036"/>
      <c r="C303" s="548" t="s">
        <v>278</v>
      </c>
      <c r="D303" s="279"/>
      <c r="E303" s="439"/>
      <c r="F303" s="336">
        <f t="shared" si="265"/>
        <v>0</v>
      </c>
      <c r="G303" s="281">
        <v>0</v>
      </c>
      <c r="H303" s="281">
        <v>0</v>
      </c>
      <c r="I303" s="355" t="str">
        <f>IFERROR(F303/#REF!,"-")</f>
        <v>-</v>
      </c>
      <c r="J303" s="336">
        <f t="shared" si="266"/>
        <v>0</v>
      </c>
      <c r="K303" s="281">
        <f t="shared" si="281"/>
        <v>0</v>
      </c>
      <c r="L303" s="439">
        <f t="shared" si="282"/>
        <v>0</v>
      </c>
      <c r="M303" s="340" t="str">
        <f t="shared" si="273"/>
        <v>-</v>
      </c>
      <c r="N303" s="264" t="str">
        <f t="shared" si="274"/>
        <v>-</v>
      </c>
      <c r="O303" s="512">
        <v>5.6550000000000002</v>
      </c>
      <c r="P303" s="407">
        <f t="shared" si="263"/>
        <v>0</v>
      </c>
      <c r="Q303" s="452">
        <f t="shared" si="264"/>
        <v>0</v>
      </c>
    </row>
    <row r="304" spans="1:17" ht="23.4" x14ac:dyDescent="0.4">
      <c r="A304" s="248"/>
      <c r="B304" s="1036"/>
      <c r="C304" s="548" t="s">
        <v>355</v>
      </c>
      <c r="D304" s="279"/>
      <c r="E304" s="439"/>
      <c r="F304" s="336">
        <f t="shared" si="265"/>
        <v>24070</v>
      </c>
      <c r="G304" s="281">
        <v>23450</v>
      </c>
      <c r="H304" s="281">
        <v>620</v>
      </c>
      <c r="I304" s="355" t="str">
        <f>IFERROR(F304/#REF!,"-")</f>
        <v>-</v>
      </c>
      <c r="J304" s="336">
        <f t="shared" si="266"/>
        <v>171038</v>
      </c>
      <c r="K304" s="730">
        <f t="shared" si="281"/>
        <v>165700</v>
      </c>
      <c r="L304" s="731">
        <f t="shared" si="282"/>
        <v>5338</v>
      </c>
      <c r="M304" s="340" t="str">
        <f t="shared" si="273"/>
        <v>-</v>
      </c>
      <c r="N304" s="264">
        <f t="shared" si="274"/>
        <v>3.1209438838152925E-2</v>
      </c>
      <c r="O304" s="512">
        <v>5.6550000000000002</v>
      </c>
      <c r="P304" s="407">
        <f t="shared" si="263"/>
        <v>132609.75</v>
      </c>
      <c r="Q304" s="452">
        <f t="shared" si="264"/>
        <v>937033.5</v>
      </c>
    </row>
    <row r="305" spans="1:17" ht="23.4" x14ac:dyDescent="0.4">
      <c r="A305" s="248"/>
      <c r="B305" s="1036"/>
      <c r="C305" s="548" t="s">
        <v>279</v>
      </c>
      <c r="D305" s="279"/>
      <c r="E305" s="439"/>
      <c r="F305" s="336">
        <f t="shared" si="265"/>
        <v>0</v>
      </c>
      <c r="G305" s="281">
        <v>0</v>
      </c>
      <c r="H305" s="281">
        <v>0</v>
      </c>
      <c r="I305" s="355" t="str">
        <f>IFERROR(F305/#REF!,"-")</f>
        <v>-</v>
      </c>
      <c r="J305" s="336">
        <f t="shared" si="266"/>
        <v>0</v>
      </c>
      <c r="K305" s="281">
        <f t="shared" si="281"/>
        <v>0</v>
      </c>
      <c r="L305" s="439">
        <f t="shared" si="282"/>
        <v>0</v>
      </c>
      <c r="M305" s="340" t="str">
        <f t="shared" si="273"/>
        <v>-</v>
      </c>
      <c r="N305" s="264" t="str">
        <f t="shared" si="274"/>
        <v>-</v>
      </c>
      <c r="O305" s="512">
        <v>5.6550000000000002</v>
      </c>
      <c r="P305" s="407">
        <f t="shared" si="263"/>
        <v>0</v>
      </c>
      <c r="Q305" s="452">
        <f t="shared" si="264"/>
        <v>0</v>
      </c>
    </row>
    <row r="306" spans="1:17" ht="23.4" x14ac:dyDescent="0.4">
      <c r="A306" s="248" t="s">
        <v>108</v>
      </c>
      <c r="B306" s="1036"/>
      <c r="C306" s="548" t="s">
        <v>280</v>
      </c>
      <c r="D306" s="279"/>
      <c r="E306" s="439"/>
      <c r="F306" s="336">
        <f t="shared" si="265"/>
        <v>0</v>
      </c>
      <c r="G306" s="281">
        <v>0</v>
      </c>
      <c r="H306" s="281">
        <v>0</v>
      </c>
      <c r="I306" s="355" t="str">
        <f>IFERROR(F306/#REF!,"-")</f>
        <v>-</v>
      </c>
      <c r="J306" s="336">
        <f t="shared" si="266"/>
        <v>0</v>
      </c>
      <c r="K306" s="281">
        <f t="shared" si="281"/>
        <v>0</v>
      </c>
      <c r="L306" s="439">
        <f t="shared" si="282"/>
        <v>0</v>
      </c>
      <c r="M306" s="340" t="str">
        <f t="shared" si="273"/>
        <v>-</v>
      </c>
      <c r="N306" s="264" t="str">
        <f t="shared" si="274"/>
        <v>-</v>
      </c>
      <c r="O306" s="512">
        <v>3.2963</v>
      </c>
      <c r="P306" s="407">
        <f t="shared" si="263"/>
        <v>0</v>
      </c>
      <c r="Q306" s="452">
        <f t="shared" si="264"/>
        <v>0</v>
      </c>
    </row>
    <row r="307" spans="1:17" ht="24" thickBot="1" x14ac:dyDescent="0.45">
      <c r="A307" s="248" t="s">
        <v>108</v>
      </c>
      <c r="B307" s="1037"/>
      <c r="C307" s="548" t="s">
        <v>275</v>
      </c>
      <c r="D307" s="279"/>
      <c r="E307" s="439"/>
      <c r="F307" s="336">
        <f t="shared" si="265"/>
        <v>0</v>
      </c>
      <c r="G307" s="281">
        <v>0</v>
      </c>
      <c r="H307" s="281">
        <v>0</v>
      </c>
      <c r="I307" s="355" t="str">
        <f>IFERROR(F307/#REF!,"-")</f>
        <v>-</v>
      </c>
      <c r="J307" s="336">
        <f t="shared" si="266"/>
        <v>0</v>
      </c>
      <c r="K307" s="281">
        <f t="shared" si="281"/>
        <v>0</v>
      </c>
      <c r="L307" s="439">
        <f t="shared" si="282"/>
        <v>0</v>
      </c>
      <c r="M307" s="340" t="str">
        <f t="shared" si="273"/>
        <v>-</v>
      </c>
      <c r="N307" s="264" t="str">
        <f t="shared" si="274"/>
        <v>-</v>
      </c>
      <c r="O307" s="512">
        <v>3.2963</v>
      </c>
      <c r="P307" s="407">
        <f t="shared" si="263"/>
        <v>0</v>
      </c>
      <c r="Q307" s="452">
        <f t="shared" si="264"/>
        <v>0</v>
      </c>
    </row>
    <row r="308" spans="1:17" ht="23.4" x14ac:dyDescent="0.4">
      <c r="A308" s="248" t="s">
        <v>108</v>
      </c>
      <c r="B308" s="552"/>
      <c r="C308" s="549" t="s">
        <v>92</v>
      </c>
      <c r="D308" s="516"/>
      <c r="E308" s="439"/>
      <c r="F308" s="336">
        <f t="shared" si="265"/>
        <v>0</v>
      </c>
      <c r="G308" s="281">
        <v>0</v>
      </c>
      <c r="H308" s="281">
        <v>0</v>
      </c>
      <c r="I308" s="355" t="str">
        <f>IFERROR(F308/#REF!,"-")</f>
        <v>-</v>
      </c>
      <c r="J308" s="336">
        <f t="shared" si="266"/>
        <v>0</v>
      </c>
      <c r="K308" s="281">
        <f t="shared" si="281"/>
        <v>0</v>
      </c>
      <c r="L308" s="439">
        <f t="shared" si="282"/>
        <v>0</v>
      </c>
      <c r="M308" s="340" t="str">
        <f t="shared" si="273"/>
        <v>-</v>
      </c>
      <c r="N308" s="264" t="str">
        <f t="shared" si="274"/>
        <v>-</v>
      </c>
      <c r="O308" s="512">
        <v>2.3201000000000001</v>
      </c>
      <c r="P308" s="407">
        <f t="shared" si="263"/>
        <v>0</v>
      </c>
      <c r="Q308" s="452">
        <f t="shared" si="264"/>
        <v>0</v>
      </c>
    </row>
    <row r="309" spans="1:17" ht="24" thickBot="1" x14ac:dyDescent="0.35">
      <c r="A309" s="248" t="s">
        <v>108</v>
      </c>
      <c r="B309" s="529"/>
      <c r="C309" s="546"/>
      <c r="D309" s="535"/>
      <c r="E309" s="466"/>
      <c r="F309" s="464">
        <f t="shared" si="265"/>
        <v>0</v>
      </c>
      <c r="G309" s="465">
        <v>0</v>
      </c>
      <c r="H309" s="465">
        <v>0</v>
      </c>
      <c r="I309" s="537" t="str">
        <f>IFERROR(F309/#REF!,"-")</f>
        <v>-</v>
      </c>
      <c r="J309" s="464">
        <f t="shared" si="266"/>
        <v>0</v>
      </c>
      <c r="K309" s="465">
        <f t="shared" si="281"/>
        <v>0</v>
      </c>
      <c r="L309" s="466">
        <f t="shared" si="282"/>
        <v>0</v>
      </c>
      <c r="M309" s="726" t="str">
        <f t="shared" si="273"/>
        <v>-</v>
      </c>
      <c r="N309" s="266" t="str">
        <f t="shared" si="274"/>
        <v>-</v>
      </c>
      <c r="O309" s="544"/>
      <c r="P309" s="541">
        <f t="shared" si="263"/>
        <v>0</v>
      </c>
      <c r="Q309" s="542">
        <f t="shared" si="264"/>
        <v>0</v>
      </c>
    </row>
    <row r="310" spans="1:17" ht="24" thickBot="1" x14ac:dyDescent="0.35">
      <c r="A310" s="277" t="s">
        <v>108</v>
      </c>
      <c r="B310" s="1060" t="s">
        <v>25</v>
      </c>
      <c r="C310" s="1061"/>
      <c r="D310" s="518">
        <f>SUM(D283:D309)</f>
        <v>0</v>
      </c>
      <c r="E310" s="531">
        <v>100000</v>
      </c>
      <c r="F310" s="524">
        <f>SUM(F278:F309)</f>
        <v>88157</v>
      </c>
      <c r="G310" s="524">
        <f>SUM(G278:G309)</f>
        <v>86100</v>
      </c>
      <c r="H310" s="524">
        <f>SUM(H283:H309)</f>
        <v>2032</v>
      </c>
      <c r="I310" s="525" t="str">
        <f>IFERROR(F310/#REF!,"-")</f>
        <v>-</v>
      </c>
      <c r="J310" s="518">
        <f>SUM(J278:J309)</f>
        <v>545219</v>
      </c>
      <c r="K310" s="518">
        <f t="shared" ref="K310:L310" si="283">SUM(K278:K309)</f>
        <v>533159</v>
      </c>
      <c r="L310" s="518">
        <f t="shared" si="283"/>
        <v>12060</v>
      </c>
      <c r="M310" s="526" t="str">
        <f t="shared" si="273"/>
        <v>-</v>
      </c>
      <c r="N310" s="525">
        <f t="shared" si="274"/>
        <v>2.2119551959854662E-2</v>
      </c>
      <c r="O310" s="527"/>
      <c r="P310" s="528">
        <f>SUM(P278:P309)</f>
        <v>841969.54100000008</v>
      </c>
      <c r="Q310" s="528">
        <f>SUM(Q278:Q309)</f>
        <v>3976924.8887</v>
      </c>
    </row>
    <row r="311" spans="1:17" ht="24" thickBot="1" x14ac:dyDescent="0.35">
      <c r="A311" s="321" t="s">
        <v>108</v>
      </c>
      <c r="B311" s="1062" t="s">
        <v>269</v>
      </c>
      <c r="C311" s="982"/>
      <c r="D311" s="329">
        <f>+D282+D310</f>
        <v>0</v>
      </c>
      <c r="E311" s="330">
        <f>+E282+E310</f>
        <v>100000</v>
      </c>
      <c r="F311" s="329">
        <f>+F310</f>
        <v>88157</v>
      </c>
      <c r="G311" s="329">
        <f t="shared" ref="G311:H311" si="284">+G310</f>
        <v>86100</v>
      </c>
      <c r="H311" s="329">
        <f t="shared" si="284"/>
        <v>2032</v>
      </c>
      <c r="I311" s="352" t="str">
        <f>IFERROR(F311/#REF!,"-")</f>
        <v>-</v>
      </c>
      <c r="J311" s="329">
        <f>+J310</f>
        <v>545219</v>
      </c>
      <c r="K311" s="329">
        <f t="shared" ref="K311:L311" si="285">+K310</f>
        <v>533159</v>
      </c>
      <c r="L311" s="329">
        <f t="shared" si="285"/>
        <v>12060</v>
      </c>
      <c r="M311" s="344" t="str">
        <f t="shared" si="273"/>
        <v>-</v>
      </c>
      <c r="N311" s="352">
        <f t="shared" si="274"/>
        <v>2.2119551959854662E-2</v>
      </c>
      <c r="O311" s="397"/>
      <c r="P311" s="413">
        <f>+P310</f>
        <v>841969.54100000008</v>
      </c>
      <c r="Q311" s="431">
        <f>Q310</f>
        <v>3976924.8887</v>
      </c>
    </row>
    <row r="312" spans="1:17" ht="24.6" thickBot="1" x14ac:dyDescent="0.35">
      <c r="A312" s="322"/>
      <c r="B312" s="964" t="s">
        <v>182</v>
      </c>
      <c r="C312" s="965"/>
      <c r="D312" s="377">
        <f>+D311+D277+D268</f>
        <v>0</v>
      </c>
      <c r="E312" s="377">
        <f>+E311+E277+E268</f>
        <v>230000</v>
      </c>
      <c r="F312" s="377">
        <f>+F311+F277+F268</f>
        <v>281731</v>
      </c>
      <c r="G312" s="377">
        <f>+G311+G277+G268</f>
        <v>275240</v>
      </c>
      <c r="H312" s="377">
        <f>+H311+H277+H268</f>
        <v>6466</v>
      </c>
      <c r="I312" s="378" t="str">
        <f>IFERROR(F312/#REF!,"-")</f>
        <v>-</v>
      </c>
      <c r="J312" s="377">
        <f>+J311+J277+J268</f>
        <v>1525279</v>
      </c>
      <c r="K312" s="377">
        <f>+K311+K277+K268</f>
        <v>1496609</v>
      </c>
      <c r="L312" s="377">
        <f>+L311+L277+L268</f>
        <v>28670</v>
      </c>
      <c r="M312" s="378" t="str">
        <f t="shared" si="273"/>
        <v>-</v>
      </c>
      <c r="N312" s="378">
        <f>IFERROR(L312/J312,"-")</f>
        <v>1.8796561153729907E-2</v>
      </c>
      <c r="O312" s="404"/>
      <c r="P312" s="421">
        <f>+P311+P277+P268</f>
        <v>1881375.8149999999</v>
      </c>
      <c r="Q312" s="421">
        <f>+Q311+Q277+Q268</f>
        <v>8302702.0937000001</v>
      </c>
    </row>
    <row r="313" spans="1:17" ht="23.4" x14ac:dyDescent="0.3">
      <c r="A313" s="991" t="s">
        <v>1</v>
      </c>
      <c r="B313" s="994" t="s">
        <v>2</v>
      </c>
      <c r="C313" s="997" t="s">
        <v>3</v>
      </c>
      <c r="D313" s="1000" t="s">
        <v>4</v>
      </c>
      <c r="E313" s="1001"/>
      <c r="F313" s="1001"/>
      <c r="G313" s="1001"/>
      <c r="H313" s="1001"/>
      <c r="I313" s="1001"/>
      <c r="J313" s="1001"/>
      <c r="K313" s="1001"/>
      <c r="L313" s="1001"/>
      <c r="M313" s="1001"/>
      <c r="N313" s="1002"/>
      <c r="O313" s="1021" t="s">
        <v>175</v>
      </c>
      <c r="P313" s="1022"/>
      <c r="Q313" s="1052"/>
    </row>
    <row r="314" spans="1:17" ht="23.4" x14ac:dyDescent="0.3">
      <c r="A314" s="992"/>
      <c r="B314" s="995"/>
      <c r="C314" s="998"/>
      <c r="D314" s="1003" t="s">
        <v>7</v>
      </c>
      <c r="E314" s="1005" t="s">
        <v>115</v>
      </c>
      <c r="F314" s="1053" t="s">
        <v>457</v>
      </c>
      <c r="G314" s="1008"/>
      <c r="H314" s="1008"/>
      <c r="I314" s="1009"/>
      <c r="J314" s="1010" t="s">
        <v>8</v>
      </c>
      <c r="K314" s="1011"/>
      <c r="L314" s="1012"/>
      <c r="M314" s="1013" t="s">
        <v>173</v>
      </c>
      <c r="N314" s="1015" t="s">
        <v>172</v>
      </c>
      <c r="O314" s="1023" t="s">
        <v>177</v>
      </c>
      <c r="P314" s="1024"/>
      <c r="Q314" s="1025"/>
    </row>
    <row r="315" spans="1:17" ht="47.4" thickBot="1" x14ac:dyDescent="0.35">
      <c r="A315" s="993"/>
      <c r="B315" s="996"/>
      <c r="C315" s="999"/>
      <c r="D315" s="1004"/>
      <c r="E315" s="1006"/>
      <c r="F315" s="455" t="s">
        <v>13</v>
      </c>
      <c r="G315" s="456" t="s">
        <v>14</v>
      </c>
      <c r="H315" s="456" t="s">
        <v>15</v>
      </c>
      <c r="I315" s="457" t="s">
        <v>174</v>
      </c>
      <c r="J315" s="712" t="s">
        <v>13</v>
      </c>
      <c r="K315" s="710" t="s">
        <v>14</v>
      </c>
      <c r="L315" s="711" t="s">
        <v>15</v>
      </c>
      <c r="M315" s="1014"/>
      <c r="N315" s="1016"/>
      <c r="O315" s="447" t="s">
        <v>178</v>
      </c>
      <c r="P315" s="448" t="s">
        <v>11</v>
      </c>
      <c r="Q315" s="449" t="s">
        <v>12</v>
      </c>
    </row>
    <row r="316" spans="1:17" ht="23.4" x14ac:dyDescent="0.3">
      <c r="A316" s="271" t="s">
        <v>110</v>
      </c>
      <c r="B316" s="442"/>
      <c r="C316" s="272" t="s">
        <v>266</v>
      </c>
      <c r="D316" s="273"/>
      <c r="E316" s="274"/>
      <c r="F316" s="335">
        <f>+G316+H316</f>
        <v>91470</v>
      </c>
      <c r="G316" s="275">
        <v>89040</v>
      </c>
      <c r="H316" s="275">
        <v>2430</v>
      </c>
      <c r="I316" s="354" t="str">
        <f>IFERROR(F316/#REF!,"-")</f>
        <v>-</v>
      </c>
      <c r="J316" s="461">
        <f>+K316+L316</f>
        <v>91470</v>
      </c>
      <c r="K316" s="462">
        <f>+K254+G316</f>
        <v>89040</v>
      </c>
      <c r="L316" s="463">
        <f>+L254+H316</f>
        <v>2430</v>
      </c>
      <c r="M316" s="339" t="str">
        <f>IFERROR(J316/D316,"-")</f>
        <v>-</v>
      </c>
      <c r="N316" s="346">
        <f t="shared" ref="N316:N317" si="286">IFERROR(L316/J316,"-")</f>
        <v>2.6566087241718595E-2</v>
      </c>
      <c r="O316" s="511">
        <v>1.5669</v>
      </c>
      <c r="P316" s="405">
        <f>+O316*G316</f>
        <v>139516.77599999998</v>
      </c>
      <c r="Q316" s="450">
        <f>+O316*K316</f>
        <v>139516.77599999998</v>
      </c>
    </row>
    <row r="317" spans="1:17" ht="23.4" x14ac:dyDescent="0.3">
      <c r="A317" s="277" t="s">
        <v>110</v>
      </c>
      <c r="B317" s="441"/>
      <c r="C317" s="278" t="s">
        <v>265</v>
      </c>
      <c r="D317" s="279"/>
      <c r="E317" s="280"/>
      <c r="F317" s="336">
        <f t="shared" ref="F317:F320" si="287">+G317+H317</f>
        <v>96524</v>
      </c>
      <c r="G317" s="281">
        <v>95750</v>
      </c>
      <c r="H317" s="281">
        <v>774</v>
      </c>
      <c r="I317" s="355" t="str">
        <f>IFERROR(F317/#REF!,"-")</f>
        <v>-</v>
      </c>
      <c r="J317" s="336">
        <f t="shared" ref="J317:J320" si="288">+K317+L317</f>
        <v>675318</v>
      </c>
      <c r="K317" s="281">
        <f t="shared" ref="K317:L317" si="289">+K255+G317</f>
        <v>670750</v>
      </c>
      <c r="L317" s="439">
        <f t="shared" si="289"/>
        <v>4568</v>
      </c>
      <c r="M317" s="340" t="str">
        <f t="shared" ref="M317:M320" si="290">IFERROR(J317/D317,"-")</f>
        <v>-</v>
      </c>
      <c r="N317" s="268">
        <f t="shared" si="286"/>
        <v>6.7642207078739205E-3</v>
      </c>
      <c r="O317" s="512">
        <v>2.3978999999999999</v>
      </c>
      <c r="P317" s="407">
        <f>+O317*G317</f>
        <v>229598.92499999999</v>
      </c>
      <c r="Q317" s="452">
        <f>+O317*K317</f>
        <v>1608391.425</v>
      </c>
    </row>
    <row r="318" spans="1:17" ht="23.4" x14ac:dyDescent="0.3">
      <c r="A318" s="277" t="s">
        <v>110</v>
      </c>
      <c r="B318" s="441"/>
      <c r="C318" s="278" t="s">
        <v>409</v>
      </c>
      <c r="D318" s="279"/>
      <c r="E318" s="280"/>
      <c r="F318" s="336">
        <f t="shared" si="287"/>
        <v>0</v>
      </c>
      <c r="G318" s="281"/>
      <c r="H318" s="281"/>
      <c r="I318" s="355" t="str">
        <f>IFERROR(F318/#REF!,"-")</f>
        <v>-</v>
      </c>
      <c r="J318" s="336">
        <f t="shared" si="288"/>
        <v>0</v>
      </c>
      <c r="K318" s="281">
        <f t="shared" ref="K318:L318" si="291">+K256+G318</f>
        <v>0</v>
      </c>
      <c r="L318" s="439">
        <f t="shared" si="291"/>
        <v>0</v>
      </c>
      <c r="M318" s="340" t="str">
        <f t="shared" si="290"/>
        <v>-</v>
      </c>
      <c r="N318" s="268" t="str">
        <f>IFERROR(L318/J318,"-")</f>
        <v>-</v>
      </c>
      <c r="O318" s="513">
        <v>4.6797000000000004</v>
      </c>
      <c r="P318" s="407">
        <f t="shared" ref="P318:P320" si="292">+O318*G318</f>
        <v>0</v>
      </c>
      <c r="Q318" s="452">
        <f t="shared" ref="Q318:Q320" si="293">+O318*K318</f>
        <v>0</v>
      </c>
    </row>
    <row r="319" spans="1:17" ht="23.4" x14ac:dyDescent="0.3">
      <c r="A319" s="277"/>
      <c r="B319" s="454"/>
      <c r="C319" s="278" t="s">
        <v>353</v>
      </c>
      <c r="D319" s="283"/>
      <c r="E319" s="284"/>
      <c r="F319" s="336">
        <f t="shared" si="287"/>
        <v>22224</v>
      </c>
      <c r="G319" s="285">
        <v>22000</v>
      </c>
      <c r="H319" s="285">
        <v>224</v>
      </c>
      <c r="I319" s="355" t="str">
        <f>IFERROR(F319/#REF!,"-")</f>
        <v>-</v>
      </c>
      <c r="J319" s="336">
        <f t="shared" si="288"/>
        <v>109441</v>
      </c>
      <c r="K319" s="281">
        <f t="shared" ref="K319:L319" si="294">+K257+G319</f>
        <v>106600</v>
      </c>
      <c r="L319" s="439">
        <f t="shared" si="294"/>
        <v>2841</v>
      </c>
      <c r="M319" s="340" t="str">
        <f t="shared" si="290"/>
        <v>-</v>
      </c>
      <c r="N319" s="268">
        <f>IFERROR(L319/J319,"-")</f>
        <v>2.5959192624336401E-2</v>
      </c>
      <c r="O319" s="513">
        <v>12.284700000000001</v>
      </c>
      <c r="P319" s="407">
        <f t="shared" si="292"/>
        <v>270263.40000000002</v>
      </c>
      <c r="Q319" s="452">
        <f t="shared" si="293"/>
        <v>1309549.02</v>
      </c>
    </row>
    <row r="320" spans="1:17" ht="24" thickBot="1" x14ac:dyDescent="0.35">
      <c r="A320" s="277" t="s">
        <v>110</v>
      </c>
      <c r="B320" s="454"/>
      <c r="C320" s="278" t="s">
        <v>408</v>
      </c>
      <c r="D320" s="283"/>
      <c r="E320" s="284"/>
      <c r="F320" s="337">
        <f t="shared" si="287"/>
        <v>0</v>
      </c>
      <c r="G320" s="285"/>
      <c r="H320" s="285"/>
      <c r="I320" s="356" t="str">
        <f>IFERROR(F320/#REF!,"-")</f>
        <v>-</v>
      </c>
      <c r="J320" s="464">
        <f t="shared" si="288"/>
        <v>177284</v>
      </c>
      <c r="K320" s="465">
        <f t="shared" ref="K320:L320" si="295">+K258+G320</f>
        <v>168250</v>
      </c>
      <c r="L320" s="466">
        <f t="shared" si="295"/>
        <v>9034</v>
      </c>
      <c r="M320" s="341" t="str">
        <f t="shared" si="290"/>
        <v>-</v>
      </c>
      <c r="N320" s="347">
        <f t="shared" ref="N320:N332" si="296">IFERROR(L320/J320,"-")</f>
        <v>5.0957785248527787E-2</v>
      </c>
      <c r="O320" s="513">
        <v>4.6797000000000004</v>
      </c>
      <c r="P320" s="408">
        <f t="shared" si="292"/>
        <v>0</v>
      </c>
      <c r="Q320" s="453">
        <f t="shared" si="293"/>
        <v>787359.52500000002</v>
      </c>
    </row>
    <row r="321" spans="1:17" ht="24" thickBot="1" x14ac:dyDescent="0.35">
      <c r="A321" s="277" t="s">
        <v>110</v>
      </c>
      <c r="B321" s="967" t="s">
        <v>21</v>
      </c>
      <c r="C321" s="968"/>
      <c r="D321" s="323">
        <f>SUM(D316:D320)</f>
        <v>0</v>
      </c>
      <c r="E321" s="288">
        <v>15000</v>
      </c>
      <c r="F321" s="323">
        <f>SUM(F316:F320)</f>
        <v>210218</v>
      </c>
      <c r="G321" s="324">
        <f>SUM(G316:G320)</f>
        <v>206790</v>
      </c>
      <c r="H321" s="324">
        <f>SUM(H316:H320)</f>
        <v>3428</v>
      </c>
      <c r="I321" s="348" t="str">
        <f>IFERROR(F321/#REF!,"-")</f>
        <v>-</v>
      </c>
      <c r="J321" s="323">
        <f>SUM(J316:J320)</f>
        <v>1053513</v>
      </c>
      <c r="K321" s="324">
        <f>SUM(K316:K320)</f>
        <v>1034640</v>
      </c>
      <c r="L321" s="325">
        <f>SUM(L316:L320)</f>
        <v>18873</v>
      </c>
      <c r="M321" s="342" t="str">
        <f>IFERROR(J321/D321,"-")</f>
        <v>-</v>
      </c>
      <c r="N321" s="348">
        <f t="shared" si="296"/>
        <v>1.7914349419513569E-2</v>
      </c>
      <c r="O321" s="394"/>
      <c r="P321" s="409">
        <f>SUM(P316:P320)</f>
        <v>639379.10100000002</v>
      </c>
      <c r="Q321" s="428">
        <f>SUM(Q316:Q320)</f>
        <v>3844816.7459999998</v>
      </c>
    </row>
    <row r="322" spans="1:17" ht="23.4" x14ac:dyDescent="0.3">
      <c r="A322" s="277" t="s">
        <v>110</v>
      </c>
      <c r="B322" s="442"/>
      <c r="C322" s="272" t="s">
        <v>264</v>
      </c>
      <c r="D322" s="273"/>
      <c r="E322" s="274"/>
      <c r="F322" s="335">
        <f t="shared" ref="F322:F328" si="297">+G322+H322</f>
        <v>12454</v>
      </c>
      <c r="G322" s="275">
        <v>12240</v>
      </c>
      <c r="H322" s="275">
        <v>214</v>
      </c>
      <c r="I322" s="354" t="str">
        <f>IFERROR(F322/#REF!,"-")</f>
        <v>-</v>
      </c>
      <c r="J322" s="461">
        <f t="shared" ref="J322:J328" si="298">+K322+L322</f>
        <v>34540</v>
      </c>
      <c r="K322" s="462">
        <f t="shared" ref="K322:L322" si="299">+K260+G322</f>
        <v>33840</v>
      </c>
      <c r="L322" s="463">
        <f t="shared" si="299"/>
        <v>700</v>
      </c>
      <c r="M322" s="339" t="str">
        <f t="shared" ref="M322:M330" si="300">IFERROR(J322/D322,"-")</f>
        <v>-</v>
      </c>
      <c r="N322" s="349">
        <f t="shared" si="296"/>
        <v>2.0266357845975681E-2</v>
      </c>
      <c r="O322" s="511">
        <v>18.2316</v>
      </c>
      <c r="P322" s="405">
        <f t="shared" ref="P322:P328" si="301">+O322*G322</f>
        <v>223154.78400000001</v>
      </c>
      <c r="Q322" s="450">
        <f t="shared" ref="Q322:Q328" si="302">+O322*K322</f>
        <v>616957.34400000004</v>
      </c>
    </row>
    <row r="323" spans="1:17" ht="23.4" x14ac:dyDescent="0.3">
      <c r="A323" s="277" t="s">
        <v>110</v>
      </c>
      <c r="B323" s="441"/>
      <c r="C323" s="278" t="s">
        <v>92</v>
      </c>
      <c r="D323" s="279"/>
      <c r="E323" s="280"/>
      <c r="F323" s="336">
        <f t="shared" si="297"/>
        <v>0</v>
      </c>
      <c r="G323" s="281"/>
      <c r="H323" s="281"/>
      <c r="I323" s="355" t="str">
        <f>IFERROR(F323/#REF!,"-")</f>
        <v>-</v>
      </c>
      <c r="J323" s="336">
        <f t="shared" si="298"/>
        <v>60000</v>
      </c>
      <c r="K323" s="281">
        <f t="shared" ref="K323:L323" si="303">+K261+G323</f>
        <v>60000</v>
      </c>
      <c r="L323" s="439">
        <f t="shared" si="303"/>
        <v>0</v>
      </c>
      <c r="M323" s="340" t="str">
        <f t="shared" si="300"/>
        <v>-</v>
      </c>
      <c r="N323" s="264">
        <f t="shared" si="296"/>
        <v>0</v>
      </c>
      <c r="O323" s="512">
        <v>1.2824</v>
      </c>
      <c r="P323" s="407">
        <f t="shared" si="301"/>
        <v>0</v>
      </c>
      <c r="Q323" s="452">
        <f t="shared" si="302"/>
        <v>76944</v>
      </c>
    </row>
    <row r="324" spans="1:17" ht="23.4" x14ac:dyDescent="0.3">
      <c r="A324" s="277" t="s">
        <v>110</v>
      </c>
      <c r="B324" s="441"/>
      <c r="C324" s="278" t="s">
        <v>329</v>
      </c>
      <c r="D324" s="279"/>
      <c r="E324" s="280"/>
      <c r="F324" s="336">
        <f t="shared" si="297"/>
        <v>0</v>
      </c>
      <c r="G324" s="281"/>
      <c r="H324" s="281"/>
      <c r="I324" s="355" t="str">
        <f>IFERROR(F324/#REF!,"-")</f>
        <v>-</v>
      </c>
      <c r="J324" s="336">
        <f t="shared" si="298"/>
        <v>0</v>
      </c>
      <c r="K324" s="281">
        <f t="shared" ref="K324:L324" si="304">+K262+G324</f>
        <v>0</v>
      </c>
      <c r="L324" s="439">
        <f t="shared" si="304"/>
        <v>0</v>
      </c>
      <c r="M324" s="340" t="str">
        <f t="shared" si="300"/>
        <v>-</v>
      </c>
      <c r="N324" s="264" t="str">
        <f t="shared" si="296"/>
        <v>-</v>
      </c>
      <c r="O324" s="512">
        <v>5.7342000000000004</v>
      </c>
      <c r="P324" s="407">
        <f t="shared" si="301"/>
        <v>0</v>
      </c>
      <c r="Q324" s="452">
        <f t="shared" si="302"/>
        <v>0</v>
      </c>
    </row>
    <row r="325" spans="1:17" ht="23.4" x14ac:dyDescent="0.3">
      <c r="A325" s="277" t="s">
        <v>110</v>
      </c>
      <c r="B325" s="441"/>
      <c r="C325" s="278" t="s">
        <v>346</v>
      </c>
      <c r="D325" s="279"/>
      <c r="E325" s="280"/>
      <c r="F325" s="336">
        <f t="shared" si="297"/>
        <v>0</v>
      </c>
      <c r="G325" s="281"/>
      <c r="H325" s="281"/>
      <c r="I325" s="355" t="str">
        <f>IFERROR(F325/#REF!,"-")</f>
        <v>-</v>
      </c>
      <c r="J325" s="336">
        <f t="shared" si="298"/>
        <v>0</v>
      </c>
      <c r="K325" s="281">
        <f t="shared" ref="K325:L325" si="305">+K263+G325</f>
        <v>0</v>
      </c>
      <c r="L325" s="439">
        <f t="shared" si="305"/>
        <v>0</v>
      </c>
      <c r="M325" s="340" t="str">
        <f t="shared" si="300"/>
        <v>-</v>
      </c>
      <c r="N325" s="264" t="str">
        <f t="shared" si="296"/>
        <v>-</v>
      </c>
      <c r="O325" s="512"/>
      <c r="P325" s="407">
        <f t="shared" si="301"/>
        <v>0</v>
      </c>
      <c r="Q325" s="452">
        <f t="shared" si="302"/>
        <v>0</v>
      </c>
    </row>
    <row r="326" spans="1:17" ht="23.4" x14ac:dyDescent="0.3">
      <c r="A326" s="277" t="s">
        <v>110</v>
      </c>
      <c r="B326" s="441"/>
      <c r="C326" s="278" t="s">
        <v>354</v>
      </c>
      <c r="D326" s="279"/>
      <c r="E326" s="280"/>
      <c r="F326" s="336">
        <f t="shared" si="297"/>
        <v>18062</v>
      </c>
      <c r="G326" s="281">
        <v>18000</v>
      </c>
      <c r="H326" s="281">
        <v>62</v>
      </c>
      <c r="I326" s="355" t="str">
        <f>IFERROR(F326/#REF!,"-")</f>
        <v>-</v>
      </c>
      <c r="J326" s="336">
        <f t="shared" si="298"/>
        <v>72741</v>
      </c>
      <c r="K326" s="281">
        <f t="shared" ref="K326:L326" si="306">+K264+G326</f>
        <v>72000</v>
      </c>
      <c r="L326" s="439">
        <f t="shared" si="306"/>
        <v>741</v>
      </c>
      <c r="M326" s="340" t="str">
        <f t="shared" si="300"/>
        <v>-</v>
      </c>
      <c r="N326" s="264">
        <f t="shared" si="296"/>
        <v>1.0186827236359138E-2</v>
      </c>
      <c r="O326" s="512">
        <v>12.029500000000001</v>
      </c>
      <c r="P326" s="407">
        <f t="shared" si="301"/>
        <v>216531</v>
      </c>
      <c r="Q326" s="452">
        <f t="shared" si="302"/>
        <v>866124</v>
      </c>
    </row>
    <row r="327" spans="1:17" ht="23.4" x14ac:dyDescent="0.3">
      <c r="A327" s="277" t="s">
        <v>110</v>
      </c>
      <c r="B327" s="441"/>
      <c r="C327" s="278"/>
      <c r="D327" s="279"/>
      <c r="E327" s="280"/>
      <c r="F327" s="336">
        <f t="shared" si="297"/>
        <v>0</v>
      </c>
      <c r="G327" s="281"/>
      <c r="H327" s="281"/>
      <c r="I327" s="355" t="str">
        <f>IFERROR(F327/#REF!,"-")</f>
        <v>-</v>
      </c>
      <c r="J327" s="336">
        <f t="shared" si="298"/>
        <v>0</v>
      </c>
      <c r="K327" s="281">
        <f t="shared" ref="K327:L327" si="307">+K265+G327</f>
        <v>0</v>
      </c>
      <c r="L327" s="439">
        <f t="shared" si="307"/>
        <v>0</v>
      </c>
      <c r="M327" s="340" t="str">
        <f t="shared" si="300"/>
        <v>-</v>
      </c>
      <c r="N327" s="264" t="str">
        <f t="shared" si="296"/>
        <v>-</v>
      </c>
      <c r="O327" s="512"/>
      <c r="P327" s="407">
        <f t="shared" si="301"/>
        <v>0</v>
      </c>
      <c r="Q327" s="452">
        <f t="shared" si="302"/>
        <v>0</v>
      </c>
    </row>
    <row r="328" spans="1:17" ht="24" thickBot="1" x14ac:dyDescent="0.35">
      <c r="A328" s="277" t="s">
        <v>110</v>
      </c>
      <c r="B328" s="454"/>
      <c r="C328" s="282"/>
      <c r="D328" s="283">
        <v>0</v>
      </c>
      <c r="E328" s="284"/>
      <c r="F328" s="337">
        <f t="shared" si="297"/>
        <v>0</v>
      </c>
      <c r="G328" s="285"/>
      <c r="H328" s="285"/>
      <c r="I328" s="356" t="str">
        <f>IFERROR(F328/#REF!,"-")</f>
        <v>-</v>
      </c>
      <c r="J328" s="464">
        <f t="shared" si="298"/>
        <v>0</v>
      </c>
      <c r="K328" s="465">
        <f t="shared" ref="K328:L328" si="308">+K266+G328</f>
        <v>0</v>
      </c>
      <c r="L328" s="466">
        <f t="shared" si="308"/>
        <v>0</v>
      </c>
      <c r="M328" s="341" t="str">
        <f t="shared" si="300"/>
        <v>-</v>
      </c>
      <c r="N328" s="350" t="str">
        <f t="shared" si="296"/>
        <v>-</v>
      </c>
      <c r="O328" s="513"/>
      <c r="P328" s="408">
        <f t="shared" si="301"/>
        <v>0</v>
      </c>
      <c r="Q328" s="453">
        <f t="shared" si="302"/>
        <v>0</v>
      </c>
    </row>
    <row r="329" spans="1:17" ht="24" thickBot="1" x14ac:dyDescent="0.35">
      <c r="A329" s="277" t="s">
        <v>110</v>
      </c>
      <c r="B329" s="967" t="s">
        <v>25</v>
      </c>
      <c r="C329" s="968"/>
      <c r="D329" s="323">
        <f t="shared" ref="D329" si="309">SUM(D322:D328)</f>
        <v>0</v>
      </c>
      <c r="E329" s="288">
        <v>100000</v>
      </c>
      <c r="F329" s="323">
        <f>SUM(F322:F328)</f>
        <v>30516</v>
      </c>
      <c r="G329" s="324">
        <f t="shared" ref="G329:H329" si="310">SUM(G322:G328)</f>
        <v>30240</v>
      </c>
      <c r="H329" s="324">
        <f t="shared" si="310"/>
        <v>276</v>
      </c>
      <c r="I329" s="348" t="str">
        <f>IFERROR(F329/#REF!,"-")</f>
        <v>-</v>
      </c>
      <c r="J329" s="323">
        <f t="shared" ref="J329:L329" si="311">SUM(J322:J328)</f>
        <v>167281</v>
      </c>
      <c r="K329" s="324">
        <f t="shared" si="311"/>
        <v>165840</v>
      </c>
      <c r="L329" s="325">
        <f t="shared" si="311"/>
        <v>1441</v>
      </c>
      <c r="M329" s="342" t="str">
        <f t="shared" si="300"/>
        <v>-</v>
      </c>
      <c r="N329" s="348">
        <f t="shared" si="296"/>
        <v>8.6142478823058206E-3</v>
      </c>
      <c r="O329" s="394"/>
      <c r="P329" s="409">
        <f t="shared" ref="P329:Q329" si="312">SUM(P322:P328)</f>
        <v>439685.78399999999</v>
      </c>
      <c r="Q329" s="428">
        <f t="shared" si="312"/>
        <v>1560025.344</v>
      </c>
    </row>
    <row r="330" spans="1:17" ht="24" thickBot="1" x14ac:dyDescent="0.35">
      <c r="A330" s="277" t="s">
        <v>110</v>
      </c>
      <c r="B330" s="1057" t="s">
        <v>180</v>
      </c>
      <c r="C330" s="1040"/>
      <c r="D330" s="329">
        <f>+D321+D329</f>
        <v>0</v>
      </c>
      <c r="E330" s="330">
        <f t="shared" ref="E330:H330" si="313">+E321+E329</f>
        <v>115000</v>
      </c>
      <c r="F330" s="329">
        <f t="shared" si="313"/>
        <v>240734</v>
      </c>
      <c r="G330" s="327">
        <f t="shared" si="313"/>
        <v>237030</v>
      </c>
      <c r="H330" s="327">
        <f t="shared" si="313"/>
        <v>3704</v>
      </c>
      <c r="I330" s="352" t="str">
        <f>IFERROR(F330/#REF!,"-")</f>
        <v>-</v>
      </c>
      <c r="J330" s="329">
        <f t="shared" ref="J330:L330" si="314">+J321+J329</f>
        <v>1220794</v>
      </c>
      <c r="K330" s="327">
        <f t="shared" si="314"/>
        <v>1200480</v>
      </c>
      <c r="L330" s="328">
        <f t="shared" si="314"/>
        <v>20314</v>
      </c>
      <c r="M330" s="344" t="str">
        <f t="shared" si="300"/>
        <v>-</v>
      </c>
      <c r="N330" s="352">
        <f t="shared" si="296"/>
        <v>1.6639990039269525E-2</v>
      </c>
      <c r="O330" s="397"/>
      <c r="P330" s="413">
        <f t="shared" ref="P330:Q330" si="315">+P321+P329</f>
        <v>1079064.885</v>
      </c>
      <c r="Q330" s="431">
        <f t="shared" si="315"/>
        <v>5404842.0899999999</v>
      </c>
    </row>
    <row r="331" spans="1:17" ht="23.4" x14ac:dyDescent="0.3">
      <c r="A331" s="244" t="s">
        <v>108</v>
      </c>
      <c r="B331" s="591"/>
      <c r="C331" s="592" t="s">
        <v>306</v>
      </c>
      <c r="D331" s="532"/>
      <c r="E331" s="463"/>
      <c r="F331" s="461">
        <f>+G331+H331</f>
        <v>0</v>
      </c>
      <c r="G331" s="462">
        <v>0</v>
      </c>
      <c r="H331" s="462">
        <v>0</v>
      </c>
      <c r="I331" s="536" t="str">
        <f>IFERROR(F331/#REF!,"-")</f>
        <v>-</v>
      </c>
      <c r="J331" s="461">
        <f>+K331+L331</f>
        <v>0</v>
      </c>
      <c r="K331" s="462">
        <f t="shared" ref="K331:L331" si="316">+K269+G331</f>
        <v>0</v>
      </c>
      <c r="L331" s="463">
        <f t="shared" si="316"/>
        <v>0</v>
      </c>
      <c r="M331" s="596" t="str">
        <f>IFERROR(J331/D331,"-")</f>
        <v>-</v>
      </c>
      <c r="N331" s="538" t="str">
        <f t="shared" si="296"/>
        <v>-</v>
      </c>
      <c r="O331" s="638">
        <v>4.8285999999999998</v>
      </c>
      <c r="P331" s="539">
        <f t="shared" ref="P331:P337" si="317">+O331*G331</f>
        <v>0</v>
      </c>
      <c r="Q331" s="540">
        <f t="shared" ref="Q331:Q337" si="318">+O331*K331</f>
        <v>0</v>
      </c>
    </row>
    <row r="332" spans="1:17" ht="23.4" x14ac:dyDescent="0.3">
      <c r="A332" s="248" t="s">
        <v>108</v>
      </c>
      <c r="B332" s="593"/>
      <c r="C332" s="278" t="s">
        <v>307</v>
      </c>
      <c r="D332" s="279"/>
      <c r="E332" s="439"/>
      <c r="F332" s="336">
        <f t="shared" ref="F332:F337" si="319">+G332+H332</f>
        <v>0</v>
      </c>
      <c r="G332" s="281">
        <v>0</v>
      </c>
      <c r="H332" s="281">
        <v>0</v>
      </c>
      <c r="I332" s="355" t="str">
        <f>IFERROR(F332/#REF!,"-")</f>
        <v>-</v>
      </c>
      <c r="J332" s="336">
        <f t="shared" ref="J332:J337" si="320">+K332+L332</f>
        <v>0</v>
      </c>
      <c r="K332" s="281">
        <f t="shared" ref="K332:L332" si="321">+K270+G332</f>
        <v>0</v>
      </c>
      <c r="L332" s="439">
        <f t="shared" si="321"/>
        <v>0</v>
      </c>
      <c r="M332" s="340" t="str">
        <f t="shared" ref="M332:M334" si="322">IFERROR(J332/D332,"-")</f>
        <v>-</v>
      </c>
      <c r="N332" s="268" t="str">
        <f t="shared" si="296"/>
        <v>-</v>
      </c>
      <c r="O332" s="639">
        <v>1.4086000000000001</v>
      </c>
      <c r="P332" s="407">
        <f t="shared" si="317"/>
        <v>0</v>
      </c>
      <c r="Q332" s="452">
        <f t="shared" si="318"/>
        <v>0</v>
      </c>
    </row>
    <row r="333" spans="1:17" ht="23.4" x14ac:dyDescent="0.3">
      <c r="A333" s="248" t="s">
        <v>108</v>
      </c>
      <c r="B333" s="593"/>
      <c r="C333" s="278" t="s">
        <v>348</v>
      </c>
      <c r="D333" s="279"/>
      <c r="E333" s="439"/>
      <c r="F333" s="336">
        <f t="shared" si="319"/>
        <v>0</v>
      </c>
      <c r="G333" s="281">
        <v>0</v>
      </c>
      <c r="H333" s="281">
        <v>0</v>
      </c>
      <c r="I333" s="355" t="str">
        <f>IFERROR(F333/#REF!,"-")</f>
        <v>-</v>
      </c>
      <c r="J333" s="336">
        <f t="shared" si="320"/>
        <v>0</v>
      </c>
      <c r="K333" s="281">
        <f t="shared" ref="K333:L333" si="323">+K271+G333</f>
        <v>0</v>
      </c>
      <c r="L333" s="439">
        <f t="shared" si="323"/>
        <v>0</v>
      </c>
      <c r="M333" s="340" t="str">
        <f t="shared" si="322"/>
        <v>-</v>
      </c>
      <c r="N333" s="268" t="str">
        <f>IFERROR(L333/J333,"-")</f>
        <v>-</v>
      </c>
      <c r="O333" s="639">
        <v>2.2141000000000002</v>
      </c>
      <c r="P333" s="407">
        <f t="shared" si="317"/>
        <v>0</v>
      </c>
      <c r="Q333" s="452">
        <f t="shared" si="318"/>
        <v>0</v>
      </c>
    </row>
    <row r="334" spans="1:17" ht="23.4" x14ac:dyDescent="0.3">
      <c r="A334" s="248" t="s">
        <v>108</v>
      </c>
      <c r="B334" s="594"/>
      <c r="C334" s="278" t="s">
        <v>460</v>
      </c>
      <c r="D334" s="283"/>
      <c r="E334" s="533"/>
      <c r="F334" s="337">
        <f t="shared" si="319"/>
        <v>78675</v>
      </c>
      <c r="G334" s="285">
        <v>77500</v>
      </c>
      <c r="H334" s="285">
        <v>1175</v>
      </c>
      <c r="I334" s="356" t="str">
        <f>IFERROR(F334/#REF!,"-")</f>
        <v>-</v>
      </c>
      <c r="J334" s="336">
        <f t="shared" si="320"/>
        <v>78675</v>
      </c>
      <c r="K334" s="281">
        <f t="shared" ref="K334:L334" si="324">+K272+G334</f>
        <v>77500</v>
      </c>
      <c r="L334" s="439">
        <f t="shared" si="324"/>
        <v>1175</v>
      </c>
      <c r="M334" s="341" t="str">
        <f t="shared" si="322"/>
        <v>-</v>
      </c>
      <c r="N334" s="347">
        <f t="shared" ref="N334:N341" si="325">IFERROR(L334/J334,"-")</f>
        <v>1.4934858595487766E-2</v>
      </c>
      <c r="O334" s="640">
        <v>2.4565999999999999</v>
      </c>
      <c r="P334" s="408">
        <f t="shared" si="317"/>
        <v>190386.5</v>
      </c>
      <c r="Q334" s="453">
        <f t="shared" si="318"/>
        <v>190386.5</v>
      </c>
    </row>
    <row r="335" spans="1:17" ht="23.4" x14ac:dyDescent="0.3">
      <c r="A335" s="248" t="s">
        <v>108</v>
      </c>
      <c r="B335" s="443"/>
      <c r="C335" s="637" t="s">
        <v>393</v>
      </c>
      <c r="D335" s="514"/>
      <c r="E335" s="534"/>
      <c r="F335" s="336">
        <f t="shared" si="319"/>
        <v>0</v>
      </c>
      <c r="G335" s="553">
        <v>0</v>
      </c>
      <c r="H335" s="553">
        <v>0</v>
      </c>
      <c r="I335" s="355" t="str">
        <f>IFERROR(F335/#REF!,"-")</f>
        <v>-</v>
      </c>
      <c r="J335" s="336">
        <f t="shared" si="320"/>
        <v>0</v>
      </c>
      <c r="K335" s="281">
        <f t="shared" ref="K335:L335" si="326">+K273+G335</f>
        <v>0</v>
      </c>
      <c r="L335" s="439">
        <f t="shared" si="326"/>
        <v>0</v>
      </c>
      <c r="M335" s="725"/>
      <c r="N335" s="268" t="str">
        <f t="shared" si="325"/>
        <v>-</v>
      </c>
      <c r="O335" s="545">
        <v>4.8285999999999998</v>
      </c>
      <c r="P335" s="407">
        <f t="shared" si="317"/>
        <v>0</v>
      </c>
      <c r="Q335" s="452">
        <f t="shared" si="318"/>
        <v>0</v>
      </c>
    </row>
    <row r="336" spans="1:17" ht="23.4" x14ac:dyDescent="0.3">
      <c r="A336" s="248" t="s">
        <v>108</v>
      </c>
      <c r="B336" s="595"/>
      <c r="C336" s="637" t="s">
        <v>389</v>
      </c>
      <c r="D336" s="273"/>
      <c r="E336" s="438"/>
      <c r="F336" s="335">
        <f t="shared" si="319"/>
        <v>0</v>
      </c>
      <c r="G336" s="275">
        <v>0</v>
      </c>
      <c r="H336" s="275">
        <v>0</v>
      </c>
      <c r="I336" s="354" t="str">
        <f>IFERROR(F336/#REF!,"-")</f>
        <v>-</v>
      </c>
      <c r="J336" s="336">
        <f t="shared" si="320"/>
        <v>0</v>
      </c>
      <c r="K336" s="281">
        <f t="shared" ref="K336:L336" si="327">+K274+G336</f>
        <v>0</v>
      </c>
      <c r="L336" s="439">
        <f t="shared" si="327"/>
        <v>0</v>
      </c>
      <c r="M336" s="339" t="str">
        <f t="shared" ref="M336:M337" si="328">IFERROR(J336/D336,"-")</f>
        <v>-</v>
      </c>
      <c r="N336" s="349" t="str">
        <f t="shared" si="325"/>
        <v>-</v>
      </c>
      <c r="O336" s="511">
        <v>4.1712999999999996</v>
      </c>
      <c r="P336" s="405">
        <f t="shared" si="317"/>
        <v>0</v>
      </c>
      <c r="Q336" s="450">
        <f t="shared" si="318"/>
        <v>0</v>
      </c>
    </row>
    <row r="337" spans="1:17" ht="24" thickBot="1" x14ac:dyDescent="0.35">
      <c r="A337" s="248" t="s">
        <v>108</v>
      </c>
      <c r="B337" s="593"/>
      <c r="C337" s="278"/>
      <c r="D337" s="279"/>
      <c r="E337" s="439"/>
      <c r="F337" s="336">
        <f t="shared" si="319"/>
        <v>0</v>
      </c>
      <c r="G337" s="281">
        <v>0</v>
      </c>
      <c r="H337" s="281">
        <v>0</v>
      </c>
      <c r="I337" s="355" t="str">
        <f>IFERROR(F337/#REF!,"-")</f>
        <v>-</v>
      </c>
      <c r="J337" s="464">
        <f t="shared" si="320"/>
        <v>0</v>
      </c>
      <c r="K337" s="465">
        <f t="shared" ref="K337:L337" si="329">+K275+G337</f>
        <v>0</v>
      </c>
      <c r="L337" s="466">
        <f t="shared" si="329"/>
        <v>0</v>
      </c>
      <c r="M337" s="340" t="str">
        <f t="shared" si="328"/>
        <v>-</v>
      </c>
      <c r="N337" s="264" t="str">
        <f t="shared" si="325"/>
        <v>-</v>
      </c>
      <c r="O337" s="451"/>
      <c r="P337" s="407">
        <f t="shared" si="317"/>
        <v>0</v>
      </c>
      <c r="Q337" s="452">
        <f t="shared" si="318"/>
        <v>0</v>
      </c>
    </row>
    <row r="338" spans="1:17" ht="24" thickBot="1" x14ac:dyDescent="0.35">
      <c r="A338" s="277" t="s">
        <v>108</v>
      </c>
      <c r="B338" s="1038" t="s">
        <v>21</v>
      </c>
      <c r="C338" s="989"/>
      <c r="D338" s="323">
        <v>0</v>
      </c>
      <c r="E338" s="288">
        <v>15000</v>
      </c>
      <c r="F338" s="323">
        <f>SUM(F331:F337)</f>
        <v>78675</v>
      </c>
      <c r="G338" s="324">
        <f t="shared" ref="G338:H338" si="330">SUM(G331:G337)</f>
        <v>77500</v>
      </c>
      <c r="H338" s="324">
        <f t="shared" si="330"/>
        <v>1175</v>
      </c>
      <c r="I338" s="348" t="str">
        <f>IFERROR(F338/#REF!,"-")</f>
        <v>-</v>
      </c>
      <c r="J338" s="518">
        <f t="shared" ref="J338" si="331">SUM(J331:J337)</f>
        <v>78675</v>
      </c>
      <c r="K338" s="524">
        <f>SUM(K331:K337)</f>
        <v>77500</v>
      </c>
      <c r="L338" s="524">
        <f>SUM(L331:L337)</f>
        <v>1175</v>
      </c>
      <c r="M338" s="342" t="str">
        <f>IFERROR(J338/D338,"-")</f>
        <v>-</v>
      </c>
      <c r="N338" s="348">
        <f t="shared" si="325"/>
        <v>1.4934858595487766E-2</v>
      </c>
      <c r="O338" s="394"/>
      <c r="P338" s="409">
        <f>SUM(P331:P337)</f>
        <v>190386.5</v>
      </c>
      <c r="Q338" s="428">
        <f>SUM(Q331:Q337)</f>
        <v>190386.5</v>
      </c>
    </row>
    <row r="339" spans="1:17" ht="24" thickBot="1" x14ac:dyDescent="0.35">
      <c r="A339" s="277" t="s">
        <v>108</v>
      </c>
      <c r="B339" s="1058" t="s">
        <v>268</v>
      </c>
      <c r="C339" s="1059"/>
      <c r="D339" s="517">
        <f>+D335+D338</f>
        <v>0</v>
      </c>
      <c r="E339" s="530">
        <f>+E335+E338</f>
        <v>15000</v>
      </c>
      <c r="F339" s="517">
        <f>+F335+F338</f>
        <v>78675</v>
      </c>
      <c r="G339" s="519">
        <f>+G335+G338</f>
        <v>77500</v>
      </c>
      <c r="H339" s="519">
        <f>+H335+H338</f>
        <v>1175</v>
      </c>
      <c r="I339" s="520" t="str">
        <f>IFERROR(F339/#REF!,"-")</f>
        <v>-</v>
      </c>
      <c r="J339" s="517">
        <f>+J335+J338</f>
        <v>78675</v>
      </c>
      <c r="K339" s="519">
        <f>+K338</f>
        <v>77500</v>
      </c>
      <c r="L339" s="519">
        <f>+L338</f>
        <v>1175</v>
      </c>
      <c r="M339" s="521" t="str">
        <f t="shared" ref="M339" si="332">IFERROR(J339/D339,"-")</f>
        <v>-</v>
      </c>
      <c r="N339" s="520">
        <f t="shared" si="325"/>
        <v>1.4934858595487766E-2</v>
      </c>
      <c r="O339" s="522"/>
      <c r="P339" s="523">
        <f>+P338</f>
        <v>190386.5</v>
      </c>
      <c r="Q339" s="523">
        <f>+Q338</f>
        <v>190386.5</v>
      </c>
    </row>
    <row r="340" spans="1:17" ht="23.4" x14ac:dyDescent="0.4">
      <c r="A340" s="244" t="s">
        <v>108</v>
      </c>
      <c r="B340" s="1035" t="s">
        <v>270</v>
      </c>
      <c r="C340" s="547" t="s">
        <v>74</v>
      </c>
      <c r="D340" s="532"/>
      <c r="E340" s="463"/>
      <c r="F340" s="461">
        <f>+G340+H340</f>
        <v>0</v>
      </c>
      <c r="G340" s="462"/>
      <c r="H340" s="462"/>
      <c r="I340" s="536" t="str">
        <f>IFERROR(F340/#REF!,"-")</f>
        <v>-</v>
      </c>
      <c r="J340" s="461">
        <f>+K340+L340</f>
        <v>9027</v>
      </c>
      <c r="K340" s="462">
        <f t="shared" ref="K340:L340" si="333">+K278+G340</f>
        <v>9000</v>
      </c>
      <c r="L340" s="463">
        <f t="shared" si="333"/>
        <v>27</v>
      </c>
      <c r="M340" s="596" t="str">
        <f>IFERROR(J340/D340,"-")</f>
        <v>-</v>
      </c>
      <c r="N340" s="538">
        <f t="shared" si="325"/>
        <v>2.9910269192422734E-3</v>
      </c>
      <c r="O340" s="543">
        <v>32.946300000000001</v>
      </c>
      <c r="P340" s="539">
        <f t="shared" ref="P340:P371" si="334">+O340*G340</f>
        <v>0</v>
      </c>
      <c r="Q340" s="540">
        <f t="shared" ref="Q340:Q371" si="335">+O340*K340</f>
        <v>296516.7</v>
      </c>
    </row>
    <row r="341" spans="1:17" ht="23.4" x14ac:dyDescent="0.4">
      <c r="A341" s="248" t="s">
        <v>108</v>
      </c>
      <c r="B341" s="1036"/>
      <c r="C341" s="548" t="s">
        <v>75</v>
      </c>
      <c r="D341" s="516"/>
      <c r="E341" s="439"/>
      <c r="F341" s="336">
        <f t="shared" ref="F341:F371" si="336">+G341+H341</f>
        <v>5021</v>
      </c>
      <c r="G341" s="281">
        <v>5000</v>
      </c>
      <c r="H341" s="281">
        <v>21</v>
      </c>
      <c r="I341" s="355" t="str">
        <f>IFERROR(F341/#REF!,"-")</f>
        <v>-</v>
      </c>
      <c r="J341" s="336">
        <f t="shared" ref="J341:J371" si="337">+K341+L341</f>
        <v>10046</v>
      </c>
      <c r="K341" s="281">
        <f t="shared" ref="K341:L341" si="338">+K279+G341</f>
        <v>10000</v>
      </c>
      <c r="L341" s="439">
        <f t="shared" si="338"/>
        <v>46</v>
      </c>
      <c r="M341" s="340" t="str">
        <f t="shared" ref="M341:M343" si="339">IFERROR(J341/D341,"-")</f>
        <v>-</v>
      </c>
      <c r="N341" s="268">
        <f t="shared" si="325"/>
        <v>4.5789368903045987E-3</v>
      </c>
      <c r="O341" s="512">
        <v>35.398400000000002</v>
      </c>
      <c r="P341" s="407">
        <f t="shared" si="334"/>
        <v>176992</v>
      </c>
      <c r="Q341" s="452">
        <f t="shared" si="335"/>
        <v>353984</v>
      </c>
    </row>
    <row r="342" spans="1:17" ht="24" thickBot="1" x14ac:dyDescent="0.45">
      <c r="A342" s="248" t="s">
        <v>108</v>
      </c>
      <c r="B342" s="1036"/>
      <c r="C342" s="548" t="s">
        <v>76</v>
      </c>
      <c r="D342" s="279"/>
      <c r="E342" s="439"/>
      <c r="F342" s="336">
        <f t="shared" si="336"/>
        <v>0</v>
      </c>
      <c r="G342" s="281"/>
      <c r="H342" s="281"/>
      <c r="I342" s="355" t="str">
        <f>IFERROR(F342/#REF!,"-")</f>
        <v>-</v>
      </c>
      <c r="J342" s="336">
        <f t="shared" si="337"/>
        <v>0</v>
      </c>
      <c r="K342" s="281">
        <f t="shared" ref="K342:L342" si="340">+K280+G342</f>
        <v>0</v>
      </c>
      <c r="L342" s="439">
        <f t="shared" si="340"/>
        <v>0</v>
      </c>
      <c r="M342" s="340" t="str">
        <f t="shared" si="339"/>
        <v>-</v>
      </c>
      <c r="N342" s="268" t="str">
        <f>IFERROR(L342/J342,"-")</f>
        <v>-</v>
      </c>
      <c r="O342" s="512">
        <v>32.946300000000001</v>
      </c>
      <c r="P342" s="407">
        <f t="shared" si="334"/>
        <v>0</v>
      </c>
      <c r="Q342" s="452">
        <f t="shared" si="335"/>
        <v>0</v>
      </c>
    </row>
    <row r="343" spans="1:17" ht="23.4" x14ac:dyDescent="0.4">
      <c r="A343" s="248" t="s">
        <v>108</v>
      </c>
      <c r="B343" s="1035" t="s">
        <v>271</v>
      </c>
      <c r="C343" s="550" t="s">
        <v>78</v>
      </c>
      <c r="D343" s="279"/>
      <c r="E343" s="533"/>
      <c r="F343" s="337">
        <f t="shared" si="336"/>
        <v>0</v>
      </c>
      <c r="G343" s="281"/>
      <c r="H343" s="281"/>
      <c r="I343" s="355" t="str">
        <f>IFERROR(F343/#REF!,"-")</f>
        <v>-</v>
      </c>
      <c r="J343" s="336">
        <f t="shared" si="337"/>
        <v>0</v>
      </c>
      <c r="K343" s="281">
        <f t="shared" ref="K343:L343" si="341">+K281+G343</f>
        <v>0</v>
      </c>
      <c r="L343" s="439">
        <f t="shared" si="341"/>
        <v>0</v>
      </c>
      <c r="M343" s="340" t="str">
        <f t="shared" si="339"/>
        <v>-</v>
      </c>
      <c r="N343" s="268" t="str">
        <f t="shared" ref="N343" si="342">IFERROR(L343/J343,"-")</f>
        <v>-</v>
      </c>
      <c r="O343" s="512">
        <v>55.4758</v>
      </c>
      <c r="P343" s="407">
        <f t="shared" si="334"/>
        <v>0</v>
      </c>
      <c r="Q343" s="452">
        <f t="shared" si="335"/>
        <v>0</v>
      </c>
    </row>
    <row r="344" spans="1:17" ht="23.4" x14ac:dyDescent="0.4">
      <c r="A344" s="248" t="s">
        <v>108</v>
      </c>
      <c r="B344" s="1036"/>
      <c r="C344" s="550" t="s">
        <v>75</v>
      </c>
      <c r="D344" s="279"/>
      <c r="E344" s="534"/>
      <c r="F344" s="337">
        <f t="shared" si="336"/>
        <v>0</v>
      </c>
      <c r="G344" s="281"/>
      <c r="H344" s="281"/>
      <c r="I344" s="355" t="str">
        <f>IFERROR(F344/#REF!,"-")</f>
        <v>-</v>
      </c>
      <c r="J344" s="336">
        <f t="shared" si="337"/>
        <v>5468</v>
      </c>
      <c r="K344" s="281">
        <f t="shared" ref="K344:L344" si="343">+K282+G344</f>
        <v>4400</v>
      </c>
      <c r="L344" s="439">
        <f t="shared" si="343"/>
        <v>1068</v>
      </c>
      <c r="M344" s="725"/>
      <c r="N344" s="375"/>
      <c r="O344" s="545">
        <v>58.836300000000001</v>
      </c>
      <c r="P344" s="407">
        <f t="shared" si="334"/>
        <v>0</v>
      </c>
      <c r="Q344" s="452">
        <f t="shared" si="335"/>
        <v>258879.72</v>
      </c>
    </row>
    <row r="345" spans="1:17" ht="23.4" x14ac:dyDescent="0.4">
      <c r="A345" s="248" t="s">
        <v>108</v>
      </c>
      <c r="B345" s="1036"/>
      <c r="C345" s="550" t="s">
        <v>386</v>
      </c>
      <c r="D345" s="279"/>
      <c r="E345" s="438"/>
      <c r="F345" s="337">
        <f t="shared" si="336"/>
        <v>0</v>
      </c>
      <c r="G345" s="281"/>
      <c r="H345" s="281"/>
      <c r="I345" s="355" t="str">
        <f>IFERROR(F345/#REF!,"-")</f>
        <v>-</v>
      </c>
      <c r="J345" s="336">
        <f t="shared" si="337"/>
        <v>3290</v>
      </c>
      <c r="K345" s="281">
        <f t="shared" ref="K345:L345" si="344">+K283+G345</f>
        <v>2800</v>
      </c>
      <c r="L345" s="439">
        <f t="shared" si="344"/>
        <v>490</v>
      </c>
      <c r="M345" s="340" t="str">
        <f t="shared" ref="M345" si="345">IFERROR(J345/D345,"-")</f>
        <v>-</v>
      </c>
      <c r="N345" s="264">
        <f t="shared" ref="N345" si="346">IFERROR(L345/J345,"-")</f>
        <v>0.14893617021276595</v>
      </c>
      <c r="O345" s="512">
        <v>55.4758</v>
      </c>
      <c r="P345" s="407">
        <f t="shared" si="334"/>
        <v>0</v>
      </c>
      <c r="Q345" s="452">
        <f t="shared" si="335"/>
        <v>155332.24</v>
      </c>
    </row>
    <row r="346" spans="1:17" ht="24" thickBot="1" x14ac:dyDescent="0.45">
      <c r="A346" s="248"/>
      <c r="B346" s="1037"/>
      <c r="C346" s="550" t="s">
        <v>404</v>
      </c>
      <c r="D346" s="279"/>
      <c r="E346" s="438"/>
      <c r="F346" s="337">
        <f t="shared" si="336"/>
        <v>0</v>
      </c>
      <c r="G346" s="281"/>
      <c r="H346" s="281"/>
      <c r="I346" s="355"/>
      <c r="J346" s="336">
        <f t="shared" si="337"/>
        <v>2220</v>
      </c>
      <c r="K346" s="281">
        <f t="shared" ref="K346:L346" si="347">+K284+G346</f>
        <v>2064</v>
      </c>
      <c r="L346" s="439">
        <f t="shared" si="347"/>
        <v>156</v>
      </c>
      <c r="M346" s="340"/>
      <c r="N346" s="264">
        <f>IFERROR(L346/J346,"-")</f>
        <v>7.0270270270270274E-2</v>
      </c>
      <c r="O346" s="512">
        <v>55.4758</v>
      </c>
      <c r="P346" s="407">
        <f t="shared" si="334"/>
        <v>0</v>
      </c>
      <c r="Q346" s="452">
        <f t="shared" si="335"/>
        <v>114502.0512</v>
      </c>
    </row>
    <row r="347" spans="1:17" ht="23.4" x14ac:dyDescent="0.4">
      <c r="A347" s="248" t="s">
        <v>108</v>
      </c>
      <c r="B347" s="1035" t="s">
        <v>79</v>
      </c>
      <c r="C347" s="548" t="s">
        <v>80</v>
      </c>
      <c r="D347" s="279"/>
      <c r="E347" s="439"/>
      <c r="F347" s="336">
        <f t="shared" si="336"/>
        <v>0</v>
      </c>
      <c r="G347" s="281"/>
      <c r="H347" s="281"/>
      <c r="I347" s="355" t="str">
        <f>IFERROR(F347/#REF!,"-")</f>
        <v>-</v>
      </c>
      <c r="J347" s="336">
        <f t="shared" si="337"/>
        <v>1170</v>
      </c>
      <c r="K347" s="281">
        <f t="shared" ref="K347:L347" si="348">+K285+G347</f>
        <v>1100</v>
      </c>
      <c r="L347" s="439">
        <f t="shared" si="348"/>
        <v>70</v>
      </c>
      <c r="M347" s="340" t="str">
        <f t="shared" ref="M347:M374" si="349">IFERROR(J347/D347,"-")</f>
        <v>-</v>
      </c>
      <c r="N347" s="264">
        <f t="shared" ref="N347:N373" si="350">IFERROR(L347/J347,"-")</f>
        <v>5.9829059829059832E-2</v>
      </c>
      <c r="O347" s="512">
        <v>25.687200000000001</v>
      </c>
      <c r="P347" s="407">
        <f t="shared" si="334"/>
        <v>0</v>
      </c>
      <c r="Q347" s="452">
        <f t="shared" si="335"/>
        <v>28255.920000000002</v>
      </c>
    </row>
    <row r="348" spans="1:17" ht="24" thickBot="1" x14ac:dyDescent="0.45">
      <c r="A348" s="248" t="s">
        <v>108</v>
      </c>
      <c r="B348" s="1037"/>
      <c r="C348" s="548" t="s">
        <v>124</v>
      </c>
      <c r="D348" s="279"/>
      <c r="E348" s="439"/>
      <c r="F348" s="336">
        <f t="shared" si="336"/>
        <v>0</v>
      </c>
      <c r="G348" s="281"/>
      <c r="H348" s="281"/>
      <c r="I348" s="355" t="str">
        <f>IFERROR(F348/#REF!,"-")</f>
        <v>-</v>
      </c>
      <c r="J348" s="336">
        <f t="shared" si="337"/>
        <v>0</v>
      </c>
      <c r="K348" s="281">
        <f t="shared" ref="K348:L348" si="351">+K286+G348</f>
        <v>0</v>
      </c>
      <c r="L348" s="439">
        <f t="shared" si="351"/>
        <v>0</v>
      </c>
      <c r="M348" s="340" t="str">
        <f t="shared" si="349"/>
        <v>-</v>
      </c>
      <c r="N348" s="264" t="str">
        <f t="shared" si="350"/>
        <v>-</v>
      </c>
      <c r="O348" s="512">
        <v>25.033899999999999</v>
      </c>
      <c r="P348" s="407">
        <f t="shared" si="334"/>
        <v>0</v>
      </c>
      <c r="Q348" s="452">
        <f t="shared" si="335"/>
        <v>0</v>
      </c>
    </row>
    <row r="349" spans="1:17" ht="23.4" x14ac:dyDescent="0.4">
      <c r="A349" s="248"/>
      <c r="B349" s="1035" t="s">
        <v>81</v>
      </c>
      <c r="C349" s="548" t="s">
        <v>82</v>
      </c>
      <c r="D349" s="279"/>
      <c r="E349" s="439"/>
      <c r="F349" s="336">
        <f t="shared" si="336"/>
        <v>0</v>
      </c>
      <c r="G349" s="281"/>
      <c r="H349" s="281"/>
      <c r="I349" s="355" t="str">
        <f>IFERROR(F349/#REF!,"-")</f>
        <v>-</v>
      </c>
      <c r="J349" s="336">
        <f t="shared" si="337"/>
        <v>7837</v>
      </c>
      <c r="K349" s="281">
        <f t="shared" ref="K349:L349" si="352">+K287+G349</f>
        <v>7800</v>
      </c>
      <c r="L349" s="439">
        <f t="shared" si="352"/>
        <v>37</v>
      </c>
      <c r="M349" s="340" t="str">
        <f t="shared" si="349"/>
        <v>-</v>
      </c>
      <c r="N349" s="264">
        <f t="shared" si="350"/>
        <v>4.7211943345667985E-3</v>
      </c>
      <c r="O349" s="512">
        <v>41.992699999999999</v>
      </c>
      <c r="P349" s="407">
        <f t="shared" si="334"/>
        <v>0</v>
      </c>
      <c r="Q349" s="452">
        <f t="shared" si="335"/>
        <v>327543.06</v>
      </c>
    </row>
    <row r="350" spans="1:17" ht="23.4" x14ac:dyDescent="0.4">
      <c r="A350" s="248"/>
      <c r="B350" s="1036"/>
      <c r="C350" s="548" t="s">
        <v>75</v>
      </c>
      <c r="D350" s="279"/>
      <c r="E350" s="439"/>
      <c r="F350" s="336">
        <f t="shared" si="336"/>
        <v>0</v>
      </c>
      <c r="G350" s="281"/>
      <c r="H350" s="281"/>
      <c r="I350" s="355" t="str">
        <f>IFERROR(F350/#REF!,"-")</f>
        <v>-</v>
      </c>
      <c r="J350" s="336">
        <f t="shared" si="337"/>
        <v>45</v>
      </c>
      <c r="K350" s="281">
        <f t="shared" ref="K350:L350" si="353">+K288+G350</f>
        <v>45</v>
      </c>
      <c r="L350" s="439">
        <f t="shared" si="353"/>
        <v>0</v>
      </c>
      <c r="M350" s="340" t="str">
        <f t="shared" si="349"/>
        <v>-</v>
      </c>
      <c r="N350" s="264">
        <f t="shared" si="350"/>
        <v>0</v>
      </c>
      <c r="O350" s="512">
        <v>42.283799999999999</v>
      </c>
      <c r="P350" s="407">
        <f t="shared" si="334"/>
        <v>0</v>
      </c>
      <c r="Q350" s="452">
        <f t="shared" si="335"/>
        <v>1902.771</v>
      </c>
    </row>
    <row r="351" spans="1:17" ht="23.4" x14ac:dyDescent="0.4">
      <c r="A351" s="248"/>
      <c r="B351" s="782"/>
      <c r="C351" s="548" t="s">
        <v>450</v>
      </c>
      <c r="D351" s="279"/>
      <c r="E351" s="439"/>
      <c r="F351" s="336">
        <f t="shared" si="336"/>
        <v>0</v>
      </c>
      <c r="G351" s="281"/>
      <c r="H351" s="281"/>
      <c r="I351" s="355" t="str">
        <f>IFERROR(F351/#REF!,"-")</f>
        <v>-</v>
      </c>
      <c r="J351" s="336">
        <f t="shared" si="337"/>
        <v>1140</v>
      </c>
      <c r="K351" s="281">
        <f t="shared" ref="K351:L351" si="354">+K289+G351</f>
        <v>1140</v>
      </c>
      <c r="L351" s="439">
        <f t="shared" si="354"/>
        <v>0</v>
      </c>
      <c r="M351" s="340" t="str">
        <f t="shared" si="349"/>
        <v>-</v>
      </c>
      <c r="N351" s="264">
        <f t="shared" si="350"/>
        <v>0</v>
      </c>
      <c r="O351" s="772">
        <v>41.992699999999999</v>
      </c>
      <c r="P351" s="407">
        <f t="shared" si="334"/>
        <v>0</v>
      </c>
      <c r="Q351" s="452">
        <f t="shared" si="335"/>
        <v>47871.678</v>
      </c>
    </row>
    <row r="352" spans="1:17" ht="24" thickBot="1" x14ac:dyDescent="0.45">
      <c r="A352" s="248"/>
      <c r="B352" s="782"/>
      <c r="C352" s="548" t="s">
        <v>451</v>
      </c>
      <c r="D352" s="279"/>
      <c r="E352" s="439"/>
      <c r="F352" s="336">
        <f t="shared" si="336"/>
        <v>0</v>
      </c>
      <c r="G352" s="281"/>
      <c r="H352" s="281"/>
      <c r="I352" s="355" t="str">
        <f>IFERROR(F352/#REF!,"-")</f>
        <v>-</v>
      </c>
      <c r="J352" s="336">
        <f t="shared" si="337"/>
        <v>712</v>
      </c>
      <c r="K352" s="281">
        <f t="shared" ref="K352:L352" si="355">+K290+G352</f>
        <v>660</v>
      </c>
      <c r="L352" s="439">
        <f t="shared" si="355"/>
        <v>52</v>
      </c>
      <c r="M352" s="340" t="str">
        <f t="shared" si="349"/>
        <v>-</v>
      </c>
      <c r="N352" s="264">
        <f t="shared" si="350"/>
        <v>7.3033707865168537E-2</v>
      </c>
      <c r="O352" s="772">
        <v>42.283799999999999</v>
      </c>
      <c r="P352" s="407">
        <f t="shared" si="334"/>
        <v>0</v>
      </c>
      <c r="Q352" s="452">
        <f t="shared" si="335"/>
        <v>27907.308000000001</v>
      </c>
    </row>
    <row r="353" spans="1:17" ht="24" thickBot="1" x14ac:dyDescent="0.45">
      <c r="A353" s="248"/>
      <c r="B353" s="551" t="s">
        <v>83</v>
      </c>
      <c r="C353" s="548" t="s">
        <v>84</v>
      </c>
      <c r="D353" s="279"/>
      <c r="E353" s="439"/>
      <c r="F353" s="336">
        <f t="shared" si="336"/>
        <v>0</v>
      </c>
      <c r="G353" s="281"/>
      <c r="H353" s="281"/>
      <c r="I353" s="355" t="str">
        <f>IFERROR(F353/#REF!,"-")</f>
        <v>-</v>
      </c>
      <c r="J353" s="336">
        <f t="shared" si="337"/>
        <v>0</v>
      </c>
      <c r="K353" s="281">
        <f t="shared" ref="K353:L353" si="356">+K291+G353</f>
        <v>0</v>
      </c>
      <c r="L353" s="439">
        <f t="shared" si="356"/>
        <v>0</v>
      </c>
      <c r="M353" s="340" t="str">
        <f t="shared" si="349"/>
        <v>-</v>
      </c>
      <c r="N353" s="264" t="str">
        <f t="shared" si="350"/>
        <v>-</v>
      </c>
      <c r="O353" s="512">
        <v>4.3535000000000004</v>
      </c>
      <c r="P353" s="407">
        <f t="shared" si="334"/>
        <v>0</v>
      </c>
      <c r="Q353" s="452">
        <f t="shared" si="335"/>
        <v>0</v>
      </c>
    </row>
    <row r="354" spans="1:17" ht="23.4" x14ac:dyDescent="0.4">
      <c r="A354" s="248"/>
      <c r="B354" s="1035" t="s">
        <v>273</v>
      </c>
      <c r="C354" s="548" t="s">
        <v>80</v>
      </c>
      <c r="D354" s="279"/>
      <c r="E354" s="439"/>
      <c r="F354" s="336">
        <f t="shared" si="336"/>
        <v>0</v>
      </c>
      <c r="G354" s="281"/>
      <c r="H354" s="281"/>
      <c r="I354" s="355" t="str">
        <f>IFERROR(F354/#REF!,"-")</f>
        <v>-</v>
      </c>
      <c r="J354" s="336">
        <f t="shared" si="337"/>
        <v>0</v>
      </c>
      <c r="K354" s="281">
        <f t="shared" ref="K354:L354" si="357">+K292+G354</f>
        <v>0</v>
      </c>
      <c r="L354" s="439">
        <f t="shared" si="357"/>
        <v>0</v>
      </c>
      <c r="M354" s="340" t="str">
        <f t="shared" si="349"/>
        <v>-</v>
      </c>
      <c r="N354" s="264" t="str">
        <f t="shared" si="350"/>
        <v>-</v>
      </c>
      <c r="O354" s="512">
        <v>4.6184000000000003</v>
      </c>
      <c r="P354" s="407">
        <f t="shared" si="334"/>
        <v>0</v>
      </c>
      <c r="Q354" s="452">
        <f t="shared" si="335"/>
        <v>0</v>
      </c>
    </row>
    <row r="355" spans="1:17" ht="23.4" x14ac:dyDescent="0.4">
      <c r="A355" s="248"/>
      <c r="B355" s="1036"/>
      <c r="C355" s="548" t="s">
        <v>378</v>
      </c>
      <c r="D355" s="279"/>
      <c r="E355" s="439"/>
      <c r="F355" s="336">
        <f t="shared" si="336"/>
        <v>0</v>
      </c>
      <c r="G355" s="281"/>
      <c r="H355" s="281"/>
      <c r="I355" s="355" t="str">
        <f>IFERROR(F355/#REF!,"-")</f>
        <v>-</v>
      </c>
      <c r="J355" s="336">
        <f t="shared" si="337"/>
        <v>0</v>
      </c>
      <c r="K355" s="281">
        <f t="shared" ref="K355:L355" si="358">+K293+G355</f>
        <v>0</v>
      </c>
      <c r="L355" s="439">
        <f t="shared" si="358"/>
        <v>0</v>
      </c>
      <c r="M355" s="340" t="str">
        <f t="shared" si="349"/>
        <v>-</v>
      </c>
      <c r="N355" s="264" t="str">
        <f t="shared" si="350"/>
        <v>-</v>
      </c>
      <c r="O355" s="512">
        <v>4.6184000000000003</v>
      </c>
      <c r="P355" s="407">
        <f t="shared" si="334"/>
        <v>0</v>
      </c>
      <c r="Q355" s="452">
        <f t="shared" si="335"/>
        <v>0</v>
      </c>
    </row>
    <row r="356" spans="1:17" ht="23.4" x14ac:dyDescent="0.4">
      <c r="A356" s="248"/>
      <c r="B356" s="1036"/>
      <c r="C356" s="548" t="s">
        <v>272</v>
      </c>
      <c r="D356" s="279"/>
      <c r="E356" s="439"/>
      <c r="F356" s="336">
        <f t="shared" si="336"/>
        <v>0</v>
      </c>
      <c r="G356" s="281"/>
      <c r="H356" s="281"/>
      <c r="I356" s="355" t="str">
        <f>IFERROR(F356/#REF!,"-")</f>
        <v>-</v>
      </c>
      <c r="J356" s="336">
        <f t="shared" si="337"/>
        <v>0</v>
      </c>
      <c r="K356" s="281">
        <f t="shared" ref="K356:L356" si="359">+K294+G356</f>
        <v>0</v>
      </c>
      <c r="L356" s="439">
        <f t="shared" si="359"/>
        <v>0</v>
      </c>
      <c r="M356" s="340" t="str">
        <f t="shared" si="349"/>
        <v>-</v>
      </c>
      <c r="N356" s="264" t="str">
        <f t="shared" si="350"/>
        <v>-</v>
      </c>
      <c r="O356" s="512">
        <v>4.6184000000000003</v>
      </c>
      <c r="P356" s="407">
        <f t="shared" si="334"/>
        <v>0</v>
      </c>
      <c r="Q356" s="452">
        <f t="shared" si="335"/>
        <v>0</v>
      </c>
    </row>
    <row r="357" spans="1:17" ht="23.4" x14ac:dyDescent="0.4">
      <c r="A357" s="248"/>
      <c r="B357" s="1036"/>
      <c r="C357" s="548" t="s">
        <v>390</v>
      </c>
      <c r="D357" s="279"/>
      <c r="E357" s="439"/>
      <c r="F357" s="336">
        <f t="shared" si="336"/>
        <v>51529</v>
      </c>
      <c r="G357" s="281">
        <v>51300</v>
      </c>
      <c r="H357" s="281">
        <v>229</v>
      </c>
      <c r="I357" s="355" t="str">
        <f>IFERROR(F357/#REF!,"-")</f>
        <v>-</v>
      </c>
      <c r="J357" s="336">
        <f t="shared" si="337"/>
        <v>294984</v>
      </c>
      <c r="K357" s="730">
        <f t="shared" ref="K357:L357" si="360">+K295+G357</f>
        <v>292500</v>
      </c>
      <c r="L357" s="731">
        <f t="shared" si="360"/>
        <v>2484</v>
      </c>
      <c r="M357" s="340" t="str">
        <f t="shared" si="349"/>
        <v>-</v>
      </c>
      <c r="N357" s="264">
        <f t="shared" si="350"/>
        <v>8.4207957041737853E-3</v>
      </c>
      <c r="O357" s="512">
        <v>4.7636000000000003</v>
      </c>
      <c r="P357" s="407">
        <f t="shared" si="334"/>
        <v>244372.68000000002</v>
      </c>
      <c r="Q357" s="452">
        <f t="shared" si="335"/>
        <v>1393353</v>
      </c>
    </row>
    <row r="358" spans="1:17" ht="24" thickBot="1" x14ac:dyDescent="0.45">
      <c r="A358" s="248"/>
      <c r="B358" s="1037"/>
      <c r="C358" s="548" t="s">
        <v>384</v>
      </c>
      <c r="D358" s="279"/>
      <c r="E358" s="439"/>
      <c r="F358" s="336">
        <f t="shared" si="336"/>
        <v>0</v>
      </c>
      <c r="G358" s="281"/>
      <c r="H358" s="281"/>
      <c r="I358" s="355" t="str">
        <f>IFERROR(F358/#REF!,"-")</f>
        <v>-</v>
      </c>
      <c r="J358" s="336">
        <f t="shared" si="337"/>
        <v>0</v>
      </c>
      <c r="K358" s="281">
        <f t="shared" ref="K358:L358" si="361">+K296+G358</f>
        <v>0</v>
      </c>
      <c r="L358" s="439">
        <f t="shared" si="361"/>
        <v>0</v>
      </c>
      <c r="M358" s="340" t="str">
        <f t="shared" si="349"/>
        <v>-</v>
      </c>
      <c r="N358" s="264" t="str">
        <f t="shared" si="350"/>
        <v>-</v>
      </c>
      <c r="O358" s="512">
        <v>4.8738000000000001</v>
      </c>
      <c r="P358" s="407">
        <f t="shared" si="334"/>
        <v>0</v>
      </c>
      <c r="Q358" s="452">
        <f t="shared" si="335"/>
        <v>0</v>
      </c>
    </row>
    <row r="359" spans="1:17" ht="24" thickBot="1" x14ac:dyDescent="0.45">
      <c r="A359" s="248"/>
      <c r="B359" s="551" t="s">
        <v>274</v>
      </c>
      <c r="C359" s="548" t="s">
        <v>131</v>
      </c>
      <c r="D359" s="279"/>
      <c r="E359" s="439"/>
      <c r="F359" s="336">
        <f t="shared" si="336"/>
        <v>0</v>
      </c>
      <c r="G359" s="281"/>
      <c r="H359" s="281"/>
      <c r="I359" s="355" t="str">
        <f>IFERROR(F359/#REF!,"-")</f>
        <v>-</v>
      </c>
      <c r="J359" s="336">
        <f t="shared" si="337"/>
        <v>0</v>
      </c>
      <c r="K359" s="281">
        <f t="shared" ref="K359:L359" si="362">+K297+G359</f>
        <v>0</v>
      </c>
      <c r="L359" s="439">
        <f t="shared" si="362"/>
        <v>0</v>
      </c>
      <c r="M359" s="340" t="str">
        <f t="shared" si="349"/>
        <v>-</v>
      </c>
      <c r="N359" s="264" t="str">
        <f t="shared" si="350"/>
        <v>-</v>
      </c>
      <c r="O359" s="512">
        <v>4.8738000000000001</v>
      </c>
      <c r="P359" s="407">
        <f t="shared" si="334"/>
        <v>0</v>
      </c>
      <c r="Q359" s="452">
        <f t="shared" si="335"/>
        <v>0</v>
      </c>
    </row>
    <row r="360" spans="1:17" ht="23.4" x14ac:dyDescent="0.4">
      <c r="A360" s="248"/>
      <c r="B360" s="1035" t="s">
        <v>276</v>
      </c>
      <c r="C360" s="548" t="s">
        <v>80</v>
      </c>
      <c r="D360" s="279"/>
      <c r="E360" s="439"/>
      <c r="F360" s="336">
        <f t="shared" si="336"/>
        <v>43580</v>
      </c>
      <c r="G360" s="281">
        <v>42600</v>
      </c>
      <c r="H360" s="281">
        <v>980</v>
      </c>
      <c r="I360" s="355" t="str">
        <f>IFERROR(F360/#REF!,"-")</f>
        <v>-</v>
      </c>
      <c r="J360" s="336">
        <f t="shared" si="337"/>
        <v>138372</v>
      </c>
      <c r="K360" s="730">
        <f t="shared" ref="K360:L360" si="363">+K298+G360</f>
        <v>134850</v>
      </c>
      <c r="L360" s="731">
        <f t="shared" si="363"/>
        <v>3522</v>
      </c>
      <c r="M360" s="340" t="str">
        <f t="shared" si="349"/>
        <v>-</v>
      </c>
      <c r="N360" s="264">
        <f t="shared" si="350"/>
        <v>2.5453126355042929E-2</v>
      </c>
      <c r="O360" s="512">
        <v>4.9344999999999999</v>
      </c>
      <c r="P360" s="407">
        <f t="shared" si="334"/>
        <v>210209.69999999998</v>
      </c>
      <c r="Q360" s="452">
        <f t="shared" si="335"/>
        <v>665417.32499999995</v>
      </c>
    </row>
    <row r="361" spans="1:17" ht="23.4" x14ac:dyDescent="0.4">
      <c r="A361" s="248"/>
      <c r="B361" s="1036"/>
      <c r="C361" s="548" t="s">
        <v>142</v>
      </c>
      <c r="D361" s="279"/>
      <c r="E361" s="439"/>
      <c r="F361" s="336">
        <f t="shared" si="336"/>
        <v>0</v>
      </c>
      <c r="G361" s="281"/>
      <c r="H361" s="281"/>
      <c r="I361" s="355" t="str">
        <f>IFERROR(F361/#REF!,"-")</f>
        <v>-</v>
      </c>
      <c r="J361" s="336">
        <f t="shared" si="337"/>
        <v>0</v>
      </c>
      <c r="K361" s="281">
        <f t="shared" ref="K361:L361" si="364">+K299+G361</f>
        <v>0</v>
      </c>
      <c r="L361" s="439">
        <f t="shared" si="364"/>
        <v>0</v>
      </c>
      <c r="M361" s="340" t="str">
        <f t="shared" si="349"/>
        <v>-</v>
      </c>
      <c r="N361" s="264" t="str">
        <f t="shared" si="350"/>
        <v>-</v>
      </c>
      <c r="O361" s="512">
        <v>4.9344999999999999</v>
      </c>
      <c r="P361" s="407">
        <f t="shared" si="334"/>
        <v>0</v>
      </c>
      <c r="Q361" s="452">
        <f t="shared" si="335"/>
        <v>0</v>
      </c>
    </row>
    <row r="362" spans="1:17" ht="23.4" x14ac:dyDescent="0.4">
      <c r="A362" s="248"/>
      <c r="B362" s="1036"/>
      <c r="C362" s="548" t="s">
        <v>136</v>
      </c>
      <c r="D362" s="279"/>
      <c r="E362" s="439"/>
      <c r="F362" s="336">
        <f t="shared" si="336"/>
        <v>0</v>
      </c>
      <c r="G362" s="281"/>
      <c r="H362" s="281"/>
      <c r="I362" s="355" t="str">
        <f>IFERROR(F362/#REF!,"-")</f>
        <v>-</v>
      </c>
      <c r="J362" s="336">
        <f t="shared" si="337"/>
        <v>0</v>
      </c>
      <c r="K362" s="281">
        <f t="shared" ref="K362:L362" si="365">+K300+G362</f>
        <v>0</v>
      </c>
      <c r="L362" s="439">
        <f t="shared" si="365"/>
        <v>0</v>
      </c>
      <c r="M362" s="340" t="str">
        <f t="shared" si="349"/>
        <v>-</v>
      </c>
      <c r="N362" s="264" t="str">
        <f t="shared" si="350"/>
        <v>-</v>
      </c>
      <c r="O362" s="512">
        <v>4.9344999999999999</v>
      </c>
      <c r="P362" s="407">
        <f t="shared" si="334"/>
        <v>0</v>
      </c>
      <c r="Q362" s="452">
        <f t="shared" si="335"/>
        <v>0</v>
      </c>
    </row>
    <row r="363" spans="1:17" ht="24" thickBot="1" x14ac:dyDescent="0.45">
      <c r="A363" s="248"/>
      <c r="B363" s="1037"/>
      <c r="C363" s="548" t="s">
        <v>275</v>
      </c>
      <c r="D363" s="279"/>
      <c r="E363" s="439"/>
      <c r="F363" s="336">
        <f t="shared" si="336"/>
        <v>0</v>
      </c>
      <c r="G363" s="281"/>
      <c r="H363" s="281"/>
      <c r="I363" s="355" t="str">
        <f>IFERROR(F363/#REF!,"-")</f>
        <v>-</v>
      </c>
      <c r="J363" s="336">
        <f t="shared" si="337"/>
        <v>0</v>
      </c>
      <c r="K363" s="281">
        <f t="shared" ref="K363:L363" si="366">+K301+G363</f>
        <v>0</v>
      </c>
      <c r="L363" s="439">
        <f t="shared" si="366"/>
        <v>0</v>
      </c>
      <c r="M363" s="340" t="str">
        <f t="shared" si="349"/>
        <v>-</v>
      </c>
      <c r="N363" s="264" t="str">
        <f t="shared" si="350"/>
        <v>-</v>
      </c>
      <c r="O363" s="512">
        <v>5.5069999999999997</v>
      </c>
      <c r="P363" s="407">
        <f t="shared" si="334"/>
        <v>0</v>
      </c>
      <c r="Q363" s="452">
        <f t="shared" si="335"/>
        <v>0</v>
      </c>
    </row>
    <row r="364" spans="1:17" ht="23.4" x14ac:dyDescent="0.4">
      <c r="A364" s="248"/>
      <c r="B364" s="1035" t="s">
        <v>281</v>
      </c>
      <c r="C364" s="548" t="s">
        <v>277</v>
      </c>
      <c r="D364" s="279"/>
      <c r="E364" s="439"/>
      <c r="F364" s="336">
        <f t="shared" si="336"/>
        <v>0</v>
      </c>
      <c r="G364" s="281"/>
      <c r="H364" s="281"/>
      <c r="I364" s="355" t="str">
        <f>IFERROR(F364/#REF!,"-")</f>
        <v>-</v>
      </c>
      <c r="J364" s="336">
        <f t="shared" si="337"/>
        <v>0</v>
      </c>
      <c r="K364" s="281">
        <f t="shared" ref="K364:L364" si="367">+K302+G364</f>
        <v>0</v>
      </c>
      <c r="L364" s="439">
        <f t="shared" si="367"/>
        <v>0</v>
      </c>
      <c r="M364" s="340" t="str">
        <f t="shared" si="349"/>
        <v>-</v>
      </c>
      <c r="N364" s="264" t="str">
        <f t="shared" si="350"/>
        <v>-</v>
      </c>
      <c r="O364" s="512">
        <v>5.6550000000000002</v>
      </c>
      <c r="P364" s="407">
        <f t="shared" si="334"/>
        <v>0</v>
      </c>
      <c r="Q364" s="452">
        <f t="shared" si="335"/>
        <v>0</v>
      </c>
    </row>
    <row r="365" spans="1:17" ht="23.4" x14ac:dyDescent="0.4">
      <c r="A365" s="248"/>
      <c r="B365" s="1036"/>
      <c r="C365" s="548" t="s">
        <v>278</v>
      </c>
      <c r="D365" s="279"/>
      <c r="E365" s="439"/>
      <c r="F365" s="336">
        <f t="shared" si="336"/>
        <v>0</v>
      </c>
      <c r="G365" s="281"/>
      <c r="H365" s="281"/>
      <c r="I365" s="355" t="str">
        <f>IFERROR(F365/#REF!,"-")</f>
        <v>-</v>
      </c>
      <c r="J365" s="336">
        <f t="shared" si="337"/>
        <v>0</v>
      </c>
      <c r="K365" s="281">
        <f t="shared" ref="K365:L365" si="368">+K303+G365</f>
        <v>0</v>
      </c>
      <c r="L365" s="439">
        <f t="shared" si="368"/>
        <v>0</v>
      </c>
      <c r="M365" s="340" t="str">
        <f t="shared" si="349"/>
        <v>-</v>
      </c>
      <c r="N365" s="264" t="str">
        <f t="shared" si="350"/>
        <v>-</v>
      </c>
      <c r="O365" s="512">
        <v>5.6550000000000002</v>
      </c>
      <c r="P365" s="407">
        <f t="shared" si="334"/>
        <v>0</v>
      </c>
      <c r="Q365" s="452">
        <f t="shared" si="335"/>
        <v>0</v>
      </c>
    </row>
    <row r="366" spans="1:17" ht="23.4" x14ac:dyDescent="0.4">
      <c r="A366" s="248"/>
      <c r="B366" s="1036"/>
      <c r="C366" s="548" t="s">
        <v>355</v>
      </c>
      <c r="D366" s="279"/>
      <c r="E366" s="439"/>
      <c r="F366" s="336">
        <f t="shared" si="336"/>
        <v>43941</v>
      </c>
      <c r="G366" s="281">
        <v>43000</v>
      </c>
      <c r="H366" s="281">
        <v>941</v>
      </c>
      <c r="I366" s="355" t="str">
        <f>IFERROR(F366/#REF!,"-")</f>
        <v>-</v>
      </c>
      <c r="J366" s="336">
        <f t="shared" si="337"/>
        <v>214979</v>
      </c>
      <c r="K366" s="730">
        <f t="shared" ref="K366:L366" si="369">+K304+G366</f>
        <v>208700</v>
      </c>
      <c r="L366" s="731">
        <f t="shared" si="369"/>
        <v>6279</v>
      </c>
      <c r="M366" s="340" t="str">
        <f t="shared" si="349"/>
        <v>-</v>
      </c>
      <c r="N366" s="264">
        <f t="shared" si="350"/>
        <v>2.9207503988761693E-2</v>
      </c>
      <c r="O366" s="512">
        <v>5.6550000000000002</v>
      </c>
      <c r="P366" s="407">
        <f t="shared" si="334"/>
        <v>243165</v>
      </c>
      <c r="Q366" s="452">
        <f t="shared" si="335"/>
        <v>1180198.5</v>
      </c>
    </row>
    <row r="367" spans="1:17" ht="23.4" x14ac:dyDescent="0.4">
      <c r="A367" s="248"/>
      <c r="B367" s="1036"/>
      <c r="C367" s="548" t="s">
        <v>279</v>
      </c>
      <c r="D367" s="279"/>
      <c r="E367" s="439"/>
      <c r="F367" s="336">
        <f t="shared" si="336"/>
        <v>0</v>
      </c>
      <c r="G367" s="281"/>
      <c r="H367" s="281"/>
      <c r="I367" s="355" t="str">
        <f>IFERROR(F367/#REF!,"-")</f>
        <v>-</v>
      </c>
      <c r="J367" s="336">
        <f t="shared" si="337"/>
        <v>0</v>
      </c>
      <c r="K367" s="281">
        <f t="shared" ref="K367:L367" si="370">+K305+G367</f>
        <v>0</v>
      </c>
      <c r="L367" s="439">
        <f t="shared" si="370"/>
        <v>0</v>
      </c>
      <c r="M367" s="340" t="str">
        <f t="shared" si="349"/>
        <v>-</v>
      </c>
      <c r="N367" s="264" t="str">
        <f t="shared" si="350"/>
        <v>-</v>
      </c>
      <c r="O367" s="512">
        <v>5.6550000000000002</v>
      </c>
      <c r="P367" s="407">
        <f t="shared" si="334"/>
        <v>0</v>
      </c>
      <c r="Q367" s="452">
        <f t="shared" si="335"/>
        <v>0</v>
      </c>
    </row>
    <row r="368" spans="1:17" ht="23.4" x14ac:dyDescent="0.4">
      <c r="A368" s="248" t="s">
        <v>108</v>
      </c>
      <c r="B368" s="1036"/>
      <c r="C368" s="548" t="s">
        <v>280</v>
      </c>
      <c r="D368" s="279"/>
      <c r="E368" s="439"/>
      <c r="F368" s="336">
        <f t="shared" si="336"/>
        <v>0</v>
      </c>
      <c r="G368" s="281"/>
      <c r="H368" s="281"/>
      <c r="I368" s="355" t="str">
        <f>IFERROR(F368/#REF!,"-")</f>
        <v>-</v>
      </c>
      <c r="J368" s="336">
        <f t="shared" si="337"/>
        <v>0</v>
      </c>
      <c r="K368" s="281">
        <f t="shared" ref="K368:L368" si="371">+K306+G368</f>
        <v>0</v>
      </c>
      <c r="L368" s="439">
        <f t="shared" si="371"/>
        <v>0</v>
      </c>
      <c r="M368" s="340" t="str">
        <f t="shared" si="349"/>
        <v>-</v>
      </c>
      <c r="N368" s="264" t="str">
        <f t="shared" si="350"/>
        <v>-</v>
      </c>
      <c r="O368" s="512">
        <v>3.2963</v>
      </c>
      <c r="P368" s="407">
        <f t="shared" si="334"/>
        <v>0</v>
      </c>
      <c r="Q368" s="452">
        <f t="shared" si="335"/>
        <v>0</v>
      </c>
    </row>
    <row r="369" spans="1:17" ht="24" thickBot="1" x14ac:dyDescent="0.45">
      <c r="A369" s="248" t="s">
        <v>108</v>
      </c>
      <c r="B369" s="1037"/>
      <c r="C369" s="548" t="s">
        <v>275</v>
      </c>
      <c r="D369" s="279"/>
      <c r="E369" s="439"/>
      <c r="F369" s="336">
        <f t="shared" si="336"/>
        <v>0</v>
      </c>
      <c r="G369" s="281"/>
      <c r="H369" s="281"/>
      <c r="I369" s="355" t="str">
        <f>IFERROR(F369/#REF!,"-")</f>
        <v>-</v>
      </c>
      <c r="J369" s="336">
        <f t="shared" si="337"/>
        <v>0</v>
      </c>
      <c r="K369" s="281">
        <f t="shared" ref="K369:L369" si="372">+K307+G369</f>
        <v>0</v>
      </c>
      <c r="L369" s="439">
        <f t="shared" si="372"/>
        <v>0</v>
      </c>
      <c r="M369" s="340" t="str">
        <f t="shared" si="349"/>
        <v>-</v>
      </c>
      <c r="N369" s="264" t="str">
        <f t="shared" si="350"/>
        <v>-</v>
      </c>
      <c r="O369" s="512">
        <v>3.2963</v>
      </c>
      <c r="P369" s="407">
        <f t="shared" si="334"/>
        <v>0</v>
      </c>
      <c r="Q369" s="452">
        <f t="shared" si="335"/>
        <v>0</v>
      </c>
    </row>
    <row r="370" spans="1:17" ht="23.4" x14ac:dyDescent="0.4">
      <c r="A370" s="248" t="s">
        <v>108</v>
      </c>
      <c r="B370" s="552"/>
      <c r="C370" s="549" t="s">
        <v>92</v>
      </c>
      <c r="D370" s="516"/>
      <c r="E370" s="439"/>
      <c r="F370" s="336">
        <f t="shared" si="336"/>
        <v>0</v>
      </c>
      <c r="G370" s="281"/>
      <c r="H370" s="281"/>
      <c r="I370" s="355" t="str">
        <f>IFERROR(F370/#REF!,"-")</f>
        <v>-</v>
      </c>
      <c r="J370" s="336">
        <f t="shared" si="337"/>
        <v>0</v>
      </c>
      <c r="K370" s="281">
        <f t="shared" ref="K370:L370" si="373">+K308+G370</f>
        <v>0</v>
      </c>
      <c r="L370" s="439">
        <f t="shared" si="373"/>
        <v>0</v>
      </c>
      <c r="M370" s="340" t="str">
        <f t="shared" si="349"/>
        <v>-</v>
      </c>
      <c r="N370" s="264" t="str">
        <f t="shared" si="350"/>
        <v>-</v>
      </c>
      <c r="O370" s="512">
        <v>2.3201000000000001</v>
      </c>
      <c r="P370" s="407">
        <f t="shared" si="334"/>
        <v>0</v>
      </c>
      <c r="Q370" s="452">
        <f t="shared" si="335"/>
        <v>0</v>
      </c>
    </row>
    <row r="371" spans="1:17" ht="24" thickBot="1" x14ac:dyDescent="0.35">
      <c r="A371" s="248" t="s">
        <v>108</v>
      </c>
      <c r="B371" s="529"/>
      <c r="C371" s="546"/>
      <c r="D371" s="535"/>
      <c r="E371" s="466"/>
      <c r="F371" s="464">
        <f t="shared" si="336"/>
        <v>0</v>
      </c>
      <c r="G371" s="465"/>
      <c r="H371" s="465"/>
      <c r="I371" s="537" t="str">
        <f>IFERROR(F371/#REF!,"-")</f>
        <v>-</v>
      </c>
      <c r="J371" s="464">
        <f t="shared" si="337"/>
        <v>0</v>
      </c>
      <c r="K371" s="465">
        <f t="shared" ref="K371:L371" si="374">+K309+G371</f>
        <v>0</v>
      </c>
      <c r="L371" s="466">
        <f t="shared" si="374"/>
        <v>0</v>
      </c>
      <c r="M371" s="726" t="str">
        <f t="shared" si="349"/>
        <v>-</v>
      </c>
      <c r="N371" s="266" t="str">
        <f t="shared" si="350"/>
        <v>-</v>
      </c>
      <c r="O371" s="544"/>
      <c r="P371" s="541">
        <f t="shared" si="334"/>
        <v>0</v>
      </c>
      <c r="Q371" s="542">
        <f t="shared" si="335"/>
        <v>0</v>
      </c>
    </row>
    <row r="372" spans="1:17" ht="24" thickBot="1" x14ac:dyDescent="0.35">
      <c r="A372" s="277" t="s">
        <v>108</v>
      </c>
      <c r="B372" s="1060" t="s">
        <v>25</v>
      </c>
      <c r="C372" s="1061"/>
      <c r="D372" s="518">
        <f>SUM(D345:D371)</f>
        <v>0</v>
      </c>
      <c r="E372" s="531">
        <v>100000</v>
      </c>
      <c r="F372" s="524">
        <f>SUM(F340:F371)</f>
        <v>144071</v>
      </c>
      <c r="G372" s="524">
        <f>SUM(G340:G371)</f>
        <v>141900</v>
      </c>
      <c r="H372" s="524">
        <f>SUM(H340:H371)</f>
        <v>2171</v>
      </c>
      <c r="I372" s="525" t="str">
        <f>IFERROR(F372/#REF!,"-")</f>
        <v>-</v>
      </c>
      <c r="J372" s="518">
        <f>SUM(J340:J371)</f>
        <v>689290</v>
      </c>
      <c r="K372" s="518">
        <f t="shared" ref="K372:L372" si="375">SUM(K340:K371)</f>
        <v>675059</v>
      </c>
      <c r="L372" s="518">
        <f t="shared" si="375"/>
        <v>14231</v>
      </c>
      <c r="M372" s="526" t="str">
        <f t="shared" si="349"/>
        <v>-</v>
      </c>
      <c r="N372" s="525">
        <f t="shared" si="350"/>
        <v>2.0645881994516096E-2</v>
      </c>
      <c r="O372" s="527"/>
      <c r="P372" s="528">
        <f>SUM(P340:P371)</f>
        <v>874739.38</v>
      </c>
      <c r="Q372" s="528">
        <f>SUM(Q340:Q371)</f>
        <v>4851664.2731999997</v>
      </c>
    </row>
    <row r="373" spans="1:17" ht="24" thickBot="1" x14ac:dyDescent="0.35">
      <c r="A373" s="321" t="s">
        <v>108</v>
      </c>
      <c r="B373" s="1062" t="s">
        <v>269</v>
      </c>
      <c r="C373" s="982"/>
      <c r="D373" s="329">
        <f>+D344+D372</f>
        <v>0</v>
      </c>
      <c r="E373" s="330">
        <f>+E344+E372</f>
        <v>100000</v>
      </c>
      <c r="F373" s="329">
        <f>+F372</f>
        <v>144071</v>
      </c>
      <c r="G373" s="329">
        <f t="shared" ref="G373:H373" si="376">+G372</f>
        <v>141900</v>
      </c>
      <c r="H373" s="329">
        <f t="shared" si="376"/>
        <v>2171</v>
      </c>
      <c r="I373" s="352" t="str">
        <f>IFERROR(F373/#REF!,"-")</f>
        <v>-</v>
      </c>
      <c r="J373" s="329">
        <f>+J372</f>
        <v>689290</v>
      </c>
      <c r="K373" s="329">
        <f t="shared" ref="K373:L373" si="377">+K372</f>
        <v>675059</v>
      </c>
      <c r="L373" s="329">
        <f t="shared" si="377"/>
        <v>14231</v>
      </c>
      <c r="M373" s="344" t="str">
        <f t="shared" si="349"/>
        <v>-</v>
      </c>
      <c r="N373" s="352">
        <f t="shared" si="350"/>
        <v>2.0645881994516096E-2</v>
      </c>
      <c r="O373" s="397"/>
      <c r="P373" s="413">
        <f>+P372</f>
        <v>874739.38</v>
      </c>
      <c r="Q373" s="431">
        <f>Q372</f>
        <v>4851664.2731999997</v>
      </c>
    </row>
    <row r="374" spans="1:17" ht="24.6" thickBot="1" x14ac:dyDescent="0.35">
      <c r="A374" s="322"/>
      <c r="B374" s="964" t="s">
        <v>182</v>
      </c>
      <c r="C374" s="965"/>
      <c r="D374" s="377">
        <f>+D373+D339+D330</f>
        <v>0</v>
      </c>
      <c r="E374" s="377">
        <f>+E373+E339+E330</f>
        <v>230000</v>
      </c>
      <c r="F374" s="377">
        <f>+F373+F339+F330</f>
        <v>463480</v>
      </c>
      <c r="G374" s="377">
        <f>+G373+G339+G330</f>
        <v>456430</v>
      </c>
      <c r="H374" s="377">
        <f>+H373+H339+H330</f>
        <v>7050</v>
      </c>
      <c r="I374" s="378" t="str">
        <f>IFERROR(F374/#REF!,"-")</f>
        <v>-</v>
      </c>
      <c r="J374" s="377">
        <f>+J373+J339+J330</f>
        <v>1988759</v>
      </c>
      <c r="K374" s="377">
        <f>+K373+K339+K330</f>
        <v>1953039</v>
      </c>
      <c r="L374" s="377">
        <f>+L373+L339+L330</f>
        <v>35720</v>
      </c>
      <c r="M374" s="378" t="str">
        <f t="shared" si="349"/>
        <v>-</v>
      </c>
      <c r="N374" s="378">
        <f>IFERROR(L374/J374,"-")</f>
        <v>1.7960949516758945E-2</v>
      </c>
      <c r="O374" s="404"/>
      <c r="P374" s="421">
        <f>+P373+P339+P330</f>
        <v>2144190.7649999997</v>
      </c>
      <c r="Q374" s="421">
        <f>+Q373+Q339+Q330</f>
        <v>10446892.8632</v>
      </c>
    </row>
    <row r="375" spans="1:17" ht="23.4" x14ac:dyDescent="0.3">
      <c r="A375" s="991" t="s">
        <v>1</v>
      </c>
      <c r="B375" s="994" t="s">
        <v>2</v>
      </c>
      <c r="C375" s="997" t="s">
        <v>3</v>
      </c>
      <c r="D375" s="1000" t="s">
        <v>4</v>
      </c>
      <c r="E375" s="1001"/>
      <c r="F375" s="1001"/>
      <c r="G375" s="1001"/>
      <c r="H375" s="1001"/>
      <c r="I375" s="1001"/>
      <c r="J375" s="1001"/>
      <c r="K375" s="1001"/>
      <c r="L375" s="1001"/>
      <c r="M375" s="1001"/>
      <c r="N375" s="1002"/>
      <c r="O375" s="1021" t="s">
        <v>175</v>
      </c>
      <c r="P375" s="1022"/>
      <c r="Q375" s="1052"/>
    </row>
    <row r="376" spans="1:17" ht="23.4" x14ac:dyDescent="0.3">
      <c r="A376" s="992"/>
      <c r="B376" s="995"/>
      <c r="C376" s="998"/>
      <c r="D376" s="1003" t="s">
        <v>7</v>
      </c>
      <c r="E376" s="1005" t="s">
        <v>115</v>
      </c>
      <c r="F376" s="1053" t="s">
        <v>466</v>
      </c>
      <c r="G376" s="1008"/>
      <c r="H376" s="1008"/>
      <c r="I376" s="1009"/>
      <c r="J376" s="1010" t="s">
        <v>8</v>
      </c>
      <c r="K376" s="1011"/>
      <c r="L376" s="1012"/>
      <c r="M376" s="1013" t="s">
        <v>173</v>
      </c>
      <c r="N376" s="1015" t="s">
        <v>172</v>
      </c>
      <c r="O376" s="1023" t="s">
        <v>177</v>
      </c>
      <c r="P376" s="1024"/>
      <c r="Q376" s="1025"/>
    </row>
    <row r="377" spans="1:17" ht="47.4" thickBot="1" x14ac:dyDescent="0.35">
      <c r="A377" s="993"/>
      <c r="B377" s="996"/>
      <c r="C377" s="999"/>
      <c r="D377" s="1004"/>
      <c r="E377" s="1006"/>
      <c r="F377" s="455" t="s">
        <v>13</v>
      </c>
      <c r="G377" s="456" t="s">
        <v>14</v>
      </c>
      <c r="H377" s="456" t="s">
        <v>15</v>
      </c>
      <c r="I377" s="457" t="s">
        <v>174</v>
      </c>
      <c r="J377" s="712" t="s">
        <v>13</v>
      </c>
      <c r="K377" s="710" t="s">
        <v>14</v>
      </c>
      <c r="L377" s="711" t="s">
        <v>15</v>
      </c>
      <c r="M377" s="1014"/>
      <c r="N377" s="1016"/>
      <c r="O377" s="447" t="s">
        <v>178</v>
      </c>
      <c r="P377" s="448" t="s">
        <v>11</v>
      </c>
      <c r="Q377" s="449" t="s">
        <v>12</v>
      </c>
    </row>
    <row r="378" spans="1:17" ht="23.4" x14ac:dyDescent="0.3">
      <c r="A378" s="271" t="s">
        <v>110</v>
      </c>
      <c r="B378" s="442"/>
      <c r="C378" s="272" t="s">
        <v>266</v>
      </c>
      <c r="D378" s="273"/>
      <c r="E378" s="274"/>
      <c r="F378" s="335">
        <f>+G378+H378</f>
        <v>0</v>
      </c>
      <c r="G378" s="275"/>
      <c r="H378" s="275"/>
      <c r="I378" s="354" t="str">
        <f>IFERROR(F378/#REF!,"-")</f>
        <v>-</v>
      </c>
      <c r="J378" s="461">
        <f>+K378+L378</f>
        <v>91470</v>
      </c>
      <c r="K378" s="462">
        <f>+K316+G378</f>
        <v>89040</v>
      </c>
      <c r="L378" s="463">
        <f>+L316+H378</f>
        <v>2430</v>
      </c>
      <c r="M378" s="339" t="str">
        <f>IFERROR(J378/D378,"-")</f>
        <v>-</v>
      </c>
      <c r="N378" s="346">
        <f t="shared" ref="N378:N379" si="378">IFERROR(L378/J378,"-")</f>
        <v>2.6566087241718595E-2</v>
      </c>
      <c r="O378" s="511">
        <v>1.5669</v>
      </c>
      <c r="P378" s="405">
        <f>+O378*G378</f>
        <v>0</v>
      </c>
      <c r="Q378" s="450">
        <f>+O378*K378</f>
        <v>139516.77599999998</v>
      </c>
    </row>
    <row r="379" spans="1:17" ht="23.4" x14ac:dyDescent="0.3">
      <c r="A379" s="277" t="s">
        <v>110</v>
      </c>
      <c r="B379" s="441"/>
      <c r="C379" s="278" t="s">
        <v>265</v>
      </c>
      <c r="D379" s="279"/>
      <c r="E379" s="280"/>
      <c r="F379" s="336">
        <f t="shared" ref="F379:F382" si="379">+G379+H379</f>
        <v>58364</v>
      </c>
      <c r="G379" s="281">
        <v>57500</v>
      </c>
      <c r="H379" s="281">
        <v>864</v>
      </c>
      <c r="I379" s="355" t="str">
        <f>IFERROR(F379/#REF!,"-")</f>
        <v>-</v>
      </c>
      <c r="J379" s="336">
        <f t="shared" ref="J379:J382" si="380">+K379+L379</f>
        <v>733682</v>
      </c>
      <c r="K379" s="281">
        <f t="shared" ref="K379:K382" si="381">+K317+G379</f>
        <v>728250</v>
      </c>
      <c r="L379" s="439">
        <f t="shared" ref="L379:L382" si="382">+L317+H379</f>
        <v>5432</v>
      </c>
      <c r="M379" s="340" t="str">
        <f t="shared" ref="M379:M382" si="383">IFERROR(J379/D379,"-")</f>
        <v>-</v>
      </c>
      <c r="N379" s="268">
        <f t="shared" si="378"/>
        <v>7.4037525794554042E-3</v>
      </c>
      <c r="O379" s="512">
        <v>2.3978999999999999</v>
      </c>
      <c r="P379" s="407">
        <f>+O379*G379</f>
        <v>137879.25</v>
      </c>
      <c r="Q379" s="452">
        <f>+O379*K379</f>
        <v>1746270.675</v>
      </c>
    </row>
    <row r="380" spans="1:17" ht="23.4" x14ac:dyDescent="0.3">
      <c r="A380" s="277" t="s">
        <v>110</v>
      </c>
      <c r="B380" s="441"/>
      <c r="C380" s="278" t="s">
        <v>409</v>
      </c>
      <c r="D380" s="279"/>
      <c r="E380" s="280"/>
      <c r="F380" s="336">
        <f t="shared" si="379"/>
        <v>0</v>
      </c>
      <c r="G380" s="281"/>
      <c r="H380" s="281"/>
      <c r="I380" s="355" t="str">
        <f>IFERROR(F380/#REF!,"-")</f>
        <v>-</v>
      </c>
      <c r="J380" s="336">
        <f t="shared" si="380"/>
        <v>0</v>
      </c>
      <c r="K380" s="281">
        <f t="shared" si="381"/>
        <v>0</v>
      </c>
      <c r="L380" s="439">
        <f t="shared" si="382"/>
        <v>0</v>
      </c>
      <c r="M380" s="340" t="str">
        <f t="shared" si="383"/>
        <v>-</v>
      </c>
      <c r="N380" s="268" t="str">
        <f>IFERROR(L380/J380,"-")</f>
        <v>-</v>
      </c>
      <c r="O380" s="513">
        <v>4.6797000000000004</v>
      </c>
      <c r="P380" s="407">
        <f t="shared" ref="P380:P382" si="384">+O380*G380</f>
        <v>0</v>
      </c>
      <c r="Q380" s="452">
        <f t="shared" ref="Q380:Q382" si="385">+O380*K380</f>
        <v>0</v>
      </c>
    </row>
    <row r="381" spans="1:17" ht="23.4" x14ac:dyDescent="0.3">
      <c r="A381" s="277"/>
      <c r="B381" s="454"/>
      <c r="C381" s="278" t="s">
        <v>353</v>
      </c>
      <c r="D381" s="283"/>
      <c r="E381" s="284"/>
      <c r="F381" s="336">
        <f t="shared" si="379"/>
        <v>22218</v>
      </c>
      <c r="G381" s="285">
        <v>22000</v>
      </c>
      <c r="H381" s="285">
        <v>218</v>
      </c>
      <c r="I381" s="355" t="str">
        <f>IFERROR(F381/#REF!,"-")</f>
        <v>-</v>
      </c>
      <c r="J381" s="336">
        <f t="shared" si="380"/>
        <v>131659</v>
      </c>
      <c r="K381" s="281">
        <f t="shared" si="381"/>
        <v>128600</v>
      </c>
      <c r="L381" s="439">
        <f t="shared" si="382"/>
        <v>3059</v>
      </c>
      <c r="M381" s="340" t="str">
        <f t="shared" si="383"/>
        <v>-</v>
      </c>
      <c r="N381" s="268">
        <f>IFERROR(L381/J381,"-")</f>
        <v>2.3234264273615933E-2</v>
      </c>
      <c r="O381" s="513">
        <v>12.284700000000001</v>
      </c>
      <c r="P381" s="407">
        <f t="shared" si="384"/>
        <v>270263.40000000002</v>
      </c>
      <c r="Q381" s="452">
        <f t="shared" si="385"/>
        <v>1579812.4200000002</v>
      </c>
    </row>
    <row r="382" spans="1:17" ht="24" thickBot="1" x14ac:dyDescent="0.35">
      <c r="A382" s="277" t="s">
        <v>110</v>
      </c>
      <c r="B382" s="454"/>
      <c r="C382" s="278" t="s">
        <v>408</v>
      </c>
      <c r="D382" s="283"/>
      <c r="E382" s="284"/>
      <c r="F382" s="337">
        <f t="shared" si="379"/>
        <v>0</v>
      </c>
      <c r="G382" s="285"/>
      <c r="H382" s="285"/>
      <c r="I382" s="356" t="str">
        <f>IFERROR(F382/#REF!,"-")</f>
        <v>-</v>
      </c>
      <c r="J382" s="464">
        <f t="shared" si="380"/>
        <v>177284</v>
      </c>
      <c r="K382" s="465">
        <f t="shared" si="381"/>
        <v>168250</v>
      </c>
      <c r="L382" s="466">
        <f t="shared" si="382"/>
        <v>9034</v>
      </c>
      <c r="M382" s="341" t="str">
        <f t="shared" si="383"/>
        <v>-</v>
      </c>
      <c r="N382" s="347">
        <f t="shared" ref="N382:N394" si="386">IFERROR(L382/J382,"-")</f>
        <v>5.0957785248527787E-2</v>
      </c>
      <c r="O382" s="513">
        <v>4.6797000000000004</v>
      </c>
      <c r="P382" s="408">
        <f t="shared" si="384"/>
        <v>0</v>
      </c>
      <c r="Q382" s="453">
        <f t="shared" si="385"/>
        <v>787359.52500000002</v>
      </c>
    </row>
    <row r="383" spans="1:17" ht="24" thickBot="1" x14ac:dyDescent="0.35">
      <c r="A383" s="277" t="s">
        <v>110</v>
      </c>
      <c r="B383" s="967" t="s">
        <v>21</v>
      </c>
      <c r="C383" s="968"/>
      <c r="D383" s="323">
        <f>SUM(D378:D382)</f>
        <v>0</v>
      </c>
      <c r="E383" s="288">
        <v>15000</v>
      </c>
      <c r="F383" s="323">
        <f>SUM(F378:F382)</f>
        <v>80582</v>
      </c>
      <c r="G383" s="324">
        <f>SUM(G378:G382)</f>
        <v>79500</v>
      </c>
      <c r="H383" s="324">
        <f>SUM(H378:H382)</f>
        <v>1082</v>
      </c>
      <c r="I383" s="348" t="str">
        <f>IFERROR(F383/#REF!,"-")</f>
        <v>-</v>
      </c>
      <c r="J383" s="323">
        <f>SUM(J378:J382)</f>
        <v>1134095</v>
      </c>
      <c r="K383" s="324">
        <f>SUM(K378:K382)</f>
        <v>1114140</v>
      </c>
      <c r="L383" s="325">
        <f>SUM(L378:L382)</f>
        <v>19955</v>
      </c>
      <c r="M383" s="342" t="str">
        <f>IFERROR(J383/D383,"-")</f>
        <v>-</v>
      </c>
      <c r="N383" s="348">
        <f t="shared" si="386"/>
        <v>1.7595527711523284E-2</v>
      </c>
      <c r="O383" s="394"/>
      <c r="P383" s="409">
        <f>SUM(P378:P382)</f>
        <v>408142.65</v>
      </c>
      <c r="Q383" s="428">
        <f>SUM(Q378:Q382)</f>
        <v>4252959.3960000006</v>
      </c>
    </row>
    <row r="384" spans="1:17" ht="23.4" x14ac:dyDescent="0.3">
      <c r="A384" s="277" t="s">
        <v>110</v>
      </c>
      <c r="B384" s="442"/>
      <c r="C384" s="272" t="s">
        <v>264</v>
      </c>
      <c r="D384" s="273"/>
      <c r="E384" s="274"/>
      <c r="F384" s="335">
        <f t="shared" ref="F384:F390" si="387">+G384+H384</f>
        <v>0</v>
      </c>
      <c r="G384" s="275"/>
      <c r="H384" s="275"/>
      <c r="I384" s="354" t="str">
        <f>IFERROR(F384/#REF!,"-")</f>
        <v>-</v>
      </c>
      <c r="J384" s="461">
        <f t="shared" ref="J384:J390" si="388">+K384+L384</f>
        <v>34540</v>
      </c>
      <c r="K384" s="462">
        <f t="shared" ref="K384:K390" si="389">+K322+G384</f>
        <v>33840</v>
      </c>
      <c r="L384" s="463">
        <f t="shared" ref="L384:L390" si="390">+L322+H384</f>
        <v>700</v>
      </c>
      <c r="M384" s="339" t="str">
        <f t="shared" ref="M384:M392" si="391">IFERROR(J384/D384,"-")</f>
        <v>-</v>
      </c>
      <c r="N384" s="349">
        <f t="shared" si="386"/>
        <v>2.0266357845975681E-2</v>
      </c>
      <c r="O384" s="511">
        <v>18.2316</v>
      </c>
      <c r="P384" s="405">
        <f t="shared" ref="P384:P390" si="392">+O384*G384</f>
        <v>0</v>
      </c>
      <c r="Q384" s="450">
        <f t="shared" ref="Q384:Q390" si="393">+O384*K384</f>
        <v>616957.34400000004</v>
      </c>
    </row>
    <row r="385" spans="1:17" ht="23.4" x14ac:dyDescent="0.3">
      <c r="A385" s="277" t="s">
        <v>110</v>
      </c>
      <c r="B385" s="441"/>
      <c r="C385" s="278" t="s">
        <v>92</v>
      </c>
      <c r="D385" s="279"/>
      <c r="E385" s="280"/>
      <c r="F385" s="336">
        <f t="shared" si="387"/>
        <v>60000</v>
      </c>
      <c r="G385" s="281">
        <v>60000</v>
      </c>
      <c r="H385" s="281"/>
      <c r="I385" s="355" t="str">
        <f>IFERROR(F385/#REF!,"-")</f>
        <v>-</v>
      </c>
      <c r="J385" s="336">
        <f t="shared" si="388"/>
        <v>120000</v>
      </c>
      <c r="K385" s="281">
        <f t="shared" si="389"/>
        <v>120000</v>
      </c>
      <c r="L385" s="439">
        <f t="shared" si="390"/>
        <v>0</v>
      </c>
      <c r="M385" s="340" t="str">
        <f t="shared" si="391"/>
        <v>-</v>
      </c>
      <c r="N385" s="264">
        <f t="shared" si="386"/>
        <v>0</v>
      </c>
      <c r="O385" s="512">
        <v>1.2824</v>
      </c>
      <c r="P385" s="407">
        <f t="shared" si="392"/>
        <v>76944</v>
      </c>
      <c r="Q385" s="452">
        <f t="shared" si="393"/>
        <v>153888</v>
      </c>
    </row>
    <row r="386" spans="1:17" ht="23.4" x14ac:dyDescent="0.3">
      <c r="A386" s="277" t="s">
        <v>110</v>
      </c>
      <c r="B386" s="441"/>
      <c r="C386" s="278" t="s">
        <v>329</v>
      </c>
      <c r="D386" s="279"/>
      <c r="E386" s="280"/>
      <c r="F386" s="336">
        <f t="shared" si="387"/>
        <v>0</v>
      </c>
      <c r="G386" s="281"/>
      <c r="H386" s="281"/>
      <c r="I386" s="355" t="str">
        <f>IFERROR(F386/#REF!,"-")</f>
        <v>-</v>
      </c>
      <c r="J386" s="336">
        <f t="shared" si="388"/>
        <v>0</v>
      </c>
      <c r="K386" s="281">
        <f t="shared" si="389"/>
        <v>0</v>
      </c>
      <c r="L386" s="439">
        <f t="shared" si="390"/>
        <v>0</v>
      </c>
      <c r="M386" s="340" t="str">
        <f t="shared" si="391"/>
        <v>-</v>
      </c>
      <c r="N386" s="264" t="str">
        <f t="shared" si="386"/>
        <v>-</v>
      </c>
      <c r="O386" s="512">
        <v>5.7342000000000004</v>
      </c>
      <c r="P386" s="407">
        <f t="shared" si="392"/>
        <v>0</v>
      </c>
      <c r="Q386" s="452">
        <f t="shared" si="393"/>
        <v>0</v>
      </c>
    </row>
    <row r="387" spans="1:17" ht="23.4" x14ac:dyDescent="0.3">
      <c r="A387" s="277" t="s">
        <v>110</v>
      </c>
      <c r="B387" s="441"/>
      <c r="C387" s="278" t="s">
        <v>346</v>
      </c>
      <c r="D387" s="279"/>
      <c r="E387" s="280"/>
      <c r="F387" s="336">
        <f t="shared" si="387"/>
        <v>0</v>
      </c>
      <c r="G387" s="281"/>
      <c r="H387" s="281"/>
      <c r="I387" s="355" t="str">
        <f>IFERROR(F387/#REF!,"-")</f>
        <v>-</v>
      </c>
      <c r="J387" s="336">
        <f t="shared" si="388"/>
        <v>0</v>
      </c>
      <c r="K387" s="281">
        <f t="shared" si="389"/>
        <v>0</v>
      </c>
      <c r="L387" s="439">
        <f t="shared" si="390"/>
        <v>0</v>
      </c>
      <c r="M387" s="340" t="str">
        <f t="shared" si="391"/>
        <v>-</v>
      </c>
      <c r="N387" s="264" t="str">
        <f t="shared" si="386"/>
        <v>-</v>
      </c>
      <c r="O387" s="512"/>
      <c r="P387" s="407">
        <f t="shared" si="392"/>
        <v>0</v>
      </c>
      <c r="Q387" s="452">
        <f t="shared" si="393"/>
        <v>0</v>
      </c>
    </row>
    <row r="388" spans="1:17" ht="23.4" x14ac:dyDescent="0.3">
      <c r="A388" s="277" t="s">
        <v>110</v>
      </c>
      <c r="B388" s="441"/>
      <c r="C388" s="278" t="s">
        <v>354</v>
      </c>
      <c r="D388" s="279"/>
      <c r="E388" s="280"/>
      <c r="F388" s="336">
        <f t="shared" si="387"/>
        <v>9095</v>
      </c>
      <c r="G388" s="281">
        <v>9000</v>
      </c>
      <c r="H388" s="281">
        <v>95</v>
      </c>
      <c r="I388" s="355" t="str">
        <f>IFERROR(F388/#REF!,"-")</f>
        <v>-</v>
      </c>
      <c r="J388" s="336">
        <f t="shared" si="388"/>
        <v>81836</v>
      </c>
      <c r="K388" s="281">
        <f t="shared" si="389"/>
        <v>81000</v>
      </c>
      <c r="L388" s="439">
        <f t="shared" si="390"/>
        <v>836</v>
      </c>
      <c r="M388" s="340" t="str">
        <f t="shared" si="391"/>
        <v>-</v>
      </c>
      <c r="N388" s="264">
        <f t="shared" si="386"/>
        <v>1.0215553057334181E-2</v>
      </c>
      <c r="O388" s="512">
        <v>12.029500000000001</v>
      </c>
      <c r="P388" s="407">
        <f t="shared" si="392"/>
        <v>108265.5</v>
      </c>
      <c r="Q388" s="452">
        <f t="shared" si="393"/>
        <v>974389.5</v>
      </c>
    </row>
    <row r="389" spans="1:17" ht="23.4" x14ac:dyDescent="0.3">
      <c r="A389" s="277" t="s">
        <v>110</v>
      </c>
      <c r="B389" s="441"/>
      <c r="C389" s="278"/>
      <c r="D389" s="279"/>
      <c r="E389" s="280"/>
      <c r="F389" s="336">
        <f t="shared" si="387"/>
        <v>0</v>
      </c>
      <c r="G389" s="281"/>
      <c r="H389" s="281"/>
      <c r="I389" s="355" t="str">
        <f>IFERROR(F389/#REF!,"-")</f>
        <v>-</v>
      </c>
      <c r="J389" s="336">
        <f t="shared" si="388"/>
        <v>0</v>
      </c>
      <c r="K389" s="281">
        <f t="shared" si="389"/>
        <v>0</v>
      </c>
      <c r="L389" s="439">
        <f t="shared" si="390"/>
        <v>0</v>
      </c>
      <c r="M389" s="340" t="str">
        <f t="shared" si="391"/>
        <v>-</v>
      </c>
      <c r="N389" s="264" t="str">
        <f t="shared" si="386"/>
        <v>-</v>
      </c>
      <c r="O389" s="512"/>
      <c r="P389" s="407">
        <f t="shared" si="392"/>
        <v>0</v>
      </c>
      <c r="Q389" s="452">
        <f t="shared" si="393"/>
        <v>0</v>
      </c>
    </row>
    <row r="390" spans="1:17" ht="24" thickBot="1" x14ac:dyDescent="0.35">
      <c r="A390" s="277" t="s">
        <v>110</v>
      </c>
      <c r="B390" s="454"/>
      <c r="C390" s="282"/>
      <c r="D390" s="283">
        <v>0</v>
      </c>
      <c r="E390" s="284"/>
      <c r="F390" s="337">
        <f t="shared" si="387"/>
        <v>0</v>
      </c>
      <c r="G390" s="285"/>
      <c r="H390" s="285"/>
      <c r="I390" s="356" t="str">
        <f>IFERROR(F390/#REF!,"-")</f>
        <v>-</v>
      </c>
      <c r="J390" s="464">
        <f t="shared" si="388"/>
        <v>0</v>
      </c>
      <c r="K390" s="465">
        <f t="shared" si="389"/>
        <v>0</v>
      </c>
      <c r="L390" s="466">
        <f t="shared" si="390"/>
        <v>0</v>
      </c>
      <c r="M390" s="341" t="str">
        <f t="shared" si="391"/>
        <v>-</v>
      </c>
      <c r="N390" s="350" t="str">
        <f t="shared" si="386"/>
        <v>-</v>
      </c>
      <c r="O390" s="513"/>
      <c r="P390" s="408">
        <f t="shared" si="392"/>
        <v>0</v>
      </c>
      <c r="Q390" s="453">
        <f t="shared" si="393"/>
        <v>0</v>
      </c>
    </row>
    <row r="391" spans="1:17" ht="24" thickBot="1" x14ac:dyDescent="0.35">
      <c r="A391" s="277" t="s">
        <v>110</v>
      </c>
      <c r="B391" s="967" t="s">
        <v>25</v>
      </c>
      <c r="C391" s="968"/>
      <c r="D391" s="323">
        <f t="shared" ref="D391" si="394">SUM(D384:D390)</f>
        <v>0</v>
      </c>
      <c r="E391" s="288">
        <v>100000</v>
      </c>
      <c r="F391" s="323">
        <f>SUM(F384:F390)</f>
        <v>69095</v>
      </c>
      <c r="G391" s="324">
        <f t="shared" ref="G391:H391" si="395">SUM(G384:G390)</f>
        <v>69000</v>
      </c>
      <c r="H391" s="324">
        <f t="shared" si="395"/>
        <v>95</v>
      </c>
      <c r="I391" s="348" t="str">
        <f>IFERROR(F391/#REF!,"-")</f>
        <v>-</v>
      </c>
      <c r="J391" s="323">
        <f t="shared" ref="J391:L391" si="396">SUM(J384:J390)</f>
        <v>236376</v>
      </c>
      <c r="K391" s="324">
        <f t="shared" si="396"/>
        <v>234840</v>
      </c>
      <c r="L391" s="325">
        <f t="shared" si="396"/>
        <v>1536</v>
      </c>
      <c r="M391" s="342" t="str">
        <f t="shared" si="391"/>
        <v>-</v>
      </c>
      <c r="N391" s="348">
        <f t="shared" si="386"/>
        <v>6.4981216367143869E-3</v>
      </c>
      <c r="O391" s="394"/>
      <c r="P391" s="409">
        <f t="shared" ref="P391:Q391" si="397">SUM(P384:P390)</f>
        <v>185209.5</v>
      </c>
      <c r="Q391" s="428">
        <f t="shared" si="397"/>
        <v>1745234.844</v>
      </c>
    </row>
    <row r="392" spans="1:17" ht="24" thickBot="1" x14ac:dyDescent="0.35">
      <c r="A392" s="277" t="s">
        <v>110</v>
      </c>
      <c r="B392" s="1057" t="s">
        <v>180</v>
      </c>
      <c r="C392" s="1040"/>
      <c r="D392" s="329">
        <f>+D383+D391</f>
        <v>0</v>
      </c>
      <c r="E392" s="330">
        <f t="shared" ref="E392:H392" si="398">+E383+E391</f>
        <v>115000</v>
      </c>
      <c r="F392" s="329">
        <f t="shared" si="398"/>
        <v>149677</v>
      </c>
      <c r="G392" s="327">
        <f t="shared" si="398"/>
        <v>148500</v>
      </c>
      <c r="H392" s="327">
        <f t="shared" si="398"/>
        <v>1177</v>
      </c>
      <c r="I392" s="352" t="str">
        <f>IFERROR(F392/#REF!,"-")</f>
        <v>-</v>
      </c>
      <c r="J392" s="329">
        <f t="shared" ref="J392:L392" si="399">+J383+J391</f>
        <v>1370471</v>
      </c>
      <c r="K392" s="327">
        <f t="shared" si="399"/>
        <v>1348980</v>
      </c>
      <c r="L392" s="328">
        <f t="shared" si="399"/>
        <v>21491</v>
      </c>
      <c r="M392" s="344" t="str">
        <f t="shared" si="391"/>
        <v>-</v>
      </c>
      <c r="N392" s="352">
        <f t="shared" si="386"/>
        <v>1.5681470093128567E-2</v>
      </c>
      <c r="O392" s="397"/>
      <c r="P392" s="413">
        <f t="shared" ref="P392:Q392" si="400">+P383+P391</f>
        <v>593352.15</v>
      </c>
      <c r="Q392" s="431">
        <f t="shared" si="400"/>
        <v>5998194.2400000002</v>
      </c>
    </row>
    <row r="393" spans="1:17" ht="23.4" x14ac:dyDescent="0.3">
      <c r="A393" s="244" t="s">
        <v>108</v>
      </c>
      <c r="B393" s="591"/>
      <c r="C393" s="592" t="s">
        <v>306</v>
      </c>
      <c r="D393" s="532"/>
      <c r="E393" s="463"/>
      <c r="F393" s="461">
        <f>+G393+H393</f>
        <v>0</v>
      </c>
      <c r="G393" s="462"/>
      <c r="H393" s="462"/>
      <c r="I393" s="536" t="str">
        <f>IFERROR(F393/#REF!,"-")</f>
        <v>-</v>
      </c>
      <c r="J393" s="461">
        <f>+K393+L393</f>
        <v>0</v>
      </c>
      <c r="K393" s="462">
        <f t="shared" ref="K393:K399" si="401">+K331+G393</f>
        <v>0</v>
      </c>
      <c r="L393" s="463">
        <f t="shared" ref="L393:L399" si="402">+L331+H393</f>
        <v>0</v>
      </c>
      <c r="M393" s="596" t="str">
        <f>IFERROR(J393/D393,"-")</f>
        <v>-</v>
      </c>
      <c r="N393" s="538" t="str">
        <f t="shared" si="386"/>
        <v>-</v>
      </c>
      <c r="O393" s="638">
        <v>4.8285999999999998</v>
      </c>
      <c r="P393" s="539">
        <f t="shared" ref="P393:P399" si="403">+O393*G393</f>
        <v>0</v>
      </c>
      <c r="Q393" s="540">
        <f t="shared" ref="Q393:Q399" si="404">+O393*K393</f>
        <v>0</v>
      </c>
    </row>
    <row r="394" spans="1:17" ht="23.4" x14ac:dyDescent="0.3">
      <c r="A394" s="248" t="s">
        <v>108</v>
      </c>
      <c r="B394" s="593"/>
      <c r="C394" s="278" t="s">
        <v>307</v>
      </c>
      <c r="D394" s="279"/>
      <c r="E394" s="439"/>
      <c r="F394" s="336">
        <f t="shared" ref="F394:F399" si="405">+G394+H394</f>
        <v>0</v>
      </c>
      <c r="G394" s="281"/>
      <c r="H394" s="281"/>
      <c r="I394" s="355" t="str">
        <f>IFERROR(F394/#REF!,"-")</f>
        <v>-</v>
      </c>
      <c r="J394" s="336">
        <f t="shared" ref="J394:J399" si="406">+K394+L394</f>
        <v>0</v>
      </c>
      <c r="K394" s="281">
        <f t="shared" si="401"/>
        <v>0</v>
      </c>
      <c r="L394" s="439">
        <f t="shared" si="402"/>
        <v>0</v>
      </c>
      <c r="M394" s="340" t="str">
        <f t="shared" ref="M394:M396" si="407">IFERROR(J394/D394,"-")</f>
        <v>-</v>
      </c>
      <c r="N394" s="268" t="str">
        <f t="shared" si="386"/>
        <v>-</v>
      </c>
      <c r="O394" s="639">
        <v>1.4086000000000001</v>
      </c>
      <c r="P394" s="407">
        <f t="shared" si="403"/>
        <v>0</v>
      </c>
      <c r="Q394" s="452">
        <f t="shared" si="404"/>
        <v>0</v>
      </c>
    </row>
    <row r="395" spans="1:17" ht="23.4" x14ac:dyDescent="0.3">
      <c r="A395" s="248" t="s">
        <v>108</v>
      </c>
      <c r="B395" s="593"/>
      <c r="C395" s="278" t="s">
        <v>348</v>
      </c>
      <c r="D395" s="279"/>
      <c r="E395" s="439"/>
      <c r="F395" s="336">
        <f t="shared" si="405"/>
        <v>0</v>
      </c>
      <c r="G395" s="281"/>
      <c r="H395" s="281"/>
      <c r="I395" s="355" t="str">
        <f>IFERROR(F395/#REF!,"-")</f>
        <v>-</v>
      </c>
      <c r="J395" s="336">
        <f t="shared" si="406"/>
        <v>0</v>
      </c>
      <c r="K395" s="281">
        <f t="shared" si="401"/>
        <v>0</v>
      </c>
      <c r="L395" s="439">
        <f t="shared" si="402"/>
        <v>0</v>
      </c>
      <c r="M395" s="340" t="str">
        <f t="shared" si="407"/>
        <v>-</v>
      </c>
      <c r="N395" s="268" t="str">
        <f>IFERROR(L395/J395,"-")</f>
        <v>-</v>
      </c>
      <c r="O395" s="639">
        <v>2.2141000000000002</v>
      </c>
      <c r="P395" s="407">
        <f t="shared" si="403"/>
        <v>0</v>
      </c>
      <c r="Q395" s="452">
        <f t="shared" si="404"/>
        <v>0</v>
      </c>
    </row>
    <row r="396" spans="1:17" ht="23.4" x14ac:dyDescent="0.3">
      <c r="A396" s="248" t="s">
        <v>108</v>
      </c>
      <c r="B396" s="594"/>
      <c r="C396" s="278" t="s">
        <v>460</v>
      </c>
      <c r="D396" s="283"/>
      <c r="E396" s="533"/>
      <c r="F396" s="337">
        <f t="shared" si="405"/>
        <v>290993</v>
      </c>
      <c r="G396" s="285">
        <f>100000+100000+87250</f>
        <v>287250</v>
      </c>
      <c r="H396" s="285">
        <f>1190+1307+1246</f>
        <v>3743</v>
      </c>
      <c r="I396" s="356" t="str">
        <f>IFERROR(F396/#REF!,"-")</f>
        <v>-</v>
      </c>
      <c r="J396" s="336">
        <f t="shared" si="406"/>
        <v>369668</v>
      </c>
      <c r="K396" s="281">
        <f t="shared" si="401"/>
        <v>364750</v>
      </c>
      <c r="L396" s="439">
        <f t="shared" si="402"/>
        <v>4918</v>
      </c>
      <c r="M396" s="341" t="str">
        <f t="shared" si="407"/>
        <v>-</v>
      </c>
      <c r="N396" s="347">
        <f t="shared" ref="N396:N403" si="408">IFERROR(L396/J396,"-")</f>
        <v>1.3303829382040101E-2</v>
      </c>
      <c r="O396" s="639">
        <v>2.2141000000000002</v>
      </c>
      <c r="P396" s="408">
        <f t="shared" si="403"/>
        <v>636000.22500000009</v>
      </c>
      <c r="Q396" s="453">
        <f t="shared" si="404"/>
        <v>807592.97500000009</v>
      </c>
    </row>
    <row r="397" spans="1:17" ht="23.4" x14ac:dyDescent="0.3">
      <c r="A397" s="248" t="s">
        <v>108</v>
      </c>
      <c r="B397" s="443"/>
      <c r="C397" s="637" t="s">
        <v>393</v>
      </c>
      <c r="D397" s="514"/>
      <c r="E397" s="534"/>
      <c r="F397" s="336">
        <f t="shared" si="405"/>
        <v>0</v>
      </c>
      <c r="G397" s="553"/>
      <c r="H397" s="553"/>
      <c r="I397" s="355" t="str">
        <f>IFERROR(F397/#REF!,"-")</f>
        <v>-</v>
      </c>
      <c r="J397" s="336">
        <f t="shared" si="406"/>
        <v>0</v>
      </c>
      <c r="K397" s="281">
        <f t="shared" si="401"/>
        <v>0</v>
      </c>
      <c r="L397" s="439">
        <f t="shared" si="402"/>
        <v>0</v>
      </c>
      <c r="M397" s="725"/>
      <c r="N397" s="268" t="str">
        <f t="shared" si="408"/>
        <v>-</v>
      </c>
      <c r="O397" s="545">
        <v>4.8285999999999998</v>
      </c>
      <c r="P397" s="407">
        <f t="shared" si="403"/>
        <v>0</v>
      </c>
      <c r="Q397" s="452">
        <f t="shared" si="404"/>
        <v>0</v>
      </c>
    </row>
    <row r="398" spans="1:17" ht="23.4" x14ac:dyDescent="0.3">
      <c r="A398" s="248" t="s">
        <v>108</v>
      </c>
      <c r="B398" s="595"/>
      <c r="C398" s="637" t="s">
        <v>389</v>
      </c>
      <c r="D398" s="273"/>
      <c r="E398" s="438"/>
      <c r="F398" s="335">
        <f t="shared" si="405"/>
        <v>0</v>
      </c>
      <c r="G398" s="275"/>
      <c r="H398" s="275"/>
      <c r="I398" s="354" t="str">
        <f>IFERROR(F398/#REF!,"-")</f>
        <v>-</v>
      </c>
      <c r="J398" s="336">
        <f t="shared" si="406"/>
        <v>0</v>
      </c>
      <c r="K398" s="281">
        <f t="shared" si="401"/>
        <v>0</v>
      </c>
      <c r="L398" s="439">
        <f t="shared" si="402"/>
        <v>0</v>
      </c>
      <c r="M398" s="339" t="str">
        <f t="shared" ref="M398:M399" si="409">IFERROR(J398/D398,"-")</f>
        <v>-</v>
      </c>
      <c r="N398" s="349" t="str">
        <f t="shared" si="408"/>
        <v>-</v>
      </c>
      <c r="O398" s="511">
        <v>4.1712999999999996</v>
      </c>
      <c r="P398" s="405">
        <f t="shared" si="403"/>
        <v>0</v>
      </c>
      <c r="Q398" s="450">
        <f t="shared" si="404"/>
        <v>0</v>
      </c>
    </row>
    <row r="399" spans="1:17" ht="24" thickBot="1" x14ac:dyDescent="0.35">
      <c r="A399" s="248" t="s">
        <v>108</v>
      </c>
      <c r="B399" s="593"/>
      <c r="C399" s="278"/>
      <c r="D399" s="279"/>
      <c r="E399" s="439"/>
      <c r="F399" s="336">
        <f t="shared" si="405"/>
        <v>0</v>
      </c>
      <c r="G399" s="281"/>
      <c r="H399" s="281"/>
      <c r="I399" s="355" t="str">
        <f>IFERROR(F399/#REF!,"-")</f>
        <v>-</v>
      </c>
      <c r="J399" s="464">
        <f t="shared" si="406"/>
        <v>0</v>
      </c>
      <c r="K399" s="465">
        <f t="shared" si="401"/>
        <v>0</v>
      </c>
      <c r="L399" s="466">
        <f t="shared" si="402"/>
        <v>0</v>
      </c>
      <c r="M399" s="340" t="str">
        <f t="shared" si="409"/>
        <v>-</v>
      </c>
      <c r="N399" s="264" t="str">
        <f t="shared" si="408"/>
        <v>-</v>
      </c>
      <c r="O399" s="451"/>
      <c r="P399" s="407">
        <f t="shared" si="403"/>
        <v>0</v>
      </c>
      <c r="Q399" s="452">
        <f t="shared" si="404"/>
        <v>0</v>
      </c>
    </row>
    <row r="400" spans="1:17" ht="24" thickBot="1" x14ac:dyDescent="0.35">
      <c r="A400" s="277" t="s">
        <v>108</v>
      </c>
      <c r="B400" s="1038" t="s">
        <v>21</v>
      </c>
      <c r="C400" s="989"/>
      <c r="D400" s="323">
        <v>0</v>
      </c>
      <c r="E400" s="288">
        <v>15000</v>
      </c>
      <c r="F400" s="323">
        <f>SUM(F393:F399)</f>
        <v>290993</v>
      </c>
      <c r="G400" s="324">
        <f t="shared" ref="G400:H400" si="410">SUM(G393:G399)</f>
        <v>287250</v>
      </c>
      <c r="H400" s="324">
        <f t="shared" si="410"/>
        <v>3743</v>
      </c>
      <c r="I400" s="348" t="str">
        <f>IFERROR(F400/#REF!,"-")</f>
        <v>-</v>
      </c>
      <c r="J400" s="518">
        <f t="shared" ref="J400" si="411">SUM(J393:J399)</f>
        <v>369668</v>
      </c>
      <c r="K400" s="524">
        <f>SUM(K393:K399)</f>
        <v>364750</v>
      </c>
      <c r="L400" s="524">
        <f>SUM(L393:L399)</f>
        <v>4918</v>
      </c>
      <c r="M400" s="342" t="str">
        <f>IFERROR(J400/D400,"-")</f>
        <v>-</v>
      </c>
      <c r="N400" s="348">
        <f t="shared" si="408"/>
        <v>1.3303829382040101E-2</v>
      </c>
      <c r="O400" s="394"/>
      <c r="P400" s="409">
        <f>SUM(P393:P399)</f>
        <v>636000.22500000009</v>
      </c>
      <c r="Q400" s="428">
        <f>SUM(Q393:Q399)</f>
        <v>807592.97500000009</v>
      </c>
    </row>
    <row r="401" spans="1:17" ht="24" thickBot="1" x14ac:dyDescent="0.35">
      <c r="A401" s="277" t="s">
        <v>108</v>
      </c>
      <c r="B401" s="1058" t="s">
        <v>268</v>
      </c>
      <c r="C401" s="1059"/>
      <c r="D401" s="517">
        <f>+D397+D400</f>
        <v>0</v>
      </c>
      <c r="E401" s="530">
        <f>+E397+E400</f>
        <v>15000</v>
      </c>
      <c r="F401" s="517">
        <f>+F397+F400</f>
        <v>290993</v>
      </c>
      <c r="G401" s="519">
        <f>+G397+G400</f>
        <v>287250</v>
      </c>
      <c r="H401" s="519">
        <f>+H397+H400</f>
        <v>3743</v>
      </c>
      <c r="I401" s="520" t="str">
        <f>IFERROR(F401/#REF!,"-")</f>
        <v>-</v>
      </c>
      <c r="J401" s="517">
        <f>+J397+J400</f>
        <v>369668</v>
      </c>
      <c r="K401" s="519">
        <f>+K400</f>
        <v>364750</v>
      </c>
      <c r="L401" s="519">
        <f>+L400</f>
        <v>4918</v>
      </c>
      <c r="M401" s="521" t="str">
        <f t="shared" ref="M401" si="412">IFERROR(J401/D401,"-")</f>
        <v>-</v>
      </c>
      <c r="N401" s="520">
        <f t="shared" si="408"/>
        <v>1.3303829382040101E-2</v>
      </c>
      <c r="O401" s="522"/>
      <c r="P401" s="523">
        <f>+P400</f>
        <v>636000.22500000009</v>
      </c>
      <c r="Q401" s="523">
        <f>+Q400</f>
        <v>807592.97500000009</v>
      </c>
    </row>
    <row r="402" spans="1:17" ht="23.4" x14ac:dyDescent="0.4">
      <c r="A402" s="244" t="s">
        <v>108</v>
      </c>
      <c r="B402" s="1035" t="s">
        <v>270</v>
      </c>
      <c r="C402" s="547" t="s">
        <v>74</v>
      </c>
      <c r="D402" s="532"/>
      <c r="E402" s="463"/>
      <c r="F402" s="461">
        <f>+G402+H402</f>
        <v>8058</v>
      </c>
      <c r="G402" s="462">
        <f>5000+3000</f>
        <v>8000</v>
      </c>
      <c r="H402" s="462">
        <f>30+28</f>
        <v>58</v>
      </c>
      <c r="I402" s="536" t="str">
        <f>IFERROR(F402/#REF!,"-")</f>
        <v>-</v>
      </c>
      <c r="J402" s="461">
        <f>+K402+L402</f>
        <v>17085</v>
      </c>
      <c r="K402" s="462">
        <f t="shared" ref="K402:K433" si="413">+K340+G402</f>
        <v>17000</v>
      </c>
      <c r="L402" s="463">
        <f t="shared" ref="L402:L433" si="414">+L340+H402</f>
        <v>85</v>
      </c>
      <c r="M402" s="596" t="str">
        <f>IFERROR(J402/D402,"-")</f>
        <v>-</v>
      </c>
      <c r="N402" s="538">
        <f t="shared" si="408"/>
        <v>4.9751243781094526E-3</v>
      </c>
      <c r="O402" s="543">
        <v>32.946300000000001</v>
      </c>
      <c r="P402" s="539">
        <f t="shared" ref="P402:P433" si="415">+O402*G402</f>
        <v>263570.40000000002</v>
      </c>
      <c r="Q402" s="540">
        <f t="shared" ref="Q402:Q433" si="416">+O402*K402</f>
        <v>560087.1</v>
      </c>
    </row>
    <row r="403" spans="1:17" ht="23.4" x14ac:dyDescent="0.4">
      <c r="A403" s="248" t="s">
        <v>108</v>
      </c>
      <c r="B403" s="1036"/>
      <c r="C403" s="548" t="s">
        <v>75</v>
      </c>
      <c r="D403" s="516"/>
      <c r="E403" s="439"/>
      <c r="F403" s="336">
        <f t="shared" ref="F403:F433" si="417">+G403+H403</f>
        <v>5030</v>
      </c>
      <c r="G403" s="281">
        <v>5000</v>
      </c>
      <c r="H403" s="281">
        <v>30</v>
      </c>
      <c r="I403" s="355" t="str">
        <f>IFERROR(F403/#REF!,"-")</f>
        <v>-</v>
      </c>
      <c r="J403" s="336">
        <f t="shared" ref="J403:J433" si="418">+K403+L403</f>
        <v>15076</v>
      </c>
      <c r="K403" s="281">
        <f t="shared" si="413"/>
        <v>15000</v>
      </c>
      <c r="L403" s="439">
        <f t="shared" si="414"/>
        <v>76</v>
      </c>
      <c r="M403" s="340" t="str">
        <f t="shared" ref="M403:M405" si="419">IFERROR(J403/D403,"-")</f>
        <v>-</v>
      </c>
      <c r="N403" s="268">
        <f t="shared" si="408"/>
        <v>5.0411249668347044E-3</v>
      </c>
      <c r="O403" s="512">
        <v>35.398400000000002</v>
      </c>
      <c r="P403" s="407">
        <f t="shared" si="415"/>
        <v>176992</v>
      </c>
      <c r="Q403" s="452">
        <f t="shared" si="416"/>
        <v>530976</v>
      </c>
    </row>
    <row r="404" spans="1:17" ht="24" thickBot="1" x14ac:dyDescent="0.45">
      <c r="A404" s="248" t="s">
        <v>108</v>
      </c>
      <c r="B404" s="1036"/>
      <c r="C404" s="548" t="s">
        <v>76</v>
      </c>
      <c r="D404" s="279"/>
      <c r="E404" s="439"/>
      <c r="F404" s="336">
        <f t="shared" si="417"/>
        <v>0</v>
      </c>
      <c r="G404" s="281"/>
      <c r="H404" s="281"/>
      <c r="I404" s="355" t="str">
        <f>IFERROR(F404/#REF!,"-")</f>
        <v>-</v>
      </c>
      <c r="J404" s="336">
        <f t="shared" si="418"/>
        <v>0</v>
      </c>
      <c r="K404" s="281">
        <f t="shared" si="413"/>
        <v>0</v>
      </c>
      <c r="L404" s="439">
        <f t="shared" si="414"/>
        <v>0</v>
      </c>
      <c r="M404" s="340" t="str">
        <f t="shared" si="419"/>
        <v>-</v>
      </c>
      <c r="N404" s="268" t="str">
        <f>IFERROR(L404/J404,"-")</f>
        <v>-</v>
      </c>
      <c r="O404" s="512">
        <v>32.946300000000001</v>
      </c>
      <c r="P404" s="407">
        <f t="shared" si="415"/>
        <v>0</v>
      </c>
      <c r="Q404" s="452">
        <f t="shared" si="416"/>
        <v>0</v>
      </c>
    </row>
    <row r="405" spans="1:17" ht="23.4" x14ac:dyDescent="0.4">
      <c r="A405" s="248" t="s">
        <v>108</v>
      </c>
      <c r="B405" s="1035" t="s">
        <v>271</v>
      </c>
      <c r="C405" s="550" t="s">
        <v>78</v>
      </c>
      <c r="D405" s="279"/>
      <c r="E405" s="533"/>
      <c r="F405" s="337">
        <f t="shared" si="417"/>
        <v>4212</v>
      </c>
      <c r="G405" s="281">
        <v>3901</v>
      </c>
      <c r="H405" s="281">
        <v>311</v>
      </c>
      <c r="I405" s="355" t="str">
        <f>IFERROR(F405/#REF!,"-")</f>
        <v>-</v>
      </c>
      <c r="J405" s="336">
        <f t="shared" si="418"/>
        <v>4212</v>
      </c>
      <c r="K405" s="281">
        <f t="shared" si="413"/>
        <v>3901</v>
      </c>
      <c r="L405" s="439">
        <f t="shared" si="414"/>
        <v>311</v>
      </c>
      <c r="M405" s="340" t="str">
        <f t="shared" si="419"/>
        <v>-</v>
      </c>
      <c r="N405" s="268">
        <f t="shared" ref="N405" si="420">IFERROR(L405/J405,"-")</f>
        <v>7.3836657169990508E-2</v>
      </c>
      <c r="O405" s="512">
        <v>55.4758</v>
      </c>
      <c r="P405" s="407">
        <f t="shared" si="415"/>
        <v>216411.09580000001</v>
      </c>
      <c r="Q405" s="452">
        <f t="shared" si="416"/>
        <v>216411.09580000001</v>
      </c>
    </row>
    <row r="406" spans="1:17" ht="23.4" x14ac:dyDescent="0.4">
      <c r="A406" s="248" t="s">
        <v>108</v>
      </c>
      <c r="B406" s="1036"/>
      <c r="C406" s="550" t="s">
        <v>75</v>
      </c>
      <c r="D406" s="279"/>
      <c r="E406" s="534"/>
      <c r="F406" s="337">
        <f t="shared" si="417"/>
        <v>2980</v>
      </c>
      <c r="G406" s="281">
        <v>2400</v>
      </c>
      <c r="H406" s="281">
        <v>580</v>
      </c>
      <c r="I406" s="355" t="str">
        <f>IFERROR(F406/#REF!,"-")</f>
        <v>-</v>
      </c>
      <c r="J406" s="336">
        <f t="shared" si="418"/>
        <v>8448</v>
      </c>
      <c r="K406" s="281">
        <f t="shared" si="413"/>
        <v>6800</v>
      </c>
      <c r="L406" s="439">
        <f t="shared" si="414"/>
        <v>1648</v>
      </c>
      <c r="M406" s="725"/>
      <c r="N406" s="375"/>
      <c r="O406" s="545">
        <v>58.836300000000001</v>
      </c>
      <c r="P406" s="407">
        <f t="shared" si="415"/>
        <v>141207.12</v>
      </c>
      <c r="Q406" s="452">
        <f t="shared" si="416"/>
        <v>400086.84</v>
      </c>
    </row>
    <row r="407" spans="1:17" ht="23.4" x14ac:dyDescent="0.4">
      <c r="A407" s="248" t="s">
        <v>108</v>
      </c>
      <c r="B407" s="1036"/>
      <c r="C407" s="550" t="s">
        <v>386</v>
      </c>
      <c r="D407" s="279"/>
      <c r="E407" s="438"/>
      <c r="F407" s="337">
        <f t="shared" si="417"/>
        <v>0</v>
      </c>
      <c r="G407" s="281"/>
      <c r="H407" s="281"/>
      <c r="I407" s="355" t="str">
        <f>IFERROR(F407/#REF!,"-")</f>
        <v>-</v>
      </c>
      <c r="J407" s="336">
        <f t="shared" si="418"/>
        <v>3290</v>
      </c>
      <c r="K407" s="281">
        <f t="shared" si="413"/>
        <v>2800</v>
      </c>
      <c r="L407" s="439">
        <f t="shared" si="414"/>
        <v>490</v>
      </c>
      <c r="M407" s="340" t="str">
        <f t="shared" ref="M407" si="421">IFERROR(J407/D407,"-")</f>
        <v>-</v>
      </c>
      <c r="N407" s="264">
        <f t="shared" ref="N407" si="422">IFERROR(L407/J407,"-")</f>
        <v>0.14893617021276595</v>
      </c>
      <c r="O407" s="512">
        <v>55.4758</v>
      </c>
      <c r="P407" s="407">
        <f t="shared" si="415"/>
        <v>0</v>
      </c>
      <c r="Q407" s="452">
        <f t="shared" si="416"/>
        <v>155332.24</v>
      </c>
    </row>
    <row r="408" spans="1:17" ht="24" thickBot="1" x14ac:dyDescent="0.45">
      <c r="A408" s="248"/>
      <c r="B408" s="1037"/>
      <c r="C408" s="550" t="s">
        <v>404</v>
      </c>
      <c r="D408" s="279"/>
      <c r="E408" s="438"/>
      <c r="F408" s="337">
        <f t="shared" si="417"/>
        <v>0</v>
      </c>
      <c r="G408" s="281"/>
      <c r="H408" s="281"/>
      <c r="I408" s="355"/>
      <c r="J408" s="336">
        <f t="shared" si="418"/>
        <v>2220</v>
      </c>
      <c r="K408" s="281">
        <f t="shared" si="413"/>
        <v>2064</v>
      </c>
      <c r="L408" s="439">
        <f t="shared" si="414"/>
        <v>156</v>
      </c>
      <c r="M408" s="340"/>
      <c r="N408" s="264">
        <f>IFERROR(L408/J408,"-")</f>
        <v>7.0270270270270274E-2</v>
      </c>
      <c r="O408" s="512">
        <v>55.4758</v>
      </c>
      <c r="P408" s="407">
        <f t="shared" si="415"/>
        <v>0</v>
      </c>
      <c r="Q408" s="452">
        <f t="shared" si="416"/>
        <v>114502.0512</v>
      </c>
    </row>
    <row r="409" spans="1:17" ht="23.4" x14ac:dyDescent="0.4">
      <c r="A409" s="248" t="s">
        <v>108</v>
      </c>
      <c r="B409" s="1035" t="s">
        <v>79</v>
      </c>
      <c r="C409" s="548" t="s">
        <v>80</v>
      </c>
      <c r="D409" s="279"/>
      <c r="E409" s="439"/>
      <c r="F409" s="336">
        <f t="shared" si="417"/>
        <v>0</v>
      </c>
      <c r="G409" s="281"/>
      <c r="H409" s="281"/>
      <c r="I409" s="355" t="str">
        <f>IFERROR(F409/#REF!,"-")</f>
        <v>-</v>
      </c>
      <c r="J409" s="336">
        <f t="shared" si="418"/>
        <v>1170</v>
      </c>
      <c r="K409" s="281">
        <f t="shared" si="413"/>
        <v>1100</v>
      </c>
      <c r="L409" s="439">
        <f t="shared" si="414"/>
        <v>70</v>
      </c>
      <c r="M409" s="340" t="str">
        <f t="shared" ref="M409:M436" si="423">IFERROR(J409/D409,"-")</f>
        <v>-</v>
      </c>
      <c r="N409" s="264">
        <f t="shared" ref="N409:N435" si="424">IFERROR(L409/J409,"-")</f>
        <v>5.9829059829059832E-2</v>
      </c>
      <c r="O409" s="512">
        <v>25.687200000000001</v>
      </c>
      <c r="P409" s="407">
        <f t="shared" si="415"/>
        <v>0</v>
      </c>
      <c r="Q409" s="452">
        <f t="shared" si="416"/>
        <v>28255.920000000002</v>
      </c>
    </row>
    <row r="410" spans="1:17" ht="24" thickBot="1" x14ac:dyDescent="0.45">
      <c r="A410" s="248" t="s">
        <v>108</v>
      </c>
      <c r="B410" s="1037"/>
      <c r="C410" s="548" t="s">
        <v>124</v>
      </c>
      <c r="D410" s="279"/>
      <c r="E410" s="439"/>
      <c r="F410" s="336">
        <f t="shared" si="417"/>
        <v>0</v>
      </c>
      <c r="G410" s="281"/>
      <c r="H410" s="281"/>
      <c r="I410" s="355" t="str">
        <f>IFERROR(F410/#REF!,"-")</f>
        <v>-</v>
      </c>
      <c r="J410" s="336">
        <f t="shared" si="418"/>
        <v>0</v>
      </c>
      <c r="K410" s="281">
        <f t="shared" si="413"/>
        <v>0</v>
      </c>
      <c r="L410" s="439">
        <f t="shared" si="414"/>
        <v>0</v>
      </c>
      <c r="M410" s="340" t="str">
        <f t="shared" si="423"/>
        <v>-</v>
      </c>
      <c r="N410" s="264" t="str">
        <f t="shared" si="424"/>
        <v>-</v>
      </c>
      <c r="O410" s="512">
        <v>25.033899999999999</v>
      </c>
      <c r="P410" s="407">
        <f t="shared" si="415"/>
        <v>0</v>
      </c>
      <c r="Q410" s="452">
        <f t="shared" si="416"/>
        <v>0</v>
      </c>
    </row>
    <row r="411" spans="1:17" ht="23.4" x14ac:dyDescent="0.4">
      <c r="A411" s="248"/>
      <c r="B411" s="1035" t="s">
        <v>81</v>
      </c>
      <c r="C411" s="548" t="s">
        <v>82</v>
      </c>
      <c r="D411" s="279"/>
      <c r="E411" s="439"/>
      <c r="F411" s="336">
        <f t="shared" si="417"/>
        <v>0</v>
      </c>
      <c r="G411" s="281"/>
      <c r="H411" s="281"/>
      <c r="I411" s="355" t="str">
        <f>IFERROR(F411/#REF!,"-")</f>
        <v>-</v>
      </c>
      <c r="J411" s="336">
        <f t="shared" si="418"/>
        <v>7837</v>
      </c>
      <c r="K411" s="281">
        <f t="shared" si="413"/>
        <v>7800</v>
      </c>
      <c r="L411" s="439">
        <f t="shared" si="414"/>
        <v>37</v>
      </c>
      <c r="M411" s="340" t="str">
        <f t="shared" si="423"/>
        <v>-</v>
      </c>
      <c r="N411" s="264">
        <f t="shared" si="424"/>
        <v>4.7211943345667985E-3</v>
      </c>
      <c r="O411" s="512">
        <v>41.992699999999999</v>
      </c>
      <c r="P411" s="407">
        <f t="shared" si="415"/>
        <v>0</v>
      </c>
      <c r="Q411" s="452">
        <f t="shared" si="416"/>
        <v>327543.06</v>
      </c>
    </row>
    <row r="412" spans="1:17" ht="23.4" x14ac:dyDescent="0.4">
      <c r="A412" s="248"/>
      <c r="B412" s="1036"/>
      <c r="C412" s="548" t="s">
        <v>75</v>
      </c>
      <c r="D412" s="279"/>
      <c r="E412" s="439"/>
      <c r="F412" s="336">
        <f t="shared" si="417"/>
        <v>0</v>
      </c>
      <c r="G412" s="281"/>
      <c r="H412" s="281"/>
      <c r="I412" s="355" t="str">
        <f>IFERROR(F412/#REF!,"-")</f>
        <v>-</v>
      </c>
      <c r="J412" s="336">
        <f t="shared" si="418"/>
        <v>45</v>
      </c>
      <c r="K412" s="281">
        <f t="shared" si="413"/>
        <v>45</v>
      </c>
      <c r="L412" s="439">
        <f t="shared" si="414"/>
        <v>0</v>
      </c>
      <c r="M412" s="340" t="str">
        <f t="shared" si="423"/>
        <v>-</v>
      </c>
      <c r="N412" s="264">
        <f t="shared" si="424"/>
        <v>0</v>
      </c>
      <c r="O412" s="512">
        <v>42.283799999999999</v>
      </c>
      <c r="P412" s="407">
        <f t="shared" si="415"/>
        <v>0</v>
      </c>
      <c r="Q412" s="452">
        <f t="shared" si="416"/>
        <v>1902.771</v>
      </c>
    </row>
    <row r="413" spans="1:17" ht="23.4" x14ac:dyDescent="0.4">
      <c r="A413" s="248"/>
      <c r="B413" s="792"/>
      <c r="C413" s="548" t="s">
        <v>450</v>
      </c>
      <c r="D413" s="279"/>
      <c r="E413" s="439"/>
      <c r="F413" s="336">
        <f t="shared" si="417"/>
        <v>0</v>
      </c>
      <c r="G413" s="281"/>
      <c r="H413" s="281"/>
      <c r="I413" s="355" t="str">
        <f>IFERROR(F413/#REF!,"-")</f>
        <v>-</v>
      </c>
      <c r="J413" s="336">
        <f t="shared" si="418"/>
        <v>1140</v>
      </c>
      <c r="K413" s="281">
        <f t="shared" si="413"/>
        <v>1140</v>
      </c>
      <c r="L413" s="439">
        <f t="shared" si="414"/>
        <v>0</v>
      </c>
      <c r="M413" s="340" t="str">
        <f t="shared" si="423"/>
        <v>-</v>
      </c>
      <c r="N413" s="264">
        <f t="shared" si="424"/>
        <v>0</v>
      </c>
      <c r="O413" s="772">
        <v>41.992699999999999</v>
      </c>
      <c r="P413" s="407">
        <f t="shared" si="415"/>
        <v>0</v>
      </c>
      <c r="Q413" s="452">
        <f t="shared" si="416"/>
        <v>47871.678</v>
      </c>
    </row>
    <row r="414" spans="1:17" ht="24" thickBot="1" x14ac:dyDescent="0.45">
      <c r="A414" s="248"/>
      <c r="B414" s="792"/>
      <c r="C414" s="548" t="s">
        <v>451</v>
      </c>
      <c r="D414" s="279"/>
      <c r="E414" s="439"/>
      <c r="F414" s="336">
        <f t="shared" si="417"/>
        <v>0</v>
      </c>
      <c r="G414" s="281"/>
      <c r="H414" s="281"/>
      <c r="I414" s="355" t="str">
        <f>IFERROR(F414/#REF!,"-")</f>
        <v>-</v>
      </c>
      <c r="J414" s="336">
        <f t="shared" si="418"/>
        <v>712</v>
      </c>
      <c r="K414" s="281">
        <f t="shared" si="413"/>
        <v>660</v>
      </c>
      <c r="L414" s="439">
        <f t="shared" si="414"/>
        <v>52</v>
      </c>
      <c r="M414" s="340" t="str">
        <f t="shared" si="423"/>
        <v>-</v>
      </c>
      <c r="N414" s="264">
        <f t="shared" si="424"/>
        <v>7.3033707865168537E-2</v>
      </c>
      <c r="O414" s="772">
        <v>42.283799999999999</v>
      </c>
      <c r="P414" s="407">
        <f t="shared" si="415"/>
        <v>0</v>
      </c>
      <c r="Q414" s="452">
        <f t="shared" si="416"/>
        <v>27907.308000000001</v>
      </c>
    </row>
    <row r="415" spans="1:17" ht="24" thickBot="1" x14ac:dyDescent="0.45">
      <c r="A415" s="248"/>
      <c r="B415" s="551" t="s">
        <v>83</v>
      </c>
      <c r="C415" s="548" t="s">
        <v>84</v>
      </c>
      <c r="D415" s="279"/>
      <c r="E415" s="439"/>
      <c r="F415" s="336">
        <f t="shared" si="417"/>
        <v>0</v>
      </c>
      <c r="G415" s="281"/>
      <c r="H415" s="281"/>
      <c r="I415" s="355" t="str">
        <f>IFERROR(F415/#REF!,"-")</f>
        <v>-</v>
      </c>
      <c r="J415" s="336">
        <f t="shared" si="418"/>
        <v>0</v>
      </c>
      <c r="K415" s="281">
        <f t="shared" si="413"/>
        <v>0</v>
      </c>
      <c r="L415" s="439">
        <f t="shared" si="414"/>
        <v>0</v>
      </c>
      <c r="M415" s="340" t="str">
        <f t="shared" si="423"/>
        <v>-</v>
      </c>
      <c r="N415" s="264" t="str">
        <f t="shared" si="424"/>
        <v>-</v>
      </c>
      <c r="O415" s="512">
        <v>4.3535000000000004</v>
      </c>
      <c r="P415" s="407">
        <f t="shared" si="415"/>
        <v>0</v>
      </c>
      <c r="Q415" s="452">
        <f t="shared" si="416"/>
        <v>0</v>
      </c>
    </row>
    <row r="416" spans="1:17" ht="23.4" x14ac:dyDescent="0.4">
      <c r="A416" s="248"/>
      <c r="B416" s="1035" t="s">
        <v>273</v>
      </c>
      <c r="C416" s="548" t="s">
        <v>80</v>
      </c>
      <c r="D416" s="279"/>
      <c r="E416" s="439"/>
      <c r="F416" s="336">
        <f t="shared" si="417"/>
        <v>0</v>
      </c>
      <c r="G416" s="281"/>
      <c r="H416" s="281"/>
      <c r="I416" s="355" t="str">
        <f>IFERROR(F416/#REF!,"-")</f>
        <v>-</v>
      </c>
      <c r="J416" s="336">
        <f t="shared" si="418"/>
        <v>0</v>
      </c>
      <c r="K416" s="281">
        <f t="shared" si="413"/>
        <v>0</v>
      </c>
      <c r="L416" s="439">
        <f t="shared" si="414"/>
        <v>0</v>
      </c>
      <c r="M416" s="340" t="str">
        <f t="shared" si="423"/>
        <v>-</v>
      </c>
      <c r="N416" s="264" t="str">
        <f t="shared" si="424"/>
        <v>-</v>
      </c>
      <c r="O416" s="512">
        <v>4.6184000000000003</v>
      </c>
      <c r="P416" s="407">
        <f t="shared" si="415"/>
        <v>0</v>
      </c>
      <c r="Q416" s="452">
        <f t="shared" si="416"/>
        <v>0</v>
      </c>
    </row>
    <row r="417" spans="1:17" ht="23.4" x14ac:dyDescent="0.4">
      <c r="A417" s="248"/>
      <c r="B417" s="1036"/>
      <c r="C417" s="548" t="s">
        <v>378</v>
      </c>
      <c r="D417" s="279"/>
      <c r="E417" s="439"/>
      <c r="F417" s="336">
        <f t="shared" si="417"/>
        <v>0</v>
      </c>
      <c r="G417" s="281"/>
      <c r="H417" s="281"/>
      <c r="I417" s="355" t="str">
        <f>IFERROR(F417/#REF!,"-")</f>
        <v>-</v>
      </c>
      <c r="J417" s="336">
        <f t="shared" si="418"/>
        <v>0</v>
      </c>
      <c r="K417" s="281">
        <f t="shared" si="413"/>
        <v>0</v>
      </c>
      <c r="L417" s="439">
        <f t="shared" si="414"/>
        <v>0</v>
      </c>
      <c r="M417" s="340" t="str">
        <f t="shared" si="423"/>
        <v>-</v>
      </c>
      <c r="N417" s="264" t="str">
        <f t="shared" si="424"/>
        <v>-</v>
      </c>
      <c r="O417" s="512">
        <v>4.6184000000000003</v>
      </c>
      <c r="P417" s="407">
        <f t="shared" si="415"/>
        <v>0</v>
      </c>
      <c r="Q417" s="452">
        <f t="shared" si="416"/>
        <v>0</v>
      </c>
    </row>
    <row r="418" spans="1:17" ht="23.4" x14ac:dyDescent="0.4">
      <c r="A418" s="248"/>
      <c r="B418" s="1036"/>
      <c r="C418" s="548" t="s">
        <v>272</v>
      </c>
      <c r="D418" s="279"/>
      <c r="E418" s="439"/>
      <c r="F418" s="336">
        <f t="shared" si="417"/>
        <v>0</v>
      </c>
      <c r="G418" s="281"/>
      <c r="H418" s="281"/>
      <c r="I418" s="355" t="str">
        <f>IFERROR(F418/#REF!,"-")</f>
        <v>-</v>
      </c>
      <c r="J418" s="336">
        <f t="shared" si="418"/>
        <v>0</v>
      </c>
      <c r="K418" s="281">
        <f t="shared" si="413"/>
        <v>0</v>
      </c>
      <c r="L418" s="439">
        <f t="shared" si="414"/>
        <v>0</v>
      </c>
      <c r="M418" s="340" t="str">
        <f t="shared" si="423"/>
        <v>-</v>
      </c>
      <c r="N418" s="264" t="str">
        <f t="shared" si="424"/>
        <v>-</v>
      </c>
      <c r="O418" s="512">
        <v>4.6184000000000003</v>
      </c>
      <c r="P418" s="407">
        <f t="shared" si="415"/>
        <v>0</v>
      </c>
      <c r="Q418" s="452">
        <f t="shared" si="416"/>
        <v>0</v>
      </c>
    </row>
    <row r="419" spans="1:17" ht="23.4" x14ac:dyDescent="0.4">
      <c r="A419" s="248"/>
      <c r="B419" s="1036"/>
      <c r="C419" s="548" t="s">
        <v>390</v>
      </c>
      <c r="D419" s="279"/>
      <c r="E419" s="439"/>
      <c r="F419" s="336">
        <f t="shared" si="417"/>
        <v>62079</v>
      </c>
      <c r="G419" s="281">
        <f>39600+9900+12100</f>
        <v>61600</v>
      </c>
      <c r="H419" s="281">
        <f>201+180+98</f>
        <v>479</v>
      </c>
      <c r="I419" s="355" t="str">
        <f>IFERROR(F419/#REF!,"-")</f>
        <v>-</v>
      </c>
      <c r="J419" s="336">
        <f t="shared" si="418"/>
        <v>357063</v>
      </c>
      <c r="K419" s="730">
        <f t="shared" si="413"/>
        <v>354100</v>
      </c>
      <c r="L419" s="731">
        <f t="shared" si="414"/>
        <v>2963</v>
      </c>
      <c r="M419" s="340" t="str">
        <f t="shared" si="423"/>
        <v>-</v>
      </c>
      <c r="N419" s="264">
        <f t="shared" si="424"/>
        <v>8.2982554899275474E-3</v>
      </c>
      <c r="O419" s="512">
        <v>4.7636000000000003</v>
      </c>
      <c r="P419" s="407">
        <f t="shared" si="415"/>
        <v>293437.76</v>
      </c>
      <c r="Q419" s="452">
        <f t="shared" si="416"/>
        <v>1686790.76</v>
      </c>
    </row>
    <row r="420" spans="1:17" ht="24" thickBot="1" x14ac:dyDescent="0.45">
      <c r="A420" s="248"/>
      <c r="B420" s="1037"/>
      <c r="C420" s="548" t="s">
        <v>384</v>
      </c>
      <c r="D420" s="279"/>
      <c r="E420" s="439"/>
      <c r="F420" s="336">
        <f t="shared" si="417"/>
        <v>0</v>
      </c>
      <c r="G420" s="281"/>
      <c r="H420" s="281"/>
      <c r="I420" s="355" t="str">
        <f>IFERROR(F420/#REF!,"-")</f>
        <v>-</v>
      </c>
      <c r="J420" s="336">
        <f t="shared" si="418"/>
        <v>0</v>
      </c>
      <c r="K420" s="281">
        <f t="shared" si="413"/>
        <v>0</v>
      </c>
      <c r="L420" s="439">
        <f t="shared" si="414"/>
        <v>0</v>
      </c>
      <c r="M420" s="340" t="str">
        <f t="shared" si="423"/>
        <v>-</v>
      </c>
      <c r="N420" s="264" t="str">
        <f t="shared" si="424"/>
        <v>-</v>
      </c>
      <c r="O420" s="512">
        <v>4.8738000000000001</v>
      </c>
      <c r="P420" s="407">
        <f t="shared" si="415"/>
        <v>0</v>
      </c>
      <c r="Q420" s="452">
        <f t="shared" si="416"/>
        <v>0</v>
      </c>
    </row>
    <row r="421" spans="1:17" ht="24" thickBot="1" x14ac:dyDescent="0.45">
      <c r="A421" s="248"/>
      <c r="B421" s="551" t="s">
        <v>274</v>
      </c>
      <c r="C421" s="548" t="s">
        <v>131</v>
      </c>
      <c r="D421" s="279"/>
      <c r="E421" s="439"/>
      <c r="F421" s="336">
        <f t="shared" si="417"/>
        <v>0</v>
      </c>
      <c r="G421" s="281"/>
      <c r="H421" s="281"/>
      <c r="I421" s="355" t="str">
        <f>IFERROR(F421/#REF!,"-")</f>
        <v>-</v>
      </c>
      <c r="J421" s="336">
        <f t="shared" si="418"/>
        <v>0</v>
      </c>
      <c r="K421" s="281">
        <f t="shared" si="413"/>
        <v>0</v>
      </c>
      <c r="L421" s="439">
        <f t="shared" si="414"/>
        <v>0</v>
      </c>
      <c r="M421" s="340" t="str">
        <f t="shared" si="423"/>
        <v>-</v>
      </c>
      <c r="N421" s="264" t="str">
        <f t="shared" si="424"/>
        <v>-</v>
      </c>
      <c r="O421" s="512">
        <v>4.8738000000000001</v>
      </c>
      <c r="P421" s="407">
        <f t="shared" si="415"/>
        <v>0</v>
      </c>
      <c r="Q421" s="452">
        <f t="shared" si="416"/>
        <v>0</v>
      </c>
    </row>
    <row r="422" spans="1:17" ht="23.4" x14ac:dyDescent="0.4">
      <c r="A422" s="248"/>
      <c r="B422" s="1035" t="s">
        <v>276</v>
      </c>
      <c r="C422" s="548" t="s">
        <v>80</v>
      </c>
      <c r="D422" s="279"/>
      <c r="E422" s="439"/>
      <c r="F422" s="336">
        <f t="shared" si="417"/>
        <v>9855</v>
      </c>
      <c r="G422" s="281">
        <v>9750</v>
      </c>
      <c r="H422" s="281">
        <v>105</v>
      </c>
      <c r="I422" s="355" t="str">
        <f>IFERROR(F422/#REF!,"-")</f>
        <v>-</v>
      </c>
      <c r="J422" s="336">
        <f t="shared" si="418"/>
        <v>148227</v>
      </c>
      <c r="K422" s="730">
        <f t="shared" si="413"/>
        <v>144600</v>
      </c>
      <c r="L422" s="731">
        <f t="shared" si="414"/>
        <v>3627</v>
      </c>
      <c r="M422" s="340" t="str">
        <f t="shared" si="423"/>
        <v>-</v>
      </c>
      <c r="N422" s="264">
        <f t="shared" si="424"/>
        <v>2.4469226254326133E-2</v>
      </c>
      <c r="O422" s="512">
        <v>4.9344999999999999</v>
      </c>
      <c r="P422" s="407">
        <f t="shared" si="415"/>
        <v>48111.375</v>
      </c>
      <c r="Q422" s="452">
        <f t="shared" si="416"/>
        <v>713528.7</v>
      </c>
    </row>
    <row r="423" spans="1:17" ht="23.4" x14ac:dyDescent="0.4">
      <c r="A423" s="248"/>
      <c r="B423" s="1036"/>
      <c r="C423" s="548" t="s">
        <v>142</v>
      </c>
      <c r="D423" s="279"/>
      <c r="E423" s="439"/>
      <c r="F423" s="336">
        <f t="shared" si="417"/>
        <v>0</v>
      </c>
      <c r="G423" s="281"/>
      <c r="H423" s="281"/>
      <c r="I423" s="355" t="str">
        <f>IFERROR(F423/#REF!,"-")</f>
        <v>-</v>
      </c>
      <c r="J423" s="336">
        <f t="shared" si="418"/>
        <v>0</v>
      </c>
      <c r="K423" s="281">
        <f t="shared" si="413"/>
        <v>0</v>
      </c>
      <c r="L423" s="439">
        <f t="shared" si="414"/>
        <v>0</v>
      </c>
      <c r="M423" s="340" t="str">
        <f t="shared" si="423"/>
        <v>-</v>
      </c>
      <c r="N423" s="264" t="str">
        <f t="shared" si="424"/>
        <v>-</v>
      </c>
      <c r="O423" s="512">
        <v>4.9344999999999999</v>
      </c>
      <c r="P423" s="407">
        <f t="shared" si="415"/>
        <v>0</v>
      </c>
      <c r="Q423" s="452">
        <f t="shared" si="416"/>
        <v>0</v>
      </c>
    </row>
    <row r="424" spans="1:17" ht="23.4" x14ac:dyDescent="0.4">
      <c r="A424" s="248"/>
      <c r="B424" s="1036"/>
      <c r="C424" s="548" t="s">
        <v>136</v>
      </c>
      <c r="D424" s="279"/>
      <c r="E424" s="439"/>
      <c r="F424" s="336">
        <f t="shared" si="417"/>
        <v>0</v>
      </c>
      <c r="G424" s="281"/>
      <c r="H424" s="281"/>
      <c r="I424" s="355" t="str">
        <f>IFERROR(F424/#REF!,"-")</f>
        <v>-</v>
      </c>
      <c r="J424" s="336">
        <f t="shared" si="418"/>
        <v>0</v>
      </c>
      <c r="K424" s="281">
        <f t="shared" si="413"/>
        <v>0</v>
      </c>
      <c r="L424" s="439">
        <f t="shared" si="414"/>
        <v>0</v>
      </c>
      <c r="M424" s="340" t="str">
        <f t="shared" si="423"/>
        <v>-</v>
      </c>
      <c r="N424" s="264" t="str">
        <f t="shared" si="424"/>
        <v>-</v>
      </c>
      <c r="O424" s="512">
        <v>4.9344999999999999</v>
      </c>
      <c r="P424" s="407">
        <f t="shared" si="415"/>
        <v>0</v>
      </c>
      <c r="Q424" s="452">
        <f t="shared" si="416"/>
        <v>0</v>
      </c>
    </row>
    <row r="425" spans="1:17" ht="24" thickBot="1" x14ac:dyDescent="0.45">
      <c r="A425" s="248"/>
      <c r="B425" s="1037"/>
      <c r="C425" s="548" t="s">
        <v>275</v>
      </c>
      <c r="D425" s="279"/>
      <c r="E425" s="439"/>
      <c r="F425" s="336">
        <f t="shared" si="417"/>
        <v>0</v>
      </c>
      <c r="G425" s="281"/>
      <c r="H425" s="281"/>
      <c r="I425" s="355" t="str">
        <f>IFERROR(F425/#REF!,"-")</f>
        <v>-</v>
      </c>
      <c r="J425" s="336">
        <f t="shared" si="418"/>
        <v>0</v>
      </c>
      <c r="K425" s="281">
        <f t="shared" si="413"/>
        <v>0</v>
      </c>
      <c r="L425" s="439">
        <f t="shared" si="414"/>
        <v>0</v>
      </c>
      <c r="M425" s="340" t="str">
        <f t="shared" si="423"/>
        <v>-</v>
      </c>
      <c r="N425" s="264" t="str">
        <f t="shared" si="424"/>
        <v>-</v>
      </c>
      <c r="O425" s="512">
        <v>5.5069999999999997</v>
      </c>
      <c r="P425" s="407">
        <f t="shared" si="415"/>
        <v>0</v>
      </c>
      <c r="Q425" s="452">
        <f t="shared" si="416"/>
        <v>0</v>
      </c>
    </row>
    <row r="426" spans="1:17" ht="23.4" x14ac:dyDescent="0.4">
      <c r="A426" s="248"/>
      <c r="B426" s="1035" t="s">
        <v>281</v>
      </c>
      <c r="C426" s="548" t="s">
        <v>277</v>
      </c>
      <c r="D426" s="279"/>
      <c r="E426" s="439"/>
      <c r="F426" s="336">
        <f t="shared" si="417"/>
        <v>15249</v>
      </c>
      <c r="G426" s="281">
        <f>4000+10800</f>
        <v>14800</v>
      </c>
      <c r="H426" s="281">
        <f>150+299</f>
        <v>449</v>
      </c>
      <c r="I426" s="355" t="str">
        <f>IFERROR(F426/#REF!,"-")</f>
        <v>-</v>
      </c>
      <c r="J426" s="336">
        <f t="shared" si="418"/>
        <v>15249</v>
      </c>
      <c r="K426" s="281">
        <f t="shared" si="413"/>
        <v>14800</v>
      </c>
      <c r="L426" s="439">
        <f t="shared" si="414"/>
        <v>449</v>
      </c>
      <c r="M426" s="340" t="str">
        <f t="shared" si="423"/>
        <v>-</v>
      </c>
      <c r="N426" s="264">
        <f t="shared" si="424"/>
        <v>2.9444553741228934E-2</v>
      </c>
      <c r="O426" s="772">
        <v>5.5069999999999997</v>
      </c>
      <c r="P426" s="407">
        <f t="shared" si="415"/>
        <v>81503.599999999991</v>
      </c>
      <c r="Q426" s="452">
        <f t="shared" si="416"/>
        <v>81503.599999999991</v>
      </c>
    </row>
    <row r="427" spans="1:17" ht="23.4" x14ac:dyDescent="0.4">
      <c r="A427" s="248"/>
      <c r="B427" s="1036"/>
      <c r="C427" s="548" t="s">
        <v>278</v>
      </c>
      <c r="D427" s="279"/>
      <c r="E427" s="439"/>
      <c r="F427" s="336">
        <f t="shared" si="417"/>
        <v>0</v>
      </c>
      <c r="G427" s="281"/>
      <c r="H427" s="281"/>
      <c r="I427" s="355" t="str">
        <f>IFERROR(F427/#REF!,"-")</f>
        <v>-</v>
      </c>
      <c r="J427" s="336">
        <f t="shared" si="418"/>
        <v>0</v>
      </c>
      <c r="K427" s="281">
        <f t="shared" si="413"/>
        <v>0</v>
      </c>
      <c r="L427" s="439">
        <f t="shared" si="414"/>
        <v>0</v>
      </c>
      <c r="M427" s="340" t="str">
        <f t="shared" si="423"/>
        <v>-</v>
      </c>
      <c r="N427" s="264" t="str">
        <f t="shared" si="424"/>
        <v>-</v>
      </c>
      <c r="O427" s="512">
        <v>5.6550000000000002</v>
      </c>
      <c r="P427" s="407">
        <f t="shared" si="415"/>
        <v>0</v>
      </c>
      <c r="Q427" s="452">
        <f t="shared" si="416"/>
        <v>0</v>
      </c>
    </row>
    <row r="428" spans="1:17" ht="23.4" x14ac:dyDescent="0.4">
      <c r="A428" s="248"/>
      <c r="B428" s="1036"/>
      <c r="C428" s="548" t="s">
        <v>355</v>
      </c>
      <c r="D428" s="279"/>
      <c r="E428" s="439"/>
      <c r="F428" s="336">
        <f t="shared" si="417"/>
        <v>44530</v>
      </c>
      <c r="G428" s="281">
        <f>36000+6000+2250</f>
        <v>44250</v>
      </c>
      <c r="H428" s="281">
        <f>110+120+50</f>
        <v>280</v>
      </c>
      <c r="I428" s="355" t="str">
        <f>IFERROR(F428/#REF!,"-")</f>
        <v>-</v>
      </c>
      <c r="J428" s="336">
        <f t="shared" si="418"/>
        <v>259509</v>
      </c>
      <c r="K428" s="730">
        <f t="shared" si="413"/>
        <v>252950</v>
      </c>
      <c r="L428" s="731">
        <f t="shared" si="414"/>
        <v>6559</v>
      </c>
      <c r="M428" s="340" t="str">
        <f t="shared" si="423"/>
        <v>-</v>
      </c>
      <c r="N428" s="264">
        <f t="shared" si="424"/>
        <v>2.5274653287554575E-2</v>
      </c>
      <c r="O428" s="512">
        <v>5.6550000000000002</v>
      </c>
      <c r="P428" s="407">
        <f t="shared" si="415"/>
        <v>250233.75</v>
      </c>
      <c r="Q428" s="452">
        <f t="shared" si="416"/>
        <v>1430432.25</v>
      </c>
    </row>
    <row r="429" spans="1:17" ht="23.4" x14ac:dyDescent="0.4">
      <c r="A429" s="248"/>
      <c r="B429" s="1036"/>
      <c r="C429" s="548" t="s">
        <v>279</v>
      </c>
      <c r="D429" s="279"/>
      <c r="E429" s="439"/>
      <c r="F429" s="336">
        <f t="shared" si="417"/>
        <v>0</v>
      </c>
      <c r="G429" s="281"/>
      <c r="H429" s="281"/>
      <c r="I429" s="355" t="str">
        <f>IFERROR(F429/#REF!,"-")</f>
        <v>-</v>
      </c>
      <c r="J429" s="336">
        <f t="shared" si="418"/>
        <v>0</v>
      </c>
      <c r="K429" s="281">
        <f t="shared" si="413"/>
        <v>0</v>
      </c>
      <c r="L429" s="439">
        <f t="shared" si="414"/>
        <v>0</v>
      </c>
      <c r="M429" s="340" t="str">
        <f t="shared" si="423"/>
        <v>-</v>
      </c>
      <c r="N429" s="264" t="str">
        <f t="shared" si="424"/>
        <v>-</v>
      </c>
      <c r="O429" s="512">
        <v>5.6550000000000002</v>
      </c>
      <c r="P429" s="407">
        <f t="shared" si="415"/>
        <v>0</v>
      </c>
      <c r="Q429" s="452">
        <f t="shared" si="416"/>
        <v>0</v>
      </c>
    </row>
    <row r="430" spans="1:17" ht="23.4" x14ac:dyDescent="0.4">
      <c r="A430" s="248" t="s">
        <v>108</v>
      </c>
      <c r="B430" s="1036"/>
      <c r="C430" s="548" t="s">
        <v>280</v>
      </c>
      <c r="D430" s="279"/>
      <c r="E430" s="439"/>
      <c r="F430" s="336">
        <f t="shared" si="417"/>
        <v>0</v>
      </c>
      <c r="G430" s="281"/>
      <c r="H430" s="281"/>
      <c r="I430" s="355" t="str">
        <f>IFERROR(F430/#REF!,"-")</f>
        <v>-</v>
      </c>
      <c r="J430" s="336">
        <f t="shared" si="418"/>
        <v>0</v>
      </c>
      <c r="K430" s="281">
        <f t="shared" si="413"/>
        <v>0</v>
      </c>
      <c r="L430" s="439">
        <f t="shared" si="414"/>
        <v>0</v>
      </c>
      <c r="M430" s="340" t="str">
        <f t="shared" si="423"/>
        <v>-</v>
      </c>
      <c r="N430" s="264" t="str">
        <f t="shared" si="424"/>
        <v>-</v>
      </c>
      <c r="O430" s="512">
        <v>3.2963</v>
      </c>
      <c r="P430" s="407">
        <f t="shared" si="415"/>
        <v>0</v>
      </c>
      <c r="Q430" s="452">
        <f t="shared" si="416"/>
        <v>0</v>
      </c>
    </row>
    <row r="431" spans="1:17" ht="24" thickBot="1" x14ac:dyDescent="0.45">
      <c r="A431" s="248" t="s">
        <v>108</v>
      </c>
      <c r="B431" s="1037"/>
      <c r="C431" s="548" t="s">
        <v>275</v>
      </c>
      <c r="D431" s="279"/>
      <c r="E431" s="439"/>
      <c r="F431" s="336">
        <f t="shared" si="417"/>
        <v>0</v>
      </c>
      <c r="G431" s="281"/>
      <c r="H431" s="281"/>
      <c r="I431" s="355" t="str">
        <f>IFERROR(F431/#REF!,"-")</f>
        <v>-</v>
      </c>
      <c r="J431" s="336">
        <f t="shared" si="418"/>
        <v>0</v>
      </c>
      <c r="K431" s="281">
        <f t="shared" si="413"/>
        <v>0</v>
      </c>
      <c r="L431" s="439">
        <f t="shared" si="414"/>
        <v>0</v>
      </c>
      <c r="M431" s="340" t="str">
        <f t="shared" si="423"/>
        <v>-</v>
      </c>
      <c r="N431" s="264" t="str">
        <f t="shared" si="424"/>
        <v>-</v>
      </c>
      <c r="O431" s="512">
        <v>3.2963</v>
      </c>
      <c r="P431" s="407">
        <f t="shared" si="415"/>
        <v>0</v>
      </c>
      <c r="Q431" s="452">
        <f t="shared" si="416"/>
        <v>0</v>
      </c>
    </row>
    <row r="432" spans="1:17" ht="23.4" x14ac:dyDescent="0.4">
      <c r="A432" s="248" t="s">
        <v>108</v>
      </c>
      <c r="B432" s="552"/>
      <c r="C432" s="549" t="s">
        <v>92</v>
      </c>
      <c r="D432" s="516"/>
      <c r="E432" s="439"/>
      <c r="F432" s="336">
        <f t="shared" si="417"/>
        <v>59305</v>
      </c>
      <c r="G432" s="281">
        <v>58655</v>
      </c>
      <c r="H432" s="281">
        <v>650</v>
      </c>
      <c r="I432" s="355" t="str">
        <f>IFERROR(F432/#REF!,"-")</f>
        <v>-</v>
      </c>
      <c r="J432" s="336">
        <f t="shared" si="418"/>
        <v>59305</v>
      </c>
      <c r="K432" s="281">
        <f t="shared" si="413"/>
        <v>58655</v>
      </c>
      <c r="L432" s="439">
        <f t="shared" si="414"/>
        <v>650</v>
      </c>
      <c r="M432" s="340" t="str">
        <f t="shared" si="423"/>
        <v>-</v>
      </c>
      <c r="N432" s="264">
        <f t="shared" si="424"/>
        <v>1.0960290026136077E-2</v>
      </c>
      <c r="O432" s="512">
        <v>2.3201000000000001</v>
      </c>
      <c r="P432" s="407">
        <f t="shared" si="415"/>
        <v>136085.46549999999</v>
      </c>
      <c r="Q432" s="452">
        <f t="shared" si="416"/>
        <v>136085.46549999999</v>
      </c>
    </row>
    <row r="433" spans="1:17" ht="24" thickBot="1" x14ac:dyDescent="0.35">
      <c r="A433" s="248" t="s">
        <v>108</v>
      </c>
      <c r="B433" s="529"/>
      <c r="C433" s="546"/>
      <c r="D433" s="535"/>
      <c r="E433" s="466"/>
      <c r="F433" s="464">
        <f t="shared" si="417"/>
        <v>0</v>
      </c>
      <c r="G433" s="465"/>
      <c r="H433" s="465"/>
      <c r="I433" s="537" t="str">
        <f>IFERROR(F433/#REF!,"-")</f>
        <v>-</v>
      </c>
      <c r="J433" s="464">
        <f t="shared" si="418"/>
        <v>0</v>
      </c>
      <c r="K433" s="465">
        <f t="shared" si="413"/>
        <v>0</v>
      </c>
      <c r="L433" s="466">
        <f t="shared" si="414"/>
        <v>0</v>
      </c>
      <c r="M433" s="726" t="str">
        <f t="shared" si="423"/>
        <v>-</v>
      </c>
      <c r="N433" s="266" t="str">
        <f t="shared" si="424"/>
        <v>-</v>
      </c>
      <c r="O433" s="544"/>
      <c r="P433" s="541">
        <f t="shared" si="415"/>
        <v>0</v>
      </c>
      <c r="Q433" s="542">
        <f t="shared" si="416"/>
        <v>0</v>
      </c>
    </row>
    <row r="434" spans="1:17" ht="24" thickBot="1" x14ac:dyDescent="0.35">
      <c r="A434" s="277" t="s">
        <v>108</v>
      </c>
      <c r="B434" s="1060" t="s">
        <v>25</v>
      </c>
      <c r="C434" s="1061"/>
      <c r="D434" s="518">
        <f>SUM(D407:D433)</f>
        <v>0</v>
      </c>
      <c r="E434" s="531">
        <v>100000</v>
      </c>
      <c r="F434" s="524">
        <f>SUM(F402:F433)</f>
        <v>211298</v>
      </c>
      <c r="G434" s="524">
        <f>SUM(G402:G433)</f>
        <v>208356</v>
      </c>
      <c r="H434" s="524">
        <f>SUM(H402:H433)</f>
        <v>2942</v>
      </c>
      <c r="I434" s="525" t="str">
        <f>IFERROR(F434/#REF!,"-")</f>
        <v>-</v>
      </c>
      <c r="J434" s="518">
        <f>SUM(J402:J433)</f>
        <v>900588</v>
      </c>
      <c r="K434" s="518">
        <f t="shared" ref="K434:L434" si="425">SUM(K402:K433)</f>
        <v>883415</v>
      </c>
      <c r="L434" s="518">
        <f t="shared" si="425"/>
        <v>17173</v>
      </c>
      <c r="M434" s="526" t="str">
        <f t="shared" si="423"/>
        <v>-</v>
      </c>
      <c r="N434" s="525">
        <f t="shared" si="424"/>
        <v>1.906865292453375E-2</v>
      </c>
      <c r="O434" s="527"/>
      <c r="P434" s="528">
        <f>SUM(P402:P433)</f>
        <v>1607552.5663000001</v>
      </c>
      <c r="Q434" s="528">
        <f>SUM(Q402:Q433)</f>
        <v>6459216.8394999998</v>
      </c>
    </row>
    <row r="435" spans="1:17" ht="24" thickBot="1" x14ac:dyDescent="0.35">
      <c r="A435" s="321" t="s">
        <v>108</v>
      </c>
      <c r="B435" s="1062" t="s">
        <v>269</v>
      </c>
      <c r="C435" s="982"/>
      <c r="D435" s="329">
        <f>+D406+D434</f>
        <v>0</v>
      </c>
      <c r="E435" s="330">
        <f>+E406+E434</f>
        <v>100000</v>
      </c>
      <c r="F435" s="329">
        <f>+F434</f>
        <v>211298</v>
      </c>
      <c r="G435" s="329">
        <f t="shared" ref="G435:H435" si="426">+G434</f>
        <v>208356</v>
      </c>
      <c r="H435" s="329">
        <f t="shared" si="426"/>
        <v>2942</v>
      </c>
      <c r="I435" s="352" t="str">
        <f>IFERROR(F435/#REF!,"-")</f>
        <v>-</v>
      </c>
      <c r="J435" s="329">
        <f>+J434</f>
        <v>900588</v>
      </c>
      <c r="K435" s="329">
        <f t="shared" ref="K435:L435" si="427">+K434</f>
        <v>883415</v>
      </c>
      <c r="L435" s="329">
        <f t="shared" si="427"/>
        <v>17173</v>
      </c>
      <c r="M435" s="344" t="str">
        <f t="shared" si="423"/>
        <v>-</v>
      </c>
      <c r="N435" s="352">
        <f t="shared" si="424"/>
        <v>1.906865292453375E-2</v>
      </c>
      <c r="O435" s="397"/>
      <c r="P435" s="413">
        <f>+P434</f>
        <v>1607552.5663000001</v>
      </c>
      <c r="Q435" s="431">
        <f>Q434</f>
        <v>6459216.8394999998</v>
      </c>
    </row>
    <row r="436" spans="1:17" ht="24.6" thickBot="1" x14ac:dyDescent="0.35">
      <c r="A436" s="322"/>
      <c r="B436" s="964" t="s">
        <v>182</v>
      </c>
      <c r="C436" s="965"/>
      <c r="D436" s="377">
        <f>+D435+D401+D392</f>
        <v>0</v>
      </c>
      <c r="E436" s="377">
        <f>+E435+E401+E392</f>
        <v>230000</v>
      </c>
      <c r="F436" s="377">
        <f>+F435+F401+F392</f>
        <v>651968</v>
      </c>
      <c r="G436" s="377">
        <f>+G435+G401+G392</f>
        <v>644106</v>
      </c>
      <c r="H436" s="377">
        <f>+H435+H401+H392</f>
        <v>7862</v>
      </c>
      <c r="I436" s="378" t="str">
        <f>IFERROR(F436/#REF!,"-")</f>
        <v>-</v>
      </c>
      <c r="J436" s="377">
        <f>+J435+J401+J392</f>
        <v>2640727</v>
      </c>
      <c r="K436" s="377">
        <f>+K435+K401+K392</f>
        <v>2597145</v>
      </c>
      <c r="L436" s="377">
        <f>+L435+L401+L392</f>
        <v>43582</v>
      </c>
      <c r="M436" s="378" t="str">
        <f t="shared" si="423"/>
        <v>-</v>
      </c>
      <c r="N436" s="378">
        <f>IFERROR(L436/J436,"-")</f>
        <v>1.6503788540049767E-2</v>
      </c>
      <c r="O436" s="404"/>
      <c r="P436" s="421">
        <f>+P435+P401+P392</f>
        <v>2836904.9413000001</v>
      </c>
      <c r="Q436" s="421">
        <f>+Q435+Q401+Q392</f>
        <v>13265004.054500001</v>
      </c>
    </row>
    <row r="437" spans="1:17" ht="23.4" x14ac:dyDescent="0.3">
      <c r="A437" s="991" t="s">
        <v>1</v>
      </c>
      <c r="B437" s="994" t="s">
        <v>2</v>
      </c>
      <c r="C437" s="997" t="s">
        <v>477</v>
      </c>
      <c r="D437" s="1000" t="s">
        <v>4</v>
      </c>
      <c r="E437" s="1001"/>
      <c r="F437" s="1001"/>
      <c r="G437" s="1001"/>
      <c r="H437" s="1001"/>
      <c r="I437" s="1001"/>
      <c r="J437" s="1001"/>
      <c r="K437" s="1001"/>
      <c r="L437" s="1001"/>
      <c r="M437" s="1001"/>
      <c r="N437" s="1002"/>
      <c r="O437" s="1021" t="s">
        <v>175</v>
      </c>
      <c r="P437" s="1022"/>
      <c r="Q437" s="1052"/>
    </row>
    <row r="438" spans="1:17" ht="23.4" x14ac:dyDescent="0.3">
      <c r="A438" s="992"/>
      <c r="B438" s="995"/>
      <c r="C438" s="998"/>
      <c r="D438" s="1003" t="s">
        <v>7</v>
      </c>
      <c r="E438" s="1005" t="s">
        <v>115</v>
      </c>
      <c r="F438" s="1053" t="s">
        <v>469</v>
      </c>
      <c r="G438" s="1008"/>
      <c r="H438" s="1008"/>
      <c r="I438" s="1009"/>
      <c r="J438" s="1010" t="s">
        <v>8</v>
      </c>
      <c r="K438" s="1011"/>
      <c r="L438" s="1012"/>
      <c r="M438" s="1013" t="s">
        <v>173</v>
      </c>
      <c r="N438" s="1015" t="s">
        <v>172</v>
      </c>
      <c r="O438" s="1023" t="s">
        <v>177</v>
      </c>
      <c r="P438" s="1024"/>
      <c r="Q438" s="1025"/>
    </row>
    <row r="439" spans="1:17" ht="47.4" thickBot="1" x14ac:dyDescent="0.35">
      <c r="A439" s="993"/>
      <c r="B439" s="996"/>
      <c r="C439" s="999"/>
      <c r="D439" s="1004"/>
      <c r="E439" s="1006"/>
      <c r="F439" s="455" t="s">
        <v>13</v>
      </c>
      <c r="G439" s="456" t="s">
        <v>14</v>
      </c>
      <c r="H439" s="456" t="s">
        <v>15</v>
      </c>
      <c r="I439" s="457" t="s">
        <v>174</v>
      </c>
      <c r="J439" s="712" t="s">
        <v>13</v>
      </c>
      <c r="K439" s="710" t="s">
        <v>14</v>
      </c>
      <c r="L439" s="711" t="s">
        <v>15</v>
      </c>
      <c r="M439" s="1014"/>
      <c r="N439" s="1016"/>
      <c r="O439" s="447" t="s">
        <v>178</v>
      </c>
      <c r="P439" s="448" t="s">
        <v>11</v>
      </c>
      <c r="Q439" s="449" t="s">
        <v>12</v>
      </c>
    </row>
    <row r="440" spans="1:17" ht="23.4" x14ac:dyDescent="0.3">
      <c r="A440" s="271" t="s">
        <v>110</v>
      </c>
      <c r="B440" s="442"/>
      <c r="C440" s="272" t="s">
        <v>266</v>
      </c>
      <c r="D440" s="273"/>
      <c r="E440" s="274"/>
      <c r="F440" s="335">
        <f>+G440+H440</f>
        <v>72000</v>
      </c>
      <c r="G440" s="275">
        <v>67760</v>
      </c>
      <c r="H440" s="275">
        <v>4240</v>
      </c>
      <c r="I440" s="354" t="str">
        <f>IFERROR(F440/#REF!,"-")</f>
        <v>-</v>
      </c>
      <c r="J440" s="461">
        <f>+K440+L440</f>
        <v>163470</v>
      </c>
      <c r="K440" s="462">
        <f>+K378+G440</f>
        <v>156800</v>
      </c>
      <c r="L440" s="463">
        <f>+L378+H440</f>
        <v>6670</v>
      </c>
      <c r="M440" s="339" t="str">
        <f>IFERROR(J440/D440,"-")</f>
        <v>-</v>
      </c>
      <c r="N440" s="346">
        <f t="shared" ref="N440:N441" si="428">IFERROR(L440/J440,"-")</f>
        <v>4.0802593748088332E-2</v>
      </c>
      <c r="O440" s="511">
        <v>1.5669</v>
      </c>
      <c r="P440" s="405">
        <f>+O440*G440</f>
        <v>106173.144</v>
      </c>
      <c r="Q440" s="450">
        <f>+O440*K440</f>
        <v>245689.91999999998</v>
      </c>
    </row>
    <row r="441" spans="1:17" ht="23.4" x14ac:dyDescent="0.3">
      <c r="A441" s="277" t="s">
        <v>110</v>
      </c>
      <c r="B441" s="441"/>
      <c r="C441" s="278" t="s">
        <v>265</v>
      </c>
      <c r="D441" s="279"/>
      <c r="E441" s="280"/>
      <c r="F441" s="336">
        <f t="shared" ref="F441:F444" si="429">+G441+H441</f>
        <v>58472</v>
      </c>
      <c r="G441" s="281">
        <v>57500</v>
      </c>
      <c r="H441" s="281">
        <v>972</v>
      </c>
      <c r="I441" s="355" t="str">
        <f>IFERROR(F441/#REF!,"-")</f>
        <v>-</v>
      </c>
      <c r="J441" s="336">
        <f t="shared" ref="J441:J444" si="430">+K441+L441</f>
        <v>792154</v>
      </c>
      <c r="K441" s="281">
        <f t="shared" ref="K441:K444" si="431">+K379+G441</f>
        <v>785750</v>
      </c>
      <c r="L441" s="439">
        <f t="shared" ref="L441:L444" si="432">+L379+H441</f>
        <v>6404</v>
      </c>
      <c r="M441" s="340" t="str">
        <f t="shared" ref="M441:M444" si="433">IFERROR(J441/D441,"-")</f>
        <v>-</v>
      </c>
      <c r="N441" s="268">
        <f t="shared" si="428"/>
        <v>8.0842866412339023E-3</v>
      </c>
      <c r="O441" s="512">
        <v>2.3978999999999999</v>
      </c>
      <c r="P441" s="407">
        <f>+O441*G441</f>
        <v>137879.25</v>
      </c>
      <c r="Q441" s="452">
        <f>+O441*K441</f>
        <v>1884149.925</v>
      </c>
    </row>
    <row r="442" spans="1:17" ht="23.4" x14ac:dyDescent="0.3">
      <c r="A442" s="277" t="s">
        <v>110</v>
      </c>
      <c r="B442" s="441"/>
      <c r="C442" s="278" t="s">
        <v>476</v>
      </c>
      <c r="D442" s="279"/>
      <c r="E442" s="280"/>
      <c r="F442" s="336">
        <f t="shared" si="429"/>
        <v>37750</v>
      </c>
      <c r="G442" s="281">
        <v>21750</v>
      </c>
      <c r="H442" s="730">
        <v>16000</v>
      </c>
      <c r="I442" s="355" t="str">
        <f>IFERROR(F442/#REF!,"-")</f>
        <v>-</v>
      </c>
      <c r="J442" s="336">
        <f t="shared" si="430"/>
        <v>37750</v>
      </c>
      <c r="K442" s="281">
        <f t="shared" si="431"/>
        <v>21750</v>
      </c>
      <c r="L442" s="439">
        <f t="shared" si="432"/>
        <v>16000</v>
      </c>
      <c r="M442" s="340" t="str">
        <f t="shared" si="433"/>
        <v>-</v>
      </c>
      <c r="N442" s="806">
        <f>IFERROR(L442/J442,"-")</f>
        <v>0.42384105960264901</v>
      </c>
      <c r="O442" s="513">
        <v>2.2141000000000002</v>
      </c>
      <c r="P442" s="407">
        <f t="shared" ref="P442:P444" si="434">+O442*G442</f>
        <v>48156.675000000003</v>
      </c>
      <c r="Q442" s="452">
        <f t="shared" ref="Q442:Q444" si="435">+O442*K442</f>
        <v>48156.675000000003</v>
      </c>
    </row>
    <row r="443" spans="1:17" ht="23.4" x14ac:dyDescent="0.3">
      <c r="A443" s="277"/>
      <c r="B443" s="454"/>
      <c r="C443" s="278" t="s">
        <v>353</v>
      </c>
      <c r="D443" s="283"/>
      <c r="E443" s="284"/>
      <c r="F443" s="336">
        <f t="shared" si="429"/>
        <v>11182</v>
      </c>
      <c r="G443" s="285">
        <v>11000</v>
      </c>
      <c r="H443" s="285">
        <v>182</v>
      </c>
      <c r="I443" s="355" t="str">
        <f>IFERROR(F443/#REF!,"-")</f>
        <v>-</v>
      </c>
      <c r="J443" s="336">
        <f t="shared" si="430"/>
        <v>142841</v>
      </c>
      <c r="K443" s="281">
        <f t="shared" si="431"/>
        <v>139600</v>
      </c>
      <c r="L443" s="439">
        <f t="shared" si="432"/>
        <v>3241</v>
      </c>
      <c r="M443" s="340" t="str">
        <f t="shared" si="433"/>
        <v>-</v>
      </c>
      <c r="N443" s="268">
        <f>IFERROR(L443/J443,"-")</f>
        <v>2.2689563920723042E-2</v>
      </c>
      <c r="O443" s="513">
        <v>12.284700000000001</v>
      </c>
      <c r="P443" s="407">
        <f t="shared" si="434"/>
        <v>135131.70000000001</v>
      </c>
      <c r="Q443" s="452">
        <f t="shared" si="435"/>
        <v>1714944.12</v>
      </c>
    </row>
    <row r="444" spans="1:17" ht="24" thickBot="1" x14ac:dyDescent="0.35">
      <c r="A444" s="277" t="s">
        <v>110</v>
      </c>
      <c r="B444" s="454"/>
      <c r="C444" s="278" t="s">
        <v>408</v>
      </c>
      <c r="D444" s="283"/>
      <c r="E444" s="284"/>
      <c r="F444" s="337">
        <f t="shared" si="429"/>
        <v>0</v>
      </c>
      <c r="G444" s="285"/>
      <c r="H444" s="285"/>
      <c r="I444" s="356" t="str">
        <f>IFERROR(F444/#REF!,"-")</f>
        <v>-</v>
      </c>
      <c r="J444" s="464">
        <f t="shared" si="430"/>
        <v>177284</v>
      </c>
      <c r="K444" s="465">
        <f t="shared" si="431"/>
        <v>168250</v>
      </c>
      <c r="L444" s="466">
        <f t="shared" si="432"/>
        <v>9034</v>
      </c>
      <c r="M444" s="341" t="str">
        <f t="shared" si="433"/>
        <v>-</v>
      </c>
      <c r="N444" s="347">
        <f t="shared" ref="N444:N456" si="436">IFERROR(L444/J444,"-")</f>
        <v>5.0957785248527787E-2</v>
      </c>
      <c r="O444" s="513">
        <v>4.6797000000000004</v>
      </c>
      <c r="P444" s="408">
        <f t="shared" si="434"/>
        <v>0</v>
      </c>
      <c r="Q444" s="453">
        <f t="shared" si="435"/>
        <v>787359.52500000002</v>
      </c>
    </row>
    <row r="445" spans="1:17" ht="24" thickBot="1" x14ac:dyDescent="0.35">
      <c r="A445" s="277" t="s">
        <v>110</v>
      </c>
      <c r="B445" s="967" t="s">
        <v>21</v>
      </c>
      <c r="C445" s="968"/>
      <c r="D445" s="323">
        <f>SUM(D440:D444)</f>
        <v>0</v>
      </c>
      <c r="E445" s="288">
        <v>15000</v>
      </c>
      <c r="F445" s="323">
        <f>SUM(F440:F444)</f>
        <v>179404</v>
      </c>
      <c r="G445" s="324">
        <f>SUM(G440:G444)</f>
        <v>158010</v>
      </c>
      <c r="H445" s="324">
        <f>SUM(H440:H444)</f>
        <v>21394</v>
      </c>
      <c r="I445" s="348" t="str">
        <f>IFERROR(F445/#REF!,"-")</f>
        <v>-</v>
      </c>
      <c r="J445" s="323">
        <f>SUM(J440:J444)</f>
        <v>1313499</v>
      </c>
      <c r="K445" s="324">
        <f>SUM(K440:K444)</f>
        <v>1272150</v>
      </c>
      <c r="L445" s="325">
        <f>SUM(L440:L444)</f>
        <v>41349</v>
      </c>
      <c r="M445" s="342" t="str">
        <f>IFERROR(J445/D445,"-")</f>
        <v>-</v>
      </c>
      <c r="N445" s="348">
        <f t="shared" si="436"/>
        <v>3.1480039193025652E-2</v>
      </c>
      <c r="O445" s="394"/>
      <c r="P445" s="409">
        <f>SUM(P440:P444)</f>
        <v>427340.76900000003</v>
      </c>
      <c r="Q445" s="428">
        <f>SUM(Q440:Q444)</f>
        <v>4680300.165</v>
      </c>
    </row>
    <row r="446" spans="1:17" ht="23.4" x14ac:dyDescent="0.3">
      <c r="A446" s="277" t="s">
        <v>110</v>
      </c>
      <c r="B446" s="442"/>
      <c r="C446" s="272" t="s">
        <v>264</v>
      </c>
      <c r="D446" s="273"/>
      <c r="E446" s="274"/>
      <c r="F446" s="335">
        <f t="shared" ref="F446:F452" si="437">+G446+H446</f>
        <v>0</v>
      </c>
      <c r="G446" s="275"/>
      <c r="H446" s="275"/>
      <c r="I446" s="354" t="str">
        <f>IFERROR(F446/#REF!,"-")</f>
        <v>-</v>
      </c>
      <c r="J446" s="461">
        <f t="shared" ref="J446:J452" si="438">+K446+L446</f>
        <v>34540</v>
      </c>
      <c r="K446" s="462">
        <f t="shared" ref="K446:K452" si="439">+K384+G446</f>
        <v>33840</v>
      </c>
      <c r="L446" s="463">
        <f t="shared" ref="L446:L452" si="440">+L384+H446</f>
        <v>700</v>
      </c>
      <c r="M446" s="339" t="str">
        <f t="shared" ref="M446:M454" si="441">IFERROR(J446/D446,"-")</f>
        <v>-</v>
      </c>
      <c r="N446" s="349">
        <f t="shared" si="436"/>
        <v>2.0266357845975681E-2</v>
      </c>
      <c r="O446" s="511">
        <v>18.2316</v>
      </c>
      <c r="P446" s="405">
        <f t="shared" ref="P446:P452" si="442">+O446*G446</f>
        <v>0</v>
      </c>
      <c r="Q446" s="450">
        <f t="shared" ref="Q446:Q452" si="443">+O446*K446</f>
        <v>616957.34400000004</v>
      </c>
    </row>
    <row r="447" spans="1:17" ht="23.4" x14ac:dyDescent="0.3">
      <c r="A447" s="277" t="s">
        <v>110</v>
      </c>
      <c r="B447" s="441"/>
      <c r="C447" s="278" t="s">
        <v>92</v>
      </c>
      <c r="D447" s="279"/>
      <c r="E447" s="280"/>
      <c r="F447" s="336">
        <f t="shared" si="437"/>
        <v>60000</v>
      </c>
      <c r="G447" s="281">
        <v>60000</v>
      </c>
      <c r="H447" s="281"/>
      <c r="I447" s="355" t="str">
        <f>IFERROR(F447/#REF!,"-")</f>
        <v>-</v>
      </c>
      <c r="J447" s="336">
        <f t="shared" si="438"/>
        <v>180000</v>
      </c>
      <c r="K447" s="281">
        <f t="shared" si="439"/>
        <v>180000</v>
      </c>
      <c r="L447" s="439">
        <f t="shared" si="440"/>
        <v>0</v>
      </c>
      <c r="M447" s="340" t="str">
        <f t="shared" si="441"/>
        <v>-</v>
      </c>
      <c r="N447" s="264">
        <f t="shared" si="436"/>
        <v>0</v>
      </c>
      <c r="O447" s="512">
        <v>1.2824</v>
      </c>
      <c r="P447" s="407">
        <f t="shared" si="442"/>
        <v>76944</v>
      </c>
      <c r="Q447" s="452">
        <f t="shared" si="443"/>
        <v>230832</v>
      </c>
    </row>
    <row r="448" spans="1:17" ht="23.4" x14ac:dyDescent="0.3">
      <c r="A448" s="277" t="s">
        <v>110</v>
      </c>
      <c r="B448" s="441"/>
      <c r="C448" s="278" t="s">
        <v>329</v>
      </c>
      <c r="D448" s="279"/>
      <c r="E448" s="280"/>
      <c r="F448" s="336">
        <f t="shared" si="437"/>
        <v>0</v>
      </c>
      <c r="G448" s="281"/>
      <c r="H448" s="281"/>
      <c r="I448" s="355" t="str">
        <f>IFERROR(F448/#REF!,"-")</f>
        <v>-</v>
      </c>
      <c r="J448" s="336">
        <f t="shared" si="438"/>
        <v>0</v>
      </c>
      <c r="K448" s="281">
        <f t="shared" si="439"/>
        <v>0</v>
      </c>
      <c r="L448" s="439">
        <f t="shared" si="440"/>
        <v>0</v>
      </c>
      <c r="M448" s="340" t="str">
        <f t="shared" si="441"/>
        <v>-</v>
      </c>
      <c r="N448" s="264" t="str">
        <f t="shared" si="436"/>
        <v>-</v>
      </c>
      <c r="O448" s="512">
        <v>5.7342000000000004</v>
      </c>
      <c r="P448" s="407">
        <f t="shared" si="442"/>
        <v>0</v>
      </c>
      <c r="Q448" s="452">
        <f t="shared" si="443"/>
        <v>0</v>
      </c>
    </row>
    <row r="449" spans="1:17" ht="23.4" x14ac:dyDescent="0.3">
      <c r="A449" s="277" t="s">
        <v>110</v>
      </c>
      <c r="B449" s="441"/>
      <c r="C449" s="278" t="s">
        <v>346</v>
      </c>
      <c r="D449" s="279"/>
      <c r="E449" s="280"/>
      <c r="F449" s="336">
        <f t="shared" si="437"/>
        <v>0</v>
      </c>
      <c r="G449" s="281"/>
      <c r="H449" s="281"/>
      <c r="I449" s="355" t="str">
        <f>IFERROR(F449/#REF!,"-")</f>
        <v>-</v>
      </c>
      <c r="J449" s="336">
        <f t="shared" si="438"/>
        <v>0</v>
      </c>
      <c r="K449" s="281">
        <f t="shared" si="439"/>
        <v>0</v>
      </c>
      <c r="L449" s="439">
        <f t="shared" si="440"/>
        <v>0</v>
      </c>
      <c r="M449" s="340" t="str">
        <f t="shared" si="441"/>
        <v>-</v>
      </c>
      <c r="N449" s="264" t="str">
        <f t="shared" si="436"/>
        <v>-</v>
      </c>
      <c r="O449" s="512"/>
      <c r="P449" s="407">
        <f t="shared" si="442"/>
        <v>0</v>
      </c>
      <c r="Q449" s="452">
        <f t="shared" si="443"/>
        <v>0</v>
      </c>
    </row>
    <row r="450" spans="1:17" ht="23.4" x14ac:dyDescent="0.3">
      <c r="A450" s="277" t="s">
        <v>110</v>
      </c>
      <c r="B450" s="441"/>
      <c r="C450" s="278" t="s">
        <v>354</v>
      </c>
      <c r="D450" s="279"/>
      <c r="E450" s="280"/>
      <c r="F450" s="336">
        <f t="shared" si="437"/>
        <v>0</v>
      </c>
      <c r="G450" s="281"/>
      <c r="H450" s="281"/>
      <c r="I450" s="355" t="str">
        <f>IFERROR(F450/#REF!,"-")</f>
        <v>-</v>
      </c>
      <c r="J450" s="336">
        <f t="shared" si="438"/>
        <v>81836</v>
      </c>
      <c r="K450" s="281">
        <f t="shared" si="439"/>
        <v>81000</v>
      </c>
      <c r="L450" s="439">
        <f t="shared" si="440"/>
        <v>836</v>
      </c>
      <c r="M450" s="340" t="str">
        <f t="shared" si="441"/>
        <v>-</v>
      </c>
      <c r="N450" s="264">
        <f t="shared" si="436"/>
        <v>1.0215553057334181E-2</v>
      </c>
      <c r="O450" s="512">
        <v>12.029500000000001</v>
      </c>
      <c r="P450" s="407">
        <f t="shared" si="442"/>
        <v>0</v>
      </c>
      <c r="Q450" s="452">
        <f t="shared" si="443"/>
        <v>974389.5</v>
      </c>
    </row>
    <row r="451" spans="1:17" ht="23.4" x14ac:dyDescent="0.3">
      <c r="A451" s="277" t="s">
        <v>110</v>
      </c>
      <c r="B451" s="441"/>
      <c r="C451" s="278"/>
      <c r="D451" s="279"/>
      <c r="E451" s="280"/>
      <c r="F451" s="336">
        <f t="shared" si="437"/>
        <v>0</v>
      </c>
      <c r="G451" s="281"/>
      <c r="H451" s="281"/>
      <c r="I451" s="355" t="str">
        <f>IFERROR(F451/#REF!,"-")</f>
        <v>-</v>
      </c>
      <c r="J451" s="336">
        <f t="shared" si="438"/>
        <v>0</v>
      </c>
      <c r="K451" s="281">
        <f t="shared" si="439"/>
        <v>0</v>
      </c>
      <c r="L451" s="439">
        <f t="shared" si="440"/>
        <v>0</v>
      </c>
      <c r="M451" s="340" t="str">
        <f t="shared" si="441"/>
        <v>-</v>
      </c>
      <c r="N451" s="264" t="str">
        <f t="shared" si="436"/>
        <v>-</v>
      </c>
      <c r="O451" s="512"/>
      <c r="P451" s="407">
        <f t="shared" si="442"/>
        <v>0</v>
      </c>
      <c r="Q451" s="452">
        <f t="shared" si="443"/>
        <v>0</v>
      </c>
    </row>
    <row r="452" spans="1:17" ht="24" thickBot="1" x14ac:dyDescent="0.35">
      <c r="A452" s="277" t="s">
        <v>110</v>
      </c>
      <c r="B452" s="454"/>
      <c r="C452" s="282"/>
      <c r="D452" s="283">
        <v>0</v>
      </c>
      <c r="E452" s="284"/>
      <c r="F452" s="337">
        <f t="shared" si="437"/>
        <v>0</v>
      </c>
      <c r="G452" s="285"/>
      <c r="H452" s="285"/>
      <c r="I452" s="356" t="str">
        <f>IFERROR(F452/#REF!,"-")</f>
        <v>-</v>
      </c>
      <c r="J452" s="464">
        <f t="shared" si="438"/>
        <v>0</v>
      </c>
      <c r="K452" s="465">
        <f t="shared" si="439"/>
        <v>0</v>
      </c>
      <c r="L452" s="466">
        <f t="shared" si="440"/>
        <v>0</v>
      </c>
      <c r="M452" s="341" t="str">
        <f t="shared" si="441"/>
        <v>-</v>
      </c>
      <c r="N452" s="350" t="str">
        <f t="shared" si="436"/>
        <v>-</v>
      </c>
      <c r="O452" s="513"/>
      <c r="P452" s="408">
        <f t="shared" si="442"/>
        <v>0</v>
      </c>
      <c r="Q452" s="453">
        <f t="shared" si="443"/>
        <v>0</v>
      </c>
    </row>
    <row r="453" spans="1:17" ht="24" thickBot="1" x14ac:dyDescent="0.35">
      <c r="A453" s="277" t="s">
        <v>110</v>
      </c>
      <c r="B453" s="967" t="s">
        <v>25</v>
      </c>
      <c r="C453" s="968"/>
      <c r="D453" s="323">
        <f t="shared" ref="D453" si="444">SUM(D446:D452)</f>
        <v>0</v>
      </c>
      <c r="E453" s="288">
        <v>100000</v>
      </c>
      <c r="F453" s="323">
        <f>SUM(F446:F452)</f>
        <v>60000</v>
      </c>
      <c r="G453" s="324">
        <f t="shared" ref="G453:H453" si="445">SUM(G446:G452)</f>
        <v>60000</v>
      </c>
      <c r="H453" s="324">
        <f t="shared" si="445"/>
        <v>0</v>
      </c>
      <c r="I453" s="348" t="str">
        <f>IFERROR(F453/#REF!,"-")</f>
        <v>-</v>
      </c>
      <c r="J453" s="323">
        <f t="shared" ref="J453:L453" si="446">SUM(J446:J452)</f>
        <v>296376</v>
      </c>
      <c r="K453" s="324">
        <f t="shared" si="446"/>
        <v>294840</v>
      </c>
      <c r="L453" s="325">
        <f t="shared" si="446"/>
        <v>1536</v>
      </c>
      <c r="M453" s="342" t="str">
        <f t="shared" si="441"/>
        <v>-</v>
      </c>
      <c r="N453" s="348">
        <f t="shared" si="436"/>
        <v>5.1826058790185444E-3</v>
      </c>
      <c r="O453" s="394"/>
      <c r="P453" s="409">
        <f t="shared" ref="P453:Q453" si="447">SUM(P446:P452)</f>
        <v>76944</v>
      </c>
      <c r="Q453" s="428">
        <f t="shared" si="447"/>
        <v>1822178.844</v>
      </c>
    </row>
    <row r="454" spans="1:17" ht="24" thickBot="1" x14ac:dyDescent="0.35">
      <c r="A454" s="277" t="s">
        <v>110</v>
      </c>
      <c r="B454" s="1057" t="s">
        <v>180</v>
      </c>
      <c r="C454" s="1040"/>
      <c r="D454" s="329">
        <f>+D445+D453</f>
        <v>0</v>
      </c>
      <c r="E454" s="330">
        <f t="shared" ref="E454:H454" si="448">+E445+E453</f>
        <v>115000</v>
      </c>
      <c r="F454" s="329">
        <f t="shared" si="448"/>
        <v>239404</v>
      </c>
      <c r="G454" s="327">
        <f t="shared" si="448"/>
        <v>218010</v>
      </c>
      <c r="H454" s="327">
        <f t="shared" si="448"/>
        <v>21394</v>
      </c>
      <c r="I454" s="352" t="str">
        <f>IFERROR(F454/#REF!,"-")</f>
        <v>-</v>
      </c>
      <c r="J454" s="329">
        <f t="shared" ref="J454:L454" si="449">+J445+J453</f>
        <v>1609875</v>
      </c>
      <c r="K454" s="327">
        <f t="shared" si="449"/>
        <v>1566990</v>
      </c>
      <c r="L454" s="328">
        <f t="shared" si="449"/>
        <v>42885</v>
      </c>
      <c r="M454" s="344" t="str">
        <f t="shared" si="441"/>
        <v>-</v>
      </c>
      <c r="N454" s="352">
        <f t="shared" si="436"/>
        <v>2.6638714185883997E-2</v>
      </c>
      <c r="O454" s="397"/>
      <c r="P454" s="413">
        <f t="shared" ref="P454:Q454" si="450">+P445+P453</f>
        <v>504284.76900000003</v>
      </c>
      <c r="Q454" s="431">
        <f t="shared" si="450"/>
        <v>6502479.0089999996</v>
      </c>
    </row>
    <row r="455" spans="1:17" ht="23.4" x14ac:dyDescent="0.3">
      <c r="A455" s="244" t="s">
        <v>108</v>
      </c>
      <c r="B455" s="591"/>
      <c r="C455" s="592" t="s">
        <v>306</v>
      </c>
      <c r="D455" s="532"/>
      <c r="E455" s="463"/>
      <c r="F455" s="461">
        <f>+G455+H455</f>
        <v>0</v>
      </c>
      <c r="G455" s="462"/>
      <c r="H455" s="462"/>
      <c r="I455" s="536" t="str">
        <f>IFERROR(F455/#REF!,"-")</f>
        <v>-</v>
      </c>
      <c r="J455" s="461">
        <f>+K455+L455</f>
        <v>0</v>
      </c>
      <c r="K455" s="462">
        <f t="shared" ref="K455:K461" si="451">+K393+G455</f>
        <v>0</v>
      </c>
      <c r="L455" s="463">
        <f t="shared" ref="L455:L461" si="452">+L393+H455</f>
        <v>0</v>
      </c>
      <c r="M455" s="596" t="str">
        <f>IFERROR(J455/D455,"-")</f>
        <v>-</v>
      </c>
      <c r="N455" s="538" t="str">
        <f t="shared" si="436"/>
        <v>-</v>
      </c>
      <c r="O455" s="638">
        <v>4.8285999999999998</v>
      </c>
      <c r="P455" s="539">
        <f t="shared" ref="P455:P461" si="453">+O455*G455</f>
        <v>0</v>
      </c>
      <c r="Q455" s="540">
        <f t="shared" ref="Q455:Q461" si="454">+O455*K455</f>
        <v>0</v>
      </c>
    </row>
    <row r="456" spans="1:17" ht="23.4" x14ac:dyDescent="0.3">
      <c r="A456" s="248" t="s">
        <v>108</v>
      </c>
      <c r="B456" s="593"/>
      <c r="C456" s="278" t="s">
        <v>307</v>
      </c>
      <c r="D456" s="279"/>
      <c r="E456" s="439"/>
      <c r="F456" s="336">
        <f t="shared" ref="F456:F461" si="455">+G456+H456</f>
        <v>0</v>
      </c>
      <c r="G456" s="281"/>
      <c r="H456" s="281"/>
      <c r="I456" s="355" t="str">
        <f>IFERROR(F456/#REF!,"-")</f>
        <v>-</v>
      </c>
      <c r="J456" s="336">
        <f t="shared" ref="J456:J461" si="456">+K456+L456</f>
        <v>0</v>
      </c>
      <c r="K456" s="281">
        <f t="shared" si="451"/>
        <v>0</v>
      </c>
      <c r="L456" s="439">
        <f t="shared" si="452"/>
        <v>0</v>
      </c>
      <c r="M456" s="340" t="str">
        <f t="shared" ref="M456:M458" si="457">IFERROR(J456/D456,"-")</f>
        <v>-</v>
      </c>
      <c r="N456" s="268" t="str">
        <f t="shared" si="436"/>
        <v>-</v>
      </c>
      <c r="O456" s="639">
        <v>1.4086000000000001</v>
      </c>
      <c r="P456" s="407">
        <f t="shared" si="453"/>
        <v>0</v>
      </c>
      <c r="Q456" s="452">
        <f t="shared" si="454"/>
        <v>0</v>
      </c>
    </row>
    <row r="457" spans="1:17" ht="23.4" x14ac:dyDescent="0.3">
      <c r="A457" s="248" t="s">
        <v>108</v>
      </c>
      <c r="B457" s="593"/>
      <c r="C457" s="278" t="s">
        <v>348</v>
      </c>
      <c r="D457" s="279"/>
      <c r="E457" s="439"/>
      <c r="F457" s="336">
        <f t="shared" si="455"/>
        <v>0</v>
      </c>
      <c r="G457" s="281"/>
      <c r="H457" s="281"/>
      <c r="I457" s="355" t="str">
        <f>IFERROR(F457/#REF!,"-")</f>
        <v>-</v>
      </c>
      <c r="J457" s="336">
        <f t="shared" si="456"/>
        <v>0</v>
      </c>
      <c r="K457" s="281">
        <f t="shared" si="451"/>
        <v>0</v>
      </c>
      <c r="L457" s="439">
        <f t="shared" si="452"/>
        <v>0</v>
      </c>
      <c r="M457" s="340" t="str">
        <f t="shared" si="457"/>
        <v>-</v>
      </c>
      <c r="N457" s="268" t="str">
        <f>IFERROR(L457/J457,"-")</f>
        <v>-</v>
      </c>
      <c r="O457" s="639">
        <v>2.2141000000000002</v>
      </c>
      <c r="P457" s="407">
        <f t="shared" si="453"/>
        <v>0</v>
      </c>
      <c r="Q457" s="452">
        <f t="shared" si="454"/>
        <v>0</v>
      </c>
    </row>
    <row r="458" spans="1:17" ht="23.4" x14ac:dyDescent="0.3">
      <c r="A458" s="248" t="s">
        <v>108</v>
      </c>
      <c r="B458" s="594"/>
      <c r="C458" s="278" t="s">
        <v>460</v>
      </c>
      <c r="D458" s="283"/>
      <c r="E458" s="533"/>
      <c r="F458" s="337">
        <f t="shared" si="455"/>
        <v>0</v>
      </c>
      <c r="G458" s="285"/>
      <c r="H458" s="285"/>
      <c r="I458" s="356" t="str">
        <f>IFERROR(F458/#REF!,"-")</f>
        <v>-</v>
      </c>
      <c r="J458" s="336">
        <f t="shared" si="456"/>
        <v>369668</v>
      </c>
      <c r="K458" s="281">
        <f t="shared" si="451"/>
        <v>364750</v>
      </c>
      <c r="L458" s="439">
        <f t="shared" si="452"/>
        <v>4918</v>
      </c>
      <c r="M458" s="341" t="str">
        <f t="shared" si="457"/>
        <v>-</v>
      </c>
      <c r="N458" s="347">
        <f t="shared" ref="N458:N465" si="458">IFERROR(L458/J458,"-")</f>
        <v>1.3303829382040101E-2</v>
      </c>
      <c r="O458" s="639">
        <v>2.2141000000000002</v>
      </c>
      <c r="P458" s="408">
        <f t="shared" si="453"/>
        <v>0</v>
      </c>
      <c r="Q458" s="453">
        <f t="shared" si="454"/>
        <v>807592.97500000009</v>
      </c>
    </row>
    <row r="459" spans="1:17" ht="23.4" x14ac:dyDescent="0.3">
      <c r="A459" s="248" t="s">
        <v>108</v>
      </c>
      <c r="B459" s="443"/>
      <c r="C459" s="637" t="s">
        <v>393</v>
      </c>
      <c r="D459" s="514"/>
      <c r="E459" s="534"/>
      <c r="F459" s="336">
        <f t="shared" si="455"/>
        <v>0</v>
      </c>
      <c r="G459" s="553"/>
      <c r="H459" s="553"/>
      <c r="I459" s="355" t="str">
        <f>IFERROR(F459/#REF!,"-")</f>
        <v>-</v>
      </c>
      <c r="J459" s="336">
        <f t="shared" si="456"/>
        <v>0</v>
      </c>
      <c r="K459" s="281">
        <f t="shared" si="451"/>
        <v>0</v>
      </c>
      <c r="L459" s="439">
        <f t="shared" si="452"/>
        <v>0</v>
      </c>
      <c r="M459" s="725"/>
      <c r="N459" s="268" t="str">
        <f t="shared" si="458"/>
        <v>-</v>
      </c>
      <c r="O459" s="545">
        <v>4.8285999999999998</v>
      </c>
      <c r="P459" s="407">
        <f t="shared" si="453"/>
        <v>0</v>
      </c>
      <c r="Q459" s="452">
        <f t="shared" si="454"/>
        <v>0</v>
      </c>
    </row>
    <row r="460" spans="1:17" ht="23.4" x14ac:dyDescent="0.3">
      <c r="A460" s="248" t="s">
        <v>108</v>
      </c>
      <c r="B460" s="595"/>
      <c r="C460" s="637" t="s">
        <v>389</v>
      </c>
      <c r="D460" s="273"/>
      <c r="E460" s="438"/>
      <c r="F460" s="335">
        <f t="shared" si="455"/>
        <v>0</v>
      </c>
      <c r="G460" s="275"/>
      <c r="H460" s="275"/>
      <c r="I460" s="354" t="str">
        <f>IFERROR(F460/#REF!,"-")</f>
        <v>-</v>
      </c>
      <c r="J460" s="336">
        <f t="shared" si="456"/>
        <v>0</v>
      </c>
      <c r="K460" s="281">
        <f t="shared" si="451"/>
        <v>0</v>
      </c>
      <c r="L460" s="439">
        <f t="shared" si="452"/>
        <v>0</v>
      </c>
      <c r="M460" s="339" t="str">
        <f t="shared" ref="M460:M461" si="459">IFERROR(J460/D460,"-")</f>
        <v>-</v>
      </c>
      <c r="N460" s="349" t="str">
        <f t="shared" si="458"/>
        <v>-</v>
      </c>
      <c r="O460" s="511">
        <v>4.1712999999999996</v>
      </c>
      <c r="P460" s="405">
        <f t="shared" si="453"/>
        <v>0</v>
      </c>
      <c r="Q460" s="450">
        <f t="shared" si="454"/>
        <v>0</v>
      </c>
    </row>
    <row r="461" spans="1:17" ht="24" thickBot="1" x14ac:dyDescent="0.35">
      <c r="A461" s="248" t="s">
        <v>108</v>
      </c>
      <c r="B461" s="593"/>
      <c r="C461" s="278"/>
      <c r="D461" s="279"/>
      <c r="E461" s="439"/>
      <c r="F461" s="336">
        <f t="shared" si="455"/>
        <v>0</v>
      </c>
      <c r="G461" s="281"/>
      <c r="H461" s="281"/>
      <c r="I461" s="355" t="str">
        <f>IFERROR(F461/#REF!,"-")</f>
        <v>-</v>
      </c>
      <c r="J461" s="464">
        <f t="shared" si="456"/>
        <v>0</v>
      </c>
      <c r="K461" s="465">
        <f t="shared" si="451"/>
        <v>0</v>
      </c>
      <c r="L461" s="466">
        <f t="shared" si="452"/>
        <v>0</v>
      </c>
      <c r="M461" s="340" t="str">
        <f t="shared" si="459"/>
        <v>-</v>
      </c>
      <c r="N461" s="264" t="str">
        <f t="shared" si="458"/>
        <v>-</v>
      </c>
      <c r="O461" s="451"/>
      <c r="P461" s="407">
        <f t="shared" si="453"/>
        <v>0</v>
      </c>
      <c r="Q461" s="452">
        <f t="shared" si="454"/>
        <v>0</v>
      </c>
    </row>
    <row r="462" spans="1:17" ht="24" thickBot="1" x14ac:dyDescent="0.35">
      <c r="A462" s="277" t="s">
        <v>108</v>
      </c>
      <c r="B462" s="1038" t="s">
        <v>21</v>
      </c>
      <c r="C462" s="989"/>
      <c r="D462" s="323">
        <v>0</v>
      </c>
      <c r="E462" s="288">
        <v>15000</v>
      </c>
      <c r="F462" s="323">
        <f>SUM(F455:F461)</f>
        <v>0</v>
      </c>
      <c r="G462" s="324">
        <f t="shared" ref="G462:H462" si="460">SUM(G455:G461)</f>
        <v>0</v>
      </c>
      <c r="H462" s="324">
        <f t="shared" si="460"/>
        <v>0</v>
      </c>
      <c r="I462" s="348" t="str">
        <f>IFERROR(F462/#REF!,"-")</f>
        <v>-</v>
      </c>
      <c r="J462" s="518">
        <f t="shared" ref="J462" si="461">SUM(J455:J461)</f>
        <v>369668</v>
      </c>
      <c r="K462" s="524">
        <f>SUM(K455:K461)</f>
        <v>364750</v>
      </c>
      <c r="L462" s="524">
        <f>SUM(L455:L461)</f>
        <v>4918</v>
      </c>
      <c r="M462" s="342" t="str">
        <f>IFERROR(J462/D462,"-")</f>
        <v>-</v>
      </c>
      <c r="N462" s="348">
        <f t="shared" si="458"/>
        <v>1.3303829382040101E-2</v>
      </c>
      <c r="O462" s="394"/>
      <c r="P462" s="409">
        <f>SUM(P455:P461)</f>
        <v>0</v>
      </c>
      <c r="Q462" s="428">
        <f>SUM(Q455:Q461)</f>
        <v>807592.97500000009</v>
      </c>
    </row>
    <row r="463" spans="1:17" ht="24" thickBot="1" x14ac:dyDescent="0.35">
      <c r="A463" s="277" t="s">
        <v>108</v>
      </c>
      <c r="B463" s="1058" t="s">
        <v>268</v>
      </c>
      <c r="C463" s="1059"/>
      <c r="D463" s="517">
        <f>+D459+D462</f>
        <v>0</v>
      </c>
      <c r="E463" s="530">
        <f>+E459+E462</f>
        <v>15000</v>
      </c>
      <c r="F463" s="517">
        <f>+F459+F462</f>
        <v>0</v>
      </c>
      <c r="G463" s="519">
        <f>+G459+G462</f>
        <v>0</v>
      </c>
      <c r="H463" s="519">
        <f>+H459+H462</f>
        <v>0</v>
      </c>
      <c r="I463" s="520" t="str">
        <f>IFERROR(F463/#REF!,"-")</f>
        <v>-</v>
      </c>
      <c r="J463" s="517">
        <f>+J459+J462</f>
        <v>369668</v>
      </c>
      <c r="K463" s="519">
        <f>+K462</f>
        <v>364750</v>
      </c>
      <c r="L463" s="519">
        <f>+L462</f>
        <v>4918</v>
      </c>
      <c r="M463" s="521" t="str">
        <f t="shared" ref="M463" si="462">IFERROR(J463/D463,"-")</f>
        <v>-</v>
      </c>
      <c r="N463" s="520">
        <f t="shared" si="458"/>
        <v>1.3303829382040101E-2</v>
      </c>
      <c r="O463" s="522"/>
      <c r="P463" s="523">
        <f>+P462</f>
        <v>0</v>
      </c>
      <c r="Q463" s="523">
        <f>+Q462</f>
        <v>807592.97500000009</v>
      </c>
    </row>
    <row r="464" spans="1:17" ht="23.4" x14ac:dyDescent="0.4">
      <c r="A464" s="244" t="s">
        <v>108</v>
      </c>
      <c r="B464" s="1035" t="s">
        <v>270</v>
      </c>
      <c r="C464" s="547" t="s">
        <v>74</v>
      </c>
      <c r="D464" s="532"/>
      <c r="E464" s="463"/>
      <c r="F464" s="461">
        <f>+G464+H464</f>
        <v>5018</v>
      </c>
      <c r="G464" s="462">
        <v>5000</v>
      </c>
      <c r="H464" s="462">
        <v>18</v>
      </c>
      <c r="I464" s="536" t="str">
        <f>IFERROR(F464/#REF!,"-")</f>
        <v>-</v>
      </c>
      <c r="J464" s="461">
        <f>+K464+L464</f>
        <v>22103</v>
      </c>
      <c r="K464" s="462">
        <f t="shared" ref="K464:K495" si="463">+K402+G464</f>
        <v>22000</v>
      </c>
      <c r="L464" s="463">
        <f t="shared" ref="L464:L495" si="464">+L402+H464</f>
        <v>103</v>
      </c>
      <c r="M464" s="596" t="str">
        <f>IFERROR(J464/D464,"-")</f>
        <v>-</v>
      </c>
      <c r="N464" s="538">
        <f t="shared" si="458"/>
        <v>4.6600009048545447E-3</v>
      </c>
      <c r="O464" s="543">
        <v>32.946300000000001</v>
      </c>
      <c r="P464" s="539">
        <f t="shared" ref="P464:P495" si="465">+O464*G464</f>
        <v>164731.5</v>
      </c>
      <c r="Q464" s="540">
        <f t="shared" ref="Q464:Q495" si="466">+O464*K464</f>
        <v>724818.6</v>
      </c>
    </row>
    <row r="465" spans="1:17" ht="23.4" x14ac:dyDescent="0.4">
      <c r="A465" s="248" t="s">
        <v>108</v>
      </c>
      <c r="B465" s="1036"/>
      <c r="C465" s="548" t="s">
        <v>75</v>
      </c>
      <c r="D465" s="516"/>
      <c r="E465" s="439"/>
      <c r="F465" s="336">
        <f t="shared" ref="F465:F495" si="467">+G465+H465</f>
        <v>0</v>
      </c>
      <c r="G465" s="281"/>
      <c r="H465" s="281"/>
      <c r="I465" s="355" t="str">
        <f>IFERROR(F465/#REF!,"-")</f>
        <v>-</v>
      </c>
      <c r="J465" s="336">
        <f t="shared" ref="J465:J495" si="468">+K465+L465</f>
        <v>15076</v>
      </c>
      <c r="K465" s="281">
        <f t="shared" si="463"/>
        <v>15000</v>
      </c>
      <c r="L465" s="439">
        <f t="shared" si="464"/>
        <v>76</v>
      </c>
      <c r="M465" s="340" t="str">
        <f t="shared" ref="M465:M467" si="469">IFERROR(J465/D465,"-")</f>
        <v>-</v>
      </c>
      <c r="N465" s="268">
        <f t="shared" si="458"/>
        <v>5.0411249668347044E-3</v>
      </c>
      <c r="O465" s="512">
        <v>35.398400000000002</v>
      </c>
      <c r="P465" s="407">
        <f t="shared" si="465"/>
        <v>0</v>
      </c>
      <c r="Q465" s="452">
        <f t="shared" si="466"/>
        <v>530976</v>
      </c>
    </row>
    <row r="466" spans="1:17" ht="24" thickBot="1" x14ac:dyDescent="0.45">
      <c r="A466" s="248" t="s">
        <v>108</v>
      </c>
      <c r="B466" s="1036"/>
      <c r="C466" s="548" t="s">
        <v>76</v>
      </c>
      <c r="D466" s="279"/>
      <c r="E466" s="439"/>
      <c r="F466" s="336">
        <f t="shared" si="467"/>
        <v>0</v>
      </c>
      <c r="G466" s="281"/>
      <c r="H466" s="281"/>
      <c r="I466" s="355" t="str">
        <f>IFERROR(F466/#REF!,"-")</f>
        <v>-</v>
      </c>
      <c r="J466" s="336">
        <f t="shared" si="468"/>
        <v>0</v>
      </c>
      <c r="K466" s="281">
        <f t="shared" si="463"/>
        <v>0</v>
      </c>
      <c r="L466" s="439">
        <f t="shared" si="464"/>
        <v>0</v>
      </c>
      <c r="M466" s="340" t="str">
        <f t="shared" si="469"/>
        <v>-</v>
      </c>
      <c r="N466" s="268" t="str">
        <f>IFERROR(L466/J466,"-")</f>
        <v>-</v>
      </c>
      <c r="O466" s="512">
        <v>32.946300000000001</v>
      </c>
      <c r="P466" s="407">
        <f t="shared" si="465"/>
        <v>0</v>
      </c>
      <c r="Q466" s="452">
        <f t="shared" si="466"/>
        <v>0</v>
      </c>
    </row>
    <row r="467" spans="1:17" ht="23.4" x14ac:dyDescent="0.4">
      <c r="A467" s="248" t="s">
        <v>108</v>
      </c>
      <c r="B467" s="1035" t="s">
        <v>271</v>
      </c>
      <c r="C467" s="550" t="s">
        <v>78</v>
      </c>
      <c r="D467" s="279"/>
      <c r="E467" s="533"/>
      <c r="F467" s="337">
        <f t="shared" si="467"/>
        <v>1035</v>
      </c>
      <c r="G467" s="281">
        <v>900</v>
      </c>
      <c r="H467" s="281">
        <v>135</v>
      </c>
      <c r="I467" s="355" t="str">
        <f>IFERROR(F467/#REF!,"-")</f>
        <v>-</v>
      </c>
      <c r="J467" s="336">
        <f t="shared" si="468"/>
        <v>5247</v>
      </c>
      <c r="K467" s="281">
        <f t="shared" si="463"/>
        <v>4801</v>
      </c>
      <c r="L467" s="439">
        <f t="shared" si="464"/>
        <v>446</v>
      </c>
      <c r="M467" s="340" t="str">
        <f t="shared" si="469"/>
        <v>-</v>
      </c>
      <c r="N467" s="268">
        <f t="shared" ref="N467" si="470">IFERROR(L467/J467,"-")</f>
        <v>8.5000952925481224E-2</v>
      </c>
      <c r="O467" s="512">
        <v>55.4758</v>
      </c>
      <c r="P467" s="407">
        <f t="shared" si="465"/>
        <v>49928.22</v>
      </c>
      <c r="Q467" s="452">
        <f t="shared" si="466"/>
        <v>266339.31579999998</v>
      </c>
    </row>
    <row r="468" spans="1:17" ht="23.4" x14ac:dyDescent="0.4">
      <c r="A468" s="248" t="s">
        <v>108</v>
      </c>
      <c r="B468" s="1036"/>
      <c r="C468" s="550" t="s">
        <v>75</v>
      </c>
      <c r="D468" s="279"/>
      <c r="E468" s="534"/>
      <c r="F468" s="337">
        <f t="shared" si="467"/>
        <v>0</v>
      </c>
      <c r="G468" s="281"/>
      <c r="H468" s="281"/>
      <c r="I468" s="355" t="str">
        <f>IFERROR(F468/#REF!,"-")</f>
        <v>-</v>
      </c>
      <c r="J468" s="336">
        <f t="shared" si="468"/>
        <v>8448</v>
      </c>
      <c r="K468" s="281">
        <f t="shared" si="463"/>
        <v>6800</v>
      </c>
      <c r="L468" s="439">
        <f t="shared" si="464"/>
        <v>1648</v>
      </c>
      <c r="M468" s="725"/>
      <c r="N468" s="375"/>
      <c r="O468" s="545">
        <v>58.836300000000001</v>
      </c>
      <c r="P468" s="407">
        <f t="shared" si="465"/>
        <v>0</v>
      </c>
      <c r="Q468" s="452">
        <f t="shared" si="466"/>
        <v>400086.84</v>
      </c>
    </row>
    <row r="469" spans="1:17" ht="23.4" x14ac:dyDescent="0.4">
      <c r="A469" s="248" t="s">
        <v>108</v>
      </c>
      <c r="B469" s="1036"/>
      <c r="C469" s="550" t="s">
        <v>386</v>
      </c>
      <c r="D469" s="279"/>
      <c r="E469" s="438"/>
      <c r="F469" s="337">
        <f t="shared" si="467"/>
        <v>0</v>
      </c>
      <c r="G469" s="281"/>
      <c r="H469" s="281"/>
      <c r="I469" s="355" t="str">
        <f>IFERROR(F469/#REF!,"-")</f>
        <v>-</v>
      </c>
      <c r="J469" s="336">
        <f t="shared" si="468"/>
        <v>3290</v>
      </c>
      <c r="K469" s="281">
        <f t="shared" si="463"/>
        <v>2800</v>
      </c>
      <c r="L469" s="439">
        <f t="shared" si="464"/>
        <v>490</v>
      </c>
      <c r="M469" s="340" t="str">
        <f t="shared" ref="M469" si="471">IFERROR(J469/D469,"-")</f>
        <v>-</v>
      </c>
      <c r="N469" s="264">
        <f t="shared" ref="N469" si="472">IFERROR(L469/J469,"-")</f>
        <v>0.14893617021276595</v>
      </c>
      <c r="O469" s="512">
        <v>55.4758</v>
      </c>
      <c r="P469" s="407">
        <f t="shared" si="465"/>
        <v>0</v>
      </c>
      <c r="Q469" s="452">
        <f t="shared" si="466"/>
        <v>155332.24</v>
      </c>
    </row>
    <row r="470" spans="1:17" ht="24" thickBot="1" x14ac:dyDescent="0.45">
      <c r="A470" s="248"/>
      <c r="B470" s="1037"/>
      <c r="C470" s="550" t="s">
        <v>404</v>
      </c>
      <c r="D470" s="279"/>
      <c r="E470" s="438"/>
      <c r="F470" s="337">
        <f t="shared" si="467"/>
        <v>0</v>
      </c>
      <c r="G470" s="281"/>
      <c r="H470" s="281"/>
      <c r="I470" s="355"/>
      <c r="J470" s="336">
        <f t="shared" si="468"/>
        <v>2220</v>
      </c>
      <c r="K470" s="281">
        <f t="shared" si="463"/>
        <v>2064</v>
      </c>
      <c r="L470" s="439">
        <f t="shared" si="464"/>
        <v>156</v>
      </c>
      <c r="M470" s="340"/>
      <c r="N470" s="264">
        <f>IFERROR(L470/J470,"-")</f>
        <v>7.0270270270270274E-2</v>
      </c>
      <c r="O470" s="512">
        <v>55.4758</v>
      </c>
      <c r="P470" s="407">
        <f t="shared" si="465"/>
        <v>0</v>
      </c>
      <c r="Q470" s="452">
        <f t="shared" si="466"/>
        <v>114502.0512</v>
      </c>
    </row>
    <row r="471" spans="1:17" ht="23.4" x14ac:dyDescent="0.4">
      <c r="A471" s="248" t="s">
        <v>108</v>
      </c>
      <c r="B471" s="1035" t="s">
        <v>490</v>
      </c>
      <c r="C471" s="548" t="s">
        <v>80</v>
      </c>
      <c r="D471" s="279"/>
      <c r="E471" s="439"/>
      <c r="F471" s="336">
        <f t="shared" si="467"/>
        <v>0</v>
      </c>
      <c r="G471" s="281"/>
      <c r="H471" s="281"/>
      <c r="I471" s="355" t="str">
        <f>IFERROR(F471/#REF!,"-")</f>
        <v>-</v>
      </c>
      <c r="J471" s="336">
        <f t="shared" si="468"/>
        <v>1170</v>
      </c>
      <c r="K471" s="281">
        <f t="shared" si="463"/>
        <v>1100</v>
      </c>
      <c r="L471" s="439">
        <f t="shared" si="464"/>
        <v>70</v>
      </c>
      <c r="M471" s="340" t="str">
        <f t="shared" ref="M471:M498" si="473">IFERROR(J471/D471,"-")</f>
        <v>-</v>
      </c>
      <c r="N471" s="264">
        <f t="shared" ref="N471:N497" si="474">IFERROR(L471/J471,"-")</f>
        <v>5.9829059829059832E-2</v>
      </c>
      <c r="O471" s="512">
        <v>25.687200000000001</v>
      </c>
      <c r="P471" s="407">
        <f t="shared" si="465"/>
        <v>0</v>
      </c>
      <c r="Q471" s="452">
        <f t="shared" si="466"/>
        <v>28255.920000000002</v>
      </c>
    </row>
    <row r="472" spans="1:17" ht="24" thickBot="1" x14ac:dyDescent="0.45">
      <c r="A472" s="248" t="s">
        <v>108</v>
      </c>
      <c r="B472" s="1037"/>
      <c r="C472" s="548" t="s">
        <v>124</v>
      </c>
      <c r="D472" s="279"/>
      <c r="E472" s="439"/>
      <c r="F472" s="336">
        <f t="shared" si="467"/>
        <v>0</v>
      </c>
      <c r="G472" s="281"/>
      <c r="H472" s="281"/>
      <c r="I472" s="355" t="str">
        <f>IFERROR(F472/#REF!,"-")</f>
        <v>-</v>
      </c>
      <c r="J472" s="336">
        <f t="shared" si="468"/>
        <v>0</v>
      </c>
      <c r="K472" s="281">
        <f t="shared" si="463"/>
        <v>0</v>
      </c>
      <c r="L472" s="439">
        <f t="shared" si="464"/>
        <v>0</v>
      </c>
      <c r="M472" s="340" t="str">
        <f t="shared" si="473"/>
        <v>-</v>
      </c>
      <c r="N472" s="264" t="str">
        <f t="shared" si="474"/>
        <v>-</v>
      </c>
      <c r="O472" s="512">
        <v>25.033899999999999</v>
      </c>
      <c r="P472" s="407">
        <f t="shared" si="465"/>
        <v>0</v>
      </c>
      <c r="Q472" s="452">
        <f t="shared" si="466"/>
        <v>0</v>
      </c>
    </row>
    <row r="473" spans="1:17" ht="23.4" x14ac:dyDescent="0.4">
      <c r="A473" s="248"/>
      <c r="B473" s="1035" t="s">
        <v>491</v>
      </c>
      <c r="C473" s="548" t="s">
        <v>82</v>
      </c>
      <c r="D473" s="279"/>
      <c r="E473" s="439"/>
      <c r="F473" s="336">
        <f t="shared" si="467"/>
        <v>0</v>
      </c>
      <c r="G473" s="281"/>
      <c r="H473" s="281"/>
      <c r="I473" s="355" t="str">
        <f>IFERROR(F473/#REF!,"-")</f>
        <v>-</v>
      </c>
      <c r="J473" s="336">
        <f t="shared" si="468"/>
        <v>7837</v>
      </c>
      <c r="K473" s="281">
        <f t="shared" si="463"/>
        <v>7800</v>
      </c>
      <c r="L473" s="439">
        <f t="shared" si="464"/>
        <v>37</v>
      </c>
      <c r="M473" s="340" t="str">
        <f t="shared" si="473"/>
        <v>-</v>
      </c>
      <c r="N473" s="264">
        <f t="shared" si="474"/>
        <v>4.7211943345667985E-3</v>
      </c>
      <c r="O473" s="512">
        <v>41.992699999999999</v>
      </c>
      <c r="P473" s="407">
        <f t="shared" si="465"/>
        <v>0</v>
      </c>
      <c r="Q473" s="452">
        <f t="shared" si="466"/>
        <v>327543.06</v>
      </c>
    </row>
    <row r="474" spans="1:17" ht="23.4" x14ac:dyDescent="0.4">
      <c r="A474" s="248"/>
      <c r="B474" s="1036"/>
      <c r="C474" s="548" t="s">
        <v>75</v>
      </c>
      <c r="D474" s="279"/>
      <c r="E474" s="439"/>
      <c r="F474" s="336">
        <f t="shared" si="467"/>
        <v>0</v>
      </c>
      <c r="G474" s="281"/>
      <c r="H474" s="281"/>
      <c r="I474" s="355" t="str">
        <f>IFERROR(F474/#REF!,"-")</f>
        <v>-</v>
      </c>
      <c r="J474" s="336">
        <f t="shared" si="468"/>
        <v>45</v>
      </c>
      <c r="K474" s="281">
        <f t="shared" si="463"/>
        <v>45</v>
      </c>
      <c r="L474" s="439">
        <f t="shared" si="464"/>
        <v>0</v>
      </c>
      <c r="M474" s="340" t="str">
        <f t="shared" si="473"/>
        <v>-</v>
      </c>
      <c r="N474" s="264">
        <f t="shared" si="474"/>
        <v>0</v>
      </c>
      <c r="O474" s="512">
        <v>42.283799999999999</v>
      </c>
      <c r="P474" s="407">
        <f t="shared" si="465"/>
        <v>0</v>
      </c>
      <c r="Q474" s="452">
        <f t="shared" si="466"/>
        <v>1902.771</v>
      </c>
    </row>
    <row r="475" spans="1:17" ht="23.4" x14ac:dyDescent="0.4">
      <c r="A475" s="248"/>
      <c r="B475" s="1036"/>
      <c r="C475" s="548" t="s">
        <v>450</v>
      </c>
      <c r="D475" s="279"/>
      <c r="E475" s="439"/>
      <c r="F475" s="336">
        <f t="shared" si="467"/>
        <v>0</v>
      </c>
      <c r="G475" s="281"/>
      <c r="H475" s="281"/>
      <c r="I475" s="355" t="str">
        <f>IFERROR(F475/#REF!,"-")</f>
        <v>-</v>
      </c>
      <c r="J475" s="336">
        <f t="shared" si="468"/>
        <v>1140</v>
      </c>
      <c r="K475" s="281">
        <f t="shared" si="463"/>
        <v>1140</v>
      </c>
      <c r="L475" s="439">
        <f t="shared" si="464"/>
        <v>0</v>
      </c>
      <c r="M475" s="340" t="str">
        <f t="shared" si="473"/>
        <v>-</v>
      </c>
      <c r="N475" s="264">
        <f t="shared" si="474"/>
        <v>0</v>
      </c>
      <c r="O475" s="772">
        <v>41.992699999999999</v>
      </c>
      <c r="P475" s="407">
        <f t="shared" si="465"/>
        <v>0</v>
      </c>
      <c r="Q475" s="452">
        <f t="shared" si="466"/>
        <v>47871.678</v>
      </c>
    </row>
    <row r="476" spans="1:17" ht="24" thickBot="1" x14ac:dyDescent="0.45">
      <c r="A476" s="248"/>
      <c r="B476" s="1037"/>
      <c r="C476" s="548" t="s">
        <v>451</v>
      </c>
      <c r="D476" s="279"/>
      <c r="E476" s="439"/>
      <c r="F476" s="336">
        <f t="shared" si="467"/>
        <v>0</v>
      </c>
      <c r="G476" s="281"/>
      <c r="H476" s="281"/>
      <c r="I476" s="355" t="str">
        <f>IFERROR(F476/#REF!,"-")</f>
        <v>-</v>
      </c>
      <c r="J476" s="336">
        <f t="shared" si="468"/>
        <v>712</v>
      </c>
      <c r="K476" s="281">
        <f t="shared" si="463"/>
        <v>660</v>
      </c>
      <c r="L476" s="439">
        <f t="shared" si="464"/>
        <v>52</v>
      </c>
      <c r="M476" s="340" t="str">
        <f t="shared" si="473"/>
        <v>-</v>
      </c>
      <c r="N476" s="264">
        <f t="shared" si="474"/>
        <v>7.3033707865168537E-2</v>
      </c>
      <c r="O476" s="772">
        <v>42.283799999999999</v>
      </c>
      <c r="P476" s="407">
        <f t="shared" si="465"/>
        <v>0</v>
      </c>
      <c r="Q476" s="452">
        <f t="shared" si="466"/>
        <v>27907.308000000001</v>
      </c>
    </row>
    <row r="477" spans="1:17" ht="24" thickBot="1" x14ac:dyDescent="0.45">
      <c r="A477" s="248"/>
      <c r="B477" s="815" t="s">
        <v>83</v>
      </c>
      <c r="C477" s="548" t="s">
        <v>84</v>
      </c>
      <c r="D477" s="279"/>
      <c r="E477" s="439"/>
      <c r="F477" s="336">
        <f t="shared" si="467"/>
        <v>0</v>
      </c>
      <c r="G477" s="281"/>
      <c r="H477" s="281"/>
      <c r="I477" s="355" t="str">
        <f>IFERROR(F477/#REF!,"-")</f>
        <v>-</v>
      </c>
      <c r="J477" s="336">
        <f t="shared" si="468"/>
        <v>0</v>
      </c>
      <c r="K477" s="281">
        <f t="shared" si="463"/>
        <v>0</v>
      </c>
      <c r="L477" s="439">
        <f t="shared" si="464"/>
        <v>0</v>
      </c>
      <c r="M477" s="340" t="str">
        <f t="shared" si="473"/>
        <v>-</v>
      </c>
      <c r="N477" s="264" t="str">
        <f t="shared" si="474"/>
        <v>-</v>
      </c>
      <c r="O477" s="512">
        <v>4.3535000000000004</v>
      </c>
      <c r="P477" s="407">
        <f t="shared" si="465"/>
        <v>0</v>
      </c>
      <c r="Q477" s="452">
        <f t="shared" si="466"/>
        <v>0</v>
      </c>
    </row>
    <row r="478" spans="1:17" ht="23.4" x14ac:dyDescent="0.4">
      <c r="A478" s="248"/>
      <c r="B478" s="1035" t="s">
        <v>273</v>
      </c>
      <c r="C478" s="548" t="s">
        <v>80</v>
      </c>
      <c r="D478" s="279"/>
      <c r="E478" s="439"/>
      <c r="F478" s="336">
        <f t="shared" si="467"/>
        <v>0</v>
      </c>
      <c r="G478" s="281"/>
      <c r="H478" s="281"/>
      <c r="I478" s="355" t="str">
        <f>IFERROR(F478/#REF!,"-")</f>
        <v>-</v>
      </c>
      <c r="J478" s="336">
        <f t="shared" si="468"/>
        <v>0</v>
      </c>
      <c r="K478" s="281">
        <f t="shared" si="463"/>
        <v>0</v>
      </c>
      <c r="L478" s="439">
        <f t="shared" si="464"/>
        <v>0</v>
      </c>
      <c r="M478" s="340" t="str">
        <f t="shared" si="473"/>
        <v>-</v>
      </c>
      <c r="N478" s="264" t="str">
        <f t="shared" si="474"/>
        <v>-</v>
      </c>
      <c r="O478" s="512">
        <v>4.6184000000000003</v>
      </c>
      <c r="P478" s="407">
        <f t="shared" si="465"/>
        <v>0</v>
      </c>
      <c r="Q478" s="452">
        <f t="shared" si="466"/>
        <v>0</v>
      </c>
    </row>
    <row r="479" spans="1:17" ht="23.4" x14ac:dyDescent="0.4">
      <c r="A479" s="248"/>
      <c r="B479" s="1036"/>
      <c r="C479" s="548" t="s">
        <v>378</v>
      </c>
      <c r="D479" s="279"/>
      <c r="E479" s="439"/>
      <c r="F479" s="336">
        <f t="shared" si="467"/>
        <v>0</v>
      </c>
      <c r="G479" s="281"/>
      <c r="H479" s="281"/>
      <c r="I479" s="355" t="str">
        <f>IFERROR(F479/#REF!,"-")</f>
        <v>-</v>
      </c>
      <c r="J479" s="336">
        <f t="shared" si="468"/>
        <v>0</v>
      </c>
      <c r="K479" s="281">
        <f t="shared" si="463"/>
        <v>0</v>
      </c>
      <c r="L479" s="439">
        <f t="shared" si="464"/>
        <v>0</v>
      </c>
      <c r="M479" s="340" t="str">
        <f t="shared" si="473"/>
        <v>-</v>
      </c>
      <c r="N479" s="264" t="str">
        <f t="shared" si="474"/>
        <v>-</v>
      </c>
      <c r="O479" s="512">
        <v>4.6184000000000003</v>
      </c>
      <c r="P479" s="407">
        <f t="shared" si="465"/>
        <v>0</v>
      </c>
      <c r="Q479" s="452">
        <f t="shared" si="466"/>
        <v>0</v>
      </c>
    </row>
    <row r="480" spans="1:17" ht="23.4" x14ac:dyDescent="0.4">
      <c r="A480" s="248"/>
      <c r="B480" s="1036"/>
      <c r="C480" s="548" t="s">
        <v>272</v>
      </c>
      <c r="D480" s="279"/>
      <c r="E480" s="439"/>
      <c r="F480" s="336">
        <f t="shared" si="467"/>
        <v>0</v>
      </c>
      <c r="G480" s="281"/>
      <c r="H480" s="281"/>
      <c r="I480" s="355" t="str">
        <f>IFERROR(F480/#REF!,"-")</f>
        <v>-</v>
      </c>
      <c r="J480" s="336">
        <f t="shared" si="468"/>
        <v>0</v>
      </c>
      <c r="K480" s="281">
        <f t="shared" si="463"/>
        <v>0</v>
      </c>
      <c r="L480" s="439">
        <f t="shared" si="464"/>
        <v>0</v>
      </c>
      <c r="M480" s="340" t="str">
        <f t="shared" si="473"/>
        <v>-</v>
      </c>
      <c r="N480" s="264" t="str">
        <f t="shared" si="474"/>
        <v>-</v>
      </c>
      <c r="O480" s="512">
        <v>4.6184000000000003</v>
      </c>
      <c r="P480" s="407">
        <f t="shared" si="465"/>
        <v>0</v>
      </c>
      <c r="Q480" s="452">
        <f t="shared" si="466"/>
        <v>0</v>
      </c>
    </row>
    <row r="481" spans="1:17" ht="23.4" x14ac:dyDescent="0.4">
      <c r="A481" s="248"/>
      <c r="B481" s="1036"/>
      <c r="C481" s="548" t="s">
        <v>390</v>
      </c>
      <c r="D481" s="279"/>
      <c r="E481" s="439"/>
      <c r="F481" s="336">
        <f t="shared" si="467"/>
        <v>34192</v>
      </c>
      <c r="G481" s="281">
        <v>34100</v>
      </c>
      <c r="H481" s="281">
        <v>92</v>
      </c>
      <c r="I481" s="355" t="str">
        <f>IFERROR(F481/#REF!,"-")</f>
        <v>-</v>
      </c>
      <c r="J481" s="336">
        <f t="shared" si="468"/>
        <v>391255</v>
      </c>
      <c r="K481" s="730">
        <f t="shared" si="463"/>
        <v>388200</v>
      </c>
      <c r="L481" s="731">
        <f t="shared" si="464"/>
        <v>3055</v>
      </c>
      <c r="M481" s="340" t="str">
        <f t="shared" si="473"/>
        <v>-</v>
      </c>
      <c r="N481" s="264">
        <f t="shared" si="474"/>
        <v>7.8082069238731774E-3</v>
      </c>
      <c r="O481" s="512">
        <v>4.7636000000000003</v>
      </c>
      <c r="P481" s="407">
        <f t="shared" si="465"/>
        <v>162438.76</v>
      </c>
      <c r="Q481" s="452">
        <f t="shared" si="466"/>
        <v>1849229.52</v>
      </c>
    </row>
    <row r="482" spans="1:17" ht="24" thickBot="1" x14ac:dyDescent="0.45">
      <c r="A482" s="248"/>
      <c r="B482" s="1037"/>
      <c r="C482" s="548" t="s">
        <v>384</v>
      </c>
      <c r="D482" s="279"/>
      <c r="E482" s="439"/>
      <c r="F482" s="336">
        <f t="shared" si="467"/>
        <v>0</v>
      </c>
      <c r="G482" s="281"/>
      <c r="H482" s="281"/>
      <c r="I482" s="355" t="str">
        <f>IFERROR(F482/#REF!,"-")</f>
        <v>-</v>
      </c>
      <c r="J482" s="336">
        <f t="shared" si="468"/>
        <v>0</v>
      </c>
      <c r="K482" s="281">
        <f t="shared" si="463"/>
        <v>0</v>
      </c>
      <c r="L482" s="439">
        <f t="shared" si="464"/>
        <v>0</v>
      </c>
      <c r="M482" s="340" t="str">
        <f t="shared" si="473"/>
        <v>-</v>
      </c>
      <c r="N482" s="264" t="str">
        <f t="shared" si="474"/>
        <v>-</v>
      </c>
      <c r="O482" s="512">
        <v>4.8738000000000001</v>
      </c>
      <c r="P482" s="407">
        <f t="shared" si="465"/>
        <v>0</v>
      </c>
      <c r="Q482" s="452">
        <f t="shared" si="466"/>
        <v>0</v>
      </c>
    </row>
    <row r="483" spans="1:17" ht="24" thickBot="1" x14ac:dyDescent="0.45">
      <c r="A483" s="248"/>
      <c r="B483" s="815" t="s">
        <v>274</v>
      </c>
      <c r="C483" s="548" t="s">
        <v>131</v>
      </c>
      <c r="D483" s="279"/>
      <c r="E483" s="439"/>
      <c r="F483" s="336">
        <f t="shared" si="467"/>
        <v>0</v>
      </c>
      <c r="G483" s="281"/>
      <c r="H483" s="281"/>
      <c r="I483" s="355" t="str">
        <f>IFERROR(F483/#REF!,"-")</f>
        <v>-</v>
      </c>
      <c r="J483" s="336">
        <f t="shared" si="468"/>
        <v>0</v>
      </c>
      <c r="K483" s="281">
        <f t="shared" si="463"/>
        <v>0</v>
      </c>
      <c r="L483" s="439">
        <f t="shared" si="464"/>
        <v>0</v>
      </c>
      <c r="M483" s="340" t="str">
        <f t="shared" si="473"/>
        <v>-</v>
      </c>
      <c r="N483" s="264" t="str">
        <f t="shared" si="474"/>
        <v>-</v>
      </c>
      <c r="O483" s="512">
        <v>4.8738000000000001</v>
      </c>
      <c r="P483" s="407">
        <f t="shared" si="465"/>
        <v>0</v>
      </c>
      <c r="Q483" s="452">
        <f t="shared" si="466"/>
        <v>0</v>
      </c>
    </row>
    <row r="484" spans="1:17" ht="23.4" x14ac:dyDescent="0.4">
      <c r="A484" s="248"/>
      <c r="B484" s="1035" t="s">
        <v>276</v>
      </c>
      <c r="C484" s="548" t="s">
        <v>80</v>
      </c>
      <c r="D484" s="279"/>
      <c r="E484" s="439"/>
      <c r="F484" s="336">
        <f t="shared" si="467"/>
        <v>25523</v>
      </c>
      <c r="G484" s="281">
        <v>25200</v>
      </c>
      <c r="H484" s="281">
        <v>323</v>
      </c>
      <c r="I484" s="355" t="str">
        <f>IFERROR(F484/#REF!,"-")</f>
        <v>-</v>
      </c>
      <c r="J484" s="336">
        <f t="shared" si="468"/>
        <v>173750</v>
      </c>
      <c r="K484" s="730">
        <f t="shared" si="463"/>
        <v>169800</v>
      </c>
      <c r="L484" s="731">
        <f t="shared" si="464"/>
        <v>3950</v>
      </c>
      <c r="M484" s="340" t="str">
        <f t="shared" si="473"/>
        <v>-</v>
      </c>
      <c r="N484" s="264">
        <f t="shared" si="474"/>
        <v>2.2733812949640289E-2</v>
      </c>
      <c r="O484" s="512">
        <v>4.9344999999999999</v>
      </c>
      <c r="P484" s="407">
        <f t="shared" si="465"/>
        <v>124349.4</v>
      </c>
      <c r="Q484" s="452">
        <f t="shared" si="466"/>
        <v>837878.1</v>
      </c>
    </row>
    <row r="485" spans="1:17" ht="23.4" x14ac:dyDescent="0.4">
      <c r="A485" s="248"/>
      <c r="B485" s="1036"/>
      <c r="C485" s="548" t="s">
        <v>142</v>
      </c>
      <c r="D485" s="279"/>
      <c r="E485" s="439"/>
      <c r="F485" s="336">
        <f t="shared" si="467"/>
        <v>0</v>
      </c>
      <c r="G485" s="281"/>
      <c r="H485" s="281"/>
      <c r="I485" s="355" t="str">
        <f>IFERROR(F485/#REF!,"-")</f>
        <v>-</v>
      </c>
      <c r="J485" s="336">
        <f t="shared" si="468"/>
        <v>0</v>
      </c>
      <c r="K485" s="281">
        <f t="shared" si="463"/>
        <v>0</v>
      </c>
      <c r="L485" s="439">
        <f t="shared" si="464"/>
        <v>0</v>
      </c>
      <c r="M485" s="340" t="str">
        <f t="shared" si="473"/>
        <v>-</v>
      </c>
      <c r="N485" s="264" t="str">
        <f t="shared" si="474"/>
        <v>-</v>
      </c>
      <c r="O485" s="512">
        <v>4.9344999999999999</v>
      </c>
      <c r="P485" s="407">
        <f t="shared" si="465"/>
        <v>0</v>
      </c>
      <c r="Q485" s="452">
        <f t="shared" si="466"/>
        <v>0</v>
      </c>
    </row>
    <row r="486" spans="1:17" ht="23.4" x14ac:dyDescent="0.4">
      <c r="A486" s="248"/>
      <c r="B486" s="1036"/>
      <c r="C486" s="548" t="s">
        <v>136</v>
      </c>
      <c r="D486" s="279"/>
      <c r="E486" s="439"/>
      <c r="F486" s="336">
        <f t="shared" si="467"/>
        <v>0</v>
      </c>
      <c r="G486" s="281"/>
      <c r="H486" s="281"/>
      <c r="I486" s="355" t="str">
        <f>IFERROR(F486/#REF!,"-")</f>
        <v>-</v>
      </c>
      <c r="J486" s="336">
        <f t="shared" si="468"/>
        <v>0</v>
      </c>
      <c r="K486" s="281">
        <f t="shared" si="463"/>
        <v>0</v>
      </c>
      <c r="L486" s="439">
        <f t="shared" si="464"/>
        <v>0</v>
      </c>
      <c r="M486" s="340" t="str">
        <f t="shared" si="473"/>
        <v>-</v>
      </c>
      <c r="N486" s="264" t="str">
        <f t="shared" si="474"/>
        <v>-</v>
      </c>
      <c r="O486" s="512">
        <v>4.9344999999999999</v>
      </c>
      <c r="P486" s="407">
        <f t="shared" si="465"/>
        <v>0</v>
      </c>
      <c r="Q486" s="452">
        <f t="shared" si="466"/>
        <v>0</v>
      </c>
    </row>
    <row r="487" spans="1:17" ht="24" thickBot="1" x14ac:dyDescent="0.45">
      <c r="A487" s="248"/>
      <c r="B487" s="1037"/>
      <c r="C487" s="548" t="s">
        <v>275</v>
      </c>
      <c r="D487" s="279"/>
      <c r="E487" s="439"/>
      <c r="F487" s="336">
        <f t="shared" si="467"/>
        <v>0</v>
      </c>
      <c r="G487" s="281"/>
      <c r="H487" s="281"/>
      <c r="I487" s="355" t="str">
        <f>IFERROR(F487/#REF!,"-")</f>
        <v>-</v>
      </c>
      <c r="J487" s="336">
        <f t="shared" si="468"/>
        <v>0</v>
      </c>
      <c r="K487" s="281">
        <f t="shared" si="463"/>
        <v>0</v>
      </c>
      <c r="L487" s="439">
        <f t="shared" si="464"/>
        <v>0</v>
      </c>
      <c r="M487" s="340" t="str">
        <f t="shared" si="473"/>
        <v>-</v>
      </c>
      <c r="N487" s="264" t="str">
        <f t="shared" si="474"/>
        <v>-</v>
      </c>
      <c r="O487" s="512">
        <v>5.5069999999999997</v>
      </c>
      <c r="P487" s="407">
        <f t="shared" si="465"/>
        <v>0</v>
      </c>
      <c r="Q487" s="452">
        <f t="shared" si="466"/>
        <v>0</v>
      </c>
    </row>
    <row r="488" spans="1:17" ht="23.4" x14ac:dyDescent="0.4">
      <c r="A488" s="248"/>
      <c r="B488" s="1035" t="s">
        <v>281</v>
      </c>
      <c r="C488" s="548" t="s">
        <v>277</v>
      </c>
      <c r="D488" s="279"/>
      <c r="E488" s="439"/>
      <c r="F488" s="336">
        <f t="shared" si="467"/>
        <v>30540</v>
      </c>
      <c r="G488" s="281">
        <v>30400</v>
      </c>
      <c r="H488" s="281">
        <v>140</v>
      </c>
      <c r="I488" s="355" t="str">
        <f>IFERROR(F488/#REF!,"-")</f>
        <v>-</v>
      </c>
      <c r="J488" s="336">
        <f t="shared" si="468"/>
        <v>45789</v>
      </c>
      <c r="K488" s="281">
        <f t="shared" si="463"/>
        <v>45200</v>
      </c>
      <c r="L488" s="439">
        <f t="shared" si="464"/>
        <v>589</v>
      </c>
      <c r="M488" s="340" t="str">
        <f t="shared" si="473"/>
        <v>-</v>
      </c>
      <c r="N488" s="264">
        <f t="shared" si="474"/>
        <v>1.2863351459957631E-2</v>
      </c>
      <c r="O488" s="772">
        <v>5.5069999999999997</v>
      </c>
      <c r="P488" s="407">
        <f t="shared" si="465"/>
        <v>167412.79999999999</v>
      </c>
      <c r="Q488" s="452">
        <f t="shared" si="466"/>
        <v>248916.4</v>
      </c>
    </row>
    <row r="489" spans="1:17" ht="23.4" x14ac:dyDescent="0.4">
      <c r="A489" s="248"/>
      <c r="B489" s="1036"/>
      <c r="C489" s="548" t="s">
        <v>278</v>
      </c>
      <c r="D489" s="279"/>
      <c r="E489" s="439"/>
      <c r="F489" s="336">
        <f t="shared" si="467"/>
        <v>0</v>
      </c>
      <c r="G489" s="281"/>
      <c r="H489" s="281"/>
      <c r="I489" s="355" t="str">
        <f>IFERROR(F489/#REF!,"-")</f>
        <v>-</v>
      </c>
      <c r="J489" s="336">
        <f t="shared" si="468"/>
        <v>0</v>
      </c>
      <c r="K489" s="281">
        <f t="shared" si="463"/>
        <v>0</v>
      </c>
      <c r="L489" s="439">
        <f t="shared" si="464"/>
        <v>0</v>
      </c>
      <c r="M489" s="340" t="str">
        <f t="shared" si="473"/>
        <v>-</v>
      </c>
      <c r="N489" s="264" t="str">
        <f t="shared" si="474"/>
        <v>-</v>
      </c>
      <c r="O489" s="512">
        <v>5.6550000000000002</v>
      </c>
      <c r="P489" s="407">
        <f t="shared" si="465"/>
        <v>0</v>
      </c>
      <c r="Q489" s="452">
        <f t="shared" si="466"/>
        <v>0</v>
      </c>
    </row>
    <row r="490" spans="1:17" ht="23.4" x14ac:dyDescent="0.4">
      <c r="A490" s="248"/>
      <c r="B490" s="1036"/>
      <c r="C490" s="548" t="s">
        <v>355</v>
      </c>
      <c r="D490" s="279"/>
      <c r="E490" s="439"/>
      <c r="F490" s="336">
        <f t="shared" si="467"/>
        <v>10613</v>
      </c>
      <c r="G490" s="281">
        <v>10350</v>
      </c>
      <c r="H490" s="281">
        <v>263</v>
      </c>
      <c r="I490" s="355" t="str">
        <f>IFERROR(F490/#REF!,"-")</f>
        <v>-</v>
      </c>
      <c r="J490" s="336">
        <f t="shared" si="468"/>
        <v>270122</v>
      </c>
      <c r="K490" s="730">
        <f t="shared" si="463"/>
        <v>263300</v>
      </c>
      <c r="L490" s="731">
        <f t="shared" si="464"/>
        <v>6822</v>
      </c>
      <c r="M490" s="340" t="str">
        <f t="shared" si="473"/>
        <v>-</v>
      </c>
      <c r="N490" s="264">
        <f t="shared" si="474"/>
        <v>2.5255255032911057E-2</v>
      </c>
      <c r="O490" s="512">
        <v>5.6550000000000002</v>
      </c>
      <c r="P490" s="407">
        <f t="shared" si="465"/>
        <v>58529.25</v>
      </c>
      <c r="Q490" s="452">
        <f t="shared" si="466"/>
        <v>1488961.5</v>
      </c>
    </row>
    <row r="491" spans="1:17" ht="23.4" x14ac:dyDescent="0.4">
      <c r="A491" s="248"/>
      <c r="B491" s="1036"/>
      <c r="C491" s="548" t="s">
        <v>279</v>
      </c>
      <c r="D491" s="279"/>
      <c r="E491" s="439"/>
      <c r="F491" s="336">
        <f t="shared" si="467"/>
        <v>0</v>
      </c>
      <c r="G491" s="281"/>
      <c r="H491" s="281"/>
      <c r="I491" s="355" t="str">
        <f>IFERROR(F491/#REF!,"-")</f>
        <v>-</v>
      </c>
      <c r="J491" s="336">
        <f t="shared" si="468"/>
        <v>0</v>
      </c>
      <c r="K491" s="281">
        <f t="shared" si="463"/>
        <v>0</v>
      </c>
      <c r="L491" s="439">
        <f t="shared" si="464"/>
        <v>0</v>
      </c>
      <c r="M491" s="340" t="str">
        <f t="shared" si="473"/>
        <v>-</v>
      </c>
      <c r="N491" s="264" t="str">
        <f t="shared" si="474"/>
        <v>-</v>
      </c>
      <c r="O491" s="512">
        <v>5.6550000000000002</v>
      </c>
      <c r="P491" s="407">
        <f t="shared" si="465"/>
        <v>0</v>
      </c>
      <c r="Q491" s="452">
        <f t="shared" si="466"/>
        <v>0</v>
      </c>
    </row>
    <row r="492" spans="1:17" ht="23.4" x14ac:dyDescent="0.4">
      <c r="A492" s="248" t="s">
        <v>108</v>
      </c>
      <c r="B492" s="1036"/>
      <c r="C492" s="548" t="s">
        <v>280</v>
      </c>
      <c r="D492" s="279"/>
      <c r="E492" s="439"/>
      <c r="F492" s="336">
        <f t="shared" si="467"/>
        <v>0</v>
      </c>
      <c r="G492" s="281"/>
      <c r="H492" s="281"/>
      <c r="I492" s="355" t="str">
        <f>IFERROR(F492/#REF!,"-")</f>
        <v>-</v>
      </c>
      <c r="J492" s="336">
        <f t="shared" si="468"/>
        <v>0</v>
      </c>
      <c r="K492" s="281">
        <f t="shared" si="463"/>
        <v>0</v>
      </c>
      <c r="L492" s="439">
        <f t="shared" si="464"/>
        <v>0</v>
      </c>
      <c r="M492" s="340" t="str">
        <f t="shared" si="473"/>
        <v>-</v>
      </c>
      <c r="N492" s="264" t="str">
        <f t="shared" si="474"/>
        <v>-</v>
      </c>
      <c r="O492" s="512">
        <v>3.2963</v>
      </c>
      <c r="P492" s="407">
        <f t="shared" si="465"/>
        <v>0</v>
      </c>
      <c r="Q492" s="452">
        <f t="shared" si="466"/>
        <v>0</v>
      </c>
    </row>
    <row r="493" spans="1:17" ht="24" thickBot="1" x14ac:dyDescent="0.45">
      <c r="A493" s="248" t="s">
        <v>108</v>
      </c>
      <c r="B493" s="1037"/>
      <c r="C493" s="548" t="s">
        <v>275</v>
      </c>
      <c r="D493" s="279"/>
      <c r="E493" s="439"/>
      <c r="F493" s="336">
        <f t="shared" si="467"/>
        <v>0</v>
      </c>
      <c r="G493" s="281"/>
      <c r="H493" s="281"/>
      <c r="I493" s="355" t="str">
        <f>IFERROR(F493/#REF!,"-")</f>
        <v>-</v>
      </c>
      <c r="J493" s="336">
        <f t="shared" si="468"/>
        <v>0</v>
      </c>
      <c r="K493" s="281">
        <f t="shared" si="463"/>
        <v>0</v>
      </c>
      <c r="L493" s="439">
        <f t="shared" si="464"/>
        <v>0</v>
      </c>
      <c r="M493" s="340" t="str">
        <f t="shared" si="473"/>
        <v>-</v>
      </c>
      <c r="N493" s="264" t="str">
        <f t="shared" si="474"/>
        <v>-</v>
      </c>
      <c r="O493" s="512">
        <v>3.2963</v>
      </c>
      <c r="P493" s="407">
        <f t="shared" si="465"/>
        <v>0</v>
      </c>
      <c r="Q493" s="452">
        <f t="shared" si="466"/>
        <v>0</v>
      </c>
    </row>
    <row r="494" spans="1:17" ht="23.4" x14ac:dyDescent="0.4">
      <c r="A494" s="248" t="s">
        <v>108</v>
      </c>
      <c r="B494" s="552"/>
      <c r="C494" s="549" t="s">
        <v>92</v>
      </c>
      <c r="D494" s="516"/>
      <c r="E494" s="439"/>
      <c r="F494" s="336">
        <f t="shared" si="467"/>
        <v>0</v>
      </c>
      <c r="G494" s="281"/>
      <c r="H494" s="281"/>
      <c r="I494" s="355" t="str">
        <f>IFERROR(F494/#REF!,"-")</f>
        <v>-</v>
      </c>
      <c r="J494" s="336">
        <f t="shared" si="468"/>
        <v>59305</v>
      </c>
      <c r="K494" s="281">
        <f t="shared" si="463"/>
        <v>58655</v>
      </c>
      <c r="L494" s="439">
        <f t="shared" si="464"/>
        <v>650</v>
      </c>
      <c r="M494" s="340" t="str">
        <f t="shared" si="473"/>
        <v>-</v>
      </c>
      <c r="N494" s="264">
        <f t="shared" si="474"/>
        <v>1.0960290026136077E-2</v>
      </c>
      <c r="O494" s="512">
        <v>2.3201000000000001</v>
      </c>
      <c r="P494" s="407">
        <f t="shared" si="465"/>
        <v>0</v>
      </c>
      <c r="Q494" s="452">
        <f t="shared" si="466"/>
        <v>136085.46549999999</v>
      </c>
    </row>
    <row r="495" spans="1:17" ht="24" thickBot="1" x14ac:dyDescent="0.35">
      <c r="A495" s="248" t="s">
        <v>108</v>
      </c>
      <c r="B495" s="529"/>
      <c r="C495" s="546"/>
      <c r="D495" s="535"/>
      <c r="E495" s="466"/>
      <c r="F495" s="464">
        <f t="shared" si="467"/>
        <v>0</v>
      </c>
      <c r="G495" s="465"/>
      <c r="H495" s="465"/>
      <c r="I495" s="537" t="str">
        <f>IFERROR(F495/#REF!,"-")</f>
        <v>-</v>
      </c>
      <c r="J495" s="464">
        <f t="shared" si="468"/>
        <v>0</v>
      </c>
      <c r="K495" s="465">
        <f t="shared" si="463"/>
        <v>0</v>
      </c>
      <c r="L495" s="466">
        <f t="shared" si="464"/>
        <v>0</v>
      </c>
      <c r="M495" s="726" t="str">
        <f t="shared" si="473"/>
        <v>-</v>
      </c>
      <c r="N495" s="266" t="str">
        <f t="shared" si="474"/>
        <v>-</v>
      </c>
      <c r="O495" s="544"/>
      <c r="P495" s="541">
        <f t="shared" si="465"/>
        <v>0</v>
      </c>
      <c r="Q495" s="542">
        <f t="shared" si="466"/>
        <v>0</v>
      </c>
    </row>
    <row r="496" spans="1:17" ht="24" thickBot="1" x14ac:dyDescent="0.35">
      <c r="A496" s="277" t="s">
        <v>108</v>
      </c>
      <c r="B496" s="1060" t="s">
        <v>25</v>
      </c>
      <c r="C496" s="1061"/>
      <c r="D496" s="518">
        <f>SUM(D469:D495)</f>
        <v>0</v>
      </c>
      <c r="E496" s="531">
        <v>100000</v>
      </c>
      <c r="F496" s="524">
        <f>SUM(F464:F495)</f>
        <v>106921</v>
      </c>
      <c r="G496" s="524">
        <f>SUM(G464:G495)</f>
        <v>105950</v>
      </c>
      <c r="H496" s="524">
        <f>SUM(H464:H495)</f>
        <v>971</v>
      </c>
      <c r="I496" s="525" t="str">
        <f>IFERROR(F496/#REF!,"-")</f>
        <v>-</v>
      </c>
      <c r="J496" s="518">
        <f>SUM(J464:J495)</f>
        <v>1007509</v>
      </c>
      <c r="K496" s="518">
        <f t="shared" ref="K496:L496" si="475">SUM(K464:K495)</f>
        <v>989365</v>
      </c>
      <c r="L496" s="518">
        <f t="shared" si="475"/>
        <v>18144</v>
      </c>
      <c r="M496" s="526" t="str">
        <f t="shared" si="473"/>
        <v>-</v>
      </c>
      <c r="N496" s="525">
        <f t="shared" si="474"/>
        <v>1.8008772130075266E-2</v>
      </c>
      <c r="O496" s="527"/>
      <c r="P496" s="528">
        <f>SUM(P464:P495)</f>
        <v>727389.92999999993</v>
      </c>
      <c r="Q496" s="528">
        <f>SUM(Q464:Q495)</f>
        <v>7186606.7695000004</v>
      </c>
    </row>
    <row r="497" spans="1:17" ht="24" thickBot="1" x14ac:dyDescent="0.35">
      <c r="A497" s="321" t="s">
        <v>108</v>
      </c>
      <c r="B497" s="1062" t="s">
        <v>269</v>
      </c>
      <c r="C497" s="982"/>
      <c r="D497" s="329">
        <f>+D468+D496</f>
        <v>0</v>
      </c>
      <c r="E497" s="330">
        <f>+E468+E496</f>
        <v>100000</v>
      </c>
      <c r="F497" s="329">
        <f>+F496</f>
        <v>106921</v>
      </c>
      <c r="G497" s="329">
        <f t="shared" ref="G497:H497" si="476">+G496</f>
        <v>105950</v>
      </c>
      <c r="H497" s="329">
        <f t="shared" si="476"/>
        <v>971</v>
      </c>
      <c r="I497" s="352" t="str">
        <f>IFERROR(F497/#REF!,"-")</f>
        <v>-</v>
      </c>
      <c r="J497" s="329">
        <f>+J496</f>
        <v>1007509</v>
      </c>
      <c r="K497" s="329">
        <f t="shared" ref="K497:L497" si="477">+K496</f>
        <v>989365</v>
      </c>
      <c r="L497" s="329">
        <f t="shared" si="477"/>
        <v>18144</v>
      </c>
      <c r="M497" s="344" t="str">
        <f t="shared" si="473"/>
        <v>-</v>
      </c>
      <c r="N497" s="352">
        <f t="shared" si="474"/>
        <v>1.8008772130075266E-2</v>
      </c>
      <c r="O497" s="397"/>
      <c r="P497" s="413">
        <f>+P496</f>
        <v>727389.92999999993</v>
      </c>
      <c r="Q497" s="431">
        <f>Q496</f>
        <v>7186606.7695000004</v>
      </c>
    </row>
    <row r="498" spans="1:17" ht="24.6" thickBot="1" x14ac:dyDescent="0.35">
      <c r="A498" s="322"/>
      <c r="B498" s="964" t="s">
        <v>182</v>
      </c>
      <c r="C498" s="965"/>
      <c r="D498" s="377">
        <f>+D497+D463+D454</f>
        <v>0</v>
      </c>
      <c r="E498" s="377">
        <f>+E497+E463+E454</f>
        <v>230000</v>
      </c>
      <c r="F498" s="377">
        <f>+F497+F463+F454</f>
        <v>346325</v>
      </c>
      <c r="G498" s="377">
        <f>+G497+G463+G454</f>
        <v>323960</v>
      </c>
      <c r="H498" s="377">
        <f>+H497+H463+H454</f>
        <v>22365</v>
      </c>
      <c r="I498" s="378" t="str">
        <f>IFERROR(F498/#REF!,"-")</f>
        <v>-</v>
      </c>
      <c r="J498" s="377">
        <f>+J497+J463+J454</f>
        <v>2987052</v>
      </c>
      <c r="K498" s="377">
        <f>+K497+K463+K454</f>
        <v>2921105</v>
      </c>
      <c r="L498" s="377">
        <f>+L497+L463+L454</f>
        <v>65947</v>
      </c>
      <c r="M498" s="378" t="str">
        <f t="shared" si="473"/>
        <v>-</v>
      </c>
      <c r="N498" s="378">
        <f>IFERROR(L498/J498,"-")</f>
        <v>2.2077620342732567E-2</v>
      </c>
      <c r="O498" s="404"/>
      <c r="P498" s="421">
        <f>+P497+P463+P454</f>
        <v>1231674.699</v>
      </c>
      <c r="Q498" s="421">
        <f>+Q497+Q463+Q454</f>
        <v>14496678.7535</v>
      </c>
    </row>
    <row r="499" spans="1:17" ht="22.5" customHeight="1" x14ac:dyDescent="0.3">
      <c r="A499" s="1043" t="s">
        <v>1</v>
      </c>
      <c r="B499" s="1046" t="s">
        <v>2</v>
      </c>
      <c r="C499" s="1049" t="s">
        <v>477</v>
      </c>
      <c r="D499" s="1000" t="s">
        <v>4</v>
      </c>
      <c r="E499" s="1001"/>
      <c r="F499" s="1001"/>
      <c r="G499" s="1001"/>
      <c r="H499" s="1001"/>
      <c r="I499" s="1001"/>
      <c r="J499" s="1001"/>
      <c r="K499" s="1001"/>
      <c r="L499" s="1001"/>
      <c r="M499" s="1001"/>
      <c r="N499" s="1002"/>
      <c r="O499" s="1021" t="s">
        <v>175</v>
      </c>
      <c r="P499" s="1022"/>
      <c r="Q499" s="1052"/>
    </row>
    <row r="500" spans="1:17" ht="22.5" customHeight="1" x14ac:dyDescent="0.3">
      <c r="A500" s="1044"/>
      <c r="B500" s="1047"/>
      <c r="C500" s="1050"/>
      <c r="D500" s="1003" t="s">
        <v>7</v>
      </c>
      <c r="E500" s="1005" t="s">
        <v>115</v>
      </c>
      <c r="F500" s="1053" t="s">
        <v>500</v>
      </c>
      <c r="G500" s="1008"/>
      <c r="H500" s="1008"/>
      <c r="I500" s="1009"/>
      <c r="J500" s="1010" t="s">
        <v>8</v>
      </c>
      <c r="K500" s="1011"/>
      <c r="L500" s="1012"/>
      <c r="M500" s="1013" t="s">
        <v>173</v>
      </c>
      <c r="N500" s="1015" t="s">
        <v>172</v>
      </c>
      <c r="O500" s="1054" t="s">
        <v>177</v>
      </c>
      <c r="P500" s="1055"/>
      <c r="Q500" s="1056"/>
    </row>
    <row r="501" spans="1:17" ht="47.4" thickBot="1" x14ac:dyDescent="0.35">
      <c r="A501" s="1045"/>
      <c r="B501" s="1048"/>
      <c r="C501" s="1051"/>
      <c r="D501" s="1004"/>
      <c r="E501" s="1006"/>
      <c r="F501" s="455" t="s">
        <v>13</v>
      </c>
      <c r="G501" s="456" t="s">
        <v>14</v>
      </c>
      <c r="H501" s="456" t="s">
        <v>15</v>
      </c>
      <c r="I501" s="457" t="s">
        <v>174</v>
      </c>
      <c r="J501" s="712" t="s">
        <v>13</v>
      </c>
      <c r="K501" s="710" t="s">
        <v>14</v>
      </c>
      <c r="L501" s="711" t="s">
        <v>15</v>
      </c>
      <c r="M501" s="1014"/>
      <c r="N501" s="1016"/>
      <c r="O501" s="447" t="s">
        <v>178</v>
      </c>
      <c r="P501" s="448" t="s">
        <v>11</v>
      </c>
      <c r="Q501" s="449" t="s">
        <v>12</v>
      </c>
    </row>
    <row r="502" spans="1:17" ht="23.4" x14ac:dyDescent="0.3">
      <c r="A502" s="271" t="s">
        <v>110</v>
      </c>
      <c r="B502" s="442"/>
      <c r="C502" s="272" t="s">
        <v>266</v>
      </c>
      <c r="D502" s="273"/>
      <c r="E502" s="274"/>
      <c r="F502" s="335">
        <f>+G502+H502</f>
        <v>0</v>
      </c>
      <c r="G502" s="275"/>
      <c r="H502" s="275"/>
      <c r="I502" s="354" t="str">
        <f>IFERROR(F502/#REF!,"-")</f>
        <v>-</v>
      </c>
      <c r="J502" s="461">
        <f>+K502+L502</f>
        <v>163470</v>
      </c>
      <c r="K502" s="462">
        <f>+K440+G502</f>
        <v>156800</v>
      </c>
      <c r="L502" s="463">
        <f>+L440+H502</f>
        <v>6670</v>
      </c>
      <c r="M502" s="339" t="str">
        <f>IFERROR(J502/D502,"-")</f>
        <v>-</v>
      </c>
      <c r="N502" s="346">
        <f t="shared" ref="N502:N503" si="478">IFERROR(L502/J502,"-")</f>
        <v>4.0802593748088332E-2</v>
      </c>
      <c r="O502" s="511">
        <v>1.5669</v>
      </c>
      <c r="P502" s="405">
        <f>+O502*G502</f>
        <v>0</v>
      </c>
      <c r="Q502" s="450">
        <f>+O502*K502</f>
        <v>245689.91999999998</v>
      </c>
    </row>
    <row r="503" spans="1:17" ht="23.4" x14ac:dyDescent="0.3">
      <c r="A503" s="277" t="s">
        <v>110</v>
      </c>
      <c r="B503" s="441"/>
      <c r="C503" s="278" t="s">
        <v>265</v>
      </c>
      <c r="D503" s="279"/>
      <c r="E503" s="280"/>
      <c r="F503" s="336">
        <f t="shared" ref="F503:F506" si="479">+G503+H503</f>
        <v>73050</v>
      </c>
      <c r="G503" s="730">
        <v>67250</v>
      </c>
      <c r="H503" s="730">
        <v>5800</v>
      </c>
      <c r="I503" s="355" t="str">
        <f>IFERROR(F503/#REF!,"-")</f>
        <v>-</v>
      </c>
      <c r="J503" s="336">
        <f t="shared" ref="J503:J506" si="480">+K503+L503</f>
        <v>865204</v>
      </c>
      <c r="K503" s="281">
        <f t="shared" ref="K503:K506" si="481">+K441+G503</f>
        <v>853000</v>
      </c>
      <c r="L503" s="439">
        <f t="shared" ref="L503:L506" si="482">+L441+H503</f>
        <v>12204</v>
      </c>
      <c r="M503" s="340" t="str">
        <f t="shared" ref="M503:M506" si="483">IFERROR(J503/D503,"-")</f>
        <v>-</v>
      </c>
      <c r="N503" s="268">
        <f t="shared" si="478"/>
        <v>1.4105343942006741E-2</v>
      </c>
      <c r="O503" s="512">
        <v>2.3978999999999999</v>
      </c>
      <c r="P503" s="407">
        <f>+O503*G503</f>
        <v>161258.77499999999</v>
      </c>
      <c r="Q503" s="452">
        <f>+O503*K503</f>
        <v>2045408.7</v>
      </c>
    </row>
    <row r="504" spans="1:17" ht="23.4" x14ac:dyDescent="0.3">
      <c r="A504" s="277" t="s">
        <v>110</v>
      </c>
      <c r="B504" s="441"/>
      <c r="C504" s="278" t="s">
        <v>476</v>
      </c>
      <c r="D504" s="279"/>
      <c r="E504" s="280"/>
      <c r="F504" s="336">
        <f t="shared" si="479"/>
        <v>0</v>
      </c>
      <c r="G504" s="281"/>
      <c r="H504" s="730"/>
      <c r="I504" s="355" t="str">
        <f>IFERROR(F504/#REF!,"-")</f>
        <v>-</v>
      </c>
      <c r="J504" s="336">
        <f t="shared" si="480"/>
        <v>37750</v>
      </c>
      <c r="K504" s="281">
        <f t="shared" si="481"/>
        <v>21750</v>
      </c>
      <c r="L504" s="439">
        <f t="shared" si="482"/>
        <v>16000</v>
      </c>
      <c r="M504" s="340" t="str">
        <f t="shared" si="483"/>
        <v>-</v>
      </c>
      <c r="N504" s="806">
        <f>IFERROR(L504/J504,"-")</f>
        <v>0.42384105960264901</v>
      </c>
      <c r="O504" s="513">
        <v>2.2141000000000002</v>
      </c>
      <c r="P504" s="407">
        <f t="shared" ref="P504:P506" si="484">+O504*G504</f>
        <v>0</v>
      </c>
      <c r="Q504" s="452">
        <f t="shared" ref="Q504:Q506" si="485">+O504*K504</f>
        <v>48156.675000000003</v>
      </c>
    </row>
    <row r="505" spans="1:17" ht="23.4" x14ac:dyDescent="0.3">
      <c r="A505" s="277"/>
      <c r="B505" s="454"/>
      <c r="C505" s="278" t="s">
        <v>353</v>
      </c>
      <c r="D505" s="283"/>
      <c r="E505" s="284"/>
      <c r="F505" s="336">
        <f t="shared" si="479"/>
        <v>15978</v>
      </c>
      <c r="G505" s="285">
        <v>15800</v>
      </c>
      <c r="H505" s="285">
        <v>178</v>
      </c>
      <c r="I505" s="355" t="str">
        <f>IFERROR(F505/#REF!,"-")</f>
        <v>-</v>
      </c>
      <c r="J505" s="336">
        <f t="shared" si="480"/>
        <v>158819</v>
      </c>
      <c r="K505" s="281">
        <f t="shared" si="481"/>
        <v>155400</v>
      </c>
      <c r="L505" s="439">
        <f t="shared" si="482"/>
        <v>3419</v>
      </c>
      <c r="M505" s="340" t="str">
        <f t="shared" si="483"/>
        <v>-</v>
      </c>
      <c r="N505" s="268">
        <f>IFERROR(L505/J505,"-")</f>
        <v>2.1527650973749993E-2</v>
      </c>
      <c r="O505" s="513">
        <v>12.284700000000001</v>
      </c>
      <c r="P505" s="407">
        <f t="shared" si="484"/>
        <v>194098.26</v>
      </c>
      <c r="Q505" s="452">
        <f t="shared" si="485"/>
        <v>1909042.3800000001</v>
      </c>
    </row>
    <row r="506" spans="1:17" ht="24" thickBot="1" x14ac:dyDescent="0.35">
      <c r="A506" s="277" t="s">
        <v>110</v>
      </c>
      <c r="B506" s="454"/>
      <c r="C506" s="278" t="s">
        <v>408</v>
      </c>
      <c r="D506" s="283"/>
      <c r="E506" s="284"/>
      <c r="F506" s="337">
        <f t="shared" si="479"/>
        <v>0</v>
      </c>
      <c r="G506" s="285"/>
      <c r="H506" s="285"/>
      <c r="I506" s="356" t="str">
        <f>IFERROR(F506/#REF!,"-")</f>
        <v>-</v>
      </c>
      <c r="J506" s="464">
        <f t="shared" si="480"/>
        <v>177284</v>
      </c>
      <c r="K506" s="465">
        <f t="shared" si="481"/>
        <v>168250</v>
      </c>
      <c r="L506" s="466">
        <f t="shared" si="482"/>
        <v>9034</v>
      </c>
      <c r="M506" s="341" t="str">
        <f t="shared" si="483"/>
        <v>-</v>
      </c>
      <c r="N506" s="347">
        <f t="shared" ref="N506:N518" si="486">IFERROR(L506/J506,"-")</f>
        <v>5.0957785248527787E-2</v>
      </c>
      <c r="O506" s="513">
        <v>4.6797000000000004</v>
      </c>
      <c r="P506" s="408">
        <f t="shared" si="484"/>
        <v>0</v>
      </c>
      <c r="Q506" s="453">
        <f t="shared" si="485"/>
        <v>787359.52500000002</v>
      </c>
    </row>
    <row r="507" spans="1:17" ht="23.25" customHeight="1" thickBot="1" x14ac:dyDescent="0.35">
      <c r="A507" s="277" t="s">
        <v>110</v>
      </c>
      <c r="B507" s="1038" t="s">
        <v>21</v>
      </c>
      <c r="C507" s="989"/>
      <c r="D507" s="323">
        <f>SUM(D502:D506)</f>
        <v>0</v>
      </c>
      <c r="E507" s="288">
        <v>15000</v>
      </c>
      <c r="F507" s="323">
        <f>SUM(F502:F506)</f>
        <v>89028</v>
      </c>
      <c r="G507" s="324">
        <f>SUM(G502:G506)</f>
        <v>83050</v>
      </c>
      <c r="H507" s="324">
        <f>SUM(H502:H506)</f>
        <v>5978</v>
      </c>
      <c r="I507" s="348" t="str">
        <f>IFERROR(F507/#REF!,"-")</f>
        <v>-</v>
      </c>
      <c r="J507" s="323">
        <f>SUM(J502:J506)</f>
        <v>1402527</v>
      </c>
      <c r="K507" s="324">
        <f>SUM(K502:K506)</f>
        <v>1355200</v>
      </c>
      <c r="L507" s="325">
        <f>SUM(L502:L506)</f>
        <v>47327</v>
      </c>
      <c r="M507" s="342" t="str">
        <f>IFERROR(J507/D507,"-")</f>
        <v>-</v>
      </c>
      <c r="N507" s="348">
        <f t="shared" si="486"/>
        <v>3.374409191409506E-2</v>
      </c>
      <c r="O507" s="394"/>
      <c r="P507" s="409">
        <f>SUM(P502:P506)</f>
        <v>355357.03500000003</v>
      </c>
      <c r="Q507" s="428">
        <f>SUM(Q502:Q506)</f>
        <v>5035657.2</v>
      </c>
    </row>
    <row r="508" spans="1:17" ht="23.4" x14ac:dyDescent="0.3">
      <c r="A508" s="277" t="s">
        <v>110</v>
      </c>
      <c r="B508" s="442"/>
      <c r="C508" s="272" t="s">
        <v>264</v>
      </c>
      <c r="D508" s="273"/>
      <c r="E508" s="274"/>
      <c r="F508" s="335">
        <f t="shared" ref="F508:F514" si="487">+G508+H508</f>
        <v>0</v>
      </c>
      <c r="G508" s="275"/>
      <c r="H508" s="275"/>
      <c r="I508" s="354" t="str">
        <f>IFERROR(F508/#REF!,"-")</f>
        <v>-</v>
      </c>
      <c r="J508" s="461">
        <f t="shared" ref="J508:J514" si="488">+K508+L508</f>
        <v>34540</v>
      </c>
      <c r="K508" s="462">
        <f t="shared" ref="K508:K514" si="489">+K446+G508</f>
        <v>33840</v>
      </c>
      <c r="L508" s="463">
        <f t="shared" ref="L508:L514" si="490">+L446+H508</f>
        <v>700</v>
      </c>
      <c r="M508" s="339" t="str">
        <f t="shared" ref="M508:M516" si="491">IFERROR(J508/D508,"-")</f>
        <v>-</v>
      </c>
      <c r="N508" s="349">
        <f t="shared" si="486"/>
        <v>2.0266357845975681E-2</v>
      </c>
      <c r="O508" s="511">
        <v>18.2316</v>
      </c>
      <c r="P508" s="405">
        <f t="shared" ref="P508:P514" si="492">+O508*G508</f>
        <v>0</v>
      </c>
      <c r="Q508" s="450">
        <f t="shared" ref="Q508:Q514" si="493">+O508*K508</f>
        <v>616957.34400000004</v>
      </c>
    </row>
    <row r="509" spans="1:17" ht="23.4" x14ac:dyDescent="0.3">
      <c r="A509" s="277" t="s">
        <v>110</v>
      </c>
      <c r="B509" s="441"/>
      <c r="C509" s="278" t="s">
        <v>92</v>
      </c>
      <c r="D509" s="279"/>
      <c r="E509" s="280"/>
      <c r="F509" s="336">
        <f t="shared" si="487"/>
        <v>0</v>
      </c>
      <c r="G509" s="281"/>
      <c r="H509" s="281"/>
      <c r="I509" s="355" t="str">
        <f>IFERROR(F509/#REF!,"-")</f>
        <v>-</v>
      </c>
      <c r="J509" s="336">
        <f t="shared" si="488"/>
        <v>180000</v>
      </c>
      <c r="K509" s="281">
        <f t="shared" si="489"/>
        <v>180000</v>
      </c>
      <c r="L509" s="439">
        <f t="shared" si="490"/>
        <v>0</v>
      </c>
      <c r="M509" s="340" t="str">
        <f t="shared" si="491"/>
        <v>-</v>
      </c>
      <c r="N509" s="264">
        <f t="shared" si="486"/>
        <v>0</v>
      </c>
      <c r="O509" s="512">
        <v>1.2824</v>
      </c>
      <c r="P509" s="407">
        <f t="shared" si="492"/>
        <v>0</v>
      </c>
      <c r="Q509" s="452">
        <f t="shared" si="493"/>
        <v>230832</v>
      </c>
    </row>
    <row r="510" spans="1:17" ht="23.4" x14ac:dyDescent="0.3">
      <c r="A510" s="277" t="s">
        <v>110</v>
      </c>
      <c r="B510" s="441"/>
      <c r="C510" s="278" t="s">
        <v>329</v>
      </c>
      <c r="D510" s="279"/>
      <c r="E510" s="280"/>
      <c r="F510" s="336">
        <f t="shared" si="487"/>
        <v>0</v>
      </c>
      <c r="G510" s="281"/>
      <c r="H510" s="281"/>
      <c r="I510" s="355" t="str">
        <f>IFERROR(F510/#REF!,"-")</f>
        <v>-</v>
      </c>
      <c r="J510" s="336">
        <f t="shared" si="488"/>
        <v>0</v>
      </c>
      <c r="K510" s="281">
        <f t="shared" si="489"/>
        <v>0</v>
      </c>
      <c r="L510" s="439">
        <f t="shared" si="490"/>
        <v>0</v>
      </c>
      <c r="M510" s="340" t="str">
        <f t="shared" si="491"/>
        <v>-</v>
      </c>
      <c r="N510" s="264" t="str">
        <f t="shared" si="486"/>
        <v>-</v>
      </c>
      <c r="O510" s="512">
        <v>5.7342000000000004</v>
      </c>
      <c r="P510" s="407">
        <f t="shared" si="492"/>
        <v>0</v>
      </c>
      <c r="Q510" s="452">
        <f t="shared" si="493"/>
        <v>0</v>
      </c>
    </row>
    <row r="511" spans="1:17" ht="23.4" x14ac:dyDescent="0.3">
      <c r="A511" s="277" t="s">
        <v>110</v>
      </c>
      <c r="B511" s="441"/>
      <c r="C511" s="278" t="s">
        <v>346</v>
      </c>
      <c r="D511" s="279"/>
      <c r="E511" s="280"/>
      <c r="F511" s="336">
        <f t="shared" si="487"/>
        <v>0</v>
      </c>
      <c r="G511" s="281"/>
      <c r="H511" s="281"/>
      <c r="I511" s="355" t="str">
        <f>IFERROR(F511/#REF!,"-")</f>
        <v>-</v>
      </c>
      <c r="J511" s="336">
        <f t="shared" si="488"/>
        <v>0</v>
      </c>
      <c r="K511" s="281">
        <f t="shared" si="489"/>
        <v>0</v>
      </c>
      <c r="L511" s="439">
        <f t="shared" si="490"/>
        <v>0</v>
      </c>
      <c r="M511" s="340" t="str">
        <f t="shared" si="491"/>
        <v>-</v>
      </c>
      <c r="N511" s="264" t="str">
        <f t="shared" si="486"/>
        <v>-</v>
      </c>
      <c r="O511" s="512"/>
      <c r="P511" s="407">
        <f t="shared" si="492"/>
        <v>0</v>
      </c>
      <c r="Q511" s="452">
        <f t="shared" si="493"/>
        <v>0</v>
      </c>
    </row>
    <row r="512" spans="1:17" ht="23.4" x14ac:dyDescent="0.3">
      <c r="A512" s="277" t="s">
        <v>110</v>
      </c>
      <c r="B512" s="441"/>
      <c r="C512" s="278" t="s">
        <v>354</v>
      </c>
      <c r="D512" s="279"/>
      <c r="E512" s="280"/>
      <c r="F512" s="336">
        <f t="shared" si="487"/>
        <v>9094</v>
      </c>
      <c r="G512" s="281">
        <v>9000</v>
      </c>
      <c r="H512" s="281">
        <v>94</v>
      </c>
      <c r="I512" s="355" t="str">
        <f>IFERROR(F512/#REF!,"-")</f>
        <v>-</v>
      </c>
      <c r="J512" s="336">
        <f t="shared" si="488"/>
        <v>90930</v>
      </c>
      <c r="K512" s="281">
        <f t="shared" si="489"/>
        <v>90000</v>
      </c>
      <c r="L512" s="439">
        <f t="shared" si="490"/>
        <v>930</v>
      </c>
      <c r="M512" s="340" t="str">
        <f t="shared" si="491"/>
        <v>-</v>
      </c>
      <c r="N512" s="264">
        <f t="shared" si="486"/>
        <v>1.022764764104256E-2</v>
      </c>
      <c r="O512" s="512">
        <v>12.029500000000001</v>
      </c>
      <c r="P512" s="407">
        <f t="shared" si="492"/>
        <v>108265.5</v>
      </c>
      <c r="Q512" s="452">
        <f t="shared" si="493"/>
        <v>1082655</v>
      </c>
    </row>
    <row r="513" spans="1:17" ht="23.4" x14ac:dyDescent="0.3">
      <c r="A513" s="277" t="s">
        <v>110</v>
      </c>
      <c r="B513" s="441"/>
      <c r="C513" s="278"/>
      <c r="D513" s="279"/>
      <c r="E513" s="280"/>
      <c r="F513" s="336">
        <f t="shared" si="487"/>
        <v>0</v>
      </c>
      <c r="G513" s="281"/>
      <c r="H513" s="281"/>
      <c r="I513" s="355" t="str">
        <f>IFERROR(F513/#REF!,"-")</f>
        <v>-</v>
      </c>
      <c r="J513" s="336">
        <f t="shared" si="488"/>
        <v>0</v>
      </c>
      <c r="K513" s="281">
        <f t="shared" si="489"/>
        <v>0</v>
      </c>
      <c r="L513" s="439">
        <f t="shared" si="490"/>
        <v>0</v>
      </c>
      <c r="M513" s="340" t="str">
        <f t="shared" si="491"/>
        <v>-</v>
      </c>
      <c r="N513" s="264" t="str">
        <f t="shared" si="486"/>
        <v>-</v>
      </c>
      <c r="O513" s="512"/>
      <c r="P513" s="407">
        <f t="shared" si="492"/>
        <v>0</v>
      </c>
      <c r="Q513" s="452">
        <f t="shared" si="493"/>
        <v>0</v>
      </c>
    </row>
    <row r="514" spans="1:17" ht="24" thickBot="1" x14ac:dyDescent="0.35">
      <c r="A514" s="277" t="s">
        <v>110</v>
      </c>
      <c r="B514" s="454"/>
      <c r="C514" s="282"/>
      <c r="D514" s="283">
        <v>0</v>
      </c>
      <c r="E514" s="284"/>
      <c r="F514" s="337">
        <f t="shared" si="487"/>
        <v>0</v>
      </c>
      <c r="G514" s="285"/>
      <c r="H514" s="285"/>
      <c r="I514" s="356" t="str">
        <f>IFERROR(F514/#REF!,"-")</f>
        <v>-</v>
      </c>
      <c r="J514" s="464">
        <f t="shared" si="488"/>
        <v>0</v>
      </c>
      <c r="K514" s="465">
        <f t="shared" si="489"/>
        <v>0</v>
      </c>
      <c r="L514" s="466">
        <f t="shared" si="490"/>
        <v>0</v>
      </c>
      <c r="M514" s="341" t="str">
        <f t="shared" si="491"/>
        <v>-</v>
      </c>
      <c r="N514" s="350" t="str">
        <f t="shared" si="486"/>
        <v>-</v>
      </c>
      <c r="O514" s="513"/>
      <c r="P514" s="408">
        <f t="shared" si="492"/>
        <v>0</v>
      </c>
      <c r="Q514" s="453">
        <f t="shared" si="493"/>
        <v>0</v>
      </c>
    </row>
    <row r="515" spans="1:17" ht="23.25" customHeight="1" thickBot="1" x14ac:dyDescent="0.35">
      <c r="A515" s="277" t="s">
        <v>110</v>
      </c>
      <c r="B515" s="1038" t="s">
        <v>25</v>
      </c>
      <c r="C515" s="989"/>
      <c r="D515" s="323">
        <f t="shared" ref="D515" si="494">SUM(D508:D514)</f>
        <v>0</v>
      </c>
      <c r="E515" s="288">
        <v>100000</v>
      </c>
      <c r="F515" s="323">
        <f>SUM(F508:F514)</f>
        <v>9094</v>
      </c>
      <c r="G515" s="324">
        <f t="shared" ref="G515:H515" si="495">SUM(G508:G514)</f>
        <v>9000</v>
      </c>
      <c r="H515" s="324">
        <f t="shared" si="495"/>
        <v>94</v>
      </c>
      <c r="I515" s="348" t="str">
        <f>IFERROR(F515/#REF!,"-")</f>
        <v>-</v>
      </c>
      <c r="J515" s="323">
        <f t="shared" ref="J515:L515" si="496">SUM(J508:J514)</f>
        <v>305470</v>
      </c>
      <c r="K515" s="324">
        <f t="shared" si="496"/>
        <v>303840</v>
      </c>
      <c r="L515" s="325">
        <f t="shared" si="496"/>
        <v>1630</v>
      </c>
      <c r="M515" s="342" t="str">
        <f t="shared" si="491"/>
        <v>-</v>
      </c>
      <c r="N515" s="348">
        <f t="shared" si="486"/>
        <v>5.3360395456182276E-3</v>
      </c>
      <c r="O515" s="394"/>
      <c r="P515" s="409">
        <f t="shared" ref="P515:Q515" si="497">SUM(P508:P514)</f>
        <v>108265.5</v>
      </c>
      <c r="Q515" s="428">
        <f t="shared" si="497"/>
        <v>1930444.344</v>
      </c>
    </row>
    <row r="516" spans="1:17" ht="23.25" customHeight="1" thickBot="1" x14ac:dyDescent="0.35">
      <c r="A516" s="277" t="s">
        <v>110</v>
      </c>
      <c r="B516" s="1039" t="s">
        <v>180</v>
      </c>
      <c r="C516" s="1040"/>
      <c r="D516" s="329">
        <f>+D507+D515</f>
        <v>0</v>
      </c>
      <c r="E516" s="330">
        <f t="shared" ref="E516:H516" si="498">+E507+E515</f>
        <v>115000</v>
      </c>
      <c r="F516" s="329">
        <f t="shared" si="498"/>
        <v>98122</v>
      </c>
      <c r="G516" s="327">
        <f t="shared" si="498"/>
        <v>92050</v>
      </c>
      <c r="H516" s="327">
        <f t="shared" si="498"/>
        <v>6072</v>
      </c>
      <c r="I516" s="352" t="str">
        <f>IFERROR(F516/#REF!,"-")</f>
        <v>-</v>
      </c>
      <c r="J516" s="329">
        <f t="shared" ref="J516:L516" si="499">+J507+J515</f>
        <v>1707997</v>
      </c>
      <c r="K516" s="327">
        <f t="shared" si="499"/>
        <v>1659040</v>
      </c>
      <c r="L516" s="328">
        <f t="shared" si="499"/>
        <v>48957</v>
      </c>
      <c r="M516" s="344" t="str">
        <f t="shared" si="491"/>
        <v>-</v>
      </c>
      <c r="N516" s="352">
        <f t="shared" si="486"/>
        <v>2.8663399291684939E-2</v>
      </c>
      <c r="O516" s="397"/>
      <c r="P516" s="413">
        <f t="shared" ref="P516:Q516" si="500">+P507+P515</f>
        <v>463622.53500000003</v>
      </c>
      <c r="Q516" s="431">
        <f t="shared" si="500"/>
        <v>6966101.5439999998</v>
      </c>
    </row>
    <row r="517" spans="1:17" ht="23.4" x14ac:dyDescent="0.3">
      <c r="A517" s="244" t="s">
        <v>108</v>
      </c>
      <c r="B517" s="591"/>
      <c r="C517" s="592" t="s">
        <v>306</v>
      </c>
      <c r="D517" s="532"/>
      <c r="E517" s="463"/>
      <c r="F517" s="461">
        <f>+G517+H517</f>
        <v>0</v>
      </c>
      <c r="G517" s="462"/>
      <c r="H517" s="462"/>
      <c r="I517" s="536" t="str">
        <f>IFERROR(F517/#REF!,"-")</f>
        <v>-</v>
      </c>
      <c r="J517" s="461">
        <f>+K517+L517</f>
        <v>0</v>
      </c>
      <c r="K517" s="462">
        <f t="shared" ref="K517:K523" si="501">+K455+G517</f>
        <v>0</v>
      </c>
      <c r="L517" s="463">
        <f t="shared" ref="L517:L523" si="502">+L455+H517</f>
        <v>0</v>
      </c>
      <c r="M517" s="596" t="str">
        <f>IFERROR(J517/D517,"-")</f>
        <v>-</v>
      </c>
      <c r="N517" s="538" t="str">
        <f t="shared" si="486"/>
        <v>-</v>
      </c>
      <c r="O517" s="638">
        <v>4.8285999999999998</v>
      </c>
      <c r="P517" s="539">
        <f t="shared" ref="P517:P523" si="503">+O517*G517</f>
        <v>0</v>
      </c>
      <c r="Q517" s="540">
        <f t="shared" ref="Q517:Q523" si="504">+O517*K517</f>
        <v>0</v>
      </c>
    </row>
    <row r="518" spans="1:17" ht="23.4" x14ac:dyDescent="0.3">
      <c r="A518" s="248" t="s">
        <v>108</v>
      </c>
      <c r="B518" s="593"/>
      <c r="C518" s="278" t="s">
        <v>307</v>
      </c>
      <c r="D518" s="279"/>
      <c r="E518" s="439"/>
      <c r="F518" s="336">
        <f t="shared" ref="F518:F523" si="505">+G518+H518</f>
        <v>0</v>
      </c>
      <c r="G518" s="281"/>
      <c r="H518" s="281"/>
      <c r="I518" s="355" t="str">
        <f>IFERROR(F518/#REF!,"-")</f>
        <v>-</v>
      </c>
      <c r="J518" s="336">
        <f t="shared" ref="J518:J523" si="506">+K518+L518</f>
        <v>0</v>
      </c>
      <c r="K518" s="281">
        <f t="shared" si="501"/>
        <v>0</v>
      </c>
      <c r="L518" s="439">
        <f t="shared" si="502"/>
        <v>0</v>
      </c>
      <c r="M518" s="340" t="str">
        <f t="shared" ref="M518:M520" si="507">IFERROR(J518/D518,"-")</f>
        <v>-</v>
      </c>
      <c r="N518" s="268" t="str">
        <f t="shared" si="486"/>
        <v>-</v>
      </c>
      <c r="O518" s="639">
        <v>1.4086000000000001</v>
      </c>
      <c r="P518" s="407">
        <f t="shared" si="503"/>
        <v>0</v>
      </c>
      <c r="Q518" s="452">
        <f t="shared" si="504"/>
        <v>0</v>
      </c>
    </row>
    <row r="519" spans="1:17" ht="23.4" x14ac:dyDescent="0.3">
      <c r="A519" s="248" t="s">
        <v>108</v>
      </c>
      <c r="B519" s="593"/>
      <c r="C519" s="278" t="s">
        <v>348</v>
      </c>
      <c r="D519" s="279"/>
      <c r="E519" s="439"/>
      <c r="F519" s="336">
        <f t="shared" si="505"/>
        <v>0</v>
      </c>
      <c r="G519" s="281"/>
      <c r="H519" s="281"/>
      <c r="I519" s="355" t="str">
        <f>IFERROR(F519/#REF!,"-")</f>
        <v>-</v>
      </c>
      <c r="J519" s="336">
        <f t="shared" si="506"/>
        <v>0</v>
      </c>
      <c r="K519" s="281">
        <f t="shared" si="501"/>
        <v>0</v>
      </c>
      <c r="L519" s="439">
        <f t="shared" si="502"/>
        <v>0</v>
      </c>
      <c r="M519" s="340" t="str">
        <f t="shared" si="507"/>
        <v>-</v>
      </c>
      <c r="N519" s="268" t="str">
        <f>IFERROR(L519/J519,"-")</f>
        <v>-</v>
      </c>
      <c r="O519" s="639">
        <v>2.2141000000000002</v>
      </c>
      <c r="P519" s="407">
        <f t="shared" si="503"/>
        <v>0</v>
      </c>
      <c r="Q519" s="452">
        <f t="shared" si="504"/>
        <v>0</v>
      </c>
    </row>
    <row r="520" spans="1:17" ht="23.4" x14ac:dyDescent="0.3">
      <c r="A520" s="248" t="s">
        <v>108</v>
      </c>
      <c r="B520" s="594"/>
      <c r="C520" s="278" t="s">
        <v>460</v>
      </c>
      <c r="D520" s="283"/>
      <c r="E520" s="533"/>
      <c r="F520" s="337">
        <f t="shared" si="505"/>
        <v>22930</v>
      </c>
      <c r="G520" s="285">
        <v>21750</v>
      </c>
      <c r="H520" s="285">
        <v>1180</v>
      </c>
      <c r="I520" s="356" t="str">
        <f>IFERROR(F520/#REF!,"-")</f>
        <v>-</v>
      </c>
      <c r="J520" s="336">
        <f t="shared" si="506"/>
        <v>392598</v>
      </c>
      <c r="K520" s="281">
        <f t="shared" si="501"/>
        <v>386500</v>
      </c>
      <c r="L520" s="439">
        <f t="shared" si="502"/>
        <v>6098</v>
      </c>
      <c r="M520" s="341" t="str">
        <f t="shared" si="507"/>
        <v>-</v>
      </c>
      <c r="N520" s="347">
        <f t="shared" ref="N520:N527" si="508">IFERROR(L520/J520,"-")</f>
        <v>1.5532427572224006E-2</v>
      </c>
      <c r="O520" s="639">
        <v>2.2141000000000002</v>
      </c>
      <c r="P520" s="408">
        <f t="shared" si="503"/>
        <v>48156.675000000003</v>
      </c>
      <c r="Q520" s="453">
        <f t="shared" si="504"/>
        <v>855749.65</v>
      </c>
    </row>
    <row r="521" spans="1:17" ht="23.4" x14ac:dyDescent="0.3">
      <c r="A521" s="248" t="s">
        <v>108</v>
      </c>
      <c r="B521" s="443"/>
      <c r="C521" s="637" t="s">
        <v>393</v>
      </c>
      <c r="D521" s="514"/>
      <c r="E521" s="534"/>
      <c r="F521" s="336">
        <f t="shared" si="505"/>
        <v>0</v>
      </c>
      <c r="G521" s="553"/>
      <c r="H521" s="553"/>
      <c r="I521" s="355" t="str">
        <f>IFERROR(F521/#REF!,"-")</f>
        <v>-</v>
      </c>
      <c r="J521" s="336">
        <f t="shared" si="506"/>
        <v>0</v>
      </c>
      <c r="K521" s="281">
        <f t="shared" si="501"/>
        <v>0</v>
      </c>
      <c r="L521" s="439">
        <f t="shared" si="502"/>
        <v>0</v>
      </c>
      <c r="M521" s="725"/>
      <c r="N521" s="268" t="str">
        <f t="shared" si="508"/>
        <v>-</v>
      </c>
      <c r="O521" s="545">
        <v>4.8285999999999998</v>
      </c>
      <c r="P521" s="407">
        <f t="shared" si="503"/>
        <v>0</v>
      </c>
      <c r="Q521" s="452">
        <f t="shared" si="504"/>
        <v>0</v>
      </c>
    </row>
    <row r="522" spans="1:17" ht="23.4" x14ac:dyDescent="0.3">
      <c r="A522" s="248" t="s">
        <v>108</v>
      </c>
      <c r="B522" s="595"/>
      <c r="C522" s="637" t="s">
        <v>389</v>
      </c>
      <c r="D522" s="273"/>
      <c r="E522" s="438"/>
      <c r="F522" s="335">
        <f t="shared" si="505"/>
        <v>0</v>
      </c>
      <c r="G522" s="275"/>
      <c r="H522" s="275"/>
      <c r="I522" s="354" t="str">
        <f>IFERROR(F522/#REF!,"-")</f>
        <v>-</v>
      </c>
      <c r="J522" s="336">
        <f t="shared" si="506"/>
        <v>0</v>
      </c>
      <c r="K522" s="281">
        <f t="shared" si="501"/>
        <v>0</v>
      </c>
      <c r="L522" s="439">
        <f t="shared" si="502"/>
        <v>0</v>
      </c>
      <c r="M522" s="339" t="str">
        <f t="shared" ref="M522:M523" si="509">IFERROR(J522/D522,"-")</f>
        <v>-</v>
      </c>
      <c r="N522" s="349" t="str">
        <f t="shared" si="508"/>
        <v>-</v>
      </c>
      <c r="O522" s="511">
        <v>4.1712999999999996</v>
      </c>
      <c r="P522" s="405">
        <f t="shared" si="503"/>
        <v>0</v>
      </c>
      <c r="Q522" s="450">
        <f t="shared" si="504"/>
        <v>0</v>
      </c>
    </row>
    <row r="523" spans="1:17" ht="24" thickBot="1" x14ac:dyDescent="0.35">
      <c r="A523" s="248" t="s">
        <v>108</v>
      </c>
      <c r="B523" s="593"/>
      <c r="C523" s="278"/>
      <c r="D523" s="279"/>
      <c r="E523" s="439"/>
      <c r="F523" s="336">
        <f t="shared" si="505"/>
        <v>0</v>
      </c>
      <c r="G523" s="281"/>
      <c r="H523" s="281"/>
      <c r="I523" s="355" t="str">
        <f>IFERROR(F523/#REF!,"-")</f>
        <v>-</v>
      </c>
      <c r="J523" s="464">
        <f t="shared" si="506"/>
        <v>0</v>
      </c>
      <c r="K523" s="465">
        <f t="shared" si="501"/>
        <v>0</v>
      </c>
      <c r="L523" s="466">
        <f t="shared" si="502"/>
        <v>0</v>
      </c>
      <c r="M523" s="340" t="str">
        <f t="shared" si="509"/>
        <v>-</v>
      </c>
      <c r="N523" s="264" t="str">
        <f t="shared" si="508"/>
        <v>-</v>
      </c>
      <c r="O523" s="451"/>
      <c r="P523" s="407">
        <f t="shared" si="503"/>
        <v>0</v>
      </c>
      <c r="Q523" s="452">
        <f t="shared" si="504"/>
        <v>0</v>
      </c>
    </row>
    <row r="524" spans="1:17" ht="23.25" customHeight="1" thickBot="1" x14ac:dyDescent="0.35">
      <c r="A524" s="277" t="s">
        <v>108</v>
      </c>
      <c r="B524" s="1038" t="s">
        <v>21</v>
      </c>
      <c r="C524" s="989"/>
      <c r="D524" s="323">
        <v>0</v>
      </c>
      <c r="E524" s="288">
        <v>15000</v>
      </c>
      <c r="F524" s="323">
        <f>SUM(F517:F523)</f>
        <v>22930</v>
      </c>
      <c r="G524" s="324">
        <f t="shared" ref="G524:H524" si="510">SUM(G517:G523)</f>
        <v>21750</v>
      </c>
      <c r="H524" s="324">
        <f t="shared" si="510"/>
        <v>1180</v>
      </c>
      <c r="I524" s="348" t="str">
        <f>IFERROR(F524/#REF!,"-")</f>
        <v>-</v>
      </c>
      <c r="J524" s="518">
        <f t="shared" ref="J524" si="511">SUM(J517:J523)</f>
        <v>392598</v>
      </c>
      <c r="K524" s="524">
        <f>SUM(K517:K523)</f>
        <v>386500</v>
      </c>
      <c r="L524" s="524">
        <f>SUM(L517:L523)</f>
        <v>6098</v>
      </c>
      <c r="M524" s="342" t="str">
        <f>IFERROR(J524/D524,"-")</f>
        <v>-</v>
      </c>
      <c r="N524" s="348">
        <f t="shared" si="508"/>
        <v>1.5532427572224006E-2</v>
      </c>
      <c r="O524" s="394"/>
      <c r="P524" s="409">
        <f>SUM(P517:P523)</f>
        <v>48156.675000000003</v>
      </c>
      <c r="Q524" s="428">
        <f>SUM(Q517:Q523)</f>
        <v>855749.65</v>
      </c>
    </row>
    <row r="525" spans="1:17" ht="23.25" customHeight="1" thickBot="1" x14ac:dyDescent="0.35">
      <c r="A525" s="277" t="s">
        <v>108</v>
      </c>
      <c r="B525" s="1039" t="s">
        <v>268</v>
      </c>
      <c r="C525" s="1040"/>
      <c r="D525" s="517">
        <f>+D521+D524</f>
        <v>0</v>
      </c>
      <c r="E525" s="530">
        <f>+E521+E524</f>
        <v>15000</v>
      </c>
      <c r="F525" s="517">
        <f>+F521+F524</f>
        <v>22930</v>
      </c>
      <c r="G525" s="519">
        <f>+G521+G524</f>
        <v>21750</v>
      </c>
      <c r="H525" s="519">
        <f>+H521+H524</f>
        <v>1180</v>
      </c>
      <c r="I525" s="520" t="str">
        <f>IFERROR(F525/#REF!,"-")</f>
        <v>-</v>
      </c>
      <c r="J525" s="517">
        <f>+J521+J524</f>
        <v>392598</v>
      </c>
      <c r="K525" s="519">
        <f>+K524</f>
        <v>386500</v>
      </c>
      <c r="L525" s="519">
        <f>+L524</f>
        <v>6098</v>
      </c>
      <c r="M525" s="521" t="str">
        <f t="shared" ref="M525" si="512">IFERROR(J525/D525,"-")</f>
        <v>-</v>
      </c>
      <c r="N525" s="520">
        <f t="shared" si="508"/>
        <v>1.5532427572224006E-2</v>
      </c>
      <c r="O525" s="522"/>
      <c r="P525" s="523">
        <f>+P524</f>
        <v>48156.675000000003</v>
      </c>
      <c r="Q525" s="523">
        <f>+Q524</f>
        <v>855749.65</v>
      </c>
    </row>
    <row r="526" spans="1:17" ht="23.4" x14ac:dyDescent="0.4">
      <c r="A526" s="244" t="s">
        <v>108</v>
      </c>
      <c r="B526" s="1035" t="s">
        <v>270</v>
      </c>
      <c r="C526" s="547" t="s">
        <v>74</v>
      </c>
      <c r="D526" s="532"/>
      <c r="E526" s="463"/>
      <c r="F526" s="461">
        <f>+G526+H526</f>
        <v>0</v>
      </c>
      <c r="G526" s="462"/>
      <c r="H526" s="462"/>
      <c r="I526" s="536" t="str">
        <f>IFERROR(F526/#REF!,"-")</f>
        <v>-</v>
      </c>
      <c r="J526" s="461">
        <f>+K526+L526</f>
        <v>22103</v>
      </c>
      <c r="K526" s="462">
        <f t="shared" ref="K526:K557" si="513">+K464+G526</f>
        <v>22000</v>
      </c>
      <c r="L526" s="463">
        <f t="shared" ref="L526:L557" si="514">+L464+H526</f>
        <v>103</v>
      </c>
      <c r="M526" s="596" t="str">
        <f>IFERROR(J526/D526,"-")</f>
        <v>-</v>
      </c>
      <c r="N526" s="538">
        <f t="shared" si="508"/>
        <v>4.6600009048545447E-3</v>
      </c>
      <c r="O526" s="543">
        <v>32.946300000000001</v>
      </c>
      <c r="P526" s="539">
        <f t="shared" ref="P526:P557" si="515">+O526*G526</f>
        <v>0</v>
      </c>
      <c r="Q526" s="540">
        <f t="shared" ref="Q526:Q557" si="516">+O526*K526</f>
        <v>724818.6</v>
      </c>
    </row>
    <row r="527" spans="1:17" ht="23.4" x14ac:dyDescent="0.4">
      <c r="A527" s="248" t="s">
        <v>108</v>
      </c>
      <c r="B527" s="1036"/>
      <c r="C527" s="548" t="s">
        <v>75</v>
      </c>
      <c r="D527" s="516"/>
      <c r="E527" s="439"/>
      <c r="F527" s="336">
        <f t="shared" ref="F527:F557" si="517">+G527+H527</f>
        <v>0</v>
      </c>
      <c r="G527" s="281"/>
      <c r="H527" s="281"/>
      <c r="I527" s="355" t="str">
        <f>IFERROR(F527/#REF!,"-")</f>
        <v>-</v>
      </c>
      <c r="J527" s="336">
        <f t="shared" ref="J527:J557" si="518">+K527+L527</f>
        <v>15076</v>
      </c>
      <c r="K527" s="281">
        <f t="shared" si="513"/>
        <v>15000</v>
      </c>
      <c r="L527" s="439">
        <f t="shared" si="514"/>
        <v>76</v>
      </c>
      <c r="M527" s="340" t="str">
        <f t="shared" ref="M527:M529" si="519">IFERROR(J527/D527,"-")</f>
        <v>-</v>
      </c>
      <c r="N527" s="268">
        <f t="shared" si="508"/>
        <v>5.0411249668347044E-3</v>
      </c>
      <c r="O527" s="512">
        <v>35.398400000000002</v>
      </c>
      <c r="P527" s="407">
        <f t="shared" si="515"/>
        <v>0</v>
      </c>
      <c r="Q527" s="452">
        <f t="shared" si="516"/>
        <v>530976</v>
      </c>
    </row>
    <row r="528" spans="1:17" ht="24" thickBot="1" x14ac:dyDescent="0.45">
      <c r="A528" s="248" t="s">
        <v>108</v>
      </c>
      <c r="B528" s="1037"/>
      <c r="C528" s="548" t="s">
        <v>76</v>
      </c>
      <c r="D528" s="279"/>
      <c r="E528" s="439"/>
      <c r="F528" s="336">
        <f t="shared" si="517"/>
        <v>0</v>
      </c>
      <c r="G528" s="281"/>
      <c r="H528" s="281"/>
      <c r="I528" s="355" t="str">
        <f>IFERROR(F528/#REF!,"-")</f>
        <v>-</v>
      </c>
      <c r="J528" s="336">
        <f t="shared" si="518"/>
        <v>0</v>
      </c>
      <c r="K528" s="281">
        <f t="shared" si="513"/>
        <v>0</v>
      </c>
      <c r="L528" s="439">
        <f t="shared" si="514"/>
        <v>0</v>
      </c>
      <c r="M528" s="340" t="str">
        <f t="shared" si="519"/>
        <v>-</v>
      </c>
      <c r="N528" s="268" t="str">
        <f>IFERROR(L528/J528,"-")</f>
        <v>-</v>
      </c>
      <c r="O528" s="512">
        <v>32.946300000000001</v>
      </c>
      <c r="P528" s="407">
        <f t="shared" si="515"/>
        <v>0</v>
      </c>
      <c r="Q528" s="452">
        <f t="shared" si="516"/>
        <v>0</v>
      </c>
    </row>
    <row r="529" spans="1:17" ht="23.4" x14ac:dyDescent="0.4">
      <c r="A529" s="248" t="s">
        <v>108</v>
      </c>
      <c r="B529" s="1035" t="s">
        <v>271</v>
      </c>
      <c r="C529" s="550" t="s">
        <v>78</v>
      </c>
      <c r="D529" s="279"/>
      <c r="E529" s="533"/>
      <c r="F529" s="337">
        <f t="shared" si="517"/>
        <v>4990</v>
      </c>
      <c r="G529" s="281">
        <v>4800</v>
      </c>
      <c r="H529" s="281">
        <v>190</v>
      </c>
      <c r="I529" s="355" t="str">
        <f>IFERROR(F529/#REF!,"-")</f>
        <v>-</v>
      </c>
      <c r="J529" s="336">
        <f t="shared" si="518"/>
        <v>10237</v>
      </c>
      <c r="K529" s="281">
        <f t="shared" si="513"/>
        <v>9601</v>
      </c>
      <c r="L529" s="439">
        <f t="shared" si="514"/>
        <v>636</v>
      </c>
      <c r="M529" s="340" t="str">
        <f t="shared" si="519"/>
        <v>-</v>
      </c>
      <c r="N529" s="268">
        <f t="shared" ref="N529" si="520">IFERROR(L529/J529,"-")</f>
        <v>6.2127576438409687E-2</v>
      </c>
      <c r="O529" s="512">
        <v>55.4758</v>
      </c>
      <c r="P529" s="407">
        <f t="shared" si="515"/>
        <v>266283.84000000003</v>
      </c>
      <c r="Q529" s="452">
        <f t="shared" si="516"/>
        <v>532623.15579999995</v>
      </c>
    </row>
    <row r="530" spans="1:17" ht="23.4" x14ac:dyDescent="0.4">
      <c r="A530" s="248" t="s">
        <v>108</v>
      </c>
      <c r="B530" s="1036"/>
      <c r="C530" s="550" t="s">
        <v>75</v>
      </c>
      <c r="D530" s="279"/>
      <c r="E530" s="534"/>
      <c r="F530" s="337">
        <f t="shared" si="517"/>
        <v>0</v>
      </c>
      <c r="G530" s="281"/>
      <c r="H530" s="281"/>
      <c r="I530" s="355" t="str">
        <f>IFERROR(F530/#REF!,"-")</f>
        <v>-</v>
      </c>
      <c r="J530" s="336">
        <f t="shared" si="518"/>
        <v>8448</v>
      </c>
      <c r="K530" s="281">
        <f t="shared" si="513"/>
        <v>6800</v>
      </c>
      <c r="L530" s="439">
        <f t="shared" si="514"/>
        <v>1648</v>
      </c>
      <c r="M530" s="725"/>
      <c r="N530" s="375"/>
      <c r="O530" s="545">
        <v>58.836300000000001</v>
      </c>
      <c r="P530" s="407">
        <f t="shared" si="515"/>
        <v>0</v>
      </c>
      <c r="Q530" s="452">
        <f t="shared" si="516"/>
        <v>400086.84</v>
      </c>
    </row>
    <row r="531" spans="1:17" ht="23.4" x14ac:dyDescent="0.4">
      <c r="A531" s="248" t="s">
        <v>108</v>
      </c>
      <c r="B531" s="1036"/>
      <c r="C531" s="550" t="s">
        <v>386</v>
      </c>
      <c r="D531" s="279"/>
      <c r="E531" s="438"/>
      <c r="F531" s="337">
        <f t="shared" si="517"/>
        <v>0</v>
      </c>
      <c r="G531" s="281"/>
      <c r="H531" s="281"/>
      <c r="I531" s="355" t="str">
        <f>IFERROR(F531/#REF!,"-")</f>
        <v>-</v>
      </c>
      <c r="J531" s="336">
        <f t="shared" si="518"/>
        <v>3290</v>
      </c>
      <c r="K531" s="281">
        <f t="shared" si="513"/>
        <v>2800</v>
      </c>
      <c r="L531" s="439">
        <f t="shared" si="514"/>
        <v>490</v>
      </c>
      <c r="M531" s="340" t="str">
        <f t="shared" ref="M531" si="521">IFERROR(J531/D531,"-")</f>
        <v>-</v>
      </c>
      <c r="N531" s="264">
        <f t="shared" ref="N531" si="522">IFERROR(L531/J531,"-")</f>
        <v>0.14893617021276595</v>
      </c>
      <c r="O531" s="512">
        <v>55.4758</v>
      </c>
      <c r="P531" s="407">
        <f t="shared" si="515"/>
        <v>0</v>
      </c>
      <c r="Q531" s="452">
        <f t="shared" si="516"/>
        <v>155332.24</v>
      </c>
    </row>
    <row r="532" spans="1:17" ht="24" thickBot="1" x14ac:dyDescent="0.45">
      <c r="A532" s="248"/>
      <c r="B532" s="1037"/>
      <c r="C532" s="550" t="s">
        <v>404</v>
      </c>
      <c r="D532" s="279"/>
      <c r="E532" s="438"/>
      <c r="F532" s="337">
        <f t="shared" si="517"/>
        <v>0</v>
      </c>
      <c r="G532" s="281"/>
      <c r="H532" s="281"/>
      <c r="I532" s="355"/>
      <c r="J532" s="336">
        <f t="shared" si="518"/>
        <v>2220</v>
      </c>
      <c r="K532" s="281">
        <f t="shared" si="513"/>
        <v>2064</v>
      </c>
      <c r="L532" s="439">
        <f t="shared" si="514"/>
        <v>156</v>
      </c>
      <c r="M532" s="340"/>
      <c r="N532" s="264">
        <f>IFERROR(L532/J532,"-")</f>
        <v>7.0270270270270274E-2</v>
      </c>
      <c r="O532" s="512">
        <v>55.4758</v>
      </c>
      <c r="P532" s="407">
        <f t="shared" si="515"/>
        <v>0</v>
      </c>
      <c r="Q532" s="452">
        <f t="shared" si="516"/>
        <v>114502.0512</v>
      </c>
    </row>
    <row r="533" spans="1:17" ht="23.4" x14ac:dyDescent="0.4">
      <c r="A533" s="248" t="s">
        <v>108</v>
      </c>
      <c r="B533" s="1035" t="s">
        <v>490</v>
      </c>
      <c r="C533" s="548" t="s">
        <v>80</v>
      </c>
      <c r="D533" s="279"/>
      <c r="E533" s="439"/>
      <c r="F533" s="336">
        <f t="shared" si="517"/>
        <v>0</v>
      </c>
      <c r="G533" s="281"/>
      <c r="H533" s="281"/>
      <c r="I533" s="355" t="str">
        <f>IFERROR(F533/#REF!,"-")</f>
        <v>-</v>
      </c>
      <c r="J533" s="336">
        <f t="shared" si="518"/>
        <v>1170</v>
      </c>
      <c r="K533" s="281">
        <f t="shared" si="513"/>
        <v>1100</v>
      </c>
      <c r="L533" s="439">
        <f t="shared" si="514"/>
        <v>70</v>
      </c>
      <c r="M533" s="340" t="str">
        <f t="shared" ref="M533:M560" si="523">IFERROR(J533/D533,"-")</f>
        <v>-</v>
      </c>
      <c r="N533" s="264">
        <f t="shared" ref="N533:N559" si="524">IFERROR(L533/J533,"-")</f>
        <v>5.9829059829059832E-2</v>
      </c>
      <c r="O533" s="512">
        <v>25.687200000000001</v>
      </c>
      <c r="P533" s="407">
        <f t="shared" si="515"/>
        <v>0</v>
      </c>
      <c r="Q533" s="452">
        <f t="shared" si="516"/>
        <v>28255.920000000002</v>
      </c>
    </row>
    <row r="534" spans="1:17" ht="24" thickBot="1" x14ac:dyDescent="0.45">
      <c r="A534" s="248" t="s">
        <v>108</v>
      </c>
      <c r="B534" s="1037"/>
      <c r="C534" s="548" t="s">
        <v>124</v>
      </c>
      <c r="D534" s="279"/>
      <c r="E534" s="439"/>
      <c r="F534" s="336">
        <f t="shared" si="517"/>
        <v>0</v>
      </c>
      <c r="G534" s="281"/>
      <c r="H534" s="281"/>
      <c r="I534" s="355" t="str">
        <f>IFERROR(F534/#REF!,"-")</f>
        <v>-</v>
      </c>
      <c r="J534" s="336">
        <f t="shared" si="518"/>
        <v>0</v>
      </c>
      <c r="K534" s="281">
        <f t="shared" si="513"/>
        <v>0</v>
      </c>
      <c r="L534" s="439">
        <f t="shared" si="514"/>
        <v>0</v>
      </c>
      <c r="M534" s="340" t="str">
        <f t="shared" si="523"/>
        <v>-</v>
      </c>
      <c r="N534" s="264" t="str">
        <f t="shared" si="524"/>
        <v>-</v>
      </c>
      <c r="O534" s="512">
        <v>25.033899999999999</v>
      </c>
      <c r="P534" s="407">
        <f t="shared" si="515"/>
        <v>0</v>
      </c>
      <c r="Q534" s="452">
        <f t="shared" si="516"/>
        <v>0</v>
      </c>
    </row>
    <row r="535" spans="1:17" ht="23.4" x14ac:dyDescent="0.4">
      <c r="A535" s="248"/>
      <c r="B535" s="1035" t="s">
        <v>491</v>
      </c>
      <c r="C535" s="548" t="s">
        <v>82</v>
      </c>
      <c r="D535" s="279"/>
      <c r="E535" s="439"/>
      <c r="F535" s="336">
        <f t="shared" si="517"/>
        <v>0</v>
      </c>
      <c r="G535" s="281"/>
      <c r="H535" s="281"/>
      <c r="I535" s="355" t="str">
        <f>IFERROR(F535/#REF!,"-")</f>
        <v>-</v>
      </c>
      <c r="J535" s="336">
        <f t="shared" si="518"/>
        <v>7837</v>
      </c>
      <c r="K535" s="281">
        <f t="shared" si="513"/>
        <v>7800</v>
      </c>
      <c r="L535" s="439">
        <f t="shared" si="514"/>
        <v>37</v>
      </c>
      <c r="M535" s="340" t="str">
        <f t="shared" si="523"/>
        <v>-</v>
      </c>
      <c r="N535" s="264">
        <f t="shared" si="524"/>
        <v>4.7211943345667985E-3</v>
      </c>
      <c r="O535" s="512">
        <v>41.992699999999999</v>
      </c>
      <c r="P535" s="407">
        <f t="shared" si="515"/>
        <v>0</v>
      </c>
      <c r="Q535" s="452">
        <f t="shared" si="516"/>
        <v>327543.06</v>
      </c>
    </row>
    <row r="536" spans="1:17" ht="23.4" x14ac:dyDescent="0.4">
      <c r="A536" s="248"/>
      <c r="B536" s="1036"/>
      <c r="C536" s="548" t="s">
        <v>75</v>
      </c>
      <c r="D536" s="279"/>
      <c r="E536" s="439"/>
      <c r="F536" s="336">
        <f t="shared" si="517"/>
        <v>0</v>
      </c>
      <c r="G536" s="281"/>
      <c r="H536" s="281"/>
      <c r="I536" s="355" t="str">
        <f>IFERROR(F536/#REF!,"-")</f>
        <v>-</v>
      </c>
      <c r="J536" s="336">
        <f t="shared" si="518"/>
        <v>45</v>
      </c>
      <c r="K536" s="281">
        <f t="shared" si="513"/>
        <v>45</v>
      </c>
      <c r="L536" s="439">
        <f t="shared" si="514"/>
        <v>0</v>
      </c>
      <c r="M536" s="340" t="str">
        <f t="shared" si="523"/>
        <v>-</v>
      </c>
      <c r="N536" s="264">
        <f t="shared" si="524"/>
        <v>0</v>
      </c>
      <c r="O536" s="512">
        <v>42.283799999999999</v>
      </c>
      <c r="P536" s="407">
        <f t="shared" si="515"/>
        <v>0</v>
      </c>
      <c r="Q536" s="452">
        <f t="shared" si="516"/>
        <v>1902.771</v>
      </c>
    </row>
    <row r="537" spans="1:17" ht="23.4" x14ac:dyDescent="0.4">
      <c r="A537" s="248"/>
      <c r="B537" s="1036"/>
      <c r="C537" s="548" t="s">
        <v>450</v>
      </c>
      <c r="D537" s="279"/>
      <c r="E537" s="439"/>
      <c r="F537" s="336">
        <f t="shared" si="517"/>
        <v>0</v>
      </c>
      <c r="G537" s="281"/>
      <c r="H537" s="281"/>
      <c r="I537" s="355" t="str">
        <f>IFERROR(F537/#REF!,"-")</f>
        <v>-</v>
      </c>
      <c r="J537" s="336">
        <f t="shared" si="518"/>
        <v>1140</v>
      </c>
      <c r="K537" s="281">
        <f t="shared" si="513"/>
        <v>1140</v>
      </c>
      <c r="L537" s="439">
        <f t="shared" si="514"/>
        <v>0</v>
      </c>
      <c r="M537" s="340" t="str">
        <f t="shared" si="523"/>
        <v>-</v>
      </c>
      <c r="N537" s="264">
        <f t="shared" si="524"/>
        <v>0</v>
      </c>
      <c r="O537" s="772">
        <v>41.992699999999999</v>
      </c>
      <c r="P537" s="407">
        <f t="shared" si="515"/>
        <v>0</v>
      </c>
      <c r="Q537" s="452">
        <f t="shared" si="516"/>
        <v>47871.678</v>
      </c>
    </row>
    <row r="538" spans="1:17" ht="24" thickBot="1" x14ac:dyDescent="0.45">
      <c r="A538" s="248"/>
      <c r="B538" s="1037"/>
      <c r="C538" s="548" t="s">
        <v>451</v>
      </c>
      <c r="D538" s="279"/>
      <c r="E538" s="439"/>
      <c r="F538" s="336">
        <f t="shared" si="517"/>
        <v>0</v>
      </c>
      <c r="G538" s="281"/>
      <c r="H538" s="281"/>
      <c r="I538" s="355" t="str">
        <f>IFERROR(F538/#REF!,"-")</f>
        <v>-</v>
      </c>
      <c r="J538" s="336">
        <f t="shared" si="518"/>
        <v>712</v>
      </c>
      <c r="K538" s="281">
        <f t="shared" si="513"/>
        <v>660</v>
      </c>
      <c r="L538" s="439">
        <f t="shared" si="514"/>
        <v>52</v>
      </c>
      <c r="M538" s="340" t="str">
        <f t="shared" si="523"/>
        <v>-</v>
      </c>
      <c r="N538" s="264">
        <f t="shared" si="524"/>
        <v>7.3033707865168537E-2</v>
      </c>
      <c r="O538" s="772">
        <v>42.283799999999999</v>
      </c>
      <c r="P538" s="407">
        <f t="shared" si="515"/>
        <v>0</v>
      </c>
      <c r="Q538" s="452">
        <f t="shared" si="516"/>
        <v>27907.308000000001</v>
      </c>
    </row>
    <row r="539" spans="1:17" ht="24" thickBot="1" x14ac:dyDescent="0.45">
      <c r="A539" s="248"/>
      <c r="B539" s="815" t="s">
        <v>83</v>
      </c>
      <c r="C539" s="548" t="s">
        <v>84</v>
      </c>
      <c r="D539" s="279"/>
      <c r="E539" s="439"/>
      <c r="F539" s="336">
        <f t="shared" si="517"/>
        <v>0</v>
      </c>
      <c r="G539" s="281"/>
      <c r="H539" s="281"/>
      <c r="I539" s="355" t="str">
        <f>IFERROR(F539/#REF!,"-")</f>
        <v>-</v>
      </c>
      <c r="J539" s="336">
        <f t="shared" si="518"/>
        <v>0</v>
      </c>
      <c r="K539" s="281">
        <f t="shared" si="513"/>
        <v>0</v>
      </c>
      <c r="L539" s="439">
        <f t="shared" si="514"/>
        <v>0</v>
      </c>
      <c r="M539" s="340" t="str">
        <f t="shared" si="523"/>
        <v>-</v>
      </c>
      <c r="N539" s="264" t="str">
        <f t="shared" si="524"/>
        <v>-</v>
      </c>
      <c r="O539" s="512">
        <v>4.3535000000000004</v>
      </c>
      <c r="P539" s="407">
        <f t="shared" si="515"/>
        <v>0</v>
      </c>
      <c r="Q539" s="452">
        <f t="shared" si="516"/>
        <v>0</v>
      </c>
    </row>
    <row r="540" spans="1:17" ht="23.4" x14ac:dyDescent="0.4">
      <c r="A540" s="248"/>
      <c r="B540" s="1035" t="s">
        <v>273</v>
      </c>
      <c r="C540" s="548" t="s">
        <v>80</v>
      </c>
      <c r="D540" s="279"/>
      <c r="E540" s="439"/>
      <c r="F540" s="336">
        <f t="shared" si="517"/>
        <v>0</v>
      </c>
      <c r="G540" s="281"/>
      <c r="H540" s="281"/>
      <c r="I540" s="355" t="str">
        <f>IFERROR(F540/#REF!,"-")</f>
        <v>-</v>
      </c>
      <c r="J540" s="336">
        <f t="shared" si="518"/>
        <v>0</v>
      </c>
      <c r="K540" s="281">
        <f t="shared" si="513"/>
        <v>0</v>
      </c>
      <c r="L540" s="439">
        <f t="shared" si="514"/>
        <v>0</v>
      </c>
      <c r="M540" s="340" t="str">
        <f t="shared" si="523"/>
        <v>-</v>
      </c>
      <c r="N540" s="264" t="str">
        <f t="shared" si="524"/>
        <v>-</v>
      </c>
      <c r="O540" s="512">
        <v>4.6184000000000003</v>
      </c>
      <c r="P540" s="407">
        <f t="shared" si="515"/>
        <v>0</v>
      </c>
      <c r="Q540" s="452">
        <f t="shared" si="516"/>
        <v>0</v>
      </c>
    </row>
    <row r="541" spans="1:17" ht="23.4" x14ac:dyDescent="0.4">
      <c r="A541" s="248"/>
      <c r="B541" s="1036"/>
      <c r="C541" s="548" t="s">
        <v>378</v>
      </c>
      <c r="D541" s="279"/>
      <c r="E541" s="439"/>
      <c r="F541" s="336">
        <f t="shared" si="517"/>
        <v>0</v>
      </c>
      <c r="G541" s="281"/>
      <c r="H541" s="281"/>
      <c r="I541" s="355" t="str">
        <f>IFERROR(F541/#REF!,"-")</f>
        <v>-</v>
      </c>
      <c r="J541" s="336">
        <f t="shared" si="518"/>
        <v>0</v>
      </c>
      <c r="K541" s="281">
        <f t="shared" si="513"/>
        <v>0</v>
      </c>
      <c r="L541" s="439">
        <f t="shared" si="514"/>
        <v>0</v>
      </c>
      <c r="M541" s="340" t="str">
        <f t="shared" si="523"/>
        <v>-</v>
      </c>
      <c r="N541" s="264" t="str">
        <f t="shared" si="524"/>
        <v>-</v>
      </c>
      <c r="O541" s="512">
        <v>4.6184000000000003</v>
      </c>
      <c r="P541" s="407">
        <f t="shared" si="515"/>
        <v>0</v>
      </c>
      <c r="Q541" s="452">
        <f t="shared" si="516"/>
        <v>0</v>
      </c>
    </row>
    <row r="542" spans="1:17" ht="23.4" x14ac:dyDescent="0.4">
      <c r="A542" s="248"/>
      <c r="B542" s="1036"/>
      <c r="C542" s="548" t="s">
        <v>272</v>
      </c>
      <c r="D542" s="279"/>
      <c r="E542" s="439"/>
      <c r="F542" s="336">
        <f t="shared" si="517"/>
        <v>0</v>
      </c>
      <c r="G542" s="281"/>
      <c r="H542" s="281"/>
      <c r="I542" s="355" t="str">
        <f>IFERROR(F542/#REF!,"-")</f>
        <v>-</v>
      </c>
      <c r="J542" s="336">
        <f t="shared" si="518"/>
        <v>0</v>
      </c>
      <c r="K542" s="281">
        <f t="shared" si="513"/>
        <v>0</v>
      </c>
      <c r="L542" s="439">
        <f t="shared" si="514"/>
        <v>0</v>
      </c>
      <c r="M542" s="340" t="str">
        <f t="shared" si="523"/>
        <v>-</v>
      </c>
      <c r="N542" s="264" t="str">
        <f t="shared" si="524"/>
        <v>-</v>
      </c>
      <c r="O542" s="512">
        <v>4.6184000000000003</v>
      </c>
      <c r="P542" s="407">
        <f t="shared" si="515"/>
        <v>0</v>
      </c>
      <c r="Q542" s="452">
        <f t="shared" si="516"/>
        <v>0</v>
      </c>
    </row>
    <row r="543" spans="1:17" ht="23.4" x14ac:dyDescent="0.4">
      <c r="A543" s="248"/>
      <c r="B543" s="1036"/>
      <c r="C543" s="548" t="s">
        <v>390</v>
      </c>
      <c r="D543" s="279"/>
      <c r="E543" s="439"/>
      <c r="F543" s="336">
        <f t="shared" si="517"/>
        <v>58408</v>
      </c>
      <c r="G543" s="281">
        <v>58300</v>
      </c>
      <c r="H543" s="281">
        <v>108</v>
      </c>
      <c r="I543" s="355" t="str">
        <f>IFERROR(F543/#REF!,"-")</f>
        <v>-</v>
      </c>
      <c r="J543" s="336">
        <f t="shared" si="518"/>
        <v>449663</v>
      </c>
      <c r="K543" s="730">
        <f t="shared" si="513"/>
        <v>446500</v>
      </c>
      <c r="L543" s="731">
        <f t="shared" si="514"/>
        <v>3163</v>
      </c>
      <c r="M543" s="340" t="str">
        <f t="shared" si="523"/>
        <v>-</v>
      </c>
      <c r="N543" s="264">
        <f t="shared" si="524"/>
        <v>7.0341566906772408E-3</v>
      </c>
      <c r="O543" s="512">
        <v>4.7636000000000003</v>
      </c>
      <c r="P543" s="407">
        <f t="shared" si="515"/>
        <v>277717.88</v>
      </c>
      <c r="Q543" s="452">
        <f t="shared" si="516"/>
        <v>2126947.4</v>
      </c>
    </row>
    <row r="544" spans="1:17" ht="24" thickBot="1" x14ac:dyDescent="0.45">
      <c r="A544" s="248"/>
      <c r="B544" s="1037"/>
      <c r="C544" s="548" t="s">
        <v>384</v>
      </c>
      <c r="D544" s="279"/>
      <c r="E544" s="439"/>
      <c r="F544" s="336">
        <f t="shared" si="517"/>
        <v>0</v>
      </c>
      <c r="G544" s="281"/>
      <c r="H544" s="281"/>
      <c r="I544" s="355" t="str">
        <f>IFERROR(F544/#REF!,"-")</f>
        <v>-</v>
      </c>
      <c r="J544" s="336">
        <f t="shared" si="518"/>
        <v>0</v>
      </c>
      <c r="K544" s="281">
        <f t="shared" si="513"/>
        <v>0</v>
      </c>
      <c r="L544" s="439">
        <f t="shared" si="514"/>
        <v>0</v>
      </c>
      <c r="M544" s="340" t="str">
        <f t="shared" si="523"/>
        <v>-</v>
      </c>
      <c r="N544" s="264" t="str">
        <f t="shared" si="524"/>
        <v>-</v>
      </c>
      <c r="O544" s="512">
        <v>4.8738000000000001</v>
      </c>
      <c r="P544" s="407">
        <f t="shared" si="515"/>
        <v>0</v>
      </c>
      <c r="Q544" s="452">
        <f t="shared" si="516"/>
        <v>0</v>
      </c>
    </row>
    <row r="545" spans="1:17" ht="24" thickBot="1" x14ac:dyDescent="0.45">
      <c r="A545" s="248"/>
      <c r="B545" s="815" t="s">
        <v>274</v>
      </c>
      <c r="C545" s="548" t="s">
        <v>131</v>
      </c>
      <c r="D545" s="279"/>
      <c r="E545" s="439"/>
      <c r="F545" s="336">
        <f t="shared" si="517"/>
        <v>0</v>
      </c>
      <c r="G545" s="281"/>
      <c r="H545" s="281"/>
      <c r="I545" s="355" t="str">
        <f>IFERROR(F545/#REF!,"-")</f>
        <v>-</v>
      </c>
      <c r="J545" s="336">
        <f t="shared" si="518"/>
        <v>0</v>
      </c>
      <c r="K545" s="281">
        <f t="shared" si="513"/>
        <v>0</v>
      </c>
      <c r="L545" s="439">
        <f t="shared" si="514"/>
        <v>0</v>
      </c>
      <c r="M545" s="340" t="str">
        <f t="shared" si="523"/>
        <v>-</v>
      </c>
      <c r="N545" s="264" t="str">
        <f t="shared" si="524"/>
        <v>-</v>
      </c>
      <c r="O545" s="512">
        <v>4.8738000000000001</v>
      </c>
      <c r="P545" s="407">
        <f t="shared" si="515"/>
        <v>0</v>
      </c>
      <c r="Q545" s="452">
        <f t="shared" si="516"/>
        <v>0</v>
      </c>
    </row>
    <row r="546" spans="1:17" ht="23.4" x14ac:dyDescent="0.4">
      <c r="A546" s="248"/>
      <c r="B546" s="1035" t="s">
        <v>276</v>
      </c>
      <c r="C546" s="548" t="s">
        <v>80</v>
      </c>
      <c r="D546" s="279"/>
      <c r="E546" s="439"/>
      <c r="F546" s="336">
        <f t="shared" si="517"/>
        <v>31328</v>
      </c>
      <c r="G546" s="281">
        <v>31050</v>
      </c>
      <c r="H546" s="281">
        <v>278</v>
      </c>
      <c r="I546" s="355" t="str">
        <f>IFERROR(F546/#REF!,"-")</f>
        <v>-</v>
      </c>
      <c r="J546" s="336">
        <f t="shared" si="518"/>
        <v>205078</v>
      </c>
      <c r="K546" s="730">
        <f t="shared" si="513"/>
        <v>200850</v>
      </c>
      <c r="L546" s="731">
        <f t="shared" si="514"/>
        <v>4228</v>
      </c>
      <c r="M546" s="340" t="str">
        <f t="shared" si="523"/>
        <v>-</v>
      </c>
      <c r="N546" s="264">
        <f t="shared" si="524"/>
        <v>2.0616545899608929E-2</v>
      </c>
      <c r="O546" s="512">
        <v>4.9344999999999999</v>
      </c>
      <c r="P546" s="407">
        <f t="shared" si="515"/>
        <v>153216.22500000001</v>
      </c>
      <c r="Q546" s="452">
        <f t="shared" si="516"/>
        <v>991094.32499999995</v>
      </c>
    </row>
    <row r="547" spans="1:17" ht="23.4" x14ac:dyDescent="0.4">
      <c r="A547" s="248"/>
      <c r="B547" s="1036"/>
      <c r="C547" s="548" t="s">
        <v>142</v>
      </c>
      <c r="D547" s="279"/>
      <c r="E547" s="439"/>
      <c r="F547" s="336">
        <f t="shared" si="517"/>
        <v>0</v>
      </c>
      <c r="G547" s="281"/>
      <c r="H547" s="281"/>
      <c r="I547" s="355" t="str">
        <f>IFERROR(F547/#REF!,"-")</f>
        <v>-</v>
      </c>
      <c r="J547" s="336">
        <f t="shared" si="518"/>
        <v>0</v>
      </c>
      <c r="K547" s="281">
        <f t="shared" si="513"/>
        <v>0</v>
      </c>
      <c r="L547" s="439">
        <f t="shared" si="514"/>
        <v>0</v>
      </c>
      <c r="M547" s="340" t="str">
        <f t="shared" si="523"/>
        <v>-</v>
      </c>
      <c r="N547" s="264" t="str">
        <f t="shared" si="524"/>
        <v>-</v>
      </c>
      <c r="O547" s="512">
        <v>4.9344999999999999</v>
      </c>
      <c r="P547" s="407">
        <f t="shared" si="515"/>
        <v>0</v>
      </c>
      <c r="Q547" s="452">
        <f t="shared" si="516"/>
        <v>0</v>
      </c>
    </row>
    <row r="548" spans="1:17" ht="23.4" x14ac:dyDescent="0.4">
      <c r="A548" s="248"/>
      <c r="B548" s="1036"/>
      <c r="C548" s="548" t="s">
        <v>136</v>
      </c>
      <c r="D548" s="279"/>
      <c r="E548" s="439"/>
      <c r="F548" s="336">
        <f t="shared" si="517"/>
        <v>0</v>
      </c>
      <c r="G548" s="281"/>
      <c r="H548" s="281"/>
      <c r="I548" s="355" t="str">
        <f>IFERROR(F548/#REF!,"-")</f>
        <v>-</v>
      </c>
      <c r="J548" s="336">
        <f t="shared" si="518"/>
        <v>0</v>
      </c>
      <c r="K548" s="281">
        <f t="shared" si="513"/>
        <v>0</v>
      </c>
      <c r="L548" s="439">
        <f t="shared" si="514"/>
        <v>0</v>
      </c>
      <c r="M548" s="340" t="str">
        <f t="shared" si="523"/>
        <v>-</v>
      </c>
      <c r="N548" s="264" t="str">
        <f t="shared" si="524"/>
        <v>-</v>
      </c>
      <c r="O548" s="512">
        <v>4.9344999999999999</v>
      </c>
      <c r="P548" s="407">
        <f t="shared" si="515"/>
        <v>0</v>
      </c>
      <c r="Q548" s="452">
        <f t="shared" si="516"/>
        <v>0</v>
      </c>
    </row>
    <row r="549" spans="1:17" ht="24" thickBot="1" x14ac:dyDescent="0.45">
      <c r="A549" s="248"/>
      <c r="B549" s="1037"/>
      <c r="C549" s="548" t="s">
        <v>275</v>
      </c>
      <c r="D549" s="279"/>
      <c r="E549" s="439"/>
      <c r="F549" s="336">
        <f t="shared" si="517"/>
        <v>0</v>
      </c>
      <c r="G549" s="281"/>
      <c r="H549" s="281"/>
      <c r="I549" s="355" t="str">
        <f>IFERROR(F549/#REF!,"-")</f>
        <v>-</v>
      </c>
      <c r="J549" s="336">
        <f t="shared" si="518"/>
        <v>0</v>
      </c>
      <c r="K549" s="281">
        <f t="shared" si="513"/>
        <v>0</v>
      </c>
      <c r="L549" s="439">
        <f t="shared" si="514"/>
        <v>0</v>
      </c>
      <c r="M549" s="340" t="str">
        <f t="shared" si="523"/>
        <v>-</v>
      </c>
      <c r="N549" s="264" t="str">
        <f t="shared" si="524"/>
        <v>-</v>
      </c>
      <c r="O549" s="512">
        <v>5.5069999999999997</v>
      </c>
      <c r="P549" s="407">
        <f t="shared" si="515"/>
        <v>0</v>
      </c>
      <c r="Q549" s="452">
        <f t="shared" si="516"/>
        <v>0</v>
      </c>
    </row>
    <row r="550" spans="1:17" ht="23.4" x14ac:dyDescent="0.4">
      <c r="A550" s="248"/>
      <c r="B550" s="1035" t="s">
        <v>281</v>
      </c>
      <c r="C550" s="548" t="s">
        <v>277</v>
      </c>
      <c r="D550" s="279"/>
      <c r="E550" s="439"/>
      <c r="F550" s="336">
        <f t="shared" si="517"/>
        <v>34320</v>
      </c>
      <c r="G550" s="281">
        <v>34000</v>
      </c>
      <c r="H550" s="281">
        <v>320</v>
      </c>
      <c r="I550" s="355" t="str">
        <f>IFERROR(F550/#REF!,"-")</f>
        <v>-</v>
      </c>
      <c r="J550" s="336">
        <f t="shared" si="518"/>
        <v>80109</v>
      </c>
      <c r="K550" s="281">
        <f t="shared" si="513"/>
        <v>79200</v>
      </c>
      <c r="L550" s="439">
        <f t="shared" si="514"/>
        <v>909</v>
      </c>
      <c r="M550" s="340" t="str">
        <f t="shared" si="523"/>
        <v>-</v>
      </c>
      <c r="N550" s="264">
        <f t="shared" si="524"/>
        <v>1.1347039658465341E-2</v>
      </c>
      <c r="O550" s="772">
        <v>5.5069999999999997</v>
      </c>
      <c r="P550" s="407">
        <f t="shared" si="515"/>
        <v>187238</v>
      </c>
      <c r="Q550" s="452">
        <f t="shared" si="516"/>
        <v>436154.39999999997</v>
      </c>
    </row>
    <row r="551" spans="1:17" ht="23.4" x14ac:dyDescent="0.4">
      <c r="A551" s="248"/>
      <c r="B551" s="1036"/>
      <c r="C551" s="548" t="s">
        <v>278</v>
      </c>
      <c r="D551" s="279"/>
      <c r="E551" s="439"/>
      <c r="F551" s="336">
        <f t="shared" si="517"/>
        <v>0</v>
      </c>
      <c r="G551" s="281"/>
      <c r="H551" s="281"/>
      <c r="I551" s="355" t="str">
        <f>IFERROR(F551/#REF!,"-")</f>
        <v>-</v>
      </c>
      <c r="J551" s="336">
        <f t="shared" si="518"/>
        <v>0</v>
      </c>
      <c r="K551" s="281">
        <f t="shared" si="513"/>
        <v>0</v>
      </c>
      <c r="L551" s="439">
        <f t="shared" si="514"/>
        <v>0</v>
      </c>
      <c r="M551" s="340" t="str">
        <f t="shared" si="523"/>
        <v>-</v>
      </c>
      <c r="N551" s="264" t="str">
        <f t="shared" si="524"/>
        <v>-</v>
      </c>
      <c r="O551" s="512">
        <v>5.6550000000000002</v>
      </c>
      <c r="P551" s="407">
        <f t="shared" si="515"/>
        <v>0</v>
      </c>
      <c r="Q551" s="452">
        <f t="shared" si="516"/>
        <v>0</v>
      </c>
    </row>
    <row r="552" spans="1:17" ht="23.4" x14ac:dyDescent="0.4">
      <c r="A552" s="248"/>
      <c r="B552" s="1036"/>
      <c r="C552" s="548" t="s">
        <v>355</v>
      </c>
      <c r="D552" s="279"/>
      <c r="E552" s="439"/>
      <c r="F552" s="336">
        <f t="shared" si="517"/>
        <v>10885</v>
      </c>
      <c r="G552" s="281">
        <v>9900</v>
      </c>
      <c r="H552" s="281">
        <v>985</v>
      </c>
      <c r="I552" s="355" t="str">
        <f>IFERROR(F552/#REF!,"-")</f>
        <v>-</v>
      </c>
      <c r="J552" s="336">
        <f t="shared" si="518"/>
        <v>281007</v>
      </c>
      <c r="K552" s="730">
        <f t="shared" si="513"/>
        <v>273200</v>
      </c>
      <c r="L552" s="731">
        <f t="shared" si="514"/>
        <v>7807</v>
      </c>
      <c r="M552" s="340" t="str">
        <f t="shared" si="523"/>
        <v>-</v>
      </c>
      <c r="N552" s="264">
        <f t="shared" si="524"/>
        <v>2.7782226065542853E-2</v>
      </c>
      <c r="O552" s="512">
        <v>5.6550000000000002</v>
      </c>
      <c r="P552" s="407">
        <f t="shared" si="515"/>
        <v>55984.5</v>
      </c>
      <c r="Q552" s="452">
        <f t="shared" si="516"/>
        <v>1544946</v>
      </c>
    </row>
    <row r="553" spans="1:17" ht="23.4" x14ac:dyDescent="0.4">
      <c r="A553" s="248"/>
      <c r="B553" s="1036"/>
      <c r="C553" s="548" t="s">
        <v>279</v>
      </c>
      <c r="D553" s="279"/>
      <c r="E553" s="439"/>
      <c r="F553" s="336">
        <f t="shared" si="517"/>
        <v>0</v>
      </c>
      <c r="G553" s="281"/>
      <c r="H553" s="281"/>
      <c r="I553" s="355" t="str">
        <f>IFERROR(F553/#REF!,"-")</f>
        <v>-</v>
      </c>
      <c r="J553" s="336">
        <f t="shared" si="518"/>
        <v>0</v>
      </c>
      <c r="K553" s="281">
        <f t="shared" si="513"/>
        <v>0</v>
      </c>
      <c r="L553" s="439">
        <f t="shared" si="514"/>
        <v>0</v>
      </c>
      <c r="M553" s="340" t="str">
        <f t="shared" si="523"/>
        <v>-</v>
      </c>
      <c r="N553" s="264" t="str">
        <f t="shared" si="524"/>
        <v>-</v>
      </c>
      <c r="O553" s="512">
        <v>5.6550000000000002</v>
      </c>
      <c r="P553" s="407">
        <f t="shared" si="515"/>
        <v>0</v>
      </c>
      <c r="Q553" s="452">
        <f t="shared" si="516"/>
        <v>0</v>
      </c>
    </row>
    <row r="554" spans="1:17" ht="23.4" x14ac:dyDescent="0.4">
      <c r="A554" s="248" t="s">
        <v>108</v>
      </c>
      <c r="B554" s="1036"/>
      <c r="C554" s="548" t="s">
        <v>280</v>
      </c>
      <c r="D554" s="279"/>
      <c r="E554" s="439"/>
      <c r="F554" s="336">
        <f t="shared" si="517"/>
        <v>0</v>
      </c>
      <c r="G554" s="281"/>
      <c r="H554" s="281"/>
      <c r="I554" s="355" t="str">
        <f>IFERROR(F554/#REF!,"-")</f>
        <v>-</v>
      </c>
      <c r="J554" s="336">
        <f t="shared" si="518"/>
        <v>0</v>
      </c>
      <c r="K554" s="281">
        <f t="shared" si="513"/>
        <v>0</v>
      </c>
      <c r="L554" s="439">
        <f t="shared" si="514"/>
        <v>0</v>
      </c>
      <c r="M554" s="340" t="str">
        <f t="shared" si="523"/>
        <v>-</v>
      </c>
      <c r="N554" s="264" t="str">
        <f t="shared" si="524"/>
        <v>-</v>
      </c>
      <c r="O554" s="512">
        <v>3.2963</v>
      </c>
      <c r="P554" s="407">
        <f t="shared" si="515"/>
        <v>0</v>
      </c>
      <c r="Q554" s="452">
        <f t="shared" si="516"/>
        <v>0</v>
      </c>
    </row>
    <row r="555" spans="1:17" ht="24" thickBot="1" x14ac:dyDescent="0.45">
      <c r="A555" s="248" t="s">
        <v>108</v>
      </c>
      <c r="B555" s="1037"/>
      <c r="C555" s="548" t="s">
        <v>275</v>
      </c>
      <c r="D555" s="279"/>
      <c r="E555" s="439"/>
      <c r="F555" s="336">
        <f t="shared" si="517"/>
        <v>0</v>
      </c>
      <c r="G555" s="281"/>
      <c r="H555" s="281"/>
      <c r="I555" s="355" t="str">
        <f>IFERROR(F555/#REF!,"-")</f>
        <v>-</v>
      </c>
      <c r="J555" s="336">
        <f t="shared" si="518"/>
        <v>0</v>
      </c>
      <c r="K555" s="281">
        <f t="shared" si="513"/>
        <v>0</v>
      </c>
      <c r="L555" s="439">
        <f t="shared" si="514"/>
        <v>0</v>
      </c>
      <c r="M555" s="340" t="str">
        <f t="shared" si="523"/>
        <v>-</v>
      </c>
      <c r="N555" s="264" t="str">
        <f t="shared" si="524"/>
        <v>-</v>
      </c>
      <c r="O555" s="512">
        <v>3.2963</v>
      </c>
      <c r="P555" s="407">
        <f t="shared" si="515"/>
        <v>0</v>
      </c>
      <c r="Q555" s="452">
        <f t="shared" si="516"/>
        <v>0</v>
      </c>
    </row>
    <row r="556" spans="1:17" ht="23.4" x14ac:dyDescent="0.4">
      <c r="A556" s="248" t="s">
        <v>108</v>
      </c>
      <c r="B556" s="552"/>
      <c r="C556" s="549" t="s">
        <v>92</v>
      </c>
      <c r="D556" s="516"/>
      <c r="E556" s="439"/>
      <c r="F556" s="336">
        <f t="shared" si="517"/>
        <v>0</v>
      </c>
      <c r="G556" s="281"/>
      <c r="H556" s="281"/>
      <c r="I556" s="355" t="str">
        <f>IFERROR(F556/#REF!,"-")</f>
        <v>-</v>
      </c>
      <c r="J556" s="336">
        <f t="shared" si="518"/>
        <v>59305</v>
      </c>
      <c r="K556" s="281">
        <f t="shared" si="513"/>
        <v>58655</v>
      </c>
      <c r="L556" s="439">
        <f t="shared" si="514"/>
        <v>650</v>
      </c>
      <c r="M556" s="340" t="str">
        <f t="shared" si="523"/>
        <v>-</v>
      </c>
      <c r="N556" s="264">
        <f t="shared" si="524"/>
        <v>1.0960290026136077E-2</v>
      </c>
      <c r="O556" s="512">
        <v>2.3201000000000001</v>
      </c>
      <c r="P556" s="407">
        <f t="shared" si="515"/>
        <v>0</v>
      </c>
      <c r="Q556" s="452">
        <f t="shared" si="516"/>
        <v>136085.46549999999</v>
      </c>
    </row>
    <row r="557" spans="1:17" ht="24" thickBot="1" x14ac:dyDescent="0.35">
      <c r="A557" s="248" t="s">
        <v>108</v>
      </c>
      <c r="B557" s="529"/>
      <c r="C557" s="546"/>
      <c r="D557" s="535"/>
      <c r="E557" s="466"/>
      <c r="F557" s="464">
        <f t="shared" si="517"/>
        <v>0</v>
      </c>
      <c r="G557" s="465"/>
      <c r="H557" s="465"/>
      <c r="I557" s="537" t="str">
        <f>IFERROR(F557/#REF!,"-")</f>
        <v>-</v>
      </c>
      <c r="J557" s="464">
        <f t="shared" si="518"/>
        <v>0</v>
      </c>
      <c r="K557" s="465">
        <f t="shared" si="513"/>
        <v>0</v>
      </c>
      <c r="L557" s="466">
        <f t="shared" si="514"/>
        <v>0</v>
      </c>
      <c r="M557" s="726" t="str">
        <f t="shared" si="523"/>
        <v>-</v>
      </c>
      <c r="N557" s="266" t="str">
        <f t="shared" si="524"/>
        <v>-</v>
      </c>
      <c r="O557" s="544"/>
      <c r="P557" s="541">
        <f t="shared" si="515"/>
        <v>0</v>
      </c>
      <c r="Q557" s="542">
        <f t="shared" si="516"/>
        <v>0</v>
      </c>
    </row>
    <row r="558" spans="1:17" ht="23.25" customHeight="1" thickBot="1" x14ac:dyDescent="0.35">
      <c r="A558" s="277" t="s">
        <v>108</v>
      </c>
      <c r="B558" s="1038" t="s">
        <v>25</v>
      </c>
      <c r="C558" s="989"/>
      <c r="D558" s="518">
        <f>SUM(D531:D557)</f>
        <v>0</v>
      </c>
      <c r="E558" s="531">
        <v>100000</v>
      </c>
      <c r="F558" s="524">
        <f>SUM(F526:F557)</f>
        <v>139931</v>
      </c>
      <c r="G558" s="524">
        <f>SUM(G526:G557)</f>
        <v>138050</v>
      </c>
      <c r="H558" s="524">
        <f>SUM(H526:H557)</f>
        <v>1881</v>
      </c>
      <c r="I558" s="525" t="str">
        <f>IFERROR(F558/#REF!,"-")</f>
        <v>-</v>
      </c>
      <c r="J558" s="518">
        <f>SUM(J526:J557)</f>
        <v>1147440</v>
      </c>
      <c r="K558" s="518">
        <f t="shared" ref="K558:L558" si="525">SUM(K526:K557)</f>
        <v>1127415</v>
      </c>
      <c r="L558" s="518">
        <f t="shared" si="525"/>
        <v>20025</v>
      </c>
      <c r="M558" s="526" t="str">
        <f t="shared" si="523"/>
        <v>-</v>
      </c>
      <c r="N558" s="525">
        <f t="shared" si="524"/>
        <v>1.7451892909433175E-2</v>
      </c>
      <c r="O558" s="527"/>
      <c r="P558" s="528">
        <f>SUM(P526:P557)</f>
        <v>940440.44499999995</v>
      </c>
      <c r="Q558" s="528">
        <f>SUM(Q526:Q557)</f>
        <v>8127047.2145000007</v>
      </c>
    </row>
    <row r="559" spans="1:17" ht="23.25" customHeight="1" thickBot="1" x14ac:dyDescent="0.35">
      <c r="A559" s="321" t="s">
        <v>108</v>
      </c>
      <c r="B559" s="1039" t="s">
        <v>269</v>
      </c>
      <c r="C559" s="1040"/>
      <c r="D559" s="329">
        <f>+D530+D558</f>
        <v>0</v>
      </c>
      <c r="E559" s="330">
        <f>+E530+E558</f>
        <v>100000</v>
      </c>
      <c r="F559" s="329">
        <f>+F558</f>
        <v>139931</v>
      </c>
      <c r="G559" s="329">
        <f t="shared" ref="G559:H559" si="526">+G558</f>
        <v>138050</v>
      </c>
      <c r="H559" s="329">
        <f t="shared" si="526"/>
        <v>1881</v>
      </c>
      <c r="I559" s="352" t="str">
        <f>IFERROR(F559/#REF!,"-")</f>
        <v>-</v>
      </c>
      <c r="J559" s="329">
        <f>+J558</f>
        <v>1147440</v>
      </c>
      <c r="K559" s="329">
        <f t="shared" ref="K559:L559" si="527">+K558</f>
        <v>1127415</v>
      </c>
      <c r="L559" s="329">
        <f t="shared" si="527"/>
        <v>20025</v>
      </c>
      <c r="M559" s="344" t="str">
        <f t="shared" si="523"/>
        <v>-</v>
      </c>
      <c r="N559" s="352">
        <f t="shared" si="524"/>
        <v>1.7451892909433175E-2</v>
      </c>
      <c r="O559" s="397"/>
      <c r="P559" s="413">
        <f>+P558</f>
        <v>940440.44499999995</v>
      </c>
      <c r="Q559" s="431">
        <f>Q558</f>
        <v>8127047.2145000007</v>
      </c>
    </row>
    <row r="560" spans="1:17" ht="24.6" thickBot="1" x14ac:dyDescent="0.35">
      <c r="A560" s="322"/>
      <c r="B560" s="1041" t="s">
        <v>182</v>
      </c>
      <c r="C560" s="1042"/>
      <c r="D560" s="377">
        <f>+D559+D525+D516</f>
        <v>0</v>
      </c>
      <c r="E560" s="377">
        <f>+E559+E525+E516</f>
        <v>230000</v>
      </c>
      <c r="F560" s="377">
        <f>+F559+F525+F516</f>
        <v>260983</v>
      </c>
      <c r="G560" s="377">
        <f>+G559+G525+G516</f>
        <v>251850</v>
      </c>
      <c r="H560" s="377">
        <f>+H559+H525+H516</f>
        <v>9133</v>
      </c>
      <c r="I560" s="378" t="str">
        <f>IFERROR(F560/#REF!,"-")</f>
        <v>-</v>
      </c>
      <c r="J560" s="377">
        <f>+J559+J525+J516</f>
        <v>3248035</v>
      </c>
      <c r="K560" s="377">
        <f>+K559+K525+K516</f>
        <v>3172955</v>
      </c>
      <c r="L560" s="377">
        <f>+L559+L525+L516</f>
        <v>75080</v>
      </c>
      <c r="M560" s="378" t="str">
        <f t="shared" si="523"/>
        <v>-</v>
      </c>
      <c r="N560" s="378">
        <f>IFERROR(L560/J560,"-")</f>
        <v>2.3115514457202585E-2</v>
      </c>
      <c r="O560" s="404"/>
      <c r="P560" s="421">
        <f>+P559+P525+P516</f>
        <v>1452219.655</v>
      </c>
      <c r="Q560" s="421">
        <f>+Q559+Q525+Q516</f>
        <v>15948898.408500001</v>
      </c>
    </row>
    <row r="561" spans="1:17" ht="22.5" customHeight="1" x14ac:dyDescent="0.3">
      <c r="A561" s="1043" t="s">
        <v>1</v>
      </c>
      <c r="B561" s="1046" t="s">
        <v>2</v>
      </c>
      <c r="C561" s="1049" t="s">
        <v>477</v>
      </c>
      <c r="D561" s="1000" t="s">
        <v>4</v>
      </c>
      <c r="E561" s="1001"/>
      <c r="F561" s="1001"/>
      <c r="G561" s="1001"/>
      <c r="H561" s="1001"/>
      <c r="I561" s="1001"/>
      <c r="J561" s="1001"/>
      <c r="K561" s="1001"/>
      <c r="L561" s="1001"/>
      <c r="M561" s="1001"/>
      <c r="N561" s="1002"/>
      <c r="O561" s="1021" t="s">
        <v>175</v>
      </c>
      <c r="P561" s="1022"/>
      <c r="Q561" s="1052"/>
    </row>
    <row r="562" spans="1:17" ht="22.5" customHeight="1" x14ac:dyDescent="0.3">
      <c r="A562" s="1044"/>
      <c r="B562" s="1047"/>
      <c r="C562" s="1050"/>
      <c r="D562" s="1003" t="s">
        <v>7</v>
      </c>
      <c r="E562" s="1005" t="s">
        <v>115</v>
      </c>
      <c r="F562" s="1053" t="s">
        <v>509</v>
      </c>
      <c r="G562" s="1008"/>
      <c r="H562" s="1008"/>
      <c r="I562" s="1009"/>
      <c r="J562" s="1010" t="s">
        <v>8</v>
      </c>
      <c r="K562" s="1011"/>
      <c r="L562" s="1012"/>
      <c r="M562" s="1013" t="s">
        <v>173</v>
      </c>
      <c r="N562" s="1015" t="s">
        <v>172</v>
      </c>
      <c r="O562" s="1054" t="s">
        <v>177</v>
      </c>
      <c r="P562" s="1055"/>
      <c r="Q562" s="1056"/>
    </row>
    <row r="563" spans="1:17" ht="47.4" thickBot="1" x14ac:dyDescent="0.35">
      <c r="A563" s="1045"/>
      <c r="B563" s="1048"/>
      <c r="C563" s="1051"/>
      <c r="D563" s="1004"/>
      <c r="E563" s="1006"/>
      <c r="F563" s="455" t="s">
        <v>13</v>
      </c>
      <c r="G563" s="456" t="s">
        <v>14</v>
      </c>
      <c r="H563" s="456" t="s">
        <v>15</v>
      </c>
      <c r="I563" s="457" t="s">
        <v>174</v>
      </c>
      <c r="J563" s="712" t="s">
        <v>13</v>
      </c>
      <c r="K563" s="710" t="s">
        <v>14</v>
      </c>
      <c r="L563" s="711" t="s">
        <v>15</v>
      </c>
      <c r="M563" s="1014"/>
      <c r="N563" s="1016"/>
      <c r="O563" s="447" t="s">
        <v>178</v>
      </c>
      <c r="P563" s="448" t="s">
        <v>11</v>
      </c>
      <c r="Q563" s="449" t="s">
        <v>12</v>
      </c>
    </row>
    <row r="564" spans="1:17" ht="23.4" x14ac:dyDescent="0.3">
      <c r="A564" s="271" t="s">
        <v>110</v>
      </c>
      <c r="B564" s="442"/>
      <c r="C564" s="272" t="s">
        <v>266</v>
      </c>
      <c r="D564" s="273"/>
      <c r="E564" s="274"/>
      <c r="F564" s="335">
        <f>+G564+H564</f>
        <v>83190</v>
      </c>
      <c r="G564" s="275">
        <v>78960</v>
      </c>
      <c r="H564" s="275">
        <v>4230</v>
      </c>
      <c r="I564" s="354" t="str">
        <f>IFERROR(F564/#REF!,"-")</f>
        <v>-</v>
      </c>
      <c r="J564" s="461">
        <f>+K564+L564</f>
        <v>246660</v>
      </c>
      <c r="K564" s="462">
        <f>+K502+G564</f>
        <v>235760</v>
      </c>
      <c r="L564" s="463">
        <f>+L502+H564</f>
        <v>10900</v>
      </c>
      <c r="M564" s="339" t="str">
        <f>IFERROR(J564/D564,"-")</f>
        <v>-</v>
      </c>
      <c r="N564" s="346">
        <f t="shared" ref="N564:N565" si="528">IFERROR(L564/J564,"-")</f>
        <v>4.4190383523879023E-2</v>
      </c>
      <c r="O564" s="511">
        <v>1.5669</v>
      </c>
      <c r="P564" s="405">
        <f>+O564*G564</f>
        <v>123722.424</v>
      </c>
      <c r="Q564" s="450">
        <f>+O564*K564</f>
        <v>369412.34399999998</v>
      </c>
    </row>
    <row r="565" spans="1:17" ht="23.4" x14ac:dyDescent="0.3">
      <c r="A565" s="277" t="s">
        <v>110</v>
      </c>
      <c r="B565" s="441"/>
      <c r="C565" s="278" t="s">
        <v>265</v>
      </c>
      <c r="D565" s="279"/>
      <c r="E565" s="280"/>
      <c r="F565" s="336">
        <f t="shared" ref="F565:F568" si="529">+G565+H565</f>
        <v>0</v>
      </c>
      <c r="G565" s="730"/>
      <c r="H565" s="730"/>
      <c r="I565" s="355" t="str">
        <f>IFERROR(F565/#REF!,"-")</f>
        <v>-</v>
      </c>
      <c r="J565" s="336">
        <f t="shared" ref="J565:J568" si="530">+K565+L565</f>
        <v>865204</v>
      </c>
      <c r="K565" s="281">
        <f t="shared" ref="K565:K568" si="531">+K503+G565</f>
        <v>853000</v>
      </c>
      <c r="L565" s="439">
        <f t="shared" ref="L565:L568" si="532">+L503+H565</f>
        <v>12204</v>
      </c>
      <c r="M565" s="340" t="str">
        <f t="shared" ref="M565:M568" si="533">IFERROR(J565/D565,"-")</f>
        <v>-</v>
      </c>
      <c r="N565" s="268">
        <f t="shared" si="528"/>
        <v>1.4105343942006741E-2</v>
      </c>
      <c r="O565" s="512">
        <v>2.3978999999999999</v>
      </c>
      <c r="P565" s="407">
        <f>+O565*G565</f>
        <v>0</v>
      </c>
      <c r="Q565" s="452">
        <f>+O565*K565</f>
        <v>2045408.7</v>
      </c>
    </row>
    <row r="566" spans="1:17" ht="23.4" x14ac:dyDescent="0.3">
      <c r="A566" s="277" t="s">
        <v>110</v>
      </c>
      <c r="B566" s="441"/>
      <c r="C566" s="278" t="s">
        <v>476</v>
      </c>
      <c r="D566" s="279"/>
      <c r="E566" s="280"/>
      <c r="F566" s="336">
        <f t="shared" si="529"/>
        <v>47984</v>
      </c>
      <c r="G566" s="281">
        <v>47000</v>
      </c>
      <c r="H566" s="833">
        <v>984</v>
      </c>
      <c r="I566" s="355" t="str">
        <f>IFERROR(F566/#REF!,"-")</f>
        <v>-</v>
      </c>
      <c r="J566" s="336">
        <f t="shared" si="530"/>
        <v>85734</v>
      </c>
      <c r="K566" s="281">
        <f t="shared" si="531"/>
        <v>68750</v>
      </c>
      <c r="L566" s="439">
        <f t="shared" si="532"/>
        <v>16984</v>
      </c>
      <c r="M566" s="340" t="str">
        <f t="shared" si="533"/>
        <v>-</v>
      </c>
      <c r="N566" s="806">
        <f>IFERROR(L566/J566,"-")</f>
        <v>0.1981011034128817</v>
      </c>
      <c r="O566" s="824">
        <v>3.6777000000000002</v>
      </c>
      <c r="P566" s="407">
        <f t="shared" ref="P566:P568" si="534">+O566*G566</f>
        <v>172851.90000000002</v>
      </c>
      <c r="Q566" s="452">
        <f t="shared" ref="Q566:Q568" si="535">+O566*K566</f>
        <v>252841.875</v>
      </c>
    </row>
    <row r="567" spans="1:17" ht="23.4" x14ac:dyDescent="0.3">
      <c r="A567" s="277"/>
      <c r="B567" s="454"/>
      <c r="C567" s="278" t="s">
        <v>353</v>
      </c>
      <c r="D567" s="283"/>
      <c r="E567" s="284"/>
      <c r="F567" s="336">
        <f t="shared" si="529"/>
        <v>0</v>
      </c>
      <c r="G567" s="285"/>
      <c r="H567" s="285"/>
      <c r="I567" s="355" t="str">
        <f>IFERROR(F567/#REF!,"-")</f>
        <v>-</v>
      </c>
      <c r="J567" s="336">
        <f t="shared" si="530"/>
        <v>158819</v>
      </c>
      <c r="K567" s="281">
        <f t="shared" si="531"/>
        <v>155400</v>
      </c>
      <c r="L567" s="439">
        <f t="shared" si="532"/>
        <v>3419</v>
      </c>
      <c r="M567" s="340" t="str">
        <f t="shared" si="533"/>
        <v>-</v>
      </c>
      <c r="N567" s="268">
        <f>IFERROR(L567/J567,"-")</f>
        <v>2.1527650973749993E-2</v>
      </c>
      <c r="O567" s="513">
        <v>12.284700000000001</v>
      </c>
      <c r="P567" s="407">
        <f t="shared" si="534"/>
        <v>0</v>
      </c>
      <c r="Q567" s="452">
        <f t="shared" si="535"/>
        <v>1909042.3800000001</v>
      </c>
    </row>
    <row r="568" spans="1:17" ht="24" thickBot="1" x14ac:dyDescent="0.35">
      <c r="A568" s="277" t="s">
        <v>110</v>
      </c>
      <c r="B568" s="454"/>
      <c r="C568" s="278" t="s">
        <v>408</v>
      </c>
      <c r="D568" s="283"/>
      <c r="E568" s="284"/>
      <c r="F568" s="337">
        <f t="shared" si="529"/>
        <v>0</v>
      </c>
      <c r="G568" s="285"/>
      <c r="H568" s="285"/>
      <c r="I568" s="356" t="str">
        <f>IFERROR(F568/#REF!,"-")</f>
        <v>-</v>
      </c>
      <c r="J568" s="464">
        <f t="shared" si="530"/>
        <v>177284</v>
      </c>
      <c r="K568" s="465">
        <f t="shared" si="531"/>
        <v>168250</v>
      </c>
      <c r="L568" s="466">
        <f t="shared" si="532"/>
        <v>9034</v>
      </c>
      <c r="M568" s="341" t="str">
        <f t="shared" si="533"/>
        <v>-</v>
      </c>
      <c r="N568" s="347">
        <f t="shared" ref="N568:N580" si="536">IFERROR(L568/J568,"-")</f>
        <v>5.0957785248527787E-2</v>
      </c>
      <c r="O568" s="824">
        <v>7.0612000000000004</v>
      </c>
      <c r="P568" s="408">
        <f t="shared" si="534"/>
        <v>0</v>
      </c>
      <c r="Q568" s="453">
        <f t="shared" si="535"/>
        <v>1188046.9000000001</v>
      </c>
    </row>
    <row r="569" spans="1:17" ht="23.25" customHeight="1" thickBot="1" x14ac:dyDescent="0.35">
      <c r="A569" s="277" t="s">
        <v>110</v>
      </c>
      <c r="B569" s="1038" t="s">
        <v>21</v>
      </c>
      <c r="C569" s="989"/>
      <c r="D569" s="323">
        <f>SUM(D564:D568)</f>
        <v>0</v>
      </c>
      <c r="E569" s="288">
        <v>15000</v>
      </c>
      <c r="F569" s="323">
        <f>SUM(F564:F568)</f>
        <v>131174</v>
      </c>
      <c r="G569" s="324">
        <f>SUM(G564:G568)</f>
        <v>125960</v>
      </c>
      <c r="H569" s="324">
        <f>SUM(H564:H568)</f>
        <v>5214</v>
      </c>
      <c r="I569" s="348" t="str">
        <f>IFERROR(F569/#REF!,"-")</f>
        <v>-</v>
      </c>
      <c r="J569" s="323">
        <f>SUM(J564:J568)</f>
        <v>1533701</v>
      </c>
      <c r="K569" s="324">
        <f>SUM(K564:K568)</f>
        <v>1481160</v>
      </c>
      <c r="L569" s="325">
        <f>SUM(L564:L568)</f>
        <v>52541</v>
      </c>
      <c r="M569" s="342" t="str">
        <f>IFERROR(J569/D569,"-")</f>
        <v>-</v>
      </c>
      <c r="N569" s="348">
        <f t="shared" si="536"/>
        <v>3.4257655175291661E-2</v>
      </c>
      <c r="O569" s="394"/>
      <c r="P569" s="409">
        <f>SUM(P564:P568)</f>
        <v>296574.32400000002</v>
      </c>
      <c r="Q569" s="428">
        <f>SUM(Q564:Q568)</f>
        <v>5764752.199</v>
      </c>
    </row>
    <row r="570" spans="1:17" ht="23.4" x14ac:dyDescent="0.3">
      <c r="A570" s="277" t="s">
        <v>110</v>
      </c>
      <c r="B570" s="442"/>
      <c r="C570" s="272" t="s">
        <v>264</v>
      </c>
      <c r="D570" s="273"/>
      <c r="E570" s="274"/>
      <c r="F570" s="335">
        <f t="shared" ref="F570:F576" si="537">+G570+H570</f>
        <v>0</v>
      </c>
      <c r="G570" s="275"/>
      <c r="H570" s="275"/>
      <c r="I570" s="354" t="str">
        <f>IFERROR(F570/#REF!,"-")</f>
        <v>-</v>
      </c>
      <c r="J570" s="461">
        <f t="shared" ref="J570:J576" si="538">+K570+L570</f>
        <v>34540</v>
      </c>
      <c r="K570" s="462">
        <f t="shared" ref="K570:K576" si="539">+K508+G570</f>
        <v>33840</v>
      </c>
      <c r="L570" s="463">
        <f t="shared" ref="L570:L576" si="540">+L508+H570</f>
        <v>700</v>
      </c>
      <c r="M570" s="339" t="str">
        <f t="shared" ref="M570:M578" si="541">IFERROR(J570/D570,"-")</f>
        <v>-</v>
      </c>
      <c r="N570" s="349">
        <f t="shared" si="536"/>
        <v>2.0266357845975681E-2</v>
      </c>
      <c r="O570" s="511">
        <v>18.2316</v>
      </c>
      <c r="P570" s="405">
        <f t="shared" ref="P570:P576" si="542">+O570*G570</f>
        <v>0</v>
      </c>
      <c r="Q570" s="450">
        <f t="shared" ref="Q570:Q576" si="543">+O570*K570</f>
        <v>616957.34400000004</v>
      </c>
    </row>
    <row r="571" spans="1:17" ht="23.4" x14ac:dyDescent="0.3">
      <c r="A571" s="277" t="s">
        <v>110</v>
      </c>
      <c r="B571" s="441"/>
      <c r="C571" s="278" t="s">
        <v>92</v>
      </c>
      <c r="D571" s="279"/>
      <c r="E571" s="280"/>
      <c r="F571" s="336">
        <f t="shared" si="537"/>
        <v>0</v>
      </c>
      <c r="G571" s="281"/>
      <c r="H571" s="281"/>
      <c r="I571" s="355" t="str">
        <f>IFERROR(F571/#REF!,"-")</f>
        <v>-</v>
      </c>
      <c r="J571" s="336">
        <f t="shared" si="538"/>
        <v>180000</v>
      </c>
      <c r="K571" s="281">
        <f t="shared" si="539"/>
        <v>180000</v>
      </c>
      <c r="L571" s="439">
        <f t="shared" si="540"/>
        <v>0</v>
      </c>
      <c r="M571" s="340" t="str">
        <f t="shared" si="541"/>
        <v>-</v>
      </c>
      <c r="N571" s="264">
        <f t="shared" si="536"/>
        <v>0</v>
      </c>
      <c r="O571" s="512">
        <v>1.2824</v>
      </c>
      <c r="P571" s="407">
        <f t="shared" si="542"/>
        <v>0</v>
      </c>
      <c r="Q571" s="452">
        <f t="shared" si="543"/>
        <v>230832</v>
      </c>
    </row>
    <row r="572" spans="1:17" ht="23.4" x14ac:dyDescent="0.3">
      <c r="A572" s="277" t="s">
        <v>110</v>
      </c>
      <c r="B572" s="441"/>
      <c r="C572" s="278" t="s">
        <v>329</v>
      </c>
      <c r="D572" s="279"/>
      <c r="E572" s="280"/>
      <c r="F572" s="336">
        <f t="shared" si="537"/>
        <v>31200</v>
      </c>
      <c r="G572" s="281">
        <v>31200</v>
      </c>
      <c r="H572" s="281"/>
      <c r="I572" s="355" t="str">
        <f>IFERROR(F572/#REF!,"-")</f>
        <v>-</v>
      </c>
      <c r="J572" s="336">
        <f t="shared" si="538"/>
        <v>31200</v>
      </c>
      <c r="K572" s="281">
        <f t="shared" si="539"/>
        <v>31200</v>
      </c>
      <c r="L572" s="439">
        <f t="shared" si="540"/>
        <v>0</v>
      </c>
      <c r="M572" s="340" t="str">
        <f t="shared" si="541"/>
        <v>-</v>
      </c>
      <c r="N572" s="264">
        <f t="shared" si="536"/>
        <v>0</v>
      </c>
      <c r="O572" s="772">
        <v>5.7342000000000004</v>
      </c>
      <c r="P572" s="407">
        <f t="shared" si="542"/>
        <v>178907.04</v>
      </c>
      <c r="Q572" s="452">
        <f t="shared" si="543"/>
        <v>178907.04</v>
      </c>
    </row>
    <row r="573" spans="1:17" ht="23.4" x14ac:dyDescent="0.3">
      <c r="A573" s="277" t="s">
        <v>110</v>
      </c>
      <c r="B573" s="441"/>
      <c r="C573" s="278" t="s">
        <v>346</v>
      </c>
      <c r="D573" s="279"/>
      <c r="E573" s="280"/>
      <c r="F573" s="336">
        <f t="shared" si="537"/>
        <v>0</v>
      </c>
      <c r="G573" s="281"/>
      <c r="H573" s="281"/>
      <c r="I573" s="355" t="str">
        <f>IFERROR(F573/#REF!,"-")</f>
        <v>-</v>
      </c>
      <c r="J573" s="336">
        <f t="shared" si="538"/>
        <v>0</v>
      </c>
      <c r="K573" s="281">
        <f t="shared" si="539"/>
        <v>0</v>
      </c>
      <c r="L573" s="439">
        <f t="shared" si="540"/>
        <v>0</v>
      </c>
      <c r="M573" s="340" t="str">
        <f t="shared" si="541"/>
        <v>-</v>
      </c>
      <c r="N573" s="264" t="str">
        <f t="shared" si="536"/>
        <v>-</v>
      </c>
      <c r="O573" s="512"/>
      <c r="P573" s="407">
        <f t="shared" si="542"/>
        <v>0</v>
      </c>
      <c r="Q573" s="452">
        <f t="shared" si="543"/>
        <v>0</v>
      </c>
    </row>
    <row r="574" spans="1:17" ht="23.4" x14ac:dyDescent="0.3">
      <c r="A574" s="277" t="s">
        <v>110</v>
      </c>
      <c r="B574" s="441"/>
      <c r="C574" s="278" t="s">
        <v>354</v>
      </c>
      <c r="D574" s="279"/>
      <c r="E574" s="280"/>
      <c r="F574" s="336">
        <f t="shared" si="537"/>
        <v>18082</v>
      </c>
      <c r="G574" s="281">
        <v>18000</v>
      </c>
      <c r="H574" s="281">
        <v>82</v>
      </c>
      <c r="I574" s="355" t="str">
        <f>IFERROR(F574/#REF!,"-")</f>
        <v>-</v>
      </c>
      <c r="J574" s="336">
        <f t="shared" si="538"/>
        <v>109012</v>
      </c>
      <c r="K574" s="281">
        <f t="shared" si="539"/>
        <v>108000</v>
      </c>
      <c r="L574" s="439">
        <f t="shared" si="540"/>
        <v>1012</v>
      </c>
      <c r="M574" s="340" t="str">
        <f t="shared" si="541"/>
        <v>-</v>
      </c>
      <c r="N574" s="264">
        <f t="shared" si="536"/>
        <v>9.2833816460573156E-3</v>
      </c>
      <c r="O574" s="512">
        <v>12.029500000000001</v>
      </c>
      <c r="P574" s="407">
        <f t="shared" si="542"/>
        <v>216531</v>
      </c>
      <c r="Q574" s="452">
        <f t="shared" si="543"/>
        <v>1299186</v>
      </c>
    </row>
    <row r="575" spans="1:17" ht="23.4" x14ac:dyDescent="0.3">
      <c r="A575" s="277" t="s">
        <v>110</v>
      </c>
      <c r="B575" s="441"/>
      <c r="C575" s="278"/>
      <c r="D575" s="279"/>
      <c r="E575" s="280"/>
      <c r="F575" s="336">
        <f t="shared" si="537"/>
        <v>0</v>
      </c>
      <c r="G575" s="281"/>
      <c r="H575" s="281"/>
      <c r="I575" s="355" t="str">
        <f>IFERROR(F575/#REF!,"-")</f>
        <v>-</v>
      </c>
      <c r="J575" s="336">
        <f t="shared" si="538"/>
        <v>0</v>
      </c>
      <c r="K575" s="281">
        <f t="shared" si="539"/>
        <v>0</v>
      </c>
      <c r="L575" s="439">
        <f t="shared" si="540"/>
        <v>0</v>
      </c>
      <c r="M575" s="340" t="str">
        <f t="shared" si="541"/>
        <v>-</v>
      </c>
      <c r="N575" s="264" t="str">
        <f t="shared" si="536"/>
        <v>-</v>
      </c>
      <c r="O575" s="512"/>
      <c r="P575" s="407">
        <f t="shared" si="542"/>
        <v>0</v>
      </c>
      <c r="Q575" s="452">
        <f t="shared" si="543"/>
        <v>0</v>
      </c>
    </row>
    <row r="576" spans="1:17" ht="24" thickBot="1" x14ac:dyDescent="0.35">
      <c r="A576" s="277" t="s">
        <v>110</v>
      </c>
      <c r="B576" s="454"/>
      <c r="C576" s="282"/>
      <c r="D576" s="283">
        <v>0</v>
      </c>
      <c r="E576" s="284"/>
      <c r="F576" s="337">
        <f t="shared" si="537"/>
        <v>0</v>
      </c>
      <c r="G576" s="285"/>
      <c r="H576" s="285"/>
      <c r="I576" s="356" t="str">
        <f>IFERROR(F576/#REF!,"-")</f>
        <v>-</v>
      </c>
      <c r="J576" s="464">
        <f t="shared" si="538"/>
        <v>0</v>
      </c>
      <c r="K576" s="465">
        <f t="shared" si="539"/>
        <v>0</v>
      </c>
      <c r="L576" s="466">
        <f t="shared" si="540"/>
        <v>0</v>
      </c>
      <c r="M576" s="341" t="str">
        <f t="shared" si="541"/>
        <v>-</v>
      </c>
      <c r="N576" s="350" t="str">
        <f t="shared" si="536"/>
        <v>-</v>
      </c>
      <c r="O576" s="513"/>
      <c r="P576" s="408">
        <f t="shared" si="542"/>
        <v>0</v>
      </c>
      <c r="Q576" s="453">
        <f t="shared" si="543"/>
        <v>0</v>
      </c>
    </row>
    <row r="577" spans="1:17" ht="23.25" customHeight="1" thickBot="1" x14ac:dyDescent="0.35">
      <c r="A577" s="277" t="s">
        <v>110</v>
      </c>
      <c r="B577" s="1038" t="s">
        <v>25</v>
      </c>
      <c r="C577" s="989"/>
      <c r="D577" s="323">
        <f t="shared" ref="D577" si="544">SUM(D570:D576)</f>
        <v>0</v>
      </c>
      <c r="E577" s="288">
        <v>100000</v>
      </c>
      <c r="F577" s="323">
        <f>SUM(F570:F576)</f>
        <v>49282</v>
      </c>
      <c r="G577" s="324">
        <f t="shared" ref="G577:H577" si="545">SUM(G570:G576)</f>
        <v>49200</v>
      </c>
      <c r="H577" s="324">
        <f t="shared" si="545"/>
        <v>82</v>
      </c>
      <c r="I577" s="348" t="str">
        <f>IFERROR(F577/#REF!,"-")</f>
        <v>-</v>
      </c>
      <c r="J577" s="323">
        <f t="shared" ref="J577:L577" si="546">SUM(J570:J576)</f>
        <v>354752</v>
      </c>
      <c r="K577" s="324">
        <f t="shared" si="546"/>
        <v>353040</v>
      </c>
      <c r="L577" s="325">
        <f t="shared" si="546"/>
        <v>1712</v>
      </c>
      <c r="M577" s="342" t="str">
        <f t="shared" si="541"/>
        <v>-</v>
      </c>
      <c r="N577" s="348">
        <f t="shared" si="536"/>
        <v>4.8259065488002887E-3</v>
      </c>
      <c r="O577" s="394"/>
      <c r="P577" s="409">
        <f t="shared" ref="P577:Q577" si="547">SUM(P570:P576)</f>
        <v>395438.04000000004</v>
      </c>
      <c r="Q577" s="428">
        <f t="shared" si="547"/>
        <v>2325882.3840000001</v>
      </c>
    </row>
    <row r="578" spans="1:17" ht="23.25" customHeight="1" thickBot="1" x14ac:dyDescent="0.35">
      <c r="A578" s="277" t="s">
        <v>110</v>
      </c>
      <c r="B578" s="1039" t="s">
        <v>180</v>
      </c>
      <c r="C578" s="1040"/>
      <c r="D578" s="329">
        <f>+D569+D577</f>
        <v>0</v>
      </c>
      <c r="E578" s="330">
        <f t="shared" ref="E578:H578" si="548">+E569+E577</f>
        <v>115000</v>
      </c>
      <c r="F578" s="329">
        <f t="shared" si="548"/>
        <v>180456</v>
      </c>
      <c r="G578" s="327">
        <f t="shared" si="548"/>
        <v>175160</v>
      </c>
      <c r="H578" s="327">
        <f t="shared" si="548"/>
        <v>5296</v>
      </c>
      <c r="I578" s="352" t="str">
        <f>IFERROR(F578/#REF!,"-")</f>
        <v>-</v>
      </c>
      <c r="J578" s="329">
        <f t="shared" ref="J578:L578" si="549">+J569+J577</f>
        <v>1888453</v>
      </c>
      <c r="K578" s="327">
        <f t="shared" si="549"/>
        <v>1834200</v>
      </c>
      <c r="L578" s="328">
        <f t="shared" si="549"/>
        <v>54253</v>
      </c>
      <c r="M578" s="344" t="str">
        <f t="shared" si="541"/>
        <v>-</v>
      </c>
      <c r="N578" s="352">
        <f t="shared" si="536"/>
        <v>2.8728806065070191E-2</v>
      </c>
      <c r="O578" s="397"/>
      <c r="P578" s="413">
        <f t="shared" ref="P578:Q578" si="550">+P569+P577</f>
        <v>692012.36400000006</v>
      </c>
      <c r="Q578" s="431">
        <f t="shared" si="550"/>
        <v>8090634.5830000006</v>
      </c>
    </row>
    <row r="579" spans="1:17" ht="23.4" x14ac:dyDescent="0.3">
      <c r="A579" s="244" t="s">
        <v>108</v>
      </c>
      <c r="B579" s="591"/>
      <c r="C579" s="592" t="s">
        <v>306</v>
      </c>
      <c r="D579" s="532"/>
      <c r="E579" s="463"/>
      <c r="F579" s="461">
        <f>+G579+H579</f>
        <v>0</v>
      </c>
      <c r="G579" s="462"/>
      <c r="H579" s="462"/>
      <c r="I579" s="536" t="str">
        <f>IFERROR(F579/#REF!,"-")</f>
        <v>-</v>
      </c>
      <c r="J579" s="461">
        <f>+K579+L579</f>
        <v>0</v>
      </c>
      <c r="K579" s="462">
        <f t="shared" ref="K579:K585" si="551">+K517+G579</f>
        <v>0</v>
      </c>
      <c r="L579" s="463">
        <f t="shared" ref="L579:L585" si="552">+L517+H579</f>
        <v>0</v>
      </c>
      <c r="M579" s="596" t="str">
        <f>IFERROR(J579/D579,"-")</f>
        <v>-</v>
      </c>
      <c r="N579" s="538" t="str">
        <f t="shared" si="536"/>
        <v>-</v>
      </c>
      <c r="O579" s="638">
        <v>4.8285999999999998</v>
      </c>
      <c r="P579" s="539">
        <f t="shared" ref="P579:P585" si="553">+O579*G579</f>
        <v>0</v>
      </c>
      <c r="Q579" s="540">
        <f t="shared" ref="Q579:Q585" si="554">+O579*K579</f>
        <v>0</v>
      </c>
    </row>
    <row r="580" spans="1:17" ht="23.4" x14ac:dyDescent="0.3">
      <c r="A580" s="248" t="s">
        <v>108</v>
      </c>
      <c r="B580" s="593"/>
      <c r="C580" s="278" t="s">
        <v>307</v>
      </c>
      <c r="D580" s="279"/>
      <c r="E580" s="439"/>
      <c r="F580" s="336">
        <f t="shared" ref="F580:F585" si="555">+G580+H580</f>
        <v>0</v>
      </c>
      <c r="G580" s="281"/>
      <c r="H580" s="281"/>
      <c r="I580" s="355" t="str">
        <f>IFERROR(F580/#REF!,"-")</f>
        <v>-</v>
      </c>
      <c r="J580" s="336">
        <f t="shared" ref="J580:J585" si="556">+K580+L580</f>
        <v>0</v>
      </c>
      <c r="K580" s="281">
        <f t="shared" si="551"/>
        <v>0</v>
      </c>
      <c r="L580" s="439">
        <f t="shared" si="552"/>
        <v>0</v>
      </c>
      <c r="M580" s="340" t="str">
        <f t="shared" ref="M580:M582" si="557">IFERROR(J580/D580,"-")</f>
        <v>-</v>
      </c>
      <c r="N580" s="268" t="str">
        <f t="shared" si="536"/>
        <v>-</v>
      </c>
      <c r="O580" s="639">
        <v>1.4086000000000001</v>
      </c>
      <c r="P580" s="407">
        <f t="shared" si="553"/>
        <v>0</v>
      </c>
      <c r="Q580" s="452">
        <f t="shared" si="554"/>
        <v>0</v>
      </c>
    </row>
    <row r="581" spans="1:17" ht="23.4" x14ac:dyDescent="0.3">
      <c r="A581" s="248" t="s">
        <v>108</v>
      </c>
      <c r="B581" s="593"/>
      <c r="C581" s="278" t="s">
        <v>348</v>
      </c>
      <c r="D581" s="279"/>
      <c r="E581" s="439"/>
      <c r="F581" s="336">
        <f t="shared" si="555"/>
        <v>0</v>
      </c>
      <c r="G581" s="281"/>
      <c r="H581" s="281"/>
      <c r="I581" s="355" t="str">
        <f>IFERROR(F581/#REF!,"-")</f>
        <v>-</v>
      </c>
      <c r="J581" s="336">
        <f t="shared" si="556"/>
        <v>0</v>
      </c>
      <c r="K581" s="281">
        <f t="shared" si="551"/>
        <v>0</v>
      </c>
      <c r="L581" s="439">
        <f t="shared" si="552"/>
        <v>0</v>
      </c>
      <c r="M581" s="340" t="str">
        <f t="shared" si="557"/>
        <v>-</v>
      </c>
      <c r="N581" s="268" t="str">
        <f>IFERROR(L581/J581,"-")</f>
        <v>-</v>
      </c>
      <c r="O581" s="639">
        <v>2.2141000000000002</v>
      </c>
      <c r="P581" s="407">
        <f t="shared" si="553"/>
        <v>0</v>
      </c>
      <c r="Q581" s="452">
        <f t="shared" si="554"/>
        <v>0</v>
      </c>
    </row>
    <row r="582" spans="1:17" ht="23.4" x14ac:dyDescent="0.3">
      <c r="A582" s="248" t="s">
        <v>108</v>
      </c>
      <c r="B582" s="594"/>
      <c r="C582" s="278" t="s">
        <v>460</v>
      </c>
      <c r="D582" s="283"/>
      <c r="E582" s="533"/>
      <c r="F582" s="337">
        <f t="shared" si="555"/>
        <v>0</v>
      </c>
      <c r="G582" s="285"/>
      <c r="H582" s="285"/>
      <c r="I582" s="356" t="str">
        <f>IFERROR(F582/#REF!,"-")</f>
        <v>-</v>
      </c>
      <c r="J582" s="336">
        <f t="shared" si="556"/>
        <v>392598</v>
      </c>
      <c r="K582" s="281">
        <f t="shared" si="551"/>
        <v>386500</v>
      </c>
      <c r="L582" s="439">
        <f t="shared" si="552"/>
        <v>6098</v>
      </c>
      <c r="M582" s="341" t="str">
        <f t="shared" si="557"/>
        <v>-</v>
      </c>
      <c r="N582" s="347">
        <f t="shared" ref="N582:N589" si="558">IFERROR(L582/J582,"-")</f>
        <v>1.5532427572224006E-2</v>
      </c>
      <c r="O582" s="639">
        <v>2.2141000000000002</v>
      </c>
      <c r="P582" s="408">
        <f t="shared" si="553"/>
        <v>0</v>
      </c>
      <c r="Q582" s="453">
        <f t="shared" si="554"/>
        <v>855749.65</v>
      </c>
    </row>
    <row r="583" spans="1:17" ht="23.4" x14ac:dyDescent="0.3">
      <c r="A583" s="248" t="s">
        <v>108</v>
      </c>
      <c r="B583" s="443"/>
      <c r="C583" s="637" t="s">
        <v>393</v>
      </c>
      <c r="D583" s="514"/>
      <c r="E583" s="534"/>
      <c r="F583" s="336">
        <f t="shared" si="555"/>
        <v>0</v>
      </c>
      <c r="G583" s="553"/>
      <c r="H583" s="553"/>
      <c r="I583" s="355" t="str">
        <f>IFERROR(F583/#REF!,"-")</f>
        <v>-</v>
      </c>
      <c r="J583" s="336">
        <f t="shared" si="556"/>
        <v>0</v>
      </c>
      <c r="K583" s="281">
        <f t="shared" si="551"/>
        <v>0</v>
      </c>
      <c r="L583" s="439">
        <f t="shared" si="552"/>
        <v>0</v>
      </c>
      <c r="M583" s="725"/>
      <c r="N583" s="268" t="str">
        <f t="shared" si="558"/>
        <v>-</v>
      </c>
      <c r="O583" s="545">
        <v>4.8285999999999998</v>
      </c>
      <c r="P583" s="407">
        <f t="shared" si="553"/>
        <v>0</v>
      </c>
      <c r="Q583" s="452">
        <f t="shared" si="554"/>
        <v>0</v>
      </c>
    </row>
    <row r="584" spans="1:17" ht="23.4" x14ac:dyDescent="0.3">
      <c r="A584" s="248" t="s">
        <v>108</v>
      </c>
      <c r="B584" s="595"/>
      <c r="C584" s="637" t="s">
        <v>389</v>
      </c>
      <c r="D584" s="273"/>
      <c r="E584" s="438"/>
      <c r="F584" s="335">
        <f t="shared" si="555"/>
        <v>0</v>
      </c>
      <c r="G584" s="275"/>
      <c r="H584" s="275"/>
      <c r="I584" s="354" t="str">
        <f>IFERROR(F584/#REF!,"-")</f>
        <v>-</v>
      </c>
      <c r="J584" s="336">
        <f t="shared" si="556"/>
        <v>0</v>
      </c>
      <c r="K584" s="281">
        <f t="shared" si="551"/>
        <v>0</v>
      </c>
      <c r="L584" s="439">
        <f t="shared" si="552"/>
        <v>0</v>
      </c>
      <c r="M584" s="339" t="str">
        <f t="shared" ref="M584:M585" si="559">IFERROR(J584/D584,"-")</f>
        <v>-</v>
      </c>
      <c r="N584" s="349" t="str">
        <f t="shared" si="558"/>
        <v>-</v>
      </c>
      <c r="O584" s="511">
        <v>4.1712999999999996</v>
      </c>
      <c r="P584" s="405">
        <f t="shared" si="553"/>
        <v>0</v>
      </c>
      <c r="Q584" s="450">
        <f t="shared" si="554"/>
        <v>0</v>
      </c>
    </row>
    <row r="585" spans="1:17" ht="24" thickBot="1" x14ac:dyDescent="0.35">
      <c r="A585" s="248" t="s">
        <v>108</v>
      </c>
      <c r="B585" s="593"/>
      <c r="C585" s="278"/>
      <c r="D585" s="279"/>
      <c r="E585" s="439"/>
      <c r="F585" s="336">
        <f t="shared" si="555"/>
        <v>0</v>
      </c>
      <c r="G585" s="281"/>
      <c r="H585" s="281"/>
      <c r="I585" s="355" t="str">
        <f>IFERROR(F585/#REF!,"-")</f>
        <v>-</v>
      </c>
      <c r="J585" s="464">
        <f t="shared" si="556"/>
        <v>0</v>
      </c>
      <c r="K585" s="465">
        <f t="shared" si="551"/>
        <v>0</v>
      </c>
      <c r="L585" s="466">
        <f t="shared" si="552"/>
        <v>0</v>
      </c>
      <c r="M585" s="340" t="str">
        <f t="shared" si="559"/>
        <v>-</v>
      </c>
      <c r="N585" s="264" t="str">
        <f t="shared" si="558"/>
        <v>-</v>
      </c>
      <c r="O585" s="451"/>
      <c r="P585" s="407">
        <f t="shared" si="553"/>
        <v>0</v>
      </c>
      <c r="Q585" s="452">
        <f t="shared" si="554"/>
        <v>0</v>
      </c>
    </row>
    <row r="586" spans="1:17" ht="23.25" customHeight="1" thickBot="1" x14ac:dyDescent="0.35">
      <c r="A586" s="277" t="s">
        <v>108</v>
      </c>
      <c r="B586" s="1038" t="s">
        <v>21</v>
      </c>
      <c r="C586" s="989"/>
      <c r="D586" s="323">
        <v>0</v>
      </c>
      <c r="E586" s="288">
        <v>15000</v>
      </c>
      <c r="F586" s="323">
        <f>SUM(F579:F585)</f>
        <v>0</v>
      </c>
      <c r="G586" s="324">
        <f t="shared" ref="G586:H586" si="560">SUM(G579:G585)</f>
        <v>0</v>
      </c>
      <c r="H586" s="324">
        <f t="shared" si="560"/>
        <v>0</v>
      </c>
      <c r="I586" s="348" t="str">
        <f>IFERROR(F586/#REF!,"-")</f>
        <v>-</v>
      </c>
      <c r="J586" s="518">
        <f t="shared" ref="J586" si="561">SUM(J579:J585)</f>
        <v>392598</v>
      </c>
      <c r="K586" s="524">
        <f>SUM(K579:K585)</f>
        <v>386500</v>
      </c>
      <c r="L586" s="524">
        <f>SUM(L579:L585)</f>
        <v>6098</v>
      </c>
      <c r="M586" s="342" t="str">
        <f>IFERROR(J586/D586,"-")</f>
        <v>-</v>
      </c>
      <c r="N586" s="348">
        <f t="shared" si="558"/>
        <v>1.5532427572224006E-2</v>
      </c>
      <c r="O586" s="394"/>
      <c r="P586" s="409">
        <f>SUM(P579:P585)</f>
        <v>0</v>
      </c>
      <c r="Q586" s="428">
        <f>SUM(Q579:Q585)</f>
        <v>855749.65</v>
      </c>
    </row>
    <row r="587" spans="1:17" ht="23.25" customHeight="1" thickBot="1" x14ac:dyDescent="0.35">
      <c r="A587" s="277" t="s">
        <v>108</v>
      </c>
      <c r="B587" s="1039" t="s">
        <v>268</v>
      </c>
      <c r="C587" s="1040"/>
      <c r="D587" s="517">
        <f>+D583+D586</f>
        <v>0</v>
      </c>
      <c r="E587" s="530">
        <f>+E583+E586</f>
        <v>15000</v>
      </c>
      <c r="F587" s="517">
        <f>+F583+F586</f>
        <v>0</v>
      </c>
      <c r="G587" s="519">
        <f>+G583+G586</f>
        <v>0</v>
      </c>
      <c r="H587" s="519">
        <f>+H583+H586</f>
        <v>0</v>
      </c>
      <c r="I587" s="520" t="str">
        <f>IFERROR(F587/#REF!,"-")</f>
        <v>-</v>
      </c>
      <c r="J587" s="517">
        <f>+J583+J586</f>
        <v>392598</v>
      </c>
      <c r="K587" s="519">
        <f>+K586</f>
        <v>386500</v>
      </c>
      <c r="L587" s="519">
        <f>+L586</f>
        <v>6098</v>
      </c>
      <c r="M587" s="521" t="str">
        <f t="shared" ref="M587" si="562">IFERROR(J587/D587,"-")</f>
        <v>-</v>
      </c>
      <c r="N587" s="520">
        <f t="shared" si="558"/>
        <v>1.5532427572224006E-2</v>
      </c>
      <c r="O587" s="522"/>
      <c r="P587" s="523">
        <f>+P586</f>
        <v>0</v>
      </c>
      <c r="Q587" s="523">
        <f>+Q586</f>
        <v>855749.65</v>
      </c>
    </row>
    <row r="588" spans="1:17" ht="23.4" x14ac:dyDescent="0.4">
      <c r="A588" s="244" t="s">
        <v>108</v>
      </c>
      <c r="B588" s="1035" t="s">
        <v>270</v>
      </c>
      <c r="C588" s="547" t="s">
        <v>74</v>
      </c>
      <c r="D588" s="532"/>
      <c r="E588" s="463"/>
      <c r="F588" s="461">
        <f>+G588+H588</f>
        <v>5005</v>
      </c>
      <c r="G588" s="462">
        <v>5000</v>
      </c>
      <c r="H588" s="462">
        <v>5</v>
      </c>
      <c r="I588" s="536" t="str">
        <f>IFERROR(F588/#REF!,"-")</f>
        <v>-</v>
      </c>
      <c r="J588" s="461">
        <f>+K588+L588</f>
        <v>27108</v>
      </c>
      <c r="K588" s="462">
        <f t="shared" ref="K588:K619" si="563">+K526+G588</f>
        <v>27000</v>
      </c>
      <c r="L588" s="463">
        <f t="shared" ref="L588:L619" si="564">+L526+H588</f>
        <v>108</v>
      </c>
      <c r="M588" s="596" t="str">
        <f>IFERROR(J588/D588,"-")</f>
        <v>-</v>
      </c>
      <c r="N588" s="538">
        <f t="shared" si="558"/>
        <v>3.9840637450199202E-3</v>
      </c>
      <c r="O588" s="543">
        <v>32.946300000000001</v>
      </c>
      <c r="P588" s="539">
        <f t="shared" ref="P588:P619" si="565">+O588*G588</f>
        <v>164731.5</v>
      </c>
      <c r="Q588" s="540">
        <f t="shared" ref="Q588:Q619" si="566">+O588*K588</f>
        <v>889550.1</v>
      </c>
    </row>
    <row r="589" spans="1:17" ht="23.4" x14ac:dyDescent="0.4">
      <c r="A589" s="248" t="s">
        <v>108</v>
      </c>
      <c r="B589" s="1036"/>
      <c r="C589" s="548" t="s">
        <v>75</v>
      </c>
      <c r="D589" s="516"/>
      <c r="E589" s="439"/>
      <c r="F589" s="336">
        <f t="shared" ref="F589:F619" si="567">+G589+H589</f>
        <v>0</v>
      </c>
      <c r="G589" s="281"/>
      <c r="H589" s="281"/>
      <c r="I589" s="355" t="str">
        <f>IFERROR(F589/#REF!,"-")</f>
        <v>-</v>
      </c>
      <c r="J589" s="336">
        <f t="shared" ref="J589:J619" si="568">+K589+L589</f>
        <v>15076</v>
      </c>
      <c r="K589" s="281">
        <f t="shared" si="563"/>
        <v>15000</v>
      </c>
      <c r="L589" s="439">
        <f t="shared" si="564"/>
        <v>76</v>
      </c>
      <c r="M589" s="340" t="str">
        <f t="shared" ref="M589:M591" si="569">IFERROR(J589/D589,"-")</f>
        <v>-</v>
      </c>
      <c r="N589" s="268">
        <f t="shared" si="558"/>
        <v>5.0411249668347044E-3</v>
      </c>
      <c r="O589" s="512">
        <v>35.398400000000002</v>
      </c>
      <c r="P589" s="407">
        <f t="shared" si="565"/>
        <v>0</v>
      </c>
      <c r="Q589" s="452">
        <f t="shared" si="566"/>
        <v>530976</v>
      </c>
    </row>
    <row r="590" spans="1:17" ht="24" thickBot="1" x14ac:dyDescent="0.45">
      <c r="A590" s="248" t="s">
        <v>108</v>
      </c>
      <c r="B590" s="1037"/>
      <c r="C590" s="548" t="s">
        <v>76</v>
      </c>
      <c r="D590" s="279"/>
      <c r="E590" s="439"/>
      <c r="F590" s="336">
        <f t="shared" si="567"/>
        <v>0</v>
      </c>
      <c r="G590" s="281"/>
      <c r="H590" s="281"/>
      <c r="I590" s="355" t="str">
        <f>IFERROR(F590/#REF!,"-")</f>
        <v>-</v>
      </c>
      <c r="J590" s="336">
        <f t="shared" si="568"/>
        <v>0</v>
      </c>
      <c r="K590" s="281">
        <f t="shared" si="563"/>
        <v>0</v>
      </c>
      <c r="L590" s="439">
        <f t="shared" si="564"/>
        <v>0</v>
      </c>
      <c r="M590" s="340" t="str">
        <f t="shared" si="569"/>
        <v>-</v>
      </c>
      <c r="N590" s="268" t="str">
        <f>IFERROR(L590/J590,"-")</f>
        <v>-</v>
      </c>
      <c r="O590" s="512">
        <v>32.946300000000001</v>
      </c>
      <c r="P590" s="407">
        <f t="shared" si="565"/>
        <v>0</v>
      </c>
      <c r="Q590" s="452">
        <f t="shared" si="566"/>
        <v>0</v>
      </c>
    </row>
    <row r="591" spans="1:17" ht="23.4" x14ac:dyDescent="0.4">
      <c r="A591" s="248" t="s">
        <v>108</v>
      </c>
      <c r="B591" s="1035" t="s">
        <v>271</v>
      </c>
      <c r="C591" s="550" t="s">
        <v>78</v>
      </c>
      <c r="D591" s="279"/>
      <c r="E591" s="533"/>
      <c r="F591" s="337">
        <f t="shared" si="567"/>
        <v>5119</v>
      </c>
      <c r="G591" s="281">
        <v>4800</v>
      </c>
      <c r="H591" s="281">
        <v>319</v>
      </c>
      <c r="I591" s="355" t="str">
        <f>IFERROR(F591/#REF!,"-")</f>
        <v>-</v>
      </c>
      <c r="J591" s="336">
        <f t="shared" si="568"/>
        <v>15356</v>
      </c>
      <c r="K591" s="281">
        <f t="shared" si="563"/>
        <v>14401</v>
      </c>
      <c r="L591" s="439">
        <f t="shared" si="564"/>
        <v>955</v>
      </c>
      <c r="M591" s="340" t="str">
        <f t="shared" si="569"/>
        <v>-</v>
      </c>
      <c r="N591" s="268">
        <f t="shared" ref="N591" si="570">IFERROR(L591/J591,"-")</f>
        <v>6.2190674654858037E-2</v>
      </c>
      <c r="O591" s="512">
        <v>55.4758</v>
      </c>
      <c r="P591" s="407">
        <f t="shared" si="565"/>
        <v>266283.84000000003</v>
      </c>
      <c r="Q591" s="452">
        <f t="shared" si="566"/>
        <v>798906.99580000003</v>
      </c>
    </row>
    <row r="592" spans="1:17" ht="23.4" x14ac:dyDescent="0.4">
      <c r="A592" s="248" t="s">
        <v>108</v>
      </c>
      <c r="B592" s="1036"/>
      <c r="C592" s="550" t="s">
        <v>75</v>
      </c>
      <c r="D592" s="279"/>
      <c r="E592" s="534"/>
      <c r="F592" s="337">
        <f t="shared" si="567"/>
        <v>0</v>
      </c>
      <c r="G592" s="281"/>
      <c r="H592" s="281"/>
      <c r="I592" s="355" t="str">
        <f>IFERROR(F592/#REF!,"-")</f>
        <v>-</v>
      </c>
      <c r="J592" s="336">
        <f t="shared" si="568"/>
        <v>8448</v>
      </c>
      <c r="K592" s="281">
        <f t="shared" si="563"/>
        <v>6800</v>
      </c>
      <c r="L592" s="439">
        <f t="shared" si="564"/>
        <v>1648</v>
      </c>
      <c r="M592" s="725"/>
      <c r="N592" s="375"/>
      <c r="O592" s="545">
        <v>58.836300000000001</v>
      </c>
      <c r="P592" s="407">
        <f t="shared" si="565"/>
        <v>0</v>
      </c>
      <c r="Q592" s="452">
        <f t="shared" si="566"/>
        <v>400086.84</v>
      </c>
    </row>
    <row r="593" spans="1:17" ht="23.4" x14ac:dyDescent="0.4">
      <c r="A593" s="248" t="s">
        <v>108</v>
      </c>
      <c r="B593" s="1036"/>
      <c r="C593" s="550" t="s">
        <v>386</v>
      </c>
      <c r="D593" s="279"/>
      <c r="E593" s="438"/>
      <c r="F593" s="337">
        <f t="shared" si="567"/>
        <v>0</v>
      </c>
      <c r="G593" s="281"/>
      <c r="H593" s="281"/>
      <c r="I593" s="355" t="str">
        <f>IFERROR(F593/#REF!,"-")</f>
        <v>-</v>
      </c>
      <c r="J593" s="336">
        <f t="shared" si="568"/>
        <v>3290</v>
      </c>
      <c r="K593" s="281">
        <f t="shared" si="563"/>
        <v>2800</v>
      </c>
      <c r="L593" s="439">
        <f t="shared" si="564"/>
        <v>490</v>
      </c>
      <c r="M593" s="340" t="str">
        <f t="shared" ref="M593" si="571">IFERROR(J593/D593,"-")</f>
        <v>-</v>
      </c>
      <c r="N593" s="264">
        <f t="shared" ref="N593" si="572">IFERROR(L593/J593,"-")</f>
        <v>0.14893617021276595</v>
      </c>
      <c r="O593" s="512">
        <v>55.4758</v>
      </c>
      <c r="P593" s="407">
        <f t="shared" si="565"/>
        <v>0</v>
      </c>
      <c r="Q593" s="452">
        <f t="shared" si="566"/>
        <v>155332.24</v>
      </c>
    </row>
    <row r="594" spans="1:17" ht="24" thickBot="1" x14ac:dyDescent="0.45">
      <c r="A594" s="248"/>
      <c r="B594" s="1037"/>
      <c r="C594" s="550" t="s">
        <v>404</v>
      </c>
      <c r="D594" s="279"/>
      <c r="E594" s="438"/>
      <c r="F594" s="337">
        <f t="shared" si="567"/>
        <v>0</v>
      </c>
      <c r="G594" s="281"/>
      <c r="H594" s="281"/>
      <c r="I594" s="355"/>
      <c r="J594" s="336">
        <f t="shared" si="568"/>
        <v>2220</v>
      </c>
      <c r="K594" s="281">
        <f t="shared" si="563"/>
        <v>2064</v>
      </c>
      <c r="L594" s="439">
        <f t="shared" si="564"/>
        <v>156</v>
      </c>
      <c r="M594" s="340"/>
      <c r="N594" s="264">
        <f>IFERROR(L594/J594,"-")</f>
        <v>7.0270270270270274E-2</v>
      </c>
      <c r="O594" s="512">
        <v>55.4758</v>
      </c>
      <c r="P594" s="407">
        <f t="shared" si="565"/>
        <v>0</v>
      </c>
      <c r="Q594" s="452">
        <f t="shared" si="566"/>
        <v>114502.0512</v>
      </c>
    </row>
    <row r="595" spans="1:17" ht="23.4" x14ac:dyDescent="0.4">
      <c r="A595" s="248" t="s">
        <v>108</v>
      </c>
      <c r="B595" s="1035" t="s">
        <v>490</v>
      </c>
      <c r="C595" s="548" t="s">
        <v>80</v>
      </c>
      <c r="D595" s="279"/>
      <c r="E595" s="439"/>
      <c r="F595" s="336">
        <f t="shared" si="567"/>
        <v>0</v>
      </c>
      <c r="G595" s="281"/>
      <c r="H595" s="281"/>
      <c r="I595" s="355" t="str">
        <f>IFERROR(F595/#REF!,"-")</f>
        <v>-</v>
      </c>
      <c r="J595" s="336">
        <f t="shared" si="568"/>
        <v>1170</v>
      </c>
      <c r="K595" s="281">
        <f t="shared" si="563"/>
        <v>1100</v>
      </c>
      <c r="L595" s="439">
        <f t="shared" si="564"/>
        <v>70</v>
      </c>
      <c r="M595" s="340" t="str">
        <f t="shared" ref="M595:M622" si="573">IFERROR(J595/D595,"-")</f>
        <v>-</v>
      </c>
      <c r="N595" s="264">
        <f t="shared" ref="N595:N621" si="574">IFERROR(L595/J595,"-")</f>
        <v>5.9829059829059832E-2</v>
      </c>
      <c r="O595" s="512">
        <v>25.687200000000001</v>
      </c>
      <c r="P595" s="407">
        <f t="shared" si="565"/>
        <v>0</v>
      </c>
      <c r="Q595" s="452">
        <f t="shared" si="566"/>
        <v>28255.920000000002</v>
      </c>
    </row>
    <row r="596" spans="1:17" ht="24" thickBot="1" x14ac:dyDescent="0.45">
      <c r="A596" s="248" t="s">
        <v>108</v>
      </c>
      <c r="B596" s="1037"/>
      <c r="C596" s="548" t="s">
        <v>124</v>
      </c>
      <c r="D596" s="279"/>
      <c r="E596" s="439"/>
      <c r="F596" s="336">
        <f t="shared" si="567"/>
        <v>0</v>
      </c>
      <c r="G596" s="281"/>
      <c r="H596" s="281"/>
      <c r="I596" s="355" t="str">
        <f>IFERROR(F596/#REF!,"-")</f>
        <v>-</v>
      </c>
      <c r="J596" s="336">
        <f t="shared" si="568"/>
        <v>0</v>
      </c>
      <c r="K596" s="281">
        <f t="shared" si="563"/>
        <v>0</v>
      </c>
      <c r="L596" s="439">
        <f t="shared" si="564"/>
        <v>0</v>
      </c>
      <c r="M596" s="340" t="str">
        <f t="shared" si="573"/>
        <v>-</v>
      </c>
      <c r="N596" s="264" t="str">
        <f t="shared" si="574"/>
        <v>-</v>
      </c>
      <c r="O596" s="512">
        <v>25.033899999999999</v>
      </c>
      <c r="P596" s="407">
        <f t="shared" si="565"/>
        <v>0</v>
      </c>
      <c r="Q596" s="452">
        <f t="shared" si="566"/>
        <v>0</v>
      </c>
    </row>
    <row r="597" spans="1:17" ht="23.4" x14ac:dyDescent="0.4">
      <c r="A597" s="248"/>
      <c r="B597" s="1035" t="s">
        <v>491</v>
      </c>
      <c r="C597" s="548" t="s">
        <v>82</v>
      </c>
      <c r="D597" s="279"/>
      <c r="E597" s="439"/>
      <c r="F597" s="336">
        <f t="shared" si="567"/>
        <v>0</v>
      </c>
      <c r="G597" s="281"/>
      <c r="H597" s="281"/>
      <c r="I597" s="355" t="str">
        <f>IFERROR(F597/#REF!,"-")</f>
        <v>-</v>
      </c>
      <c r="J597" s="336">
        <f t="shared" si="568"/>
        <v>7837</v>
      </c>
      <c r="K597" s="281">
        <f t="shared" si="563"/>
        <v>7800</v>
      </c>
      <c r="L597" s="439">
        <f t="shared" si="564"/>
        <v>37</v>
      </c>
      <c r="M597" s="340" t="str">
        <f t="shared" si="573"/>
        <v>-</v>
      </c>
      <c r="N597" s="264">
        <f t="shared" si="574"/>
        <v>4.7211943345667985E-3</v>
      </c>
      <c r="O597" s="512">
        <v>41.992699999999999</v>
      </c>
      <c r="P597" s="407">
        <f t="shared" si="565"/>
        <v>0</v>
      </c>
      <c r="Q597" s="452">
        <f t="shared" si="566"/>
        <v>327543.06</v>
      </c>
    </row>
    <row r="598" spans="1:17" ht="23.4" x14ac:dyDescent="0.4">
      <c r="A598" s="248"/>
      <c r="B598" s="1036"/>
      <c r="C598" s="548" t="s">
        <v>75</v>
      </c>
      <c r="D598" s="279"/>
      <c r="E598" s="439"/>
      <c r="F598" s="336">
        <f t="shared" si="567"/>
        <v>0</v>
      </c>
      <c r="G598" s="281"/>
      <c r="H598" s="281"/>
      <c r="I598" s="355" t="str">
        <f>IFERROR(F598/#REF!,"-")</f>
        <v>-</v>
      </c>
      <c r="J598" s="336">
        <f t="shared" si="568"/>
        <v>45</v>
      </c>
      <c r="K598" s="281">
        <f t="shared" si="563"/>
        <v>45</v>
      </c>
      <c r="L598" s="439">
        <f t="shared" si="564"/>
        <v>0</v>
      </c>
      <c r="M598" s="340" t="str">
        <f t="shared" si="573"/>
        <v>-</v>
      </c>
      <c r="N598" s="264">
        <f t="shared" si="574"/>
        <v>0</v>
      </c>
      <c r="O598" s="512">
        <v>42.283799999999999</v>
      </c>
      <c r="P598" s="407">
        <f t="shared" si="565"/>
        <v>0</v>
      </c>
      <c r="Q598" s="452">
        <f t="shared" si="566"/>
        <v>1902.771</v>
      </c>
    </row>
    <row r="599" spans="1:17" ht="23.4" x14ac:dyDescent="0.4">
      <c r="A599" s="248"/>
      <c r="B599" s="1036"/>
      <c r="C599" s="548" t="s">
        <v>450</v>
      </c>
      <c r="D599" s="279"/>
      <c r="E599" s="439"/>
      <c r="F599" s="336">
        <f t="shared" si="567"/>
        <v>0</v>
      </c>
      <c r="G599" s="281"/>
      <c r="H599" s="281"/>
      <c r="I599" s="355" t="str">
        <f>IFERROR(F599/#REF!,"-")</f>
        <v>-</v>
      </c>
      <c r="J599" s="336">
        <f t="shared" si="568"/>
        <v>1140</v>
      </c>
      <c r="K599" s="281">
        <f t="shared" si="563"/>
        <v>1140</v>
      </c>
      <c r="L599" s="439">
        <f t="shared" si="564"/>
        <v>0</v>
      </c>
      <c r="M599" s="340" t="str">
        <f t="shared" si="573"/>
        <v>-</v>
      </c>
      <c r="N599" s="264">
        <f t="shared" si="574"/>
        <v>0</v>
      </c>
      <c r="O599" s="772">
        <v>41.992699999999999</v>
      </c>
      <c r="P599" s="407">
        <f t="shared" si="565"/>
        <v>0</v>
      </c>
      <c r="Q599" s="452">
        <f t="shared" si="566"/>
        <v>47871.678</v>
      </c>
    </row>
    <row r="600" spans="1:17" ht="24" thickBot="1" x14ac:dyDescent="0.45">
      <c r="A600" s="248"/>
      <c r="B600" s="1037"/>
      <c r="C600" s="548" t="s">
        <v>451</v>
      </c>
      <c r="D600" s="279"/>
      <c r="E600" s="439"/>
      <c r="F600" s="336">
        <f t="shared" si="567"/>
        <v>0</v>
      </c>
      <c r="G600" s="281"/>
      <c r="H600" s="281"/>
      <c r="I600" s="355" t="str">
        <f>IFERROR(F600/#REF!,"-")</f>
        <v>-</v>
      </c>
      <c r="J600" s="336">
        <f t="shared" si="568"/>
        <v>712</v>
      </c>
      <c r="K600" s="281">
        <f t="shared" si="563"/>
        <v>660</v>
      </c>
      <c r="L600" s="439">
        <f t="shared" si="564"/>
        <v>52</v>
      </c>
      <c r="M600" s="340" t="str">
        <f t="shared" si="573"/>
        <v>-</v>
      </c>
      <c r="N600" s="264">
        <f t="shared" si="574"/>
        <v>7.3033707865168537E-2</v>
      </c>
      <c r="O600" s="772">
        <v>42.283799999999999</v>
      </c>
      <c r="P600" s="407">
        <f t="shared" si="565"/>
        <v>0</v>
      </c>
      <c r="Q600" s="452">
        <f t="shared" si="566"/>
        <v>27907.308000000001</v>
      </c>
    </row>
    <row r="601" spans="1:17" ht="24" thickBot="1" x14ac:dyDescent="0.45">
      <c r="A601" s="248"/>
      <c r="B601" s="815" t="s">
        <v>83</v>
      </c>
      <c r="C601" s="548" t="s">
        <v>84</v>
      </c>
      <c r="D601" s="279"/>
      <c r="E601" s="439"/>
      <c r="F601" s="336">
        <f t="shared" si="567"/>
        <v>0</v>
      </c>
      <c r="G601" s="281"/>
      <c r="H601" s="281"/>
      <c r="I601" s="355" t="str">
        <f>IFERROR(F601/#REF!,"-")</f>
        <v>-</v>
      </c>
      <c r="J601" s="336">
        <f t="shared" si="568"/>
        <v>0</v>
      </c>
      <c r="K601" s="281">
        <f t="shared" si="563"/>
        <v>0</v>
      </c>
      <c r="L601" s="439">
        <f t="shared" si="564"/>
        <v>0</v>
      </c>
      <c r="M601" s="340" t="str">
        <f t="shared" si="573"/>
        <v>-</v>
      </c>
      <c r="N601" s="264" t="str">
        <f t="shared" si="574"/>
        <v>-</v>
      </c>
      <c r="O601" s="512">
        <v>4.3535000000000004</v>
      </c>
      <c r="P601" s="407">
        <f t="shared" si="565"/>
        <v>0</v>
      </c>
      <c r="Q601" s="452">
        <f t="shared" si="566"/>
        <v>0</v>
      </c>
    </row>
    <row r="602" spans="1:17" ht="23.4" x14ac:dyDescent="0.4">
      <c r="A602" s="248"/>
      <c r="B602" s="1035" t="s">
        <v>273</v>
      </c>
      <c r="C602" s="548" t="s">
        <v>80</v>
      </c>
      <c r="D602" s="279"/>
      <c r="E602" s="439"/>
      <c r="F602" s="336">
        <f t="shared" si="567"/>
        <v>0</v>
      </c>
      <c r="G602" s="281"/>
      <c r="H602" s="281"/>
      <c r="I602" s="355" t="str">
        <f>IFERROR(F602/#REF!,"-")</f>
        <v>-</v>
      </c>
      <c r="J602" s="336">
        <f t="shared" si="568"/>
        <v>0</v>
      </c>
      <c r="K602" s="281">
        <f t="shared" si="563"/>
        <v>0</v>
      </c>
      <c r="L602" s="439">
        <f t="shared" si="564"/>
        <v>0</v>
      </c>
      <c r="M602" s="340" t="str">
        <f t="shared" si="573"/>
        <v>-</v>
      </c>
      <c r="N602" s="264" t="str">
        <f t="shared" si="574"/>
        <v>-</v>
      </c>
      <c r="O602" s="512">
        <v>4.6184000000000003</v>
      </c>
      <c r="P602" s="407">
        <f t="shared" si="565"/>
        <v>0</v>
      </c>
      <c r="Q602" s="452">
        <f t="shared" si="566"/>
        <v>0</v>
      </c>
    </row>
    <row r="603" spans="1:17" ht="23.4" x14ac:dyDescent="0.4">
      <c r="A603" s="248"/>
      <c r="B603" s="1036"/>
      <c r="C603" s="548" t="s">
        <v>378</v>
      </c>
      <c r="D603" s="279"/>
      <c r="E603" s="439"/>
      <c r="F603" s="336">
        <f t="shared" si="567"/>
        <v>0</v>
      </c>
      <c r="G603" s="281"/>
      <c r="H603" s="281"/>
      <c r="I603" s="355" t="str">
        <f>IFERROR(F603/#REF!,"-")</f>
        <v>-</v>
      </c>
      <c r="J603" s="336">
        <f t="shared" si="568"/>
        <v>0</v>
      </c>
      <c r="K603" s="281">
        <f t="shared" si="563"/>
        <v>0</v>
      </c>
      <c r="L603" s="439">
        <f t="shared" si="564"/>
        <v>0</v>
      </c>
      <c r="M603" s="340" t="str">
        <f t="shared" si="573"/>
        <v>-</v>
      </c>
      <c r="N603" s="264" t="str">
        <f t="shared" si="574"/>
        <v>-</v>
      </c>
      <c r="O603" s="512">
        <v>4.6184000000000003</v>
      </c>
      <c r="P603" s="407">
        <f t="shared" si="565"/>
        <v>0</v>
      </c>
      <c r="Q603" s="452">
        <f t="shared" si="566"/>
        <v>0</v>
      </c>
    </row>
    <row r="604" spans="1:17" ht="23.4" x14ac:dyDescent="0.4">
      <c r="A604" s="248"/>
      <c r="B604" s="1036"/>
      <c r="C604" s="548" t="s">
        <v>272</v>
      </c>
      <c r="D604" s="279"/>
      <c r="E604" s="439"/>
      <c r="F604" s="336">
        <f t="shared" si="567"/>
        <v>0</v>
      </c>
      <c r="G604" s="281"/>
      <c r="H604" s="281"/>
      <c r="I604" s="355" t="str">
        <f>IFERROR(F604/#REF!,"-")</f>
        <v>-</v>
      </c>
      <c r="J604" s="336">
        <f t="shared" si="568"/>
        <v>0</v>
      </c>
      <c r="K604" s="281">
        <f t="shared" si="563"/>
        <v>0</v>
      </c>
      <c r="L604" s="439">
        <f t="shared" si="564"/>
        <v>0</v>
      </c>
      <c r="M604" s="340" t="str">
        <f t="shared" si="573"/>
        <v>-</v>
      </c>
      <c r="N604" s="264" t="str">
        <f t="shared" si="574"/>
        <v>-</v>
      </c>
      <c r="O604" s="512">
        <v>4.6184000000000003</v>
      </c>
      <c r="P604" s="407">
        <f t="shared" si="565"/>
        <v>0</v>
      </c>
      <c r="Q604" s="452">
        <f t="shared" si="566"/>
        <v>0</v>
      </c>
    </row>
    <row r="605" spans="1:17" ht="23.4" x14ac:dyDescent="0.4">
      <c r="A605" s="248"/>
      <c r="B605" s="1036"/>
      <c r="C605" s="548" t="s">
        <v>390</v>
      </c>
      <c r="D605" s="279"/>
      <c r="E605" s="439"/>
      <c r="F605" s="336">
        <f t="shared" si="567"/>
        <v>43321</v>
      </c>
      <c r="G605" s="281">
        <v>43000</v>
      </c>
      <c r="H605" s="281">
        <v>321</v>
      </c>
      <c r="I605" s="355" t="str">
        <f>IFERROR(F605/#REF!,"-")</f>
        <v>-</v>
      </c>
      <c r="J605" s="336">
        <f t="shared" si="568"/>
        <v>492984</v>
      </c>
      <c r="K605" s="730">
        <f t="shared" si="563"/>
        <v>489500</v>
      </c>
      <c r="L605" s="731">
        <f t="shared" si="564"/>
        <v>3484</v>
      </c>
      <c r="M605" s="340" t="str">
        <f t="shared" si="573"/>
        <v>-</v>
      </c>
      <c r="N605" s="264">
        <f t="shared" si="574"/>
        <v>7.067166480048034E-3</v>
      </c>
      <c r="O605" s="512">
        <v>4.7636000000000003</v>
      </c>
      <c r="P605" s="407">
        <f t="shared" si="565"/>
        <v>204834.80000000002</v>
      </c>
      <c r="Q605" s="452">
        <f t="shared" si="566"/>
        <v>2331782.2000000002</v>
      </c>
    </row>
    <row r="606" spans="1:17" ht="24" thickBot="1" x14ac:dyDescent="0.45">
      <c r="A606" s="248"/>
      <c r="B606" s="1037"/>
      <c r="C606" s="548" t="s">
        <v>384</v>
      </c>
      <c r="D606" s="279"/>
      <c r="E606" s="439"/>
      <c r="F606" s="336">
        <f t="shared" si="567"/>
        <v>0</v>
      </c>
      <c r="G606" s="281"/>
      <c r="H606" s="281"/>
      <c r="I606" s="355" t="str">
        <f>IFERROR(F606/#REF!,"-")</f>
        <v>-</v>
      </c>
      <c r="J606" s="336">
        <f t="shared" si="568"/>
        <v>0</v>
      </c>
      <c r="K606" s="281">
        <f t="shared" si="563"/>
        <v>0</v>
      </c>
      <c r="L606" s="439">
        <f t="shared" si="564"/>
        <v>0</v>
      </c>
      <c r="M606" s="340" t="str">
        <f t="shared" si="573"/>
        <v>-</v>
      </c>
      <c r="N606" s="264" t="str">
        <f t="shared" si="574"/>
        <v>-</v>
      </c>
      <c r="O606" s="512">
        <v>4.8738000000000001</v>
      </c>
      <c r="P606" s="407">
        <f t="shared" si="565"/>
        <v>0</v>
      </c>
      <c r="Q606" s="452">
        <f t="shared" si="566"/>
        <v>0</v>
      </c>
    </row>
    <row r="607" spans="1:17" ht="24" thickBot="1" x14ac:dyDescent="0.45">
      <c r="A607" s="248"/>
      <c r="B607" s="815" t="s">
        <v>274</v>
      </c>
      <c r="C607" s="548" t="s">
        <v>131</v>
      </c>
      <c r="D607" s="279"/>
      <c r="E607" s="439"/>
      <c r="F607" s="336">
        <f t="shared" si="567"/>
        <v>0</v>
      </c>
      <c r="G607" s="281"/>
      <c r="H607" s="281"/>
      <c r="I607" s="355" t="str">
        <f>IFERROR(F607/#REF!,"-")</f>
        <v>-</v>
      </c>
      <c r="J607" s="336">
        <f t="shared" si="568"/>
        <v>0</v>
      </c>
      <c r="K607" s="281">
        <f t="shared" si="563"/>
        <v>0</v>
      </c>
      <c r="L607" s="439">
        <f t="shared" si="564"/>
        <v>0</v>
      </c>
      <c r="M607" s="340" t="str">
        <f t="shared" si="573"/>
        <v>-</v>
      </c>
      <c r="N607" s="264" t="str">
        <f t="shared" si="574"/>
        <v>-</v>
      </c>
      <c r="O607" s="512">
        <v>4.8738000000000001</v>
      </c>
      <c r="P607" s="407">
        <f t="shared" si="565"/>
        <v>0</v>
      </c>
      <c r="Q607" s="452">
        <f t="shared" si="566"/>
        <v>0</v>
      </c>
    </row>
    <row r="608" spans="1:17" ht="23.4" x14ac:dyDescent="0.4">
      <c r="A608" s="248"/>
      <c r="B608" s="1035" t="s">
        <v>276</v>
      </c>
      <c r="C608" s="548" t="s">
        <v>80</v>
      </c>
      <c r="D608" s="279"/>
      <c r="E608" s="439"/>
      <c r="F608" s="336">
        <f t="shared" si="567"/>
        <v>42523</v>
      </c>
      <c r="G608" s="281">
        <v>41700</v>
      </c>
      <c r="H608" s="281">
        <v>823</v>
      </c>
      <c r="I608" s="355" t="str">
        <f>IFERROR(F608/#REF!,"-")</f>
        <v>-</v>
      </c>
      <c r="J608" s="336">
        <f t="shared" si="568"/>
        <v>247601</v>
      </c>
      <c r="K608" s="730">
        <f t="shared" si="563"/>
        <v>242550</v>
      </c>
      <c r="L608" s="731">
        <f t="shared" si="564"/>
        <v>5051</v>
      </c>
      <c r="M608" s="340" t="str">
        <f t="shared" si="573"/>
        <v>-</v>
      </c>
      <c r="N608" s="264">
        <f t="shared" si="574"/>
        <v>2.0399756059143542E-2</v>
      </c>
      <c r="O608" s="512">
        <v>4.9344999999999999</v>
      </c>
      <c r="P608" s="407">
        <f t="shared" si="565"/>
        <v>205768.65</v>
      </c>
      <c r="Q608" s="452">
        <f t="shared" si="566"/>
        <v>1196862.9749999999</v>
      </c>
    </row>
    <row r="609" spans="1:17" ht="23.4" x14ac:dyDescent="0.4">
      <c r="A609" s="248"/>
      <c r="B609" s="1036"/>
      <c r="C609" s="548" t="s">
        <v>142</v>
      </c>
      <c r="D609" s="279"/>
      <c r="E609" s="439"/>
      <c r="F609" s="336">
        <f t="shared" si="567"/>
        <v>0</v>
      </c>
      <c r="G609" s="281"/>
      <c r="H609" s="281"/>
      <c r="I609" s="355" t="str">
        <f>IFERROR(F609/#REF!,"-")</f>
        <v>-</v>
      </c>
      <c r="J609" s="336">
        <f t="shared" si="568"/>
        <v>0</v>
      </c>
      <c r="K609" s="281">
        <f t="shared" si="563"/>
        <v>0</v>
      </c>
      <c r="L609" s="439">
        <f t="shared" si="564"/>
        <v>0</v>
      </c>
      <c r="M609" s="340" t="str">
        <f t="shared" si="573"/>
        <v>-</v>
      </c>
      <c r="N609" s="264" t="str">
        <f t="shared" si="574"/>
        <v>-</v>
      </c>
      <c r="O609" s="512">
        <v>4.9344999999999999</v>
      </c>
      <c r="P609" s="407">
        <f t="shared" si="565"/>
        <v>0</v>
      </c>
      <c r="Q609" s="452">
        <f t="shared" si="566"/>
        <v>0</v>
      </c>
    </row>
    <row r="610" spans="1:17" ht="23.4" x14ac:dyDescent="0.4">
      <c r="A610" s="248"/>
      <c r="B610" s="1036"/>
      <c r="C610" s="548" t="s">
        <v>136</v>
      </c>
      <c r="D610" s="279"/>
      <c r="E610" s="439"/>
      <c r="F610" s="336">
        <f t="shared" si="567"/>
        <v>0</v>
      </c>
      <c r="G610" s="281"/>
      <c r="H610" s="281"/>
      <c r="I610" s="355" t="str">
        <f>IFERROR(F610/#REF!,"-")</f>
        <v>-</v>
      </c>
      <c r="J610" s="336">
        <f t="shared" si="568"/>
        <v>0</v>
      </c>
      <c r="K610" s="281">
        <f t="shared" si="563"/>
        <v>0</v>
      </c>
      <c r="L610" s="439">
        <f t="shared" si="564"/>
        <v>0</v>
      </c>
      <c r="M610" s="340" t="str">
        <f t="shared" si="573"/>
        <v>-</v>
      </c>
      <c r="N610" s="264" t="str">
        <f t="shared" si="574"/>
        <v>-</v>
      </c>
      <c r="O610" s="512">
        <v>4.9344999999999999</v>
      </c>
      <c r="P610" s="407">
        <f t="shared" si="565"/>
        <v>0</v>
      </c>
      <c r="Q610" s="452">
        <f t="shared" si="566"/>
        <v>0</v>
      </c>
    </row>
    <row r="611" spans="1:17" ht="24" thickBot="1" x14ac:dyDescent="0.45">
      <c r="A611" s="248"/>
      <c r="B611" s="1037"/>
      <c r="C611" s="548" t="s">
        <v>275</v>
      </c>
      <c r="D611" s="279"/>
      <c r="E611" s="439"/>
      <c r="F611" s="336">
        <f t="shared" si="567"/>
        <v>0</v>
      </c>
      <c r="G611" s="281"/>
      <c r="H611" s="281"/>
      <c r="I611" s="355" t="str">
        <f>IFERROR(F611/#REF!,"-")</f>
        <v>-</v>
      </c>
      <c r="J611" s="336">
        <f t="shared" si="568"/>
        <v>0</v>
      </c>
      <c r="K611" s="281">
        <f t="shared" si="563"/>
        <v>0</v>
      </c>
      <c r="L611" s="439">
        <f t="shared" si="564"/>
        <v>0</v>
      </c>
      <c r="M611" s="340" t="str">
        <f t="shared" si="573"/>
        <v>-</v>
      </c>
      <c r="N611" s="264" t="str">
        <f t="shared" si="574"/>
        <v>-</v>
      </c>
      <c r="O611" s="512">
        <v>5.5069999999999997</v>
      </c>
      <c r="P611" s="407">
        <f t="shared" si="565"/>
        <v>0</v>
      </c>
      <c r="Q611" s="452">
        <f t="shared" si="566"/>
        <v>0</v>
      </c>
    </row>
    <row r="612" spans="1:17" ht="23.4" x14ac:dyDescent="0.4">
      <c r="A612" s="248"/>
      <c r="B612" s="1035" t="s">
        <v>281</v>
      </c>
      <c r="C612" s="548" t="s">
        <v>277</v>
      </c>
      <c r="D612" s="279"/>
      <c r="E612" s="439"/>
      <c r="F612" s="336">
        <f t="shared" si="567"/>
        <v>29822</v>
      </c>
      <c r="G612" s="281">
        <v>29200</v>
      </c>
      <c r="H612" s="281">
        <v>622</v>
      </c>
      <c r="I612" s="355" t="str">
        <f>IFERROR(F612/#REF!,"-")</f>
        <v>-</v>
      </c>
      <c r="J612" s="336">
        <f t="shared" si="568"/>
        <v>109931</v>
      </c>
      <c r="K612" s="281">
        <f t="shared" si="563"/>
        <v>108400</v>
      </c>
      <c r="L612" s="439">
        <f t="shared" si="564"/>
        <v>1531</v>
      </c>
      <c r="M612" s="340" t="str">
        <f t="shared" si="573"/>
        <v>-</v>
      </c>
      <c r="N612" s="264">
        <f t="shared" si="574"/>
        <v>1.3926917793888894E-2</v>
      </c>
      <c r="O612" s="772">
        <v>5.5069999999999997</v>
      </c>
      <c r="P612" s="407">
        <f t="shared" si="565"/>
        <v>160804.4</v>
      </c>
      <c r="Q612" s="452">
        <f t="shared" si="566"/>
        <v>596958.79999999993</v>
      </c>
    </row>
    <row r="613" spans="1:17" ht="23.4" x14ac:dyDescent="0.4">
      <c r="A613" s="248"/>
      <c r="B613" s="1036"/>
      <c r="C613" s="548" t="s">
        <v>278</v>
      </c>
      <c r="D613" s="279"/>
      <c r="E613" s="439"/>
      <c r="F613" s="336">
        <f t="shared" si="567"/>
        <v>0</v>
      </c>
      <c r="G613" s="281"/>
      <c r="H613" s="281"/>
      <c r="I613" s="355" t="str">
        <f>IFERROR(F613/#REF!,"-")</f>
        <v>-</v>
      </c>
      <c r="J613" s="336">
        <f t="shared" si="568"/>
        <v>0</v>
      </c>
      <c r="K613" s="281">
        <f t="shared" si="563"/>
        <v>0</v>
      </c>
      <c r="L613" s="439">
        <f t="shared" si="564"/>
        <v>0</v>
      </c>
      <c r="M613" s="340" t="str">
        <f t="shared" si="573"/>
        <v>-</v>
      </c>
      <c r="N613" s="264" t="str">
        <f t="shared" si="574"/>
        <v>-</v>
      </c>
      <c r="O613" s="512">
        <v>5.6550000000000002</v>
      </c>
      <c r="P613" s="407">
        <f t="shared" si="565"/>
        <v>0</v>
      </c>
      <c r="Q613" s="452">
        <f t="shared" si="566"/>
        <v>0</v>
      </c>
    </row>
    <row r="614" spans="1:17" ht="23.4" x14ac:dyDescent="0.4">
      <c r="A614" s="248"/>
      <c r="B614" s="1036"/>
      <c r="C614" s="548" t="s">
        <v>355</v>
      </c>
      <c r="D614" s="279"/>
      <c r="E614" s="439"/>
      <c r="F614" s="336">
        <f t="shared" si="567"/>
        <v>11328</v>
      </c>
      <c r="G614" s="281">
        <v>10350</v>
      </c>
      <c r="H614" s="281">
        <v>978</v>
      </c>
      <c r="I614" s="355" t="str">
        <f>IFERROR(F614/#REF!,"-")</f>
        <v>-</v>
      </c>
      <c r="J614" s="336">
        <f t="shared" si="568"/>
        <v>292335</v>
      </c>
      <c r="K614" s="730">
        <f t="shared" si="563"/>
        <v>283550</v>
      </c>
      <c r="L614" s="731">
        <f t="shared" si="564"/>
        <v>8785</v>
      </c>
      <c r="M614" s="340" t="str">
        <f t="shared" si="573"/>
        <v>-</v>
      </c>
      <c r="N614" s="264">
        <f t="shared" si="574"/>
        <v>3.0051139959293278E-2</v>
      </c>
      <c r="O614" s="512">
        <v>5.6550000000000002</v>
      </c>
      <c r="P614" s="407">
        <f t="shared" si="565"/>
        <v>58529.25</v>
      </c>
      <c r="Q614" s="452">
        <f t="shared" si="566"/>
        <v>1603475.25</v>
      </c>
    </row>
    <row r="615" spans="1:17" ht="23.4" x14ac:dyDescent="0.4">
      <c r="A615" s="248"/>
      <c r="B615" s="1036"/>
      <c r="C615" s="548" t="s">
        <v>279</v>
      </c>
      <c r="D615" s="279"/>
      <c r="E615" s="439"/>
      <c r="F615" s="336">
        <f t="shared" si="567"/>
        <v>0</v>
      </c>
      <c r="G615" s="281"/>
      <c r="H615" s="281"/>
      <c r="I615" s="355" t="str">
        <f>IFERROR(F615/#REF!,"-")</f>
        <v>-</v>
      </c>
      <c r="J615" s="336">
        <f t="shared" si="568"/>
        <v>0</v>
      </c>
      <c r="K615" s="281">
        <f t="shared" si="563"/>
        <v>0</v>
      </c>
      <c r="L615" s="439">
        <f t="shared" si="564"/>
        <v>0</v>
      </c>
      <c r="M615" s="340" t="str">
        <f t="shared" si="573"/>
        <v>-</v>
      </c>
      <c r="N615" s="264" t="str">
        <f t="shared" si="574"/>
        <v>-</v>
      </c>
      <c r="O615" s="512">
        <v>5.6550000000000002</v>
      </c>
      <c r="P615" s="407">
        <f t="shared" si="565"/>
        <v>0</v>
      </c>
      <c r="Q615" s="452">
        <f t="shared" si="566"/>
        <v>0</v>
      </c>
    </row>
    <row r="616" spans="1:17" ht="23.4" x14ac:dyDescent="0.4">
      <c r="A616" s="248" t="s">
        <v>108</v>
      </c>
      <c r="B616" s="1036"/>
      <c r="C616" s="548" t="s">
        <v>280</v>
      </c>
      <c r="D616" s="279"/>
      <c r="E616" s="439"/>
      <c r="F616" s="336">
        <f t="shared" si="567"/>
        <v>0</v>
      </c>
      <c r="G616" s="281"/>
      <c r="H616" s="281"/>
      <c r="I616" s="355" t="str">
        <f>IFERROR(F616/#REF!,"-")</f>
        <v>-</v>
      </c>
      <c r="J616" s="336">
        <f t="shared" si="568"/>
        <v>0</v>
      </c>
      <c r="K616" s="281">
        <f t="shared" si="563"/>
        <v>0</v>
      </c>
      <c r="L616" s="439">
        <f t="shared" si="564"/>
        <v>0</v>
      </c>
      <c r="M616" s="340" t="str">
        <f t="shared" si="573"/>
        <v>-</v>
      </c>
      <c r="N616" s="264" t="str">
        <f t="shared" si="574"/>
        <v>-</v>
      </c>
      <c r="O616" s="512">
        <v>3.2963</v>
      </c>
      <c r="P616" s="407">
        <f t="shared" si="565"/>
        <v>0</v>
      </c>
      <c r="Q616" s="452">
        <f t="shared" si="566"/>
        <v>0</v>
      </c>
    </row>
    <row r="617" spans="1:17" ht="24" thickBot="1" x14ac:dyDescent="0.45">
      <c r="A617" s="248" t="s">
        <v>108</v>
      </c>
      <c r="B617" s="1037"/>
      <c r="C617" s="548" t="s">
        <v>275</v>
      </c>
      <c r="D617" s="279"/>
      <c r="E617" s="439"/>
      <c r="F617" s="336">
        <f t="shared" si="567"/>
        <v>0</v>
      </c>
      <c r="G617" s="281"/>
      <c r="H617" s="281"/>
      <c r="I617" s="355" t="str">
        <f>IFERROR(F617/#REF!,"-")</f>
        <v>-</v>
      </c>
      <c r="J617" s="336">
        <f t="shared" si="568"/>
        <v>0</v>
      </c>
      <c r="K617" s="281">
        <f t="shared" si="563"/>
        <v>0</v>
      </c>
      <c r="L617" s="439">
        <f t="shared" si="564"/>
        <v>0</v>
      </c>
      <c r="M617" s="340" t="str">
        <f t="shared" si="573"/>
        <v>-</v>
      </c>
      <c r="N617" s="264" t="str">
        <f t="shared" si="574"/>
        <v>-</v>
      </c>
      <c r="O617" s="512">
        <v>3.2963</v>
      </c>
      <c r="P617" s="407">
        <f t="shared" si="565"/>
        <v>0</v>
      </c>
      <c r="Q617" s="452">
        <f t="shared" si="566"/>
        <v>0</v>
      </c>
    </row>
    <row r="618" spans="1:17" ht="23.4" x14ac:dyDescent="0.4">
      <c r="A618" s="248" t="s">
        <v>108</v>
      </c>
      <c r="B618" s="552"/>
      <c r="C618" s="549" t="s">
        <v>92</v>
      </c>
      <c r="D618" s="516"/>
      <c r="E618" s="439"/>
      <c r="F618" s="336">
        <f t="shared" si="567"/>
        <v>0</v>
      </c>
      <c r="G618" s="281"/>
      <c r="H618" s="281"/>
      <c r="I618" s="355" t="str">
        <f>IFERROR(F618/#REF!,"-")</f>
        <v>-</v>
      </c>
      <c r="J618" s="336">
        <f t="shared" si="568"/>
        <v>59305</v>
      </c>
      <c r="K618" s="281">
        <f t="shared" si="563"/>
        <v>58655</v>
      </c>
      <c r="L618" s="439">
        <f t="shared" si="564"/>
        <v>650</v>
      </c>
      <c r="M618" s="340" t="str">
        <f t="shared" si="573"/>
        <v>-</v>
      </c>
      <c r="N618" s="264">
        <f t="shared" si="574"/>
        <v>1.0960290026136077E-2</v>
      </c>
      <c r="O618" s="512">
        <v>2.3201000000000001</v>
      </c>
      <c r="P618" s="407">
        <f t="shared" si="565"/>
        <v>0</v>
      </c>
      <c r="Q618" s="452">
        <f t="shared" si="566"/>
        <v>136085.46549999999</v>
      </c>
    </row>
    <row r="619" spans="1:17" ht="24" thickBot="1" x14ac:dyDescent="0.35">
      <c r="A619" s="248" t="s">
        <v>108</v>
      </c>
      <c r="B619" s="529"/>
      <c r="C619" s="546"/>
      <c r="D619" s="535"/>
      <c r="E619" s="466"/>
      <c r="F619" s="464">
        <f t="shared" si="567"/>
        <v>0</v>
      </c>
      <c r="G619" s="465"/>
      <c r="H619" s="465"/>
      <c r="I619" s="537" t="str">
        <f>IFERROR(F619/#REF!,"-")</f>
        <v>-</v>
      </c>
      <c r="J619" s="464">
        <f t="shared" si="568"/>
        <v>0</v>
      </c>
      <c r="K619" s="465">
        <f t="shared" si="563"/>
        <v>0</v>
      </c>
      <c r="L619" s="466">
        <f t="shared" si="564"/>
        <v>0</v>
      </c>
      <c r="M619" s="726" t="str">
        <f t="shared" si="573"/>
        <v>-</v>
      </c>
      <c r="N619" s="266" t="str">
        <f t="shared" si="574"/>
        <v>-</v>
      </c>
      <c r="O619" s="544"/>
      <c r="P619" s="541">
        <f t="shared" si="565"/>
        <v>0</v>
      </c>
      <c r="Q619" s="542">
        <f t="shared" si="566"/>
        <v>0</v>
      </c>
    </row>
    <row r="620" spans="1:17" ht="23.25" customHeight="1" thickBot="1" x14ac:dyDescent="0.35">
      <c r="A620" s="277" t="s">
        <v>108</v>
      </c>
      <c r="B620" s="1038" t="s">
        <v>25</v>
      </c>
      <c r="C620" s="989"/>
      <c r="D620" s="518">
        <f>SUM(D593:D619)</f>
        <v>0</v>
      </c>
      <c r="E620" s="531">
        <v>100000</v>
      </c>
      <c r="F620" s="524">
        <f>SUM(F588:F619)</f>
        <v>137118</v>
      </c>
      <c r="G620" s="524">
        <f>SUM(G588:G619)</f>
        <v>134050</v>
      </c>
      <c r="H620" s="524">
        <f>SUM(H588:H619)</f>
        <v>3068</v>
      </c>
      <c r="I620" s="525" t="str">
        <f>IFERROR(F620/#REF!,"-")</f>
        <v>-</v>
      </c>
      <c r="J620" s="518">
        <f>SUM(J588:J619)</f>
        <v>1284558</v>
      </c>
      <c r="K620" s="518">
        <f t="shared" ref="K620:L620" si="575">SUM(K588:K619)</f>
        <v>1261465</v>
      </c>
      <c r="L620" s="518">
        <f t="shared" si="575"/>
        <v>23093</v>
      </c>
      <c r="M620" s="526" t="str">
        <f t="shared" si="573"/>
        <v>-</v>
      </c>
      <c r="N620" s="525">
        <f t="shared" si="574"/>
        <v>1.7977389888195007E-2</v>
      </c>
      <c r="O620" s="527"/>
      <c r="P620" s="528">
        <f>SUM(P588:P619)</f>
        <v>1060952.44</v>
      </c>
      <c r="Q620" s="528">
        <f>SUM(Q588:Q619)</f>
        <v>9187999.6545000002</v>
      </c>
    </row>
    <row r="621" spans="1:17" ht="23.25" customHeight="1" thickBot="1" x14ac:dyDescent="0.35">
      <c r="A621" s="321" t="s">
        <v>108</v>
      </c>
      <c r="B621" s="1039" t="s">
        <v>269</v>
      </c>
      <c r="C621" s="1040"/>
      <c r="D621" s="329">
        <f>+D592+D620</f>
        <v>0</v>
      </c>
      <c r="E621" s="330">
        <f>+E592+E620</f>
        <v>100000</v>
      </c>
      <c r="F621" s="329">
        <f>+F620</f>
        <v>137118</v>
      </c>
      <c r="G621" s="329">
        <f t="shared" ref="G621:H621" si="576">+G620</f>
        <v>134050</v>
      </c>
      <c r="H621" s="329">
        <f t="shared" si="576"/>
        <v>3068</v>
      </c>
      <c r="I621" s="352" t="str">
        <f>IFERROR(F621/#REF!,"-")</f>
        <v>-</v>
      </c>
      <c r="J621" s="329">
        <f>+J620</f>
        <v>1284558</v>
      </c>
      <c r="K621" s="329">
        <f t="shared" ref="K621:L621" si="577">+K620</f>
        <v>1261465</v>
      </c>
      <c r="L621" s="329">
        <f t="shared" si="577"/>
        <v>23093</v>
      </c>
      <c r="M621" s="344" t="str">
        <f t="shared" si="573"/>
        <v>-</v>
      </c>
      <c r="N621" s="352">
        <f t="shared" si="574"/>
        <v>1.7977389888195007E-2</v>
      </c>
      <c r="O621" s="397"/>
      <c r="P621" s="413">
        <f>+P620</f>
        <v>1060952.44</v>
      </c>
      <c r="Q621" s="431">
        <f>Q620</f>
        <v>9187999.6545000002</v>
      </c>
    </row>
    <row r="622" spans="1:17" ht="24.6" thickBot="1" x14ac:dyDescent="0.35">
      <c r="A622" s="322"/>
      <c r="B622" s="1041" t="s">
        <v>182</v>
      </c>
      <c r="C622" s="1042"/>
      <c r="D622" s="377">
        <f>+D621+D587+D578</f>
        <v>0</v>
      </c>
      <c r="E622" s="377">
        <f>+E621+E587+E578</f>
        <v>230000</v>
      </c>
      <c r="F622" s="377">
        <f>+F621+F587+F578</f>
        <v>317574</v>
      </c>
      <c r="G622" s="377">
        <f>+G621+G587+G578</f>
        <v>309210</v>
      </c>
      <c r="H622" s="377">
        <f>+H621+H587+H578</f>
        <v>8364</v>
      </c>
      <c r="I622" s="378" t="str">
        <f>IFERROR(F622/#REF!,"-")</f>
        <v>-</v>
      </c>
      <c r="J622" s="377">
        <f>+J621+J587+J578</f>
        <v>3565609</v>
      </c>
      <c r="K622" s="377">
        <f>+K621+K587+K578</f>
        <v>3482165</v>
      </c>
      <c r="L622" s="377">
        <f>+L621+L587+L578</f>
        <v>83444</v>
      </c>
      <c r="M622" s="378" t="str">
        <f t="shared" si="573"/>
        <v>-</v>
      </c>
      <c r="N622" s="378">
        <f>IFERROR(L622/J622,"-")</f>
        <v>2.340245383046767E-2</v>
      </c>
      <c r="O622" s="404"/>
      <c r="P622" s="421">
        <f>+P621+P587+P578</f>
        <v>1752964.804</v>
      </c>
      <c r="Q622" s="421">
        <f>+Q621+Q587+Q578</f>
        <v>18134383.887500003</v>
      </c>
    </row>
    <row r="623" spans="1:17" ht="22.5" customHeight="1" x14ac:dyDescent="0.3">
      <c r="A623" s="1043" t="s">
        <v>1</v>
      </c>
      <c r="B623" s="1046" t="s">
        <v>2</v>
      </c>
      <c r="C623" s="1049" t="s">
        <v>477</v>
      </c>
      <c r="D623" s="1000" t="s">
        <v>4</v>
      </c>
      <c r="E623" s="1001"/>
      <c r="F623" s="1001"/>
      <c r="G623" s="1001"/>
      <c r="H623" s="1001"/>
      <c r="I623" s="1001"/>
      <c r="J623" s="1001"/>
      <c r="K623" s="1001"/>
      <c r="L623" s="1001"/>
      <c r="M623" s="1001"/>
      <c r="N623" s="1002"/>
      <c r="O623" s="1021" t="s">
        <v>175</v>
      </c>
      <c r="P623" s="1022"/>
      <c r="Q623" s="1052"/>
    </row>
    <row r="624" spans="1:17" ht="22.5" customHeight="1" x14ac:dyDescent="0.3">
      <c r="A624" s="1044"/>
      <c r="B624" s="1047"/>
      <c r="C624" s="1050"/>
      <c r="D624" s="1003" t="s">
        <v>7</v>
      </c>
      <c r="E624" s="1005" t="s">
        <v>115</v>
      </c>
      <c r="F624" s="1053" t="s">
        <v>516</v>
      </c>
      <c r="G624" s="1008"/>
      <c r="H624" s="1008"/>
      <c r="I624" s="1009"/>
      <c r="J624" s="1010" t="s">
        <v>8</v>
      </c>
      <c r="K624" s="1011"/>
      <c r="L624" s="1012"/>
      <c r="M624" s="1013" t="s">
        <v>173</v>
      </c>
      <c r="N624" s="1015" t="s">
        <v>172</v>
      </c>
      <c r="O624" s="1054" t="s">
        <v>177</v>
      </c>
      <c r="P624" s="1055"/>
      <c r="Q624" s="1056"/>
    </row>
    <row r="625" spans="1:17" ht="47.4" thickBot="1" x14ac:dyDescent="0.35">
      <c r="A625" s="1045"/>
      <c r="B625" s="1048"/>
      <c r="C625" s="1051"/>
      <c r="D625" s="1004"/>
      <c r="E625" s="1006"/>
      <c r="F625" s="455" t="s">
        <v>13</v>
      </c>
      <c r="G625" s="456" t="s">
        <v>14</v>
      </c>
      <c r="H625" s="456" t="s">
        <v>15</v>
      </c>
      <c r="I625" s="457" t="s">
        <v>174</v>
      </c>
      <c r="J625" s="712" t="s">
        <v>13</v>
      </c>
      <c r="K625" s="710" t="s">
        <v>14</v>
      </c>
      <c r="L625" s="711" t="s">
        <v>15</v>
      </c>
      <c r="M625" s="1014"/>
      <c r="N625" s="1016"/>
      <c r="O625" s="447" t="s">
        <v>178</v>
      </c>
      <c r="P625" s="448" t="s">
        <v>11</v>
      </c>
      <c r="Q625" s="449" t="s">
        <v>12</v>
      </c>
    </row>
    <row r="626" spans="1:17" ht="23.4" x14ac:dyDescent="0.3">
      <c r="A626" s="271" t="s">
        <v>110</v>
      </c>
      <c r="B626" s="442"/>
      <c r="C626" s="272" t="s">
        <v>266</v>
      </c>
      <c r="D626" s="273"/>
      <c r="E626" s="274"/>
      <c r="F626" s="335">
        <f>+G626+H626</f>
        <v>90632</v>
      </c>
      <c r="G626" s="275">
        <v>85960</v>
      </c>
      <c r="H626" s="275">
        <v>4672</v>
      </c>
      <c r="I626" s="354" t="str">
        <f>IFERROR(F626/#REF!,"-")</f>
        <v>-</v>
      </c>
      <c r="J626" s="461">
        <f>+K626+L626</f>
        <v>337292</v>
      </c>
      <c r="K626" s="462">
        <f>+K564+G626</f>
        <v>321720</v>
      </c>
      <c r="L626" s="463">
        <f>+L564+H626</f>
        <v>15572</v>
      </c>
      <c r="M626" s="339" t="str">
        <f>IFERROR(J626/D626,"-")</f>
        <v>-</v>
      </c>
      <c r="N626" s="346">
        <f t="shared" ref="N626:N627" si="578">IFERROR(L626/J626,"-")</f>
        <v>4.6167712249326989E-2</v>
      </c>
      <c r="O626" s="511">
        <v>1.5669</v>
      </c>
      <c r="P626" s="405">
        <f>+O626*G626</f>
        <v>134690.72399999999</v>
      </c>
      <c r="Q626" s="450">
        <f>+O626*K626</f>
        <v>504103.06799999997</v>
      </c>
    </row>
    <row r="627" spans="1:17" ht="23.4" x14ac:dyDescent="0.3">
      <c r="A627" s="277" t="s">
        <v>110</v>
      </c>
      <c r="B627" s="441"/>
      <c r="C627" s="278" t="s">
        <v>265</v>
      </c>
      <c r="D627" s="279"/>
      <c r="E627" s="280"/>
      <c r="F627" s="336">
        <f t="shared" ref="F627:F630" si="579">+G627+H627</f>
        <v>0</v>
      </c>
      <c r="G627" s="730"/>
      <c r="H627" s="730"/>
      <c r="I627" s="355" t="str">
        <f>IFERROR(F627/#REF!,"-")</f>
        <v>-</v>
      </c>
      <c r="J627" s="336">
        <f t="shared" ref="J627:J630" si="580">+K627+L627</f>
        <v>865204</v>
      </c>
      <c r="K627" s="281">
        <f t="shared" ref="K627:K630" si="581">+K565+G627</f>
        <v>853000</v>
      </c>
      <c r="L627" s="439">
        <f t="shared" ref="L627:L630" si="582">+L565+H627</f>
        <v>12204</v>
      </c>
      <c r="M627" s="340" t="str">
        <f t="shared" ref="M627:M630" si="583">IFERROR(J627/D627,"-")</f>
        <v>-</v>
      </c>
      <c r="N627" s="268">
        <f t="shared" si="578"/>
        <v>1.4105343942006741E-2</v>
      </c>
      <c r="O627" s="512">
        <v>2.3978999999999999</v>
      </c>
      <c r="P627" s="407">
        <f>+O627*G627</f>
        <v>0</v>
      </c>
      <c r="Q627" s="452">
        <f>+O627*K627</f>
        <v>2045408.7</v>
      </c>
    </row>
    <row r="628" spans="1:17" ht="23.4" x14ac:dyDescent="0.3">
      <c r="A628" s="277" t="s">
        <v>110</v>
      </c>
      <c r="B628" s="441"/>
      <c r="C628" s="278" t="s">
        <v>476</v>
      </c>
      <c r="D628" s="279"/>
      <c r="E628" s="280"/>
      <c r="F628" s="336">
        <f t="shared" si="579"/>
        <v>0</v>
      </c>
      <c r="G628" s="281"/>
      <c r="H628" s="833"/>
      <c r="I628" s="355" t="str">
        <f>IFERROR(F628/#REF!,"-")</f>
        <v>-</v>
      </c>
      <c r="J628" s="336">
        <f t="shared" si="580"/>
        <v>85734</v>
      </c>
      <c r="K628" s="281">
        <f t="shared" si="581"/>
        <v>68750</v>
      </c>
      <c r="L628" s="439">
        <f t="shared" si="582"/>
        <v>16984</v>
      </c>
      <c r="M628" s="340" t="str">
        <f t="shared" si="583"/>
        <v>-</v>
      </c>
      <c r="N628" s="806">
        <f>IFERROR(L628/J628,"-")</f>
        <v>0.1981011034128817</v>
      </c>
      <c r="O628" s="824">
        <v>3.6777000000000002</v>
      </c>
      <c r="P628" s="407">
        <f t="shared" ref="P628:P630" si="584">+O628*G628</f>
        <v>0</v>
      </c>
      <c r="Q628" s="452">
        <f t="shared" ref="Q628:Q630" si="585">+O628*K628</f>
        <v>252841.875</v>
      </c>
    </row>
    <row r="629" spans="1:17" ht="23.4" x14ac:dyDescent="0.3">
      <c r="A629" s="277"/>
      <c r="B629" s="454"/>
      <c r="C629" s="278" t="s">
        <v>353</v>
      </c>
      <c r="D629" s="283"/>
      <c r="E629" s="284"/>
      <c r="F629" s="336">
        <f t="shared" si="579"/>
        <v>0</v>
      </c>
      <c r="G629" s="285"/>
      <c r="H629" s="285"/>
      <c r="I629" s="355" t="str">
        <f>IFERROR(F629/#REF!,"-")</f>
        <v>-</v>
      </c>
      <c r="J629" s="336">
        <f t="shared" si="580"/>
        <v>158819</v>
      </c>
      <c r="K629" s="281">
        <f t="shared" si="581"/>
        <v>155400</v>
      </c>
      <c r="L629" s="439">
        <f t="shared" si="582"/>
        <v>3419</v>
      </c>
      <c r="M629" s="340" t="str">
        <f t="shared" si="583"/>
        <v>-</v>
      </c>
      <c r="N629" s="268">
        <f>IFERROR(L629/J629,"-")</f>
        <v>2.1527650973749993E-2</v>
      </c>
      <c r="O629" s="513">
        <v>12.284700000000001</v>
      </c>
      <c r="P629" s="407">
        <f t="shared" si="584"/>
        <v>0</v>
      </c>
      <c r="Q629" s="452">
        <f t="shared" si="585"/>
        <v>1909042.3800000001</v>
      </c>
    </row>
    <row r="630" spans="1:17" ht="24" thickBot="1" x14ac:dyDescent="0.35">
      <c r="A630" s="277" t="s">
        <v>110</v>
      </c>
      <c r="B630" s="454"/>
      <c r="C630" s="278" t="s">
        <v>408</v>
      </c>
      <c r="D630" s="283"/>
      <c r="E630" s="284"/>
      <c r="F630" s="337">
        <f t="shared" si="579"/>
        <v>56696</v>
      </c>
      <c r="G630" s="285">
        <v>55750</v>
      </c>
      <c r="H630" s="285">
        <v>946</v>
      </c>
      <c r="I630" s="356" t="str">
        <f>IFERROR(F630/#REF!,"-")</f>
        <v>-</v>
      </c>
      <c r="J630" s="464">
        <f t="shared" si="580"/>
        <v>233980</v>
      </c>
      <c r="K630" s="465">
        <f t="shared" si="581"/>
        <v>224000</v>
      </c>
      <c r="L630" s="466">
        <f t="shared" si="582"/>
        <v>9980</v>
      </c>
      <c r="M630" s="341" t="str">
        <f t="shared" si="583"/>
        <v>-</v>
      </c>
      <c r="N630" s="347">
        <f t="shared" ref="N630:N642" si="586">IFERROR(L630/J630,"-")</f>
        <v>4.2653218223779807E-2</v>
      </c>
      <c r="O630" s="824">
        <v>7.0612000000000004</v>
      </c>
      <c r="P630" s="408">
        <f t="shared" si="584"/>
        <v>393661.9</v>
      </c>
      <c r="Q630" s="453">
        <f t="shared" si="585"/>
        <v>1581708.8</v>
      </c>
    </row>
    <row r="631" spans="1:17" ht="23.25" customHeight="1" thickBot="1" x14ac:dyDescent="0.35">
      <c r="A631" s="277" t="s">
        <v>110</v>
      </c>
      <c r="B631" s="1038" t="s">
        <v>21</v>
      </c>
      <c r="C631" s="989"/>
      <c r="D631" s="323">
        <f>SUM(D626:D630)</f>
        <v>0</v>
      </c>
      <c r="E631" s="288">
        <v>15000</v>
      </c>
      <c r="F631" s="323">
        <f>SUM(F626:F630)</f>
        <v>147328</v>
      </c>
      <c r="G631" s="324">
        <f>SUM(G626:G630)</f>
        <v>141710</v>
      </c>
      <c r="H631" s="324">
        <f>SUM(H626:H630)</f>
        <v>5618</v>
      </c>
      <c r="I631" s="348" t="str">
        <f>IFERROR(F631/#REF!,"-")</f>
        <v>-</v>
      </c>
      <c r="J631" s="323">
        <f>SUM(J626:J630)</f>
        <v>1681029</v>
      </c>
      <c r="K631" s="324">
        <f>SUM(K626:K630)</f>
        <v>1622870</v>
      </c>
      <c r="L631" s="325">
        <f>SUM(L626:L630)</f>
        <v>58159</v>
      </c>
      <c r="M631" s="342" t="str">
        <f>IFERROR(J631/D631,"-")</f>
        <v>-</v>
      </c>
      <c r="N631" s="348">
        <f t="shared" si="586"/>
        <v>3.4597261558247952E-2</v>
      </c>
      <c r="O631" s="394"/>
      <c r="P631" s="409">
        <f>SUM(P626:P630)</f>
        <v>528352.62400000007</v>
      </c>
      <c r="Q631" s="428">
        <f>SUM(Q626:Q630)</f>
        <v>6293104.8229999999</v>
      </c>
    </row>
    <row r="632" spans="1:17" ht="23.4" x14ac:dyDescent="0.3">
      <c r="A632" s="277" t="s">
        <v>110</v>
      </c>
      <c r="B632" s="442"/>
      <c r="C632" s="272" t="s">
        <v>264</v>
      </c>
      <c r="D632" s="273"/>
      <c r="E632" s="274"/>
      <c r="F632" s="335">
        <f t="shared" ref="F632:F638" si="587">+G632+H632</f>
        <v>0</v>
      </c>
      <c r="G632" s="275"/>
      <c r="H632" s="275"/>
      <c r="I632" s="354" t="str">
        <f>IFERROR(F632/#REF!,"-")</f>
        <v>-</v>
      </c>
      <c r="J632" s="461">
        <f t="shared" ref="J632:J638" si="588">+K632+L632</f>
        <v>34540</v>
      </c>
      <c r="K632" s="462">
        <f t="shared" ref="K632:K638" si="589">+K570+G632</f>
        <v>33840</v>
      </c>
      <c r="L632" s="463">
        <f t="shared" ref="L632:L638" si="590">+L570+H632</f>
        <v>700</v>
      </c>
      <c r="M632" s="339" t="str">
        <f t="shared" ref="M632:M640" si="591">IFERROR(J632/D632,"-")</f>
        <v>-</v>
      </c>
      <c r="N632" s="349">
        <f t="shared" si="586"/>
        <v>2.0266357845975681E-2</v>
      </c>
      <c r="O632" s="511">
        <v>18.2316</v>
      </c>
      <c r="P632" s="405">
        <f t="shared" ref="P632:P638" si="592">+O632*G632</f>
        <v>0</v>
      </c>
      <c r="Q632" s="450">
        <f t="shared" ref="Q632:Q638" si="593">+O632*K632</f>
        <v>616957.34400000004</v>
      </c>
    </row>
    <row r="633" spans="1:17" ht="23.4" x14ac:dyDescent="0.3">
      <c r="A633" s="277" t="s">
        <v>110</v>
      </c>
      <c r="B633" s="441"/>
      <c r="C633" s="278" t="s">
        <v>92</v>
      </c>
      <c r="D633" s="279"/>
      <c r="E633" s="280"/>
      <c r="F633" s="336">
        <f t="shared" si="587"/>
        <v>0</v>
      </c>
      <c r="G633" s="281"/>
      <c r="H633" s="281"/>
      <c r="I633" s="355" t="str">
        <f>IFERROR(F633/#REF!,"-")</f>
        <v>-</v>
      </c>
      <c r="J633" s="336">
        <f t="shared" si="588"/>
        <v>180000</v>
      </c>
      <c r="K633" s="281">
        <f t="shared" si="589"/>
        <v>180000</v>
      </c>
      <c r="L633" s="439">
        <f t="shared" si="590"/>
        <v>0</v>
      </c>
      <c r="M633" s="340" t="str">
        <f t="shared" si="591"/>
        <v>-</v>
      </c>
      <c r="N633" s="264">
        <f t="shared" si="586"/>
        <v>0</v>
      </c>
      <c r="O633" s="512">
        <v>1.2824</v>
      </c>
      <c r="P633" s="407">
        <f t="shared" si="592"/>
        <v>0</v>
      </c>
      <c r="Q633" s="452">
        <f t="shared" si="593"/>
        <v>230832</v>
      </c>
    </row>
    <row r="634" spans="1:17" ht="23.4" x14ac:dyDescent="0.3">
      <c r="A634" s="277" t="s">
        <v>110</v>
      </c>
      <c r="B634" s="441"/>
      <c r="C634" s="278" t="s">
        <v>329</v>
      </c>
      <c r="D634" s="279"/>
      <c r="E634" s="280"/>
      <c r="F634" s="336">
        <f t="shared" si="587"/>
        <v>0</v>
      </c>
      <c r="G634" s="281"/>
      <c r="H634" s="281"/>
      <c r="I634" s="355" t="str">
        <f>IFERROR(F634/#REF!,"-")</f>
        <v>-</v>
      </c>
      <c r="J634" s="336">
        <f t="shared" si="588"/>
        <v>31200</v>
      </c>
      <c r="K634" s="281">
        <f t="shared" si="589"/>
        <v>31200</v>
      </c>
      <c r="L634" s="439">
        <f t="shared" si="590"/>
        <v>0</v>
      </c>
      <c r="M634" s="340" t="str">
        <f t="shared" si="591"/>
        <v>-</v>
      </c>
      <c r="N634" s="264">
        <f t="shared" si="586"/>
        <v>0</v>
      </c>
      <c r="O634" s="772">
        <v>5.7342000000000004</v>
      </c>
      <c r="P634" s="407">
        <f t="shared" si="592"/>
        <v>0</v>
      </c>
      <c r="Q634" s="452">
        <f t="shared" si="593"/>
        <v>178907.04</v>
      </c>
    </row>
    <row r="635" spans="1:17" ht="23.4" x14ac:dyDescent="0.3">
      <c r="A635" s="277" t="s">
        <v>110</v>
      </c>
      <c r="B635" s="441"/>
      <c r="C635" s="278" t="s">
        <v>346</v>
      </c>
      <c r="D635" s="279"/>
      <c r="E635" s="280"/>
      <c r="F635" s="336">
        <f t="shared" si="587"/>
        <v>0</v>
      </c>
      <c r="G635" s="281"/>
      <c r="H635" s="281"/>
      <c r="I635" s="355" t="str">
        <f>IFERROR(F635/#REF!,"-")</f>
        <v>-</v>
      </c>
      <c r="J635" s="336">
        <f t="shared" si="588"/>
        <v>0</v>
      </c>
      <c r="K635" s="281">
        <f t="shared" si="589"/>
        <v>0</v>
      </c>
      <c r="L635" s="439">
        <f t="shared" si="590"/>
        <v>0</v>
      </c>
      <c r="M635" s="340" t="str">
        <f t="shared" si="591"/>
        <v>-</v>
      </c>
      <c r="N635" s="264" t="str">
        <f t="shared" si="586"/>
        <v>-</v>
      </c>
      <c r="O635" s="512"/>
      <c r="P635" s="407">
        <f t="shared" si="592"/>
        <v>0</v>
      </c>
      <c r="Q635" s="452">
        <f t="shared" si="593"/>
        <v>0</v>
      </c>
    </row>
    <row r="636" spans="1:17" ht="23.4" x14ac:dyDescent="0.3">
      <c r="A636" s="277" t="s">
        <v>110</v>
      </c>
      <c r="B636" s="441"/>
      <c r="C636" s="278" t="s">
        <v>354</v>
      </c>
      <c r="D636" s="279"/>
      <c r="E636" s="280"/>
      <c r="F636" s="336">
        <f t="shared" si="587"/>
        <v>18064</v>
      </c>
      <c r="G636" s="281">
        <v>18000</v>
      </c>
      <c r="H636" s="281">
        <v>64</v>
      </c>
      <c r="I636" s="355" t="str">
        <f>IFERROR(F636/#REF!,"-")</f>
        <v>-</v>
      </c>
      <c r="J636" s="336">
        <f t="shared" si="588"/>
        <v>127076</v>
      </c>
      <c r="K636" s="281">
        <f t="shared" si="589"/>
        <v>126000</v>
      </c>
      <c r="L636" s="439">
        <f t="shared" si="590"/>
        <v>1076</v>
      </c>
      <c r="M636" s="340" t="str">
        <f t="shared" si="591"/>
        <v>-</v>
      </c>
      <c r="N636" s="264">
        <f t="shared" si="586"/>
        <v>8.4673738550158952E-3</v>
      </c>
      <c r="O636" s="512">
        <v>12.029500000000001</v>
      </c>
      <c r="P636" s="407">
        <f t="shared" si="592"/>
        <v>216531</v>
      </c>
      <c r="Q636" s="452">
        <f t="shared" si="593"/>
        <v>1515717</v>
      </c>
    </row>
    <row r="637" spans="1:17" ht="23.4" x14ac:dyDescent="0.3">
      <c r="A637" s="277" t="s">
        <v>110</v>
      </c>
      <c r="B637" s="441"/>
      <c r="C637" s="278"/>
      <c r="D637" s="279"/>
      <c r="E637" s="280"/>
      <c r="F637" s="336">
        <f t="shared" si="587"/>
        <v>0</v>
      </c>
      <c r="G637" s="281"/>
      <c r="H637" s="281"/>
      <c r="I637" s="355" t="str">
        <f>IFERROR(F637/#REF!,"-")</f>
        <v>-</v>
      </c>
      <c r="J637" s="336">
        <f t="shared" si="588"/>
        <v>0</v>
      </c>
      <c r="K637" s="281">
        <f t="shared" si="589"/>
        <v>0</v>
      </c>
      <c r="L637" s="439">
        <f t="shared" si="590"/>
        <v>0</v>
      </c>
      <c r="M637" s="340" t="str">
        <f t="shared" si="591"/>
        <v>-</v>
      </c>
      <c r="N637" s="264" t="str">
        <f t="shared" si="586"/>
        <v>-</v>
      </c>
      <c r="O637" s="512"/>
      <c r="P637" s="407">
        <f t="shared" si="592"/>
        <v>0</v>
      </c>
      <c r="Q637" s="452">
        <f t="shared" si="593"/>
        <v>0</v>
      </c>
    </row>
    <row r="638" spans="1:17" ht="24" thickBot="1" x14ac:dyDescent="0.35">
      <c r="A638" s="277" t="s">
        <v>110</v>
      </c>
      <c r="B638" s="454"/>
      <c r="C638" s="282"/>
      <c r="D638" s="283">
        <v>0</v>
      </c>
      <c r="E638" s="284"/>
      <c r="F638" s="337">
        <f t="shared" si="587"/>
        <v>0</v>
      </c>
      <c r="G638" s="285"/>
      <c r="H638" s="285"/>
      <c r="I638" s="356" t="str">
        <f>IFERROR(F638/#REF!,"-")</f>
        <v>-</v>
      </c>
      <c r="J638" s="464">
        <f t="shared" si="588"/>
        <v>0</v>
      </c>
      <c r="K638" s="465">
        <f t="shared" si="589"/>
        <v>0</v>
      </c>
      <c r="L638" s="466">
        <f t="shared" si="590"/>
        <v>0</v>
      </c>
      <c r="M638" s="341" t="str">
        <f t="shared" si="591"/>
        <v>-</v>
      </c>
      <c r="N638" s="350" t="str">
        <f t="shared" si="586"/>
        <v>-</v>
      </c>
      <c r="O638" s="513"/>
      <c r="P638" s="408">
        <f t="shared" si="592"/>
        <v>0</v>
      </c>
      <c r="Q638" s="453">
        <f t="shared" si="593"/>
        <v>0</v>
      </c>
    </row>
    <row r="639" spans="1:17" ht="23.25" customHeight="1" thickBot="1" x14ac:dyDescent="0.35">
      <c r="A639" s="277" t="s">
        <v>110</v>
      </c>
      <c r="B639" s="1038" t="s">
        <v>25</v>
      </c>
      <c r="C639" s="989"/>
      <c r="D639" s="323">
        <f t="shared" ref="D639" si="594">SUM(D632:D638)</f>
        <v>0</v>
      </c>
      <c r="E639" s="288">
        <v>100000</v>
      </c>
      <c r="F639" s="323">
        <f>SUM(F632:F638)</f>
        <v>18064</v>
      </c>
      <c r="G639" s="324">
        <f t="shared" ref="G639:H639" si="595">SUM(G632:G638)</f>
        <v>18000</v>
      </c>
      <c r="H639" s="324">
        <f t="shared" si="595"/>
        <v>64</v>
      </c>
      <c r="I639" s="348" t="str">
        <f>IFERROR(F639/#REF!,"-")</f>
        <v>-</v>
      </c>
      <c r="J639" s="323">
        <f t="shared" ref="J639:L639" si="596">SUM(J632:J638)</f>
        <v>372816</v>
      </c>
      <c r="K639" s="324">
        <f t="shared" si="596"/>
        <v>371040</v>
      </c>
      <c r="L639" s="325">
        <f t="shared" si="596"/>
        <v>1776</v>
      </c>
      <c r="M639" s="342" t="str">
        <f t="shared" si="591"/>
        <v>-</v>
      </c>
      <c r="N639" s="348">
        <f t="shared" si="586"/>
        <v>4.7637440453199434E-3</v>
      </c>
      <c r="O639" s="394"/>
      <c r="P639" s="409">
        <f t="shared" ref="P639:Q639" si="597">SUM(P632:P638)</f>
        <v>216531</v>
      </c>
      <c r="Q639" s="428">
        <f t="shared" si="597"/>
        <v>2542413.3840000001</v>
      </c>
    </row>
    <row r="640" spans="1:17" ht="23.25" customHeight="1" thickBot="1" x14ac:dyDescent="0.35">
      <c r="A640" s="277" t="s">
        <v>110</v>
      </c>
      <c r="B640" s="1039" t="s">
        <v>180</v>
      </c>
      <c r="C640" s="1040"/>
      <c r="D640" s="329">
        <f>+D631+D639</f>
        <v>0</v>
      </c>
      <c r="E640" s="330">
        <f t="shared" ref="E640:H640" si="598">+E631+E639</f>
        <v>115000</v>
      </c>
      <c r="F640" s="329">
        <f t="shared" si="598"/>
        <v>165392</v>
      </c>
      <c r="G640" s="327">
        <f t="shared" si="598"/>
        <v>159710</v>
      </c>
      <c r="H640" s="327">
        <f t="shared" si="598"/>
        <v>5682</v>
      </c>
      <c r="I640" s="352" t="str">
        <f>IFERROR(F640/#REF!,"-")</f>
        <v>-</v>
      </c>
      <c r="J640" s="329">
        <f t="shared" ref="J640:L640" si="599">+J631+J639</f>
        <v>2053845</v>
      </c>
      <c r="K640" s="327">
        <f t="shared" si="599"/>
        <v>1993910</v>
      </c>
      <c r="L640" s="328">
        <f t="shared" si="599"/>
        <v>59935</v>
      </c>
      <c r="M640" s="344" t="str">
        <f t="shared" si="591"/>
        <v>-</v>
      </c>
      <c r="N640" s="352">
        <f t="shared" si="586"/>
        <v>2.9181851600291162E-2</v>
      </c>
      <c r="O640" s="397"/>
      <c r="P640" s="413">
        <f t="shared" ref="P640:Q640" si="600">+P631+P639</f>
        <v>744883.62400000007</v>
      </c>
      <c r="Q640" s="431">
        <f t="shared" si="600"/>
        <v>8835518.2070000004</v>
      </c>
    </row>
    <row r="641" spans="1:17" ht="23.4" x14ac:dyDescent="0.3">
      <c r="A641" s="244" t="s">
        <v>108</v>
      </c>
      <c r="B641" s="591"/>
      <c r="C641" s="592" t="s">
        <v>306</v>
      </c>
      <c r="D641" s="532"/>
      <c r="E641" s="463"/>
      <c r="F641" s="461">
        <f>+G641+H641</f>
        <v>0</v>
      </c>
      <c r="G641" s="462"/>
      <c r="H641" s="462"/>
      <c r="I641" s="536" t="str">
        <f>IFERROR(F641/#REF!,"-")</f>
        <v>-</v>
      </c>
      <c r="J641" s="461">
        <f>+K641+L641</f>
        <v>0</v>
      </c>
      <c r="K641" s="462">
        <f t="shared" ref="K641:K647" si="601">+K579+G641</f>
        <v>0</v>
      </c>
      <c r="L641" s="463">
        <f t="shared" ref="L641:L647" si="602">+L579+H641</f>
        <v>0</v>
      </c>
      <c r="M641" s="596" t="str">
        <f>IFERROR(J641/D641,"-")</f>
        <v>-</v>
      </c>
      <c r="N641" s="538" t="str">
        <f t="shared" si="586"/>
        <v>-</v>
      </c>
      <c r="O641" s="638">
        <v>4.8285999999999998</v>
      </c>
      <c r="P641" s="539">
        <f t="shared" ref="P641:P647" si="603">+O641*G641</f>
        <v>0</v>
      </c>
      <c r="Q641" s="540">
        <f t="shared" ref="Q641:Q647" si="604">+O641*K641</f>
        <v>0</v>
      </c>
    </row>
    <row r="642" spans="1:17" ht="23.4" x14ac:dyDescent="0.3">
      <c r="A642" s="248" t="s">
        <v>108</v>
      </c>
      <c r="B642" s="593"/>
      <c r="C642" s="278" t="s">
        <v>307</v>
      </c>
      <c r="D642" s="279"/>
      <c r="E642" s="439"/>
      <c r="F642" s="336">
        <f t="shared" ref="F642:F647" si="605">+G642+H642</f>
        <v>0</v>
      </c>
      <c r="G642" s="281"/>
      <c r="H642" s="281"/>
      <c r="I642" s="355" t="str">
        <f>IFERROR(F642/#REF!,"-")</f>
        <v>-</v>
      </c>
      <c r="J642" s="336">
        <f t="shared" ref="J642:J647" si="606">+K642+L642</f>
        <v>0</v>
      </c>
      <c r="K642" s="281">
        <f t="shared" si="601"/>
        <v>0</v>
      </c>
      <c r="L642" s="439">
        <f t="shared" si="602"/>
        <v>0</v>
      </c>
      <c r="M642" s="340" t="str">
        <f t="shared" ref="M642:M644" si="607">IFERROR(J642/D642,"-")</f>
        <v>-</v>
      </c>
      <c r="N642" s="268" t="str">
        <f t="shared" si="586"/>
        <v>-</v>
      </c>
      <c r="O642" s="639">
        <v>1.4086000000000001</v>
      </c>
      <c r="P642" s="407">
        <f t="shared" si="603"/>
        <v>0</v>
      </c>
      <c r="Q642" s="452">
        <f t="shared" si="604"/>
        <v>0</v>
      </c>
    </row>
    <row r="643" spans="1:17" ht="23.4" x14ac:dyDescent="0.3">
      <c r="A643" s="248" t="s">
        <v>108</v>
      </c>
      <c r="B643" s="593"/>
      <c r="C643" s="278" t="s">
        <v>348</v>
      </c>
      <c r="D643" s="279"/>
      <c r="E643" s="439"/>
      <c r="F643" s="336">
        <f t="shared" si="605"/>
        <v>0</v>
      </c>
      <c r="G643" s="281"/>
      <c r="H643" s="281"/>
      <c r="I643" s="355" t="str">
        <f>IFERROR(F643/#REF!,"-")</f>
        <v>-</v>
      </c>
      <c r="J643" s="336">
        <f t="shared" si="606"/>
        <v>0</v>
      </c>
      <c r="K643" s="281">
        <f t="shared" si="601"/>
        <v>0</v>
      </c>
      <c r="L643" s="439">
        <f t="shared" si="602"/>
        <v>0</v>
      </c>
      <c r="M643" s="340" t="str">
        <f t="shared" si="607"/>
        <v>-</v>
      </c>
      <c r="N643" s="268" t="str">
        <f>IFERROR(L643/J643,"-")</f>
        <v>-</v>
      </c>
      <c r="O643" s="639">
        <v>2.2141000000000002</v>
      </c>
      <c r="P643" s="407">
        <f t="shared" si="603"/>
        <v>0</v>
      </c>
      <c r="Q643" s="452">
        <f t="shared" si="604"/>
        <v>0</v>
      </c>
    </row>
    <row r="644" spans="1:17" ht="23.4" x14ac:dyDescent="0.3">
      <c r="A644" s="248" t="s">
        <v>108</v>
      </c>
      <c r="B644" s="594"/>
      <c r="C644" s="278" t="s">
        <v>460</v>
      </c>
      <c r="D644" s="283"/>
      <c r="E644" s="533"/>
      <c r="F644" s="337">
        <f t="shared" si="605"/>
        <v>0</v>
      </c>
      <c r="G644" s="285"/>
      <c r="H644" s="285"/>
      <c r="I644" s="356" t="str">
        <f>IFERROR(F644/#REF!,"-")</f>
        <v>-</v>
      </c>
      <c r="J644" s="336">
        <f t="shared" si="606"/>
        <v>392598</v>
      </c>
      <c r="K644" s="281">
        <f t="shared" si="601"/>
        <v>386500</v>
      </c>
      <c r="L644" s="439">
        <f t="shared" si="602"/>
        <v>6098</v>
      </c>
      <c r="M644" s="341" t="str">
        <f t="shared" si="607"/>
        <v>-</v>
      </c>
      <c r="N644" s="347">
        <f t="shared" ref="N644:N651" si="608">IFERROR(L644/J644,"-")</f>
        <v>1.5532427572224006E-2</v>
      </c>
      <c r="O644" s="639">
        <v>2.2141000000000002</v>
      </c>
      <c r="P644" s="408">
        <f t="shared" si="603"/>
        <v>0</v>
      </c>
      <c r="Q644" s="453">
        <f t="shared" si="604"/>
        <v>855749.65</v>
      </c>
    </row>
    <row r="645" spans="1:17" ht="23.4" x14ac:dyDescent="0.3">
      <c r="A645" s="248" t="s">
        <v>108</v>
      </c>
      <c r="B645" s="443"/>
      <c r="C645" s="637" t="s">
        <v>393</v>
      </c>
      <c r="D645" s="514"/>
      <c r="E645" s="534"/>
      <c r="F645" s="336">
        <f t="shared" si="605"/>
        <v>0</v>
      </c>
      <c r="G645" s="553"/>
      <c r="H645" s="553"/>
      <c r="I645" s="355" t="str">
        <f>IFERROR(F645/#REF!,"-")</f>
        <v>-</v>
      </c>
      <c r="J645" s="336">
        <f t="shared" si="606"/>
        <v>0</v>
      </c>
      <c r="K645" s="281">
        <f t="shared" si="601"/>
        <v>0</v>
      </c>
      <c r="L645" s="439">
        <f t="shared" si="602"/>
        <v>0</v>
      </c>
      <c r="M645" s="725"/>
      <c r="N645" s="268" t="str">
        <f t="shared" si="608"/>
        <v>-</v>
      </c>
      <c r="O645" s="545">
        <v>4.8285999999999998</v>
      </c>
      <c r="P645" s="407">
        <f t="shared" si="603"/>
        <v>0</v>
      </c>
      <c r="Q645" s="452">
        <f t="shared" si="604"/>
        <v>0</v>
      </c>
    </row>
    <row r="646" spans="1:17" ht="23.4" x14ac:dyDescent="0.3">
      <c r="A646" s="248" t="s">
        <v>108</v>
      </c>
      <c r="B646" s="595"/>
      <c r="C646" s="637" t="s">
        <v>389</v>
      </c>
      <c r="D646" s="273"/>
      <c r="E646" s="438"/>
      <c r="F646" s="335">
        <f t="shared" si="605"/>
        <v>0</v>
      </c>
      <c r="G646" s="275"/>
      <c r="H646" s="275"/>
      <c r="I646" s="354" t="str">
        <f>IFERROR(F646/#REF!,"-")</f>
        <v>-</v>
      </c>
      <c r="J646" s="336">
        <f t="shared" si="606"/>
        <v>0</v>
      </c>
      <c r="K646" s="281">
        <f t="shared" si="601"/>
        <v>0</v>
      </c>
      <c r="L646" s="439">
        <f t="shared" si="602"/>
        <v>0</v>
      </c>
      <c r="M646" s="339" t="str">
        <f t="shared" ref="M646:M647" si="609">IFERROR(J646/D646,"-")</f>
        <v>-</v>
      </c>
      <c r="N646" s="349" t="str">
        <f t="shared" si="608"/>
        <v>-</v>
      </c>
      <c r="O646" s="511">
        <v>4.1712999999999996</v>
      </c>
      <c r="P646" s="405">
        <f t="shared" si="603"/>
        <v>0</v>
      </c>
      <c r="Q646" s="450">
        <f t="shared" si="604"/>
        <v>0</v>
      </c>
    </row>
    <row r="647" spans="1:17" ht="24" thickBot="1" x14ac:dyDescent="0.35">
      <c r="A647" s="248" t="s">
        <v>108</v>
      </c>
      <c r="B647" s="593"/>
      <c r="C647" s="278"/>
      <c r="D647" s="279"/>
      <c r="E647" s="439"/>
      <c r="F647" s="336">
        <f t="shared" si="605"/>
        <v>0</v>
      </c>
      <c r="G647" s="281"/>
      <c r="H647" s="281"/>
      <c r="I647" s="355" t="str">
        <f>IFERROR(F647/#REF!,"-")</f>
        <v>-</v>
      </c>
      <c r="J647" s="464">
        <f t="shared" si="606"/>
        <v>0</v>
      </c>
      <c r="K647" s="465">
        <f t="shared" si="601"/>
        <v>0</v>
      </c>
      <c r="L647" s="466">
        <f t="shared" si="602"/>
        <v>0</v>
      </c>
      <c r="M647" s="340" t="str">
        <f t="shared" si="609"/>
        <v>-</v>
      </c>
      <c r="N647" s="264" t="str">
        <f t="shared" si="608"/>
        <v>-</v>
      </c>
      <c r="O647" s="451"/>
      <c r="P647" s="407">
        <f t="shared" si="603"/>
        <v>0</v>
      </c>
      <c r="Q647" s="452">
        <f t="shared" si="604"/>
        <v>0</v>
      </c>
    </row>
    <row r="648" spans="1:17" ht="23.25" customHeight="1" thickBot="1" x14ac:dyDescent="0.35">
      <c r="A648" s="277" t="s">
        <v>108</v>
      </c>
      <c r="B648" s="1038" t="s">
        <v>21</v>
      </c>
      <c r="C648" s="989"/>
      <c r="D648" s="323">
        <v>0</v>
      </c>
      <c r="E648" s="288">
        <v>15000</v>
      </c>
      <c r="F648" s="323">
        <f>SUM(F641:F647)</f>
        <v>0</v>
      </c>
      <c r="G648" s="324">
        <f t="shared" ref="G648:H648" si="610">SUM(G641:G647)</f>
        <v>0</v>
      </c>
      <c r="H648" s="324">
        <f t="shared" si="610"/>
        <v>0</v>
      </c>
      <c r="I648" s="348" t="str">
        <f>IFERROR(F648/#REF!,"-")</f>
        <v>-</v>
      </c>
      <c r="J648" s="518">
        <f t="shared" ref="J648" si="611">SUM(J641:J647)</f>
        <v>392598</v>
      </c>
      <c r="K648" s="524">
        <f>SUM(K641:K647)</f>
        <v>386500</v>
      </c>
      <c r="L648" s="524">
        <f>SUM(L641:L647)</f>
        <v>6098</v>
      </c>
      <c r="M648" s="342" t="str">
        <f>IFERROR(J648/D648,"-")</f>
        <v>-</v>
      </c>
      <c r="N648" s="348">
        <f t="shared" si="608"/>
        <v>1.5532427572224006E-2</v>
      </c>
      <c r="O648" s="394"/>
      <c r="P648" s="409">
        <f>SUM(P641:P647)</f>
        <v>0</v>
      </c>
      <c r="Q648" s="428">
        <f>SUM(Q641:Q647)</f>
        <v>855749.65</v>
      </c>
    </row>
    <row r="649" spans="1:17" ht="23.25" customHeight="1" thickBot="1" x14ac:dyDescent="0.35">
      <c r="A649" s="277" t="s">
        <v>108</v>
      </c>
      <c r="B649" s="1039" t="s">
        <v>268</v>
      </c>
      <c r="C649" s="1040"/>
      <c r="D649" s="517">
        <f>+D645+D648</f>
        <v>0</v>
      </c>
      <c r="E649" s="530">
        <f>+E645+E648</f>
        <v>15000</v>
      </c>
      <c r="F649" s="517">
        <f>+F645+F648</f>
        <v>0</v>
      </c>
      <c r="G649" s="519">
        <f>+G645+G648</f>
        <v>0</v>
      </c>
      <c r="H649" s="519">
        <f>+H645+H648</f>
        <v>0</v>
      </c>
      <c r="I649" s="520" t="str">
        <f>IFERROR(F649/#REF!,"-")</f>
        <v>-</v>
      </c>
      <c r="J649" s="517">
        <f>+J645+J648</f>
        <v>392598</v>
      </c>
      <c r="K649" s="519">
        <f>+K648</f>
        <v>386500</v>
      </c>
      <c r="L649" s="519">
        <f>+L648</f>
        <v>6098</v>
      </c>
      <c r="M649" s="521" t="str">
        <f t="shared" ref="M649" si="612">IFERROR(J649/D649,"-")</f>
        <v>-</v>
      </c>
      <c r="N649" s="520">
        <f t="shared" si="608"/>
        <v>1.5532427572224006E-2</v>
      </c>
      <c r="O649" s="522"/>
      <c r="P649" s="523">
        <f>+P648</f>
        <v>0</v>
      </c>
      <c r="Q649" s="523">
        <f>+Q648</f>
        <v>855749.65</v>
      </c>
    </row>
    <row r="650" spans="1:17" ht="23.4" x14ac:dyDescent="0.4">
      <c r="A650" s="244" t="s">
        <v>108</v>
      </c>
      <c r="B650" s="1035" t="s">
        <v>270</v>
      </c>
      <c r="C650" s="547" t="s">
        <v>74</v>
      </c>
      <c r="D650" s="532"/>
      <c r="E650" s="463"/>
      <c r="F650" s="461">
        <f>+G650+H650</f>
        <v>0</v>
      </c>
      <c r="G650" s="462"/>
      <c r="H650" s="462"/>
      <c r="I650" s="536" t="str">
        <f>IFERROR(F650/#REF!,"-")</f>
        <v>-</v>
      </c>
      <c r="J650" s="461">
        <f>+K650+L650</f>
        <v>27108</v>
      </c>
      <c r="K650" s="462">
        <f t="shared" ref="K650:K681" si="613">+K588+G650</f>
        <v>27000</v>
      </c>
      <c r="L650" s="463">
        <f t="shared" ref="L650:L681" si="614">+L588+H650</f>
        <v>108</v>
      </c>
      <c r="M650" s="596" t="str">
        <f>IFERROR(J650/D650,"-")</f>
        <v>-</v>
      </c>
      <c r="N650" s="538">
        <f t="shared" si="608"/>
        <v>3.9840637450199202E-3</v>
      </c>
      <c r="O650" s="543">
        <v>32.946300000000001</v>
      </c>
      <c r="P650" s="539">
        <f t="shared" ref="P650:P681" si="615">+O650*G650</f>
        <v>0</v>
      </c>
      <c r="Q650" s="540">
        <f t="shared" ref="Q650:Q681" si="616">+O650*K650</f>
        <v>889550.1</v>
      </c>
    </row>
    <row r="651" spans="1:17" ht="23.4" x14ac:dyDescent="0.4">
      <c r="A651" s="248" t="s">
        <v>108</v>
      </c>
      <c r="B651" s="1036"/>
      <c r="C651" s="548" t="s">
        <v>75</v>
      </c>
      <c r="D651" s="516"/>
      <c r="E651" s="439"/>
      <c r="F651" s="336">
        <f t="shared" ref="F651:F681" si="617">+G651+H651</f>
        <v>0</v>
      </c>
      <c r="G651" s="281"/>
      <c r="H651" s="281"/>
      <c r="I651" s="355" t="str">
        <f>IFERROR(F651/#REF!,"-")</f>
        <v>-</v>
      </c>
      <c r="J651" s="336">
        <f t="shared" ref="J651:J681" si="618">+K651+L651</f>
        <v>15076</v>
      </c>
      <c r="K651" s="281">
        <f t="shared" si="613"/>
        <v>15000</v>
      </c>
      <c r="L651" s="439">
        <f t="shared" si="614"/>
        <v>76</v>
      </c>
      <c r="M651" s="340" t="str">
        <f t="shared" ref="M651:M653" si="619">IFERROR(J651/D651,"-")</f>
        <v>-</v>
      </c>
      <c r="N651" s="268">
        <f t="shared" si="608"/>
        <v>5.0411249668347044E-3</v>
      </c>
      <c r="O651" s="512">
        <v>35.398400000000002</v>
      </c>
      <c r="P651" s="407">
        <f t="shared" si="615"/>
        <v>0</v>
      </c>
      <c r="Q651" s="452">
        <f t="shared" si="616"/>
        <v>530976</v>
      </c>
    </row>
    <row r="652" spans="1:17" ht="24" thickBot="1" x14ac:dyDescent="0.45">
      <c r="A652" s="248" t="s">
        <v>108</v>
      </c>
      <c r="B652" s="1037"/>
      <c r="C652" s="548" t="s">
        <v>76</v>
      </c>
      <c r="D652" s="279"/>
      <c r="E652" s="439"/>
      <c r="F652" s="336">
        <f t="shared" si="617"/>
        <v>0</v>
      </c>
      <c r="G652" s="281"/>
      <c r="H652" s="281"/>
      <c r="I652" s="355" t="str">
        <f>IFERROR(F652/#REF!,"-")</f>
        <v>-</v>
      </c>
      <c r="J652" s="336">
        <f t="shared" si="618"/>
        <v>0</v>
      </c>
      <c r="K652" s="281">
        <f t="shared" si="613"/>
        <v>0</v>
      </c>
      <c r="L652" s="439">
        <f t="shared" si="614"/>
        <v>0</v>
      </c>
      <c r="M652" s="340" t="str">
        <f t="shared" si="619"/>
        <v>-</v>
      </c>
      <c r="N652" s="268" t="str">
        <f>IFERROR(L652/J652,"-")</f>
        <v>-</v>
      </c>
      <c r="O652" s="512">
        <v>32.946300000000001</v>
      </c>
      <c r="P652" s="407">
        <f t="shared" si="615"/>
        <v>0</v>
      </c>
      <c r="Q652" s="452">
        <f t="shared" si="616"/>
        <v>0</v>
      </c>
    </row>
    <row r="653" spans="1:17" ht="23.4" x14ac:dyDescent="0.4">
      <c r="A653" s="248" t="s">
        <v>108</v>
      </c>
      <c r="B653" s="1035" t="s">
        <v>271</v>
      </c>
      <c r="C653" s="550" t="s">
        <v>78</v>
      </c>
      <c r="D653" s="279"/>
      <c r="E653" s="533"/>
      <c r="F653" s="337">
        <f t="shared" si="617"/>
        <v>17387</v>
      </c>
      <c r="G653" s="281">
        <v>16800</v>
      </c>
      <c r="H653" s="281">
        <v>587</v>
      </c>
      <c r="I653" s="355" t="str">
        <f>IFERROR(F653/#REF!,"-")</f>
        <v>-</v>
      </c>
      <c r="J653" s="336">
        <f t="shared" si="618"/>
        <v>32743</v>
      </c>
      <c r="K653" s="281">
        <f t="shared" si="613"/>
        <v>31201</v>
      </c>
      <c r="L653" s="439">
        <f t="shared" si="614"/>
        <v>1542</v>
      </c>
      <c r="M653" s="340" t="str">
        <f t="shared" si="619"/>
        <v>-</v>
      </c>
      <c r="N653" s="268">
        <f t="shared" ref="N653" si="620">IFERROR(L653/J653,"-")</f>
        <v>4.7094035366337841E-2</v>
      </c>
      <c r="O653" s="512">
        <v>55.4758</v>
      </c>
      <c r="P653" s="407">
        <f t="shared" si="615"/>
        <v>931993.44</v>
      </c>
      <c r="Q653" s="452">
        <f t="shared" si="616"/>
        <v>1730900.4358000001</v>
      </c>
    </row>
    <row r="654" spans="1:17" ht="23.4" x14ac:dyDescent="0.4">
      <c r="A654" s="248" t="s">
        <v>108</v>
      </c>
      <c r="B654" s="1036"/>
      <c r="C654" s="550" t="s">
        <v>75</v>
      </c>
      <c r="D654" s="279"/>
      <c r="E654" s="534"/>
      <c r="F654" s="337">
        <f t="shared" si="617"/>
        <v>0</v>
      </c>
      <c r="G654" s="281"/>
      <c r="H654" s="281"/>
      <c r="I654" s="355" t="str">
        <f>IFERROR(F654/#REF!,"-")</f>
        <v>-</v>
      </c>
      <c r="J654" s="336">
        <f t="shared" si="618"/>
        <v>8448</v>
      </c>
      <c r="K654" s="281">
        <f t="shared" si="613"/>
        <v>6800</v>
      </c>
      <c r="L654" s="439">
        <f t="shared" si="614"/>
        <v>1648</v>
      </c>
      <c r="M654" s="725"/>
      <c r="N654" s="375"/>
      <c r="O654" s="545">
        <v>58.836300000000001</v>
      </c>
      <c r="P654" s="407">
        <f t="shared" si="615"/>
        <v>0</v>
      </c>
      <c r="Q654" s="452">
        <f t="shared" si="616"/>
        <v>400086.84</v>
      </c>
    </row>
    <row r="655" spans="1:17" ht="23.4" x14ac:dyDescent="0.4">
      <c r="A655" s="248" t="s">
        <v>108</v>
      </c>
      <c r="B655" s="1036"/>
      <c r="C655" s="550" t="s">
        <v>386</v>
      </c>
      <c r="D655" s="279"/>
      <c r="E655" s="438"/>
      <c r="F655" s="337">
        <f t="shared" si="617"/>
        <v>0</v>
      </c>
      <c r="G655" s="281"/>
      <c r="H655" s="281"/>
      <c r="I655" s="355" t="str">
        <f>IFERROR(F655/#REF!,"-")</f>
        <v>-</v>
      </c>
      <c r="J655" s="336">
        <f t="shared" si="618"/>
        <v>3290</v>
      </c>
      <c r="K655" s="281">
        <f t="shared" si="613"/>
        <v>2800</v>
      </c>
      <c r="L655" s="439">
        <f t="shared" si="614"/>
        <v>490</v>
      </c>
      <c r="M655" s="340" t="str">
        <f t="shared" ref="M655" si="621">IFERROR(J655/D655,"-")</f>
        <v>-</v>
      </c>
      <c r="N655" s="264">
        <f t="shared" ref="N655" si="622">IFERROR(L655/J655,"-")</f>
        <v>0.14893617021276595</v>
      </c>
      <c r="O655" s="512">
        <v>55.4758</v>
      </c>
      <c r="P655" s="407">
        <f t="shared" si="615"/>
        <v>0</v>
      </c>
      <c r="Q655" s="452">
        <f t="shared" si="616"/>
        <v>155332.24</v>
      </c>
    </row>
    <row r="656" spans="1:17" ht="24" thickBot="1" x14ac:dyDescent="0.45">
      <c r="A656" s="248"/>
      <c r="B656" s="1037"/>
      <c r="C656" s="550" t="s">
        <v>404</v>
      </c>
      <c r="D656" s="279"/>
      <c r="E656" s="438"/>
      <c r="F656" s="337">
        <f t="shared" si="617"/>
        <v>0</v>
      </c>
      <c r="G656" s="281"/>
      <c r="H656" s="281"/>
      <c r="I656" s="355"/>
      <c r="J656" s="336">
        <f t="shared" si="618"/>
        <v>2220</v>
      </c>
      <c r="K656" s="281">
        <f t="shared" si="613"/>
        <v>2064</v>
      </c>
      <c r="L656" s="439">
        <f t="shared" si="614"/>
        <v>156</v>
      </c>
      <c r="M656" s="340"/>
      <c r="N656" s="264">
        <f>IFERROR(L656/J656,"-")</f>
        <v>7.0270270270270274E-2</v>
      </c>
      <c r="O656" s="512">
        <v>55.4758</v>
      </c>
      <c r="P656" s="407">
        <f t="shared" si="615"/>
        <v>0</v>
      </c>
      <c r="Q656" s="452">
        <f t="shared" si="616"/>
        <v>114502.0512</v>
      </c>
    </row>
    <row r="657" spans="1:17" ht="23.4" x14ac:dyDescent="0.4">
      <c r="A657" s="248" t="s">
        <v>108</v>
      </c>
      <c r="B657" s="1035" t="s">
        <v>490</v>
      </c>
      <c r="C657" s="548" t="s">
        <v>80</v>
      </c>
      <c r="D657" s="279"/>
      <c r="E657" s="439"/>
      <c r="F657" s="336">
        <f t="shared" si="617"/>
        <v>0</v>
      </c>
      <c r="G657" s="281"/>
      <c r="H657" s="281"/>
      <c r="I657" s="355" t="str">
        <f>IFERROR(F657/#REF!,"-")</f>
        <v>-</v>
      </c>
      <c r="J657" s="336">
        <f t="shared" si="618"/>
        <v>1170</v>
      </c>
      <c r="K657" s="281">
        <f t="shared" si="613"/>
        <v>1100</v>
      </c>
      <c r="L657" s="439">
        <f t="shared" si="614"/>
        <v>70</v>
      </c>
      <c r="M657" s="340" t="str">
        <f t="shared" ref="M657:M684" si="623">IFERROR(J657/D657,"-")</f>
        <v>-</v>
      </c>
      <c r="N657" s="264">
        <f t="shared" ref="N657:N683" si="624">IFERROR(L657/J657,"-")</f>
        <v>5.9829059829059832E-2</v>
      </c>
      <c r="O657" s="512">
        <v>25.687200000000001</v>
      </c>
      <c r="P657" s="407">
        <f t="shared" si="615"/>
        <v>0</v>
      </c>
      <c r="Q657" s="452">
        <f t="shared" si="616"/>
        <v>28255.920000000002</v>
      </c>
    </row>
    <row r="658" spans="1:17" ht="24" thickBot="1" x14ac:dyDescent="0.45">
      <c r="A658" s="248" t="s">
        <v>108</v>
      </c>
      <c r="B658" s="1037"/>
      <c r="C658" s="548" t="s">
        <v>124</v>
      </c>
      <c r="D658" s="279"/>
      <c r="E658" s="439"/>
      <c r="F658" s="336">
        <f t="shared" si="617"/>
        <v>0</v>
      </c>
      <c r="G658" s="281"/>
      <c r="H658" s="281"/>
      <c r="I658" s="355" t="str">
        <f>IFERROR(F658/#REF!,"-")</f>
        <v>-</v>
      </c>
      <c r="J658" s="336">
        <f t="shared" si="618"/>
        <v>0</v>
      </c>
      <c r="K658" s="281">
        <f t="shared" si="613"/>
        <v>0</v>
      </c>
      <c r="L658" s="439">
        <f t="shared" si="614"/>
        <v>0</v>
      </c>
      <c r="M658" s="340" t="str">
        <f t="shared" si="623"/>
        <v>-</v>
      </c>
      <c r="N658" s="264" t="str">
        <f t="shared" si="624"/>
        <v>-</v>
      </c>
      <c r="O658" s="512">
        <v>25.033899999999999</v>
      </c>
      <c r="P658" s="407">
        <f t="shared" si="615"/>
        <v>0</v>
      </c>
      <c r="Q658" s="452">
        <f t="shared" si="616"/>
        <v>0</v>
      </c>
    </row>
    <row r="659" spans="1:17" ht="23.4" x14ac:dyDescent="0.4">
      <c r="A659" s="248"/>
      <c r="B659" s="1035" t="s">
        <v>491</v>
      </c>
      <c r="C659" s="548" t="s">
        <v>82</v>
      </c>
      <c r="D659" s="279"/>
      <c r="E659" s="439"/>
      <c r="F659" s="336">
        <f t="shared" si="617"/>
        <v>0</v>
      </c>
      <c r="G659" s="281"/>
      <c r="H659" s="281"/>
      <c r="I659" s="355" t="str">
        <f>IFERROR(F659/#REF!,"-")</f>
        <v>-</v>
      </c>
      <c r="J659" s="336">
        <f t="shared" si="618"/>
        <v>7837</v>
      </c>
      <c r="K659" s="281">
        <f t="shared" si="613"/>
        <v>7800</v>
      </c>
      <c r="L659" s="439">
        <f t="shared" si="614"/>
        <v>37</v>
      </c>
      <c r="M659" s="340" t="str">
        <f t="shared" si="623"/>
        <v>-</v>
      </c>
      <c r="N659" s="264">
        <f t="shared" si="624"/>
        <v>4.7211943345667985E-3</v>
      </c>
      <c r="O659" s="512">
        <v>41.992699999999999</v>
      </c>
      <c r="P659" s="407">
        <f t="shared" si="615"/>
        <v>0</v>
      </c>
      <c r="Q659" s="452">
        <f t="shared" si="616"/>
        <v>327543.06</v>
      </c>
    </row>
    <row r="660" spans="1:17" ht="23.4" x14ac:dyDescent="0.4">
      <c r="A660" s="248"/>
      <c r="B660" s="1036"/>
      <c r="C660" s="548" t="s">
        <v>75</v>
      </c>
      <c r="D660" s="279"/>
      <c r="E660" s="439"/>
      <c r="F660" s="336">
        <f t="shared" si="617"/>
        <v>0</v>
      </c>
      <c r="G660" s="281"/>
      <c r="H660" s="281"/>
      <c r="I660" s="355" t="str">
        <f>IFERROR(F660/#REF!,"-")</f>
        <v>-</v>
      </c>
      <c r="J660" s="336">
        <f t="shared" si="618"/>
        <v>45</v>
      </c>
      <c r="K660" s="281">
        <f t="shared" si="613"/>
        <v>45</v>
      </c>
      <c r="L660" s="439">
        <f t="shared" si="614"/>
        <v>0</v>
      </c>
      <c r="M660" s="340" t="str">
        <f t="shared" si="623"/>
        <v>-</v>
      </c>
      <c r="N660" s="264">
        <f t="shared" si="624"/>
        <v>0</v>
      </c>
      <c r="O660" s="512">
        <v>42.283799999999999</v>
      </c>
      <c r="P660" s="407">
        <f t="shared" si="615"/>
        <v>0</v>
      </c>
      <c r="Q660" s="452">
        <f t="shared" si="616"/>
        <v>1902.771</v>
      </c>
    </row>
    <row r="661" spans="1:17" ht="23.4" x14ac:dyDescent="0.4">
      <c r="A661" s="248"/>
      <c r="B661" s="1036"/>
      <c r="C661" s="548" t="s">
        <v>450</v>
      </c>
      <c r="D661" s="279"/>
      <c r="E661" s="439"/>
      <c r="F661" s="336">
        <f t="shared" si="617"/>
        <v>0</v>
      </c>
      <c r="G661" s="281"/>
      <c r="H661" s="281"/>
      <c r="I661" s="355" t="str">
        <f>IFERROR(F661/#REF!,"-")</f>
        <v>-</v>
      </c>
      <c r="J661" s="336">
        <f t="shared" si="618"/>
        <v>1140</v>
      </c>
      <c r="K661" s="281">
        <f t="shared" si="613"/>
        <v>1140</v>
      </c>
      <c r="L661" s="439">
        <f t="shared" si="614"/>
        <v>0</v>
      </c>
      <c r="M661" s="340" t="str">
        <f t="shared" si="623"/>
        <v>-</v>
      </c>
      <c r="N661" s="264">
        <f t="shared" si="624"/>
        <v>0</v>
      </c>
      <c r="O661" s="772">
        <v>41.992699999999999</v>
      </c>
      <c r="P661" s="407">
        <f t="shared" si="615"/>
        <v>0</v>
      </c>
      <c r="Q661" s="452">
        <f t="shared" si="616"/>
        <v>47871.678</v>
      </c>
    </row>
    <row r="662" spans="1:17" ht="24" thickBot="1" x14ac:dyDescent="0.45">
      <c r="A662" s="248"/>
      <c r="B662" s="1037"/>
      <c r="C662" s="548" t="s">
        <v>451</v>
      </c>
      <c r="D662" s="279"/>
      <c r="E662" s="439"/>
      <c r="F662" s="336">
        <f t="shared" si="617"/>
        <v>0</v>
      </c>
      <c r="G662" s="281"/>
      <c r="H662" s="281"/>
      <c r="I662" s="355" t="str">
        <f>IFERROR(F662/#REF!,"-")</f>
        <v>-</v>
      </c>
      <c r="J662" s="336">
        <f t="shared" si="618"/>
        <v>712</v>
      </c>
      <c r="K662" s="281">
        <f t="shared" si="613"/>
        <v>660</v>
      </c>
      <c r="L662" s="439">
        <f t="shared" si="614"/>
        <v>52</v>
      </c>
      <c r="M662" s="340" t="str">
        <f t="shared" si="623"/>
        <v>-</v>
      </c>
      <c r="N662" s="264">
        <f t="shared" si="624"/>
        <v>7.3033707865168537E-2</v>
      </c>
      <c r="O662" s="772">
        <v>42.283799999999999</v>
      </c>
      <c r="P662" s="407">
        <f t="shared" si="615"/>
        <v>0</v>
      </c>
      <c r="Q662" s="452">
        <f t="shared" si="616"/>
        <v>27907.308000000001</v>
      </c>
    </row>
    <row r="663" spans="1:17" ht="24" thickBot="1" x14ac:dyDescent="0.45">
      <c r="A663" s="248"/>
      <c r="B663" s="815" t="s">
        <v>83</v>
      </c>
      <c r="C663" s="548" t="s">
        <v>84</v>
      </c>
      <c r="D663" s="279"/>
      <c r="E663" s="439"/>
      <c r="F663" s="336">
        <f t="shared" si="617"/>
        <v>0</v>
      </c>
      <c r="G663" s="281"/>
      <c r="H663" s="281"/>
      <c r="I663" s="355" t="str">
        <f>IFERROR(F663/#REF!,"-")</f>
        <v>-</v>
      </c>
      <c r="J663" s="336">
        <f t="shared" si="618"/>
        <v>0</v>
      </c>
      <c r="K663" s="281">
        <f t="shared" si="613"/>
        <v>0</v>
      </c>
      <c r="L663" s="439">
        <f t="shared" si="614"/>
        <v>0</v>
      </c>
      <c r="M663" s="340" t="str">
        <f t="shared" si="623"/>
        <v>-</v>
      </c>
      <c r="N663" s="264" t="str">
        <f t="shared" si="624"/>
        <v>-</v>
      </c>
      <c r="O663" s="512">
        <v>4.3535000000000004</v>
      </c>
      <c r="P663" s="407">
        <f t="shared" si="615"/>
        <v>0</v>
      </c>
      <c r="Q663" s="452">
        <f t="shared" si="616"/>
        <v>0</v>
      </c>
    </row>
    <row r="664" spans="1:17" ht="23.4" x14ac:dyDescent="0.4">
      <c r="A664" s="248"/>
      <c r="B664" s="1035" t="s">
        <v>273</v>
      </c>
      <c r="C664" s="548" t="s">
        <v>80</v>
      </c>
      <c r="D664" s="279"/>
      <c r="E664" s="439"/>
      <c r="F664" s="336">
        <f t="shared" si="617"/>
        <v>0</v>
      </c>
      <c r="G664" s="281"/>
      <c r="H664" s="281"/>
      <c r="I664" s="355" t="str">
        <f>IFERROR(F664/#REF!,"-")</f>
        <v>-</v>
      </c>
      <c r="J664" s="336">
        <f t="shared" si="618"/>
        <v>0</v>
      </c>
      <c r="K664" s="281">
        <f t="shared" si="613"/>
        <v>0</v>
      </c>
      <c r="L664" s="439">
        <f t="shared" si="614"/>
        <v>0</v>
      </c>
      <c r="M664" s="340" t="str">
        <f t="shared" si="623"/>
        <v>-</v>
      </c>
      <c r="N664" s="264" t="str">
        <f t="shared" si="624"/>
        <v>-</v>
      </c>
      <c r="O664" s="512">
        <v>4.6184000000000003</v>
      </c>
      <c r="P664" s="407">
        <f t="shared" si="615"/>
        <v>0</v>
      </c>
      <c r="Q664" s="452">
        <f t="shared" si="616"/>
        <v>0</v>
      </c>
    </row>
    <row r="665" spans="1:17" ht="23.4" x14ac:dyDescent="0.4">
      <c r="A665" s="248"/>
      <c r="B665" s="1036"/>
      <c r="C665" s="548" t="s">
        <v>378</v>
      </c>
      <c r="D665" s="279"/>
      <c r="E665" s="439"/>
      <c r="F665" s="336">
        <f t="shared" si="617"/>
        <v>0</v>
      </c>
      <c r="G665" s="281"/>
      <c r="H665" s="281"/>
      <c r="I665" s="355" t="str">
        <f>IFERROR(F665/#REF!,"-")</f>
        <v>-</v>
      </c>
      <c r="J665" s="336">
        <f t="shared" si="618"/>
        <v>0</v>
      </c>
      <c r="K665" s="281">
        <f t="shared" si="613"/>
        <v>0</v>
      </c>
      <c r="L665" s="439">
        <f t="shared" si="614"/>
        <v>0</v>
      </c>
      <c r="M665" s="340" t="str">
        <f t="shared" si="623"/>
        <v>-</v>
      </c>
      <c r="N665" s="264" t="str">
        <f t="shared" si="624"/>
        <v>-</v>
      </c>
      <c r="O665" s="512">
        <v>4.6184000000000003</v>
      </c>
      <c r="P665" s="407">
        <f t="shared" si="615"/>
        <v>0</v>
      </c>
      <c r="Q665" s="452">
        <f t="shared" si="616"/>
        <v>0</v>
      </c>
    </row>
    <row r="666" spans="1:17" ht="23.4" x14ac:dyDescent="0.4">
      <c r="A666" s="248"/>
      <c r="B666" s="1036"/>
      <c r="C666" s="548" t="s">
        <v>272</v>
      </c>
      <c r="D666" s="279"/>
      <c r="E666" s="439"/>
      <c r="F666" s="336">
        <f t="shared" si="617"/>
        <v>0</v>
      </c>
      <c r="G666" s="281"/>
      <c r="H666" s="281"/>
      <c r="I666" s="355" t="str">
        <f>IFERROR(F666/#REF!,"-")</f>
        <v>-</v>
      </c>
      <c r="J666" s="336">
        <f t="shared" si="618"/>
        <v>0</v>
      </c>
      <c r="K666" s="281">
        <f t="shared" si="613"/>
        <v>0</v>
      </c>
      <c r="L666" s="439">
        <f t="shared" si="614"/>
        <v>0</v>
      </c>
      <c r="M666" s="340" t="str">
        <f t="shared" si="623"/>
        <v>-</v>
      </c>
      <c r="N666" s="264" t="str">
        <f t="shared" si="624"/>
        <v>-</v>
      </c>
      <c r="O666" s="512">
        <v>4.6184000000000003</v>
      </c>
      <c r="P666" s="407">
        <f t="shared" si="615"/>
        <v>0</v>
      </c>
      <c r="Q666" s="452">
        <f t="shared" si="616"/>
        <v>0</v>
      </c>
    </row>
    <row r="667" spans="1:17" ht="23.4" x14ac:dyDescent="0.4">
      <c r="A667" s="248"/>
      <c r="B667" s="1036"/>
      <c r="C667" s="548" t="s">
        <v>390</v>
      </c>
      <c r="D667" s="279"/>
      <c r="E667" s="439"/>
      <c r="F667" s="336">
        <f t="shared" si="617"/>
        <v>18978</v>
      </c>
      <c r="G667" s="281">
        <v>18700</v>
      </c>
      <c r="H667" s="281">
        <v>278</v>
      </c>
      <c r="I667" s="355" t="str">
        <f>IFERROR(F667/#REF!,"-")</f>
        <v>-</v>
      </c>
      <c r="J667" s="336">
        <f t="shared" si="618"/>
        <v>511962</v>
      </c>
      <c r="K667" s="730">
        <f t="shared" si="613"/>
        <v>508200</v>
      </c>
      <c r="L667" s="731">
        <f t="shared" si="614"/>
        <v>3762</v>
      </c>
      <c r="M667" s="340" t="str">
        <f t="shared" si="623"/>
        <v>-</v>
      </c>
      <c r="N667" s="264">
        <f t="shared" si="624"/>
        <v>7.3482016243393063E-3</v>
      </c>
      <c r="O667" s="512">
        <v>4.7636000000000003</v>
      </c>
      <c r="P667" s="407">
        <f t="shared" si="615"/>
        <v>89079.32</v>
      </c>
      <c r="Q667" s="452">
        <f t="shared" si="616"/>
        <v>2420861.52</v>
      </c>
    </row>
    <row r="668" spans="1:17" ht="24" thickBot="1" x14ac:dyDescent="0.45">
      <c r="A668" s="248"/>
      <c r="B668" s="1037"/>
      <c r="C668" s="548" t="s">
        <v>384</v>
      </c>
      <c r="D668" s="279"/>
      <c r="E668" s="439"/>
      <c r="F668" s="336">
        <f t="shared" si="617"/>
        <v>0</v>
      </c>
      <c r="G668" s="281"/>
      <c r="H668" s="281"/>
      <c r="I668" s="355" t="str">
        <f>IFERROR(F668/#REF!,"-")</f>
        <v>-</v>
      </c>
      <c r="J668" s="336">
        <f t="shared" si="618"/>
        <v>0</v>
      </c>
      <c r="K668" s="281">
        <f t="shared" si="613"/>
        <v>0</v>
      </c>
      <c r="L668" s="439">
        <f t="shared" si="614"/>
        <v>0</v>
      </c>
      <c r="M668" s="340" t="str">
        <f t="shared" si="623"/>
        <v>-</v>
      </c>
      <c r="N668" s="264" t="str">
        <f t="shared" si="624"/>
        <v>-</v>
      </c>
      <c r="O668" s="512">
        <v>4.8738000000000001</v>
      </c>
      <c r="P668" s="407">
        <f t="shared" si="615"/>
        <v>0</v>
      </c>
      <c r="Q668" s="452">
        <f t="shared" si="616"/>
        <v>0</v>
      </c>
    </row>
    <row r="669" spans="1:17" ht="24" thickBot="1" x14ac:dyDescent="0.45">
      <c r="A669" s="248"/>
      <c r="B669" s="815" t="s">
        <v>274</v>
      </c>
      <c r="C669" s="548" t="s">
        <v>131</v>
      </c>
      <c r="D669" s="279"/>
      <c r="E669" s="439"/>
      <c r="F669" s="336">
        <f t="shared" si="617"/>
        <v>0</v>
      </c>
      <c r="G669" s="281"/>
      <c r="H669" s="281"/>
      <c r="I669" s="355" t="str">
        <f>IFERROR(F669/#REF!,"-")</f>
        <v>-</v>
      </c>
      <c r="J669" s="336">
        <f t="shared" si="618"/>
        <v>0</v>
      </c>
      <c r="K669" s="281">
        <f t="shared" si="613"/>
        <v>0</v>
      </c>
      <c r="L669" s="439">
        <f t="shared" si="614"/>
        <v>0</v>
      </c>
      <c r="M669" s="340" t="str">
        <f t="shared" si="623"/>
        <v>-</v>
      </c>
      <c r="N669" s="264" t="str">
        <f t="shared" si="624"/>
        <v>-</v>
      </c>
      <c r="O669" s="512">
        <v>4.8738000000000001</v>
      </c>
      <c r="P669" s="407">
        <f t="shared" si="615"/>
        <v>0</v>
      </c>
      <c r="Q669" s="452">
        <f t="shared" si="616"/>
        <v>0</v>
      </c>
    </row>
    <row r="670" spans="1:17" ht="23.4" x14ac:dyDescent="0.4">
      <c r="A670" s="248"/>
      <c r="B670" s="1035" t="s">
        <v>276</v>
      </c>
      <c r="C670" s="548" t="s">
        <v>80</v>
      </c>
      <c r="D670" s="279"/>
      <c r="E670" s="439"/>
      <c r="F670" s="336">
        <f t="shared" si="617"/>
        <v>11168</v>
      </c>
      <c r="G670" s="281">
        <v>10650</v>
      </c>
      <c r="H670" s="281">
        <v>518</v>
      </c>
      <c r="I670" s="355" t="str">
        <f>IFERROR(F670/#REF!,"-")</f>
        <v>-</v>
      </c>
      <c r="J670" s="336">
        <f t="shared" si="618"/>
        <v>258769</v>
      </c>
      <c r="K670" s="730">
        <f t="shared" si="613"/>
        <v>253200</v>
      </c>
      <c r="L670" s="731">
        <f t="shared" si="614"/>
        <v>5569</v>
      </c>
      <c r="M670" s="340" t="str">
        <f t="shared" si="623"/>
        <v>-</v>
      </c>
      <c r="N670" s="264">
        <f t="shared" si="624"/>
        <v>2.1521125018839196E-2</v>
      </c>
      <c r="O670" s="512">
        <v>4.9344999999999999</v>
      </c>
      <c r="P670" s="407">
        <f t="shared" si="615"/>
        <v>52552.424999999996</v>
      </c>
      <c r="Q670" s="452">
        <f t="shared" si="616"/>
        <v>1249415.3999999999</v>
      </c>
    </row>
    <row r="671" spans="1:17" ht="23.4" x14ac:dyDescent="0.4">
      <c r="A671" s="248"/>
      <c r="B671" s="1036"/>
      <c r="C671" s="548" t="s">
        <v>142</v>
      </c>
      <c r="D671" s="279"/>
      <c r="E671" s="439"/>
      <c r="F671" s="336">
        <f t="shared" si="617"/>
        <v>0</v>
      </c>
      <c r="G671" s="281"/>
      <c r="H671" s="281"/>
      <c r="I671" s="355" t="str">
        <f>IFERROR(F671/#REF!,"-")</f>
        <v>-</v>
      </c>
      <c r="J671" s="336">
        <f t="shared" si="618"/>
        <v>0</v>
      </c>
      <c r="K671" s="281">
        <f t="shared" si="613"/>
        <v>0</v>
      </c>
      <c r="L671" s="439">
        <f t="shared" si="614"/>
        <v>0</v>
      </c>
      <c r="M671" s="340" t="str">
        <f t="shared" si="623"/>
        <v>-</v>
      </c>
      <c r="N671" s="264" t="str">
        <f t="shared" si="624"/>
        <v>-</v>
      </c>
      <c r="O671" s="512">
        <v>4.9344999999999999</v>
      </c>
      <c r="P671" s="407">
        <f t="shared" si="615"/>
        <v>0</v>
      </c>
      <c r="Q671" s="452">
        <f t="shared" si="616"/>
        <v>0</v>
      </c>
    </row>
    <row r="672" spans="1:17" ht="23.4" x14ac:dyDescent="0.4">
      <c r="A672" s="248"/>
      <c r="B672" s="1036"/>
      <c r="C672" s="548" t="s">
        <v>136</v>
      </c>
      <c r="D672" s="279"/>
      <c r="E672" s="439"/>
      <c r="F672" s="336">
        <f t="shared" si="617"/>
        <v>0</v>
      </c>
      <c r="G672" s="281"/>
      <c r="H672" s="281"/>
      <c r="I672" s="355" t="str">
        <f>IFERROR(F672/#REF!,"-")</f>
        <v>-</v>
      </c>
      <c r="J672" s="336">
        <f t="shared" si="618"/>
        <v>0</v>
      </c>
      <c r="K672" s="281">
        <f t="shared" si="613"/>
        <v>0</v>
      </c>
      <c r="L672" s="439">
        <f t="shared" si="614"/>
        <v>0</v>
      </c>
      <c r="M672" s="340" t="str">
        <f t="shared" si="623"/>
        <v>-</v>
      </c>
      <c r="N672" s="264" t="str">
        <f t="shared" si="624"/>
        <v>-</v>
      </c>
      <c r="O672" s="512">
        <v>4.9344999999999999</v>
      </c>
      <c r="P672" s="407">
        <f t="shared" si="615"/>
        <v>0</v>
      </c>
      <c r="Q672" s="452">
        <f t="shared" si="616"/>
        <v>0</v>
      </c>
    </row>
    <row r="673" spans="1:17" ht="24" thickBot="1" x14ac:dyDescent="0.45">
      <c r="A673" s="248"/>
      <c r="B673" s="1037"/>
      <c r="C673" s="548" t="s">
        <v>275</v>
      </c>
      <c r="D673" s="279"/>
      <c r="E673" s="439"/>
      <c r="F673" s="336">
        <f t="shared" si="617"/>
        <v>0</v>
      </c>
      <c r="G673" s="281"/>
      <c r="H673" s="281"/>
      <c r="I673" s="355" t="str">
        <f>IFERROR(F673/#REF!,"-")</f>
        <v>-</v>
      </c>
      <c r="J673" s="336">
        <f t="shared" si="618"/>
        <v>0</v>
      </c>
      <c r="K673" s="281">
        <f t="shared" si="613"/>
        <v>0</v>
      </c>
      <c r="L673" s="439">
        <f t="shared" si="614"/>
        <v>0</v>
      </c>
      <c r="M673" s="340" t="str">
        <f t="shared" si="623"/>
        <v>-</v>
      </c>
      <c r="N673" s="264" t="str">
        <f t="shared" si="624"/>
        <v>-</v>
      </c>
      <c r="O673" s="512">
        <v>5.5069999999999997</v>
      </c>
      <c r="P673" s="407">
        <f t="shared" si="615"/>
        <v>0</v>
      </c>
      <c r="Q673" s="452">
        <f t="shared" si="616"/>
        <v>0</v>
      </c>
    </row>
    <row r="674" spans="1:17" ht="23.4" x14ac:dyDescent="0.4">
      <c r="A674" s="248"/>
      <c r="B674" s="1035" t="s">
        <v>281</v>
      </c>
      <c r="C674" s="548" t="s">
        <v>277</v>
      </c>
      <c r="D674" s="279"/>
      <c r="E674" s="439"/>
      <c r="F674" s="336">
        <f t="shared" si="617"/>
        <v>37628</v>
      </c>
      <c r="G674" s="281">
        <v>37200</v>
      </c>
      <c r="H674" s="281">
        <v>428</v>
      </c>
      <c r="I674" s="355" t="str">
        <f>IFERROR(F674/#REF!,"-")</f>
        <v>-</v>
      </c>
      <c r="J674" s="336">
        <f t="shared" si="618"/>
        <v>147559</v>
      </c>
      <c r="K674" s="281">
        <f t="shared" si="613"/>
        <v>145600</v>
      </c>
      <c r="L674" s="439">
        <f t="shared" si="614"/>
        <v>1959</v>
      </c>
      <c r="M674" s="340" t="str">
        <f t="shared" si="623"/>
        <v>-</v>
      </c>
      <c r="N674" s="264">
        <f t="shared" si="624"/>
        <v>1.3276045513997791E-2</v>
      </c>
      <c r="O674" s="772">
        <v>5.5069999999999997</v>
      </c>
      <c r="P674" s="407">
        <f t="shared" si="615"/>
        <v>204860.4</v>
      </c>
      <c r="Q674" s="452">
        <f t="shared" si="616"/>
        <v>801819.2</v>
      </c>
    </row>
    <row r="675" spans="1:17" ht="23.4" x14ac:dyDescent="0.4">
      <c r="A675" s="248"/>
      <c r="B675" s="1036"/>
      <c r="C675" s="548" t="s">
        <v>278</v>
      </c>
      <c r="D675" s="279"/>
      <c r="E675" s="439"/>
      <c r="F675" s="336">
        <f t="shared" si="617"/>
        <v>0</v>
      </c>
      <c r="G675" s="281"/>
      <c r="H675" s="281"/>
      <c r="I675" s="355" t="str">
        <f>IFERROR(F675/#REF!,"-")</f>
        <v>-</v>
      </c>
      <c r="J675" s="336">
        <f t="shared" si="618"/>
        <v>0</v>
      </c>
      <c r="K675" s="281">
        <f t="shared" si="613"/>
        <v>0</v>
      </c>
      <c r="L675" s="439">
        <f t="shared" si="614"/>
        <v>0</v>
      </c>
      <c r="M675" s="340" t="str">
        <f t="shared" si="623"/>
        <v>-</v>
      </c>
      <c r="N675" s="264" t="str">
        <f t="shared" si="624"/>
        <v>-</v>
      </c>
      <c r="O675" s="512">
        <v>5.6550000000000002</v>
      </c>
      <c r="P675" s="407">
        <f t="shared" si="615"/>
        <v>0</v>
      </c>
      <c r="Q675" s="452">
        <f t="shared" si="616"/>
        <v>0</v>
      </c>
    </row>
    <row r="676" spans="1:17" ht="23.4" x14ac:dyDescent="0.4">
      <c r="A676" s="248"/>
      <c r="B676" s="1036"/>
      <c r="C676" s="548" t="s">
        <v>355</v>
      </c>
      <c r="D676" s="279"/>
      <c r="E676" s="439"/>
      <c r="F676" s="336">
        <f t="shared" si="617"/>
        <v>9963</v>
      </c>
      <c r="G676" s="281">
        <v>9000</v>
      </c>
      <c r="H676" s="281">
        <v>963</v>
      </c>
      <c r="I676" s="355" t="str">
        <f>IFERROR(F676/#REF!,"-")</f>
        <v>-</v>
      </c>
      <c r="J676" s="336">
        <f t="shared" si="618"/>
        <v>302298</v>
      </c>
      <c r="K676" s="730">
        <f t="shared" si="613"/>
        <v>292550</v>
      </c>
      <c r="L676" s="731">
        <f t="shared" si="614"/>
        <v>9748</v>
      </c>
      <c r="M676" s="340" t="str">
        <f t="shared" si="623"/>
        <v>-</v>
      </c>
      <c r="N676" s="264">
        <f t="shared" si="624"/>
        <v>3.2246326472553571E-2</v>
      </c>
      <c r="O676" s="512">
        <v>5.6550000000000002</v>
      </c>
      <c r="P676" s="407">
        <f t="shared" si="615"/>
        <v>50895</v>
      </c>
      <c r="Q676" s="452">
        <f t="shared" si="616"/>
        <v>1654370.25</v>
      </c>
    </row>
    <row r="677" spans="1:17" ht="23.4" x14ac:dyDescent="0.4">
      <c r="A677" s="248"/>
      <c r="B677" s="1036"/>
      <c r="C677" s="548" t="s">
        <v>279</v>
      </c>
      <c r="D677" s="279"/>
      <c r="E677" s="439"/>
      <c r="F677" s="336">
        <f t="shared" si="617"/>
        <v>0</v>
      </c>
      <c r="G677" s="281"/>
      <c r="H677" s="281"/>
      <c r="I677" s="355" t="str">
        <f>IFERROR(F677/#REF!,"-")</f>
        <v>-</v>
      </c>
      <c r="J677" s="336">
        <f t="shared" si="618"/>
        <v>0</v>
      </c>
      <c r="K677" s="281">
        <f t="shared" si="613"/>
        <v>0</v>
      </c>
      <c r="L677" s="439">
        <f t="shared" si="614"/>
        <v>0</v>
      </c>
      <c r="M677" s="340" t="str">
        <f t="shared" si="623"/>
        <v>-</v>
      </c>
      <c r="N677" s="264" t="str">
        <f t="shared" si="624"/>
        <v>-</v>
      </c>
      <c r="O677" s="512">
        <v>5.6550000000000002</v>
      </c>
      <c r="P677" s="407">
        <f t="shared" si="615"/>
        <v>0</v>
      </c>
      <c r="Q677" s="452">
        <f t="shared" si="616"/>
        <v>0</v>
      </c>
    </row>
    <row r="678" spans="1:17" ht="23.4" x14ac:dyDescent="0.4">
      <c r="A678" s="248" t="s">
        <v>108</v>
      </c>
      <c r="B678" s="1036"/>
      <c r="C678" s="548" t="s">
        <v>280</v>
      </c>
      <c r="D678" s="279"/>
      <c r="E678" s="439"/>
      <c r="F678" s="336">
        <f t="shared" si="617"/>
        <v>0</v>
      </c>
      <c r="G678" s="281"/>
      <c r="H678" s="281"/>
      <c r="I678" s="355" t="str">
        <f>IFERROR(F678/#REF!,"-")</f>
        <v>-</v>
      </c>
      <c r="J678" s="336">
        <f t="shared" si="618"/>
        <v>0</v>
      </c>
      <c r="K678" s="281">
        <f t="shared" si="613"/>
        <v>0</v>
      </c>
      <c r="L678" s="439">
        <f t="shared" si="614"/>
        <v>0</v>
      </c>
      <c r="M678" s="340" t="str">
        <f t="shared" si="623"/>
        <v>-</v>
      </c>
      <c r="N678" s="264" t="str">
        <f t="shared" si="624"/>
        <v>-</v>
      </c>
      <c r="O678" s="512">
        <v>3.2963</v>
      </c>
      <c r="P678" s="407">
        <f t="shared" si="615"/>
        <v>0</v>
      </c>
      <c r="Q678" s="452">
        <f t="shared" si="616"/>
        <v>0</v>
      </c>
    </row>
    <row r="679" spans="1:17" ht="24" thickBot="1" x14ac:dyDescent="0.45">
      <c r="A679" s="248" t="s">
        <v>108</v>
      </c>
      <c r="B679" s="1037"/>
      <c r="C679" s="548" t="s">
        <v>275</v>
      </c>
      <c r="D679" s="279"/>
      <c r="E679" s="439"/>
      <c r="F679" s="336">
        <f t="shared" si="617"/>
        <v>0</v>
      </c>
      <c r="G679" s="281"/>
      <c r="H679" s="281"/>
      <c r="I679" s="355" t="str">
        <f>IFERROR(F679/#REF!,"-")</f>
        <v>-</v>
      </c>
      <c r="J679" s="336">
        <f t="shared" si="618"/>
        <v>0</v>
      </c>
      <c r="K679" s="281">
        <f t="shared" si="613"/>
        <v>0</v>
      </c>
      <c r="L679" s="439">
        <f t="shared" si="614"/>
        <v>0</v>
      </c>
      <c r="M679" s="340" t="str">
        <f t="shared" si="623"/>
        <v>-</v>
      </c>
      <c r="N679" s="264" t="str">
        <f t="shared" si="624"/>
        <v>-</v>
      </c>
      <c r="O679" s="512">
        <v>3.2963</v>
      </c>
      <c r="P679" s="407">
        <f t="shared" si="615"/>
        <v>0</v>
      </c>
      <c r="Q679" s="452">
        <f t="shared" si="616"/>
        <v>0</v>
      </c>
    </row>
    <row r="680" spans="1:17" ht="23.4" x14ac:dyDescent="0.4">
      <c r="A680" s="248" t="s">
        <v>108</v>
      </c>
      <c r="B680" s="552"/>
      <c r="C680" s="549" t="s">
        <v>92</v>
      </c>
      <c r="D680" s="516"/>
      <c r="E680" s="439"/>
      <c r="F680" s="336">
        <f t="shared" si="617"/>
        <v>0</v>
      </c>
      <c r="G680" s="281"/>
      <c r="H680" s="281"/>
      <c r="I680" s="355" t="str">
        <f>IFERROR(F680/#REF!,"-")</f>
        <v>-</v>
      </c>
      <c r="J680" s="336">
        <f t="shared" si="618"/>
        <v>59305</v>
      </c>
      <c r="K680" s="281">
        <f t="shared" si="613"/>
        <v>58655</v>
      </c>
      <c r="L680" s="439">
        <f t="shared" si="614"/>
        <v>650</v>
      </c>
      <c r="M680" s="340" t="str">
        <f t="shared" si="623"/>
        <v>-</v>
      </c>
      <c r="N680" s="264">
        <f t="shared" si="624"/>
        <v>1.0960290026136077E-2</v>
      </c>
      <c r="O680" s="512">
        <v>2.3201000000000001</v>
      </c>
      <c r="P680" s="407">
        <f t="shared" si="615"/>
        <v>0</v>
      </c>
      <c r="Q680" s="452">
        <f t="shared" si="616"/>
        <v>136085.46549999999</v>
      </c>
    </row>
    <row r="681" spans="1:17" ht="24" thickBot="1" x14ac:dyDescent="0.35">
      <c r="A681" s="248" t="s">
        <v>108</v>
      </c>
      <c r="B681" s="529"/>
      <c r="C681" s="546"/>
      <c r="D681" s="535"/>
      <c r="E681" s="466"/>
      <c r="F681" s="464">
        <f t="shared" si="617"/>
        <v>0</v>
      </c>
      <c r="G681" s="465"/>
      <c r="H681" s="465"/>
      <c r="I681" s="537" t="str">
        <f>IFERROR(F681/#REF!,"-")</f>
        <v>-</v>
      </c>
      <c r="J681" s="464">
        <f t="shared" si="618"/>
        <v>0</v>
      </c>
      <c r="K681" s="465">
        <f t="shared" si="613"/>
        <v>0</v>
      </c>
      <c r="L681" s="466">
        <f t="shared" si="614"/>
        <v>0</v>
      </c>
      <c r="M681" s="726" t="str">
        <f t="shared" si="623"/>
        <v>-</v>
      </c>
      <c r="N681" s="266" t="str">
        <f t="shared" si="624"/>
        <v>-</v>
      </c>
      <c r="O681" s="544"/>
      <c r="P681" s="541">
        <f t="shared" si="615"/>
        <v>0</v>
      </c>
      <c r="Q681" s="542">
        <f t="shared" si="616"/>
        <v>0</v>
      </c>
    </row>
    <row r="682" spans="1:17" ht="23.25" customHeight="1" thickBot="1" x14ac:dyDescent="0.35">
      <c r="A682" s="277" t="s">
        <v>108</v>
      </c>
      <c r="B682" s="1038" t="s">
        <v>25</v>
      </c>
      <c r="C682" s="989"/>
      <c r="D682" s="518">
        <f>SUM(D655:D681)</f>
        <v>0</v>
      </c>
      <c r="E682" s="531">
        <v>100000</v>
      </c>
      <c r="F682" s="524">
        <f>SUM(F650:F681)</f>
        <v>95124</v>
      </c>
      <c r="G682" s="524">
        <f>SUM(G650:G681)</f>
        <v>92350</v>
      </c>
      <c r="H682" s="524">
        <f>SUM(H650:H681)</f>
        <v>2774</v>
      </c>
      <c r="I682" s="525" t="str">
        <f>IFERROR(F682/#REF!,"-")</f>
        <v>-</v>
      </c>
      <c r="J682" s="518">
        <f>SUM(J650:J681)</f>
        <v>1379682</v>
      </c>
      <c r="K682" s="518">
        <f t="shared" ref="K682:L682" si="625">SUM(K650:K681)</f>
        <v>1353815</v>
      </c>
      <c r="L682" s="518">
        <f t="shared" si="625"/>
        <v>25867</v>
      </c>
      <c r="M682" s="526" t="str">
        <f t="shared" si="623"/>
        <v>-</v>
      </c>
      <c r="N682" s="525">
        <f t="shared" si="624"/>
        <v>1.8748523210420951E-2</v>
      </c>
      <c r="O682" s="527"/>
      <c r="P682" s="528">
        <f>SUM(P650:P681)</f>
        <v>1329380.585</v>
      </c>
      <c r="Q682" s="528">
        <f>SUM(Q650:Q681)</f>
        <v>10517380.239500001</v>
      </c>
    </row>
    <row r="683" spans="1:17" ht="23.25" customHeight="1" thickBot="1" x14ac:dyDescent="0.35">
      <c r="A683" s="321" t="s">
        <v>108</v>
      </c>
      <c r="B683" s="1039" t="s">
        <v>269</v>
      </c>
      <c r="C683" s="1040"/>
      <c r="D683" s="329">
        <f>+D654+D682</f>
        <v>0</v>
      </c>
      <c r="E683" s="330">
        <f>+E654+E682</f>
        <v>100000</v>
      </c>
      <c r="F683" s="329">
        <f>+F682</f>
        <v>95124</v>
      </c>
      <c r="G683" s="329">
        <f t="shared" ref="G683:H683" si="626">+G682</f>
        <v>92350</v>
      </c>
      <c r="H683" s="329">
        <f t="shared" si="626"/>
        <v>2774</v>
      </c>
      <c r="I683" s="352" t="str">
        <f>IFERROR(F683/#REF!,"-")</f>
        <v>-</v>
      </c>
      <c r="J683" s="329">
        <f>+J682</f>
        <v>1379682</v>
      </c>
      <c r="K683" s="329">
        <f t="shared" ref="K683:L683" si="627">+K682</f>
        <v>1353815</v>
      </c>
      <c r="L683" s="329">
        <f t="shared" si="627"/>
        <v>25867</v>
      </c>
      <c r="M683" s="344" t="str">
        <f t="shared" si="623"/>
        <v>-</v>
      </c>
      <c r="N683" s="352">
        <f t="shared" si="624"/>
        <v>1.8748523210420951E-2</v>
      </c>
      <c r="O683" s="397"/>
      <c r="P683" s="413">
        <f>+P682</f>
        <v>1329380.585</v>
      </c>
      <c r="Q683" s="431">
        <f>Q682</f>
        <v>10517380.239500001</v>
      </c>
    </row>
    <row r="684" spans="1:17" ht="24.6" thickBot="1" x14ac:dyDescent="0.35">
      <c r="A684" s="322"/>
      <c r="B684" s="1041" t="s">
        <v>182</v>
      </c>
      <c r="C684" s="1042"/>
      <c r="D684" s="377">
        <f>+D683+D649+D640</f>
        <v>0</v>
      </c>
      <c r="E684" s="377">
        <f>+E683+E649+E640</f>
        <v>230000</v>
      </c>
      <c r="F684" s="377">
        <f>+F683+F649+F640</f>
        <v>260516</v>
      </c>
      <c r="G684" s="377">
        <f>+G683+G649+G640</f>
        <v>252060</v>
      </c>
      <c r="H684" s="377">
        <f>+H683+H649+H640</f>
        <v>8456</v>
      </c>
      <c r="I684" s="378" t="str">
        <f>IFERROR(F684/#REF!,"-")</f>
        <v>-</v>
      </c>
      <c r="J684" s="377">
        <f>+J683+J649+J640</f>
        <v>3826125</v>
      </c>
      <c r="K684" s="377">
        <f>+K683+K649+K640</f>
        <v>3734225</v>
      </c>
      <c r="L684" s="377">
        <f>+L683+L649+L640</f>
        <v>91900</v>
      </c>
      <c r="M684" s="378" t="str">
        <f t="shared" si="623"/>
        <v>-</v>
      </c>
      <c r="N684" s="378">
        <f>IFERROR(L684/J684,"-")</f>
        <v>2.4019079355745043E-2</v>
      </c>
      <c r="O684" s="404"/>
      <c r="P684" s="421">
        <f>+P683+P649+P640</f>
        <v>2074264.209</v>
      </c>
      <c r="Q684" s="421">
        <f>+Q683+Q649+Q640</f>
        <v>20208648.096500002</v>
      </c>
    </row>
    <row r="685" spans="1:17" ht="22.5" customHeight="1" x14ac:dyDescent="0.3">
      <c r="A685" s="1043" t="s">
        <v>1</v>
      </c>
      <c r="B685" s="1046" t="s">
        <v>2</v>
      </c>
      <c r="C685" s="1049" t="s">
        <v>477</v>
      </c>
      <c r="D685" s="1000" t="s">
        <v>4</v>
      </c>
      <c r="E685" s="1001"/>
      <c r="F685" s="1001"/>
      <c r="G685" s="1001"/>
      <c r="H685" s="1001"/>
      <c r="I685" s="1001"/>
      <c r="J685" s="1001"/>
      <c r="K685" s="1001"/>
      <c r="L685" s="1001"/>
      <c r="M685" s="1001"/>
      <c r="N685" s="1002"/>
      <c r="O685" s="1021" t="s">
        <v>175</v>
      </c>
      <c r="P685" s="1022"/>
      <c r="Q685" s="1052"/>
    </row>
    <row r="686" spans="1:17" ht="22.5" customHeight="1" x14ac:dyDescent="0.3">
      <c r="A686" s="1044"/>
      <c r="B686" s="1047"/>
      <c r="C686" s="1050"/>
      <c r="D686" s="1003" t="s">
        <v>7</v>
      </c>
      <c r="E686" s="1005" t="s">
        <v>115</v>
      </c>
      <c r="F686" s="1053" t="s">
        <v>520</v>
      </c>
      <c r="G686" s="1008"/>
      <c r="H686" s="1008"/>
      <c r="I686" s="1009"/>
      <c r="J686" s="1010" t="s">
        <v>8</v>
      </c>
      <c r="K686" s="1011"/>
      <c r="L686" s="1012"/>
      <c r="M686" s="1013" t="s">
        <v>173</v>
      </c>
      <c r="N686" s="1015" t="s">
        <v>172</v>
      </c>
      <c r="O686" s="1054" t="s">
        <v>177</v>
      </c>
      <c r="P686" s="1055"/>
      <c r="Q686" s="1056"/>
    </row>
    <row r="687" spans="1:17" ht="47.4" thickBot="1" x14ac:dyDescent="0.35">
      <c r="A687" s="1045"/>
      <c r="B687" s="1048"/>
      <c r="C687" s="1051"/>
      <c r="D687" s="1004"/>
      <c r="E687" s="1006"/>
      <c r="F687" s="455" t="s">
        <v>13</v>
      </c>
      <c r="G687" s="456" t="s">
        <v>14</v>
      </c>
      <c r="H687" s="456" t="s">
        <v>15</v>
      </c>
      <c r="I687" s="457" t="s">
        <v>174</v>
      </c>
      <c r="J687" s="712" t="s">
        <v>13</v>
      </c>
      <c r="K687" s="710" t="s">
        <v>14</v>
      </c>
      <c r="L687" s="711" t="s">
        <v>15</v>
      </c>
      <c r="M687" s="1014"/>
      <c r="N687" s="1016"/>
      <c r="O687" s="447" t="s">
        <v>178</v>
      </c>
      <c r="P687" s="448" t="s">
        <v>11</v>
      </c>
      <c r="Q687" s="449" t="s">
        <v>12</v>
      </c>
    </row>
    <row r="688" spans="1:17" ht="23.4" x14ac:dyDescent="0.3">
      <c r="A688" s="271" t="s">
        <v>110</v>
      </c>
      <c r="B688" s="442"/>
      <c r="C688" s="272" t="s">
        <v>266</v>
      </c>
      <c r="D688" s="273"/>
      <c r="E688" s="274"/>
      <c r="F688" s="335">
        <f>+G688+H688</f>
        <v>0</v>
      </c>
      <c r="G688" s="275"/>
      <c r="H688" s="275"/>
      <c r="I688" s="354" t="str">
        <f>IFERROR(F688/#REF!,"-")</f>
        <v>-</v>
      </c>
      <c r="J688" s="461">
        <f>+K688+L688</f>
        <v>337292</v>
      </c>
      <c r="K688" s="462">
        <f>+K626+G688</f>
        <v>321720</v>
      </c>
      <c r="L688" s="463">
        <f>+L626+H688</f>
        <v>15572</v>
      </c>
      <c r="M688" s="339" t="str">
        <f>IFERROR(J688/D688,"-")</f>
        <v>-</v>
      </c>
      <c r="N688" s="346">
        <f t="shared" ref="N688:N689" si="628">IFERROR(L688/J688,"-")</f>
        <v>4.6167712249326989E-2</v>
      </c>
      <c r="O688" s="511">
        <v>1.5669</v>
      </c>
      <c r="P688" s="405">
        <f>+O688*G688</f>
        <v>0</v>
      </c>
      <c r="Q688" s="450">
        <f>+O688*K688</f>
        <v>504103.06799999997</v>
      </c>
    </row>
    <row r="689" spans="1:17" ht="23.4" x14ac:dyDescent="0.3">
      <c r="A689" s="277" t="s">
        <v>110</v>
      </c>
      <c r="B689" s="441"/>
      <c r="C689" s="278" t="s">
        <v>265</v>
      </c>
      <c r="D689" s="279"/>
      <c r="E689" s="280"/>
      <c r="F689" s="336">
        <f t="shared" ref="F689:F692" si="629">+G689+H689</f>
        <v>95144</v>
      </c>
      <c r="G689" s="833">
        <v>94250</v>
      </c>
      <c r="H689" s="833">
        <v>894</v>
      </c>
      <c r="I689" s="355" t="str">
        <f>IFERROR(F689/#REF!,"-")</f>
        <v>-</v>
      </c>
      <c r="J689" s="336">
        <f t="shared" ref="J689:J692" si="630">+K689+L689</f>
        <v>960348</v>
      </c>
      <c r="K689" s="281">
        <f t="shared" ref="K689:K692" si="631">+K627+G689</f>
        <v>947250</v>
      </c>
      <c r="L689" s="439">
        <f t="shared" ref="L689:L692" si="632">+L627+H689</f>
        <v>13098</v>
      </c>
      <c r="M689" s="340" t="str">
        <f t="shared" ref="M689:M692" si="633">IFERROR(J689/D689,"-")</f>
        <v>-</v>
      </c>
      <c r="N689" s="268">
        <f t="shared" si="628"/>
        <v>1.3638805932849342E-2</v>
      </c>
      <c r="O689" s="512">
        <v>2.3978999999999999</v>
      </c>
      <c r="P689" s="407">
        <f>+O689*G689</f>
        <v>226002.07499999998</v>
      </c>
      <c r="Q689" s="452">
        <f>+O689*K689</f>
        <v>2271410.7749999999</v>
      </c>
    </row>
    <row r="690" spans="1:17" ht="23.4" x14ac:dyDescent="0.3">
      <c r="A690" s="277" t="s">
        <v>110</v>
      </c>
      <c r="B690" s="441"/>
      <c r="C690" s="278" t="s">
        <v>476</v>
      </c>
      <c r="D690" s="279"/>
      <c r="E690" s="280"/>
      <c r="F690" s="336">
        <f t="shared" si="629"/>
        <v>0</v>
      </c>
      <c r="G690" s="281"/>
      <c r="H690" s="833"/>
      <c r="I690" s="355" t="str">
        <f>IFERROR(F690/#REF!,"-")</f>
        <v>-</v>
      </c>
      <c r="J690" s="336">
        <f t="shared" si="630"/>
        <v>85734</v>
      </c>
      <c r="K690" s="281">
        <f t="shared" si="631"/>
        <v>68750</v>
      </c>
      <c r="L690" s="439">
        <f t="shared" si="632"/>
        <v>16984</v>
      </c>
      <c r="M690" s="340" t="str">
        <f t="shared" si="633"/>
        <v>-</v>
      </c>
      <c r="N690" s="806">
        <f>IFERROR(L690/J690,"-")</f>
        <v>0.1981011034128817</v>
      </c>
      <c r="O690" s="824">
        <v>3.6777000000000002</v>
      </c>
      <c r="P690" s="407">
        <f t="shared" ref="P690:P692" si="634">+O690*G690</f>
        <v>0</v>
      </c>
      <c r="Q690" s="452">
        <f t="shared" ref="Q690:Q692" si="635">+O690*K690</f>
        <v>252841.875</v>
      </c>
    </row>
    <row r="691" spans="1:17" ht="23.4" x14ac:dyDescent="0.3">
      <c r="A691" s="277"/>
      <c r="B691" s="454"/>
      <c r="C691" s="278" t="s">
        <v>353</v>
      </c>
      <c r="D691" s="283"/>
      <c r="E691" s="284"/>
      <c r="F691" s="336">
        <f t="shared" si="629"/>
        <v>0</v>
      </c>
      <c r="G691" s="285"/>
      <c r="H691" s="285"/>
      <c r="I691" s="355" t="str">
        <f>IFERROR(F691/#REF!,"-")</f>
        <v>-</v>
      </c>
      <c r="J691" s="336">
        <f t="shared" si="630"/>
        <v>158819</v>
      </c>
      <c r="K691" s="281">
        <f t="shared" si="631"/>
        <v>155400</v>
      </c>
      <c r="L691" s="439">
        <f t="shared" si="632"/>
        <v>3419</v>
      </c>
      <c r="M691" s="340" t="str">
        <f t="shared" si="633"/>
        <v>-</v>
      </c>
      <c r="N691" s="268">
        <f>IFERROR(L691/J691,"-")</f>
        <v>2.1527650973749993E-2</v>
      </c>
      <c r="O691" s="513">
        <v>12.284700000000001</v>
      </c>
      <c r="P691" s="407">
        <f t="shared" si="634"/>
        <v>0</v>
      </c>
      <c r="Q691" s="452">
        <f t="shared" si="635"/>
        <v>1909042.3800000001</v>
      </c>
    </row>
    <row r="692" spans="1:17" ht="24" thickBot="1" x14ac:dyDescent="0.35">
      <c r="A692" s="277" t="s">
        <v>110</v>
      </c>
      <c r="B692" s="454"/>
      <c r="C692" s="278" t="s">
        <v>408</v>
      </c>
      <c r="D692" s="283"/>
      <c r="E692" s="284"/>
      <c r="F692" s="337">
        <f t="shared" si="629"/>
        <v>71202</v>
      </c>
      <c r="G692" s="285">
        <v>70250</v>
      </c>
      <c r="H692" s="285">
        <v>952</v>
      </c>
      <c r="I692" s="356" t="str">
        <f>IFERROR(F692/#REF!,"-")</f>
        <v>-</v>
      </c>
      <c r="J692" s="464">
        <f t="shared" si="630"/>
        <v>305182</v>
      </c>
      <c r="K692" s="465">
        <f t="shared" si="631"/>
        <v>294250</v>
      </c>
      <c r="L692" s="466">
        <f t="shared" si="632"/>
        <v>10932</v>
      </c>
      <c r="M692" s="341" t="str">
        <f t="shared" si="633"/>
        <v>-</v>
      </c>
      <c r="N692" s="347">
        <f t="shared" ref="N692:N704" si="636">IFERROR(L692/J692,"-")</f>
        <v>3.5821247648943906E-2</v>
      </c>
      <c r="O692" s="824">
        <v>7.0612000000000004</v>
      </c>
      <c r="P692" s="408">
        <f t="shared" si="634"/>
        <v>496049.30000000005</v>
      </c>
      <c r="Q692" s="453">
        <f t="shared" si="635"/>
        <v>2077758.1</v>
      </c>
    </row>
    <row r="693" spans="1:17" ht="23.25" customHeight="1" thickBot="1" x14ac:dyDescent="0.35">
      <c r="A693" s="277" t="s">
        <v>110</v>
      </c>
      <c r="B693" s="1038" t="s">
        <v>21</v>
      </c>
      <c r="C693" s="989"/>
      <c r="D693" s="323">
        <f>SUM(D688:D692)</f>
        <v>0</v>
      </c>
      <c r="E693" s="288">
        <v>15000</v>
      </c>
      <c r="F693" s="323">
        <f>SUM(F688:F692)</f>
        <v>166346</v>
      </c>
      <c r="G693" s="324">
        <f>SUM(G688:G692)</f>
        <v>164500</v>
      </c>
      <c r="H693" s="324">
        <f>SUM(H688:H692)</f>
        <v>1846</v>
      </c>
      <c r="I693" s="348" t="str">
        <f>IFERROR(F693/#REF!,"-")</f>
        <v>-</v>
      </c>
      <c r="J693" s="323">
        <f>SUM(J688:J692)</f>
        <v>1847375</v>
      </c>
      <c r="K693" s="324">
        <f>SUM(K688:K692)</f>
        <v>1787370</v>
      </c>
      <c r="L693" s="325">
        <f>SUM(L688:L692)</f>
        <v>60005</v>
      </c>
      <c r="M693" s="342" t="str">
        <f>IFERROR(J693/D693,"-")</f>
        <v>-</v>
      </c>
      <c r="N693" s="348">
        <f t="shared" si="636"/>
        <v>3.2481223357466678E-2</v>
      </c>
      <c r="O693" s="394"/>
      <c r="P693" s="409">
        <f>SUM(P688:P692)</f>
        <v>722051.375</v>
      </c>
      <c r="Q693" s="428">
        <f>SUM(Q688:Q692)</f>
        <v>7015156.1980000008</v>
      </c>
    </row>
    <row r="694" spans="1:17" ht="23.4" x14ac:dyDescent="0.3">
      <c r="A694" s="277" t="s">
        <v>110</v>
      </c>
      <c r="B694" s="442"/>
      <c r="C694" s="272" t="s">
        <v>264</v>
      </c>
      <c r="D694" s="273"/>
      <c r="E694" s="274"/>
      <c r="F694" s="335">
        <f t="shared" ref="F694:F700" si="637">+G694+H694</f>
        <v>0</v>
      </c>
      <c r="G694" s="275"/>
      <c r="H694" s="275"/>
      <c r="I694" s="354" t="str">
        <f>IFERROR(F694/#REF!,"-")</f>
        <v>-</v>
      </c>
      <c r="J694" s="461">
        <f t="shared" ref="J694:J700" si="638">+K694+L694</f>
        <v>34540</v>
      </c>
      <c r="K694" s="462">
        <f t="shared" ref="K694:K700" si="639">+K632+G694</f>
        <v>33840</v>
      </c>
      <c r="L694" s="463">
        <f t="shared" ref="L694:L700" si="640">+L632+H694</f>
        <v>700</v>
      </c>
      <c r="M694" s="339" t="str">
        <f t="shared" ref="M694:M702" si="641">IFERROR(J694/D694,"-")</f>
        <v>-</v>
      </c>
      <c r="N694" s="349">
        <f t="shared" si="636"/>
        <v>2.0266357845975681E-2</v>
      </c>
      <c r="O694" s="511">
        <v>18.2316</v>
      </c>
      <c r="P694" s="405">
        <f t="shared" ref="P694:P700" si="642">+O694*G694</f>
        <v>0</v>
      </c>
      <c r="Q694" s="450">
        <f t="shared" ref="Q694:Q700" si="643">+O694*K694</f>
        <v>616957.34400000004</v>
      </c>
    </row>
    <row r="695" spans="1:17" ht="23.4" x14ac:dyDescent="0.3">
      <c r="A695" s="277" t="s">
        <v>110</v>
      </c>
      <c r="B695" s="441"/>
      <c r="C695" s="278" t="s">
        <v>92</v>
      </c>
      <c r="D695" s="279"/>
      <c r="E695" s="280"/>
      <c r="F695" s="336">
        <f t="shared" si="637"/>
        <v>0</v>
      </c>
      <c r="G695" s="281"/>
      <c r="H695" s="281"/>
      <c r="I695" s="355" t="str">
        <f>IFERROR(F695/#REF!,"-")</f>
        <v>-</v>
      </c>
      <c r="J695" s="336">
        <f t="shared" si="638"/>
        <v>180000</v>
      </c>
      <c r="K695" s="281">
        <f t="shared" si="639"/>
        <v>180000</v>
      </c>
      <c r="L695" s="439">
        <f t="shared" si="640"/>
        <v>0</v>
      </c>
      <c r="M695" s="340" t="str">
        <f t="shared" si="641"/>
        <v>-</v>
      </c>
      <c r="N695" s="264">
        <f t="shared" si="636"/>
        <v>0</v>
      </c>
      <c r="O695" s="512">
        <v>1.2824</v>
      </c>
      <c r="P695" s="407">
        <f t="shared" si="642"/>
        <v>0</v>
      </c>
      <c r="Q695" s="452">
        <f t="shared" si="643"/>
        <v>230832</v>
      </c>
    </row>
    <row r="696" spans="1:17" ht="23.4" x14ac:dyDescent="0.3">
      <c r="A696" s="277" t="s">
        <v>110</v>
      </c>
      <c r="B696" s="441"/>
      <c r="C696" s="278" t="s">
        <v>329</v>
      </c>
      <c r="D696" s="279"/>
      <c r="E696" s="280"/>
      <c r="F696" s="336">
        <f t="shared" si="637"/>
        <v>0</v>
      </c>
      <c r="G696" s="281"/>
      <c r="H696" s="281"/>
      <c r="I696" s="355" t="str">
        <f>IFERROR(F696/#REF!,"-")</f>
        <v>-</v>
      </c>
      <c r="J696" s="336">
        <f t="shared" si="638"/>
        <v>31200</v>
      </c>
      <c r="K696" s="281">
        <f t="shared" si="639"/>
        <v>31200</v>
      </c>
      <c r="L696" s="439">
        <f t="shared" si="640"/>
        <v>0</v>
      </c>
      <c r="M696" s="340" t="str">
        <f t="shared" si="641"/>
        <v>-</v>
      </c>
      <c r="N696" s="264">
        <f t="shared" si="636"/>
        <v>0</v>
      </c>
      <c r="O696" s="772">
        <v>5.7342000000000004</v>
      </c>
      <c r="P696" s="407">
        <f t="shared" si="642"/>
        <v>0</v>
      </c>
      <c r="Q696" s="452">
        <f t="shared" si="643"/>
        <v>178907.04</v>
      </c>
    </row>
    <row r="697" spans="1:17" ht="23.4" x14ac:dyDescent="0.3">
      <c r="A697" s="277" t="s">
        <v>110</v>
      </c>
      <c r="B697" s="441"/>
      <c r="C697" s="278" t="s">
        <v>346</v>
      </c>
      <c r="D697" s="279"/>
      <c r="E697" s="280"/>
      <c r="F697" s="336">
        <f t="shared" si="637"/>
        <v>0</v>
      </c>
      <c r="G697" s="281"/>
      <c r="H697" s="281"/>
      <c r="I697" s="355" t="str">
        <f>IFERROR(F697/#REF!,"-")</f>
        <v>-</v>
      </c>
      <c r="J697" s="336">
        <f t="shared" si="638"/>
        <v>0</v>
      </c>
      <c r="K697" s="281">
        <f t="shared" si="639"/>
        <v>0</v>
      </c>
      <c r="L697" s="439">
        <f t="shared" si="640"/>
        <v>0</v>
      </c>
      <c r="M697" s="340" t="str">
        <f t="shared" si="641"/>
        <v>-</v>
      </c>
      <c r="N697" s="264" t="str">
        <f t="shared" si="636"/>
        <v>-</v>
      </c>
      <c r="O697" s="512"/>
      <c r="P697" s="407">
        <f t="shared" si="642"/>
        <v>0</v>
      </c>
      <c r="Q697" s="452">
        <f t="shared" si="643"/>
        <v>0</v>
      </c>
    </row>
    <row r="698" spans="1:17" ht="23.4" x14ac:dyDescent="0.3">
      <c r="A698" s="277" t="s">
        <v>110</v>
      </c>
      <c r="B698" s="441"/>
      <c r="C698" s="278" t="s">
        <v>354</v>
      </c>
      <c r="D698" s="279"/>
      <c r="E698" s="280"/>
      <c r="F698" s="336">
        <f t="shared" si="637"/>
        <v>18084</v>
      </c>
      <c r="G698" s="281">
        <v>18000</v>
      </c>
      <c r="H698" s="281">
        <v>84</v>
      </c>
      <c r="I698" s="355" t="str">
        <f>IFERROR(F698/#REF!,"-")</f>
        <v>-</v>
      </c>
      <c r="J698" s="336">
        <f t="shared" si="638"/>
        <v>145160</v>
      </c>
      <c r="K698" s="281">
        <f t="shared" si="639"/>
        <v>144000</v>
      </c>
      <c r="L698" s="439">
        <f t="shared" si="640"/>
        <v>1160</v>
      </c>
      <c r="M698" s="340" t="str">
        <f t="shared" si="641"/>
        <v>-</v>
      </c>
      <c r="N698" s="264">
        <f t="shared" si="636"/>
        <v>7.9911821438412786E-3</v>
      </c>
      <c r="O698" s="512">
        <v>12.029500000000001</v>
      </c>
      <c r="P698" s="407">
        <f t="shared" si="642"/>
        <v>216531</v>
      </c>
      <c r="Q698" s="452">
        <f t="shared" si="643"/>
        <v>1732248</v>
      </c>
    </row>
    <row r="699" spans="1:17" ht="23.4" x14ac:dyDescent="0.3">
      <c r="A699" s="277" t="s">
        <v>110</v>
      </c>
      <c r="B699" s="441"/>
      <c r="C699" s="278"/>
      <c r="D699" s="279"/>
      <c r="E699" s="280"/>
      <c r="F699" s="336">
        <f t="shared" si="637"/>
        <v>0</v>
      </c>
      <c r="G699" s="281"/>
      <c r="H699" s="281"/>
      <c r="I699" s="355" t="str">
        <f>IFERROR(F699/#REF!,"-")</f>
        <v>-</v>
      </c>
      <c r="J699" s="336">
        <f t="shared" si="638"/>
        <v>0</v>
      </c>
      <c r="K699" s="281">
        <f t="shared" si="639"/>
        <v>0</v>
      </c>
      <c r="L699" s="439">
        <f t="shared" si="640"/>
        <v>0</v>
      </c>
      <c r="M699" s="340" t="str">
        <f t="shared" si="641"/>
        <v>-</v>
      </c>
      <c r="N699" s="264" t="str">
        <f t="shared" si="636"/>
        <v>-</v>
      </c>
      <c r="O699" s="512"/>
      <c r="P699" s="407">
        <f t="shared" si="642"/>
        <v>0</v>
      </c>
      <c r="Q699" s="452">
        <f t="shared" si="643"/>
        <v>0</v>
      </c>
    </row>
    <row r="700" spans="1:17" ht="24" thickBot="1" x14ac:dyDescent="0.35">
      <c r="A700" s="277" t="s">
        <v>110</v>
      </c>
      <c r="B700" s="454"/>
      <c r="C700" s="282"/>
      <c r="D700" s="283">
        <v>0</v>
      </c>
      <c r="E700" s="284"/>
      <c r="F700" s="337">
        <f t="shared" si="637"/>
        <v>0</v>
      </c>
      <c r="G700" s="285"/>
      <c r="H700" s="285"/>
      <c r="I700" s="356" t="str">
        <f>IFERROR(F700/#REF!,"-")</f>
        <v>-</v>
      </c>
      <c r="J700" s="464">
        <f t="shared" si="638"/>
        <v>0</v>
      </c>
      <c r="K700" s="465">
        <f t="shared" si="639"/>
        <v>0</v>
      </c>
      <c r="L700" s="466">
        <f t="shared" si="640"/>
        <v>0</v>
      </c>
      <c r="M700" s="341" t="str">
        <f t="shared" si="641"/>
        <v>-</v>
      </c>
      <c r="N700" s="350" t="str">
        <f t="shared" si="636"/>
        <v>-</v>
      </c>
      <c r="O700" s="513"/>
      <c r="P700" s="408">
        <f t="shared" si="642"/>
        <v>0</v>
      </c>
      <c r="Q700" s="453">
        <f t="shared" si="643"/>
        <v>0</v>
      </c>
    </row>
    <row r="701" spans="1:17" ht="23.25" customHeight="1" thickBot="1" x14ac:dyDescent="0.35">
      <c r="A701" s="277" t="s">
        <v>110</v>
      </c>
      <c r="B701" s="1038" t="s">
        <v>25</v>
      </c>
      <c r="C701" s="989"/>
      <c r="D701" s="323">
        <f t="shared" ref="D701" si="644">SUM(D694:D700)</f>
        <v>0</v>
      </c>
      <c r="E701" s="288">
        <v>100000</v>
      </c>
      <c r="F701" s="323">
        <f>SUM(F694:F700)</f>
        <v>18084</v>
      </c>
      <c r="G701" s="324">
        <f t="shared" ref="G701:H701" si="645">SUM(G694:G700)</f>
        <v>18000</v>
      </c>
      <c r="H701" s="324">
        <f t="shared" si="645"/>
        <v>84</v>
      </c>
      <c r="I701" s="348" t="str">
        <f>IFERROR(F701/#REF!,"-")</f>
        <v>-</v>
      </c>
      <c r="J701" s="323">
        <f t="shared" ref="J701:L701" si="646">SUM(J694:J700)</f>
        <v>390900</v>
      </c>
      <c r="K701" s="324">
        <f t="shared" si="646"/>
        <v>389040</v>
      </c>
      <c r="L701" s="325">
        <f t="shared" si="646"/>
        <v>1860</v>
      </c>
      <c r="M701" s="342" t="str">
        <f t="shared" si="641"/>
        <v>-</v>
      </c>
      <c r="N701" s="348">
        <f t="shared" si="636"/>
        <v>4.7582501918649271E-3</v>
      </c>
      <c r="O701" s="394"/>
      <c r="P701" s="409">
        <f t="shared" ref="P701:Q701" si="647">SUM(P694:P700)</f>
        <v>216531</v>
      </c>
      <c r="Q701" s="428">
        <f t="shared" si="647"/>
        <v>2758944.3840000001</v>
      </c>
    </row>
    <row r="702" spans="1:17" ht="23.25" customHeight="1" thickBot="1" x14ac:dyDescent="0.35">
      <c r="A702" s="277" t="s">
        <v>110</v>
      </c>
      <c r="B702" s="1039" t="s">
        <v>180</v>
      </c>
      <c r="C702" s="1040"/>
      <c r="D702" s="329">
        <f>+D693+D701</f>
        <v>0</v>
      </c>
      <c r="E702" s="330">
        <f t="shared" ref="E702:H702" si="648">+E693+E701</f>
        <v>115000</v>
      </c>
      <c r="F702" s="329">
        <f t="shared" si="648"/>
        <v>184430</v>
      </c>
      <c r="G702" s="327">
        <f t="shared" si="648"/>
        <v>182500</v>
      </c>
      <c r="H702" s="327">
        <f t="shared" si="648"/>
        <v>1930</v>
      </c>
      <c r="I702" s="352" t="str">
        <f>IFERROR(F702/#REF!,"-")</f>
        <v>-</v>
      </c>
      <c r="J702" s="329">
        <f t="shared" ref="J702:L702" si="649">+J693+J701</f>
        <v>2238275</v>
      </c>
      <c r="K702" s="327">
        <f t="shared" si="649"/>
        <v>2176410</v>
      </c>
      <c r="L702" s="328">
        <f t="shared" si="649"/>
        <v>61865</v>
      </c>
      <c r="M702" s="344" t="str">
        <f t="shared" si="641"/>
        <v>-</v>
      </c>
      <c r="N702" s="352">
        <f t="shared" si="636"/>
        <v>2.7639588522411232E-2</v>
      </c>
      <c r="O702" s="397"/>
      <c r="P702" s="413">
        <f t="shared" ref="P702:Q702" si="650">+P693+P701</f>
        <v>938582.375</v>
      </c>
      <c r="Q702" s="431">
        <f t="shared" si="650"/>
        <v>9774100.5820000004</v>
      </c>
    </row>
    <row r="703" spans="1:17" ht="23.4" x14ac:dyDescent="0.3">
      <c r="A703" s="244" t="s">
        <v>108</v>
      </c>
      <c r="B703" s="591"/>
      <c r="C703" s="592" t="s">
        <v>306</v>
      </c>
      <c r="D703" s="532"/>
      <c r="E703" s="463"/>
      <c r="F703" s="461">
        <f>+G703+H703</f>
        <v>0</v>
      </c>
      <c r="G703" s="462"/>
      <c r="H703" s="462"/>
      <c r="I703" s="536" t="str">
        <f>IFERROR(F703/#REF!,"-")</f>
        <v>-</v>
      </c>
      <c r="J703" s="461">
        <f>+K703+L703</f>
        <v>0</v>
      </c>
      <c r="K703" s="462">
        <f t="shared" ref="K703:K709" si="651">+K641+G703</f>
        <v>0</v>
      </c>
      <c r="L703" s="463">
        <f t="shared" ref="L703:L709" si="652">+L641+H703</f>
        <v>0</v>
      </c>
      <c r="M703" s="596" t="str">
        <f>IFERROR(J703/D703,"-")</f>
        <v>-</v>
      </c>
      <c r="N703" s="538" t="str">
        <f t="shared" si="636"/>
        <v>-</v>
      </c>
      <c r="O703" s="638">
        <v>4.8285999999999998</v>
      </c>
      <c r="P703" s="539">
        <f t="shared" ref="P703:P709" si="653">+O703*G703</f>
        <v>0</v>
      </c>
      <c r="Q703" s="540">
        <f t="shared" ref="Q703:Q709" si="654">+O703*K703</f>
        <v>0</v>
      </c>
    </row>
    <row r="704" spans="1:17" ht="23.4" x14ac:dyDescent="0.3">
      <c r="A704" s="248" t="s">
        <v>108</v>
      </c>
      <c r="B704" s="593"/>
      <c r="C704" s="278" t="s">
        <v>307</v>
      </c>
      <c r="D704" s="279"/>
      <c r="E704" s="439"/>
      <c r="F704" s="336">
        <f t="shared" ref="F704:F709" si="655">+G704+H704</f>
        <v>0</v>
      </c>
      <c r="G704" s="281"/>
      <c r="H704" s="281"/>
      <c r="I704" s="355" t="str">
        <f>IFERROR(F704/#REF!,"-")</f>
        <v>-</v>
      </c>
      <c r="J704" s="336">
        <f t="shared" ref="J704:J709" si="656">+K704+L704</f>
        <v>0</v>
      </c>
      <c r="K704" s="281">
        <f t="shared" si="651"/>
        <v>0</v>
      </c>
      <c r="L704" s="439">
        <f t="shared" si="652"/>
        <v>0</v>
      </c>
      <c r="M704" s="340" t="str">
        <f t="shared" ref="M704:M706" si="657">IFERROR(J704/D704,"-")</f>
        <v>-</v>
      </c>
      <c r="N704" s="268" t="str">
        <f t="shared" si="636"/>
        <v>-</v>
      </c>
      <c r="O704" s="639">
        <v>1.4086000000000001</v>
      </c>
      <c r="P704" s="407">
        <f t="shared" si="653"/>
        <v>0</v>
      </c>
      <c r="Q704" s="452">
        <f t="shared" si="654"/>
        <v>0</v>
      </c>
    </row>
    <row r="705" spans="1:17" ht="23.4" x14ac:dyDescent="0.3">
      <c r="A705" s="248" t="s">
        <v>108</v>
      </c>
      <c r="B705" s="593"/>
      <c r="C705" s="278" t="s">
        <v>348</v>
      </c>
      <c r="D705" s="279"/>
      <c r="E705" s="439"/>
      <c r="F705" s="336">
        <f t="shared" si="655"/>
        <v>0</v>
      </c>
      <c r="G705" s="281"/>
      <c r="H705" s="281"/>
      <c r="I705" s="355" t="str">
        <f>IFERROR(F705/#REF!,"-")</f>
        <v>-</v>
      </c>
      <c r="J705" s="336">
        <f t="shared" si="656"/>
        <v>0</v>
      </c>
      <c r="K705" s="281">
        <f t="shared" si="651"/>
        <v>0</v>
      </c>
      <c r="L705" s="439">
        <f t="shared" si="652"/>
        <v>0</v>
      </c>
      <c r="M705" s="340" t="str">
        <f t="shared" si="657"/>
        <v>-</v>
      </c>
      <c r="N705" s="268" t="str">
        <f>IFERROR(L705/J705,"-")</f>
        <v>-</v>
      </c>
      <c r="O705" s="639">
        <v>2.2141000000000002</v>
      </c>
      <c r="P705" s="407">
        <f t="shared" si="653"/>
        <v>0</v>
      </c>
      <c r="Q705" s="452">
        <f t="shared" si="654"/>
        <v>0</v>
      </c>
    </row>
    <row r="706" spans="1:17" ht="23.4" x14ac:dyDescent="0.3">
      <c r="A706" s="248" t="s">
        <v>108</v>
      </c>
      <c r="B706" s="594"/>
      <c r="C706" s="278" t="s">
        <v>460</v>
      </c>
      <c r="D706" s="283"/>
      <c r="E706" s="533"/>
      <c r="F706" s="337">
        <f t="shared" si="655"/>
        <v>0</v>
      </c>
      <c r="G706" s="285"/>
      <c r="H706" s="285"/>
      <c r="I706" s="356" t="str">
        <f>IFERROR(F706/#REF!,"-")</f>
        <v>-</v>
      </c>
      <c r="J706" s="336">
        <f t="shared" si="656"/>
        <v>392598</v>
      </c>
      <c r="K706" s="281">
        <f t="shared" si="651"/>
        <v>386500</v>
      </c>
      <c r="L706" s="439">
        <f t="shared" si="652"/>
        <v>6098</v>
      </c>
      <c r="M706" s="341" t="str">
        <f t="shared" si="657"/>
        <v>-</v>
      </c>
      <c r="N706" s="347">
        <f t="shared" ref="N706:N713" si="658">IFERROR(L706/J706,"-")</f>
        <v>1.5532427572224006E-2</v>
      </c>
      <c r="O706" s="639">
        <v>2.2141000000000002</v>
      </c>
      <c r="P706" s="408">
        <f t="shared" si="653"/>
        <v>0</v>
      </c>
      <c r="Q706" s="453">
        <f t="shared" si="654"/>
        <v>855749.65</v>
      </c>
    </row>
    <row r="707" spans="1:17" ht="23.4" x14ac:dyDescent="0.3">
      <c r="A707" s="248" t="s">
        <v>108</v>
      </c>
      <c r="B707" s="443"/>
      <c r="C707" s="637" t="s">
        <v>393</v>
      </c>
      <c r="D707" s="514"/>
      <c r="E707" s="534"/>
      <c r="F707" s="336">
        <f t="shared" si="655"/>
        <v>0</v>
      </c>
      <c r="G707" s="553"/>
      <c r="H707" s="553"/>
      <c r="I707" s="355" t="str">
        <f>IFERROR(F707/#REF!,"-")</f>
        <v>-</v>
      </c>
      <c r="J707" s="336">
        <f t="shared" si="656"/>
        <v>0</v>
      </c>
      <c r="K707" s="281">
        <f t="shared" si="651"/>
        <v>0</v>
      </c>
      <c r="L707" s="439">
        <f t="shared" si="652"/>
        <v>0</v>
      </c>
      <c r="M707" s="725"/>
      <c r="N707" s="268" t="str">
        <f t="shared" si="658"/>
        <v>-</v>
      </c>
      <c r="O707" s="545">
        <v>4.8285999999999998</v>
      </c>
      <c r="P707" s="407">
        <f t="shared" si="653"/>
        <v>0</v>
      </c>
      <c r="Q707" s="452">
        <f t="shared" si="654"/>
        <v>0</v>
      </c>
    </row>
    <row r="708" spans="1:17" ht="23.4" x14ac:dyDescent="0.3">
      <c r="A708" s="248" t="s">
        <v>108</v>
      </c>
      <c r="B708" s="595"/>
      <c r="C708" s="637" t="s">
        <v>389</v>
      </c>
      <c r="D708" s="273"/>
      <c r="E708" s="438"/>
      <c r="F708" s="335">
        <f t="shared" si="655"/>
        <v>0</v>
      </c>
      <c r="G708" s="275"/>
      <c r="H708" s="275"/>
      <c r="I708" s="354" t="str">
        <f>IFERROR(F708/#REF!,"-")</f>
        <v>-</v>
      </c>
      <c r="J708" s="336">
        <f t="shared" si="656"/>
        <v>0</v>
      </c>
      <c r="K708" s="281">
        <f t="shared" si="651"/>
        <v>0</v>
      </c>
      <c r="L708" s="439">
        <f t="shared" si="652"/>
        <v>0</v>
      </c>
      <c r="M708" s="339" t="str">
        <f t="shared" ref="M708:M709" si="659">IFERROR(J708/D708,"-")</f>
        <v>-</v>
      </c>
      <c r="N708" s="349" t="str">
        <f t="shared" si="658"/>
        <v>-</v>
      </c>
      <c r="O708" s="511">
        <v>4.1712999999999996</v>
      </c>
      <c r="P708" s="405">
        <f t="shared" si="653"/>
        <v>0</v>
      </c>
      <c r="Q708" s="450">
        <f t="shared" si="654"/>
        <v>0</v>
      </c>
    </row>
    <row r="709" spans="1:17" ht="24" thickBot="1" x14ac:dyDescent="0.35">
      <c r="A709" s="248" t="s">
        <v>108</v>
      </c>
      <c r="B709" s="593"/>
      <c r="C709" s="278"/>
      <c r="D709" s="279"/>
      <c r="E709" s="439"/>
      <c r="F709" s="336">
        <f t="shared" si="655"/>
        <v>0</v>
      </c>
      <c r="G709" s="281"/>
      <c r="H709" s="281"/>
      <c r="I709" s="355" t="str">
        <f>IFERROR(F709/#REF!,"-")</f>
        <v>-</v>
      </c>
      <c r="J709" s="464">
        <f t="shared" si="656"/>
        <v>0</v>
      </c>
      <c r="K709" s="465">
        <f t="shared" si="651"/>
        <v>0</v>
      </c>
      <c r="L709" s="466">
        <f t="shared" si="652"/>
        <v>0</v>
      </c>
      <c r="M709" s="340" t="str">
        <f t="shared" si="659"/>
        <v>-</v>
      </c>
      <c r="N709" s="264" t="str">
        <f t="shared" si="658"/>
        <v>-</v>
      </c>
      <c r="O709" s="451"/>
      <c r="P709" s="407">
        <f t="shared" si="653"/>
        <v>0</v>
      </c>
      <c r="Q709" s="452">
        <f t="shared" si="654"/>
        <v>0</v>
      </c>
    </row>
    <row r="710" spans="1:17" ht="23.25" customHeight="1" thickBot="1" x14ac:dyDescent="0.35">
      <c r="A710" s="277" t="s">
        <v>108</v>
      </c>
      <c r="B710" s="1038" t="s">
        <v>21</v>
      </c>
      <c r="C710" s="989"/>
      <c r="D710" s="323">
        <v>0</v>
      </c>
      <c r="E710" s="288">
        <v>15000</v>
      </c>
      <c r="F710" s="323">
        <f>SUM(F703:F709)</f>
        <v>0</v>
      </c>
      <c r="G710" s="324">
        <f t="shared" ref="G710:H710" si="660">SUM(G703:G709)</f>
        <v>0</v>
      </c>
      <c r="H710" s="324">
        <f t="shared" si="660"/>
        <v>0</v>
      </c>
      <c r="I710" s="348" t="str">
        <f>IFERROR(F710/#REF!,"-")</f>
        <v>-</v>
      </c>
      <c r="J710" s="518">
        <f t="shared" ref="J710" si="661">SUM(J703:J709)</f>
        <v>392598</v>
      </c>
      <c r="K710" s="524">
        <f>SUM(K703:K709)</f>
        <v>386500</v>
      </c>
      <c r="L710" s="524">
        <f>SUM(L703:L709)</f>
        <v>6098</v>
      </c>
      <c r="M710" s="342" t="str">
        <f>IFERROR(J710/D710,"-")</f>
        <v>-</v>
      </c>
      <c r="N710" s="348">
        <f t="shared" si="658"/>
        <v>1.5532427572224006E-2</v>
      </c>
      <c r="O710" s="394"/>
      <c r="P710" s="409">
        <f>SUM(P703:P709)</f>
        <v>0</v>
      </c>
      <c r="Q710" s="428">
        <f>SUM(Q703:Q709)</f>
        <v>855749.65</v>
      </c>
    </row>
    <row r="711" spans="1:17" ht="23.25" customHeight="1" thickBot="1" x14ac:dyDescent="0.35">
      <c r="A711" s="277" t="s">
        <v>108</v>
      </c>
      <c r="B711" s="1039" t="s">
        <v>268</v>
      </c>
      <c r="C711" s="1040"/>
      <c r="D711" s="517">
        <f>+D707+D710</f>
        <v>0</v>
      </c>
      <c r="E711" s="530">
        <f>+E707+E710</f>
        <v>15000</v>
      </c>
      <c r="F711" s="517">
        <f>+F707+F710</f>
        <v>0</v>
      </c>
      <c r="G711" s="519">
        <f>+G707+G710</f>
        <v>0</v>
      </c>
      <c r="H711" s="519">
        <f>+H707+H710</f>
        <v>0</v>
      </c>
      <c r="I711" s="520" t="str">
        <f>IFERROR(F711/#REF!,"-")</f>
        <v>-</v>
      </c>
      <c r="J711" s="517">
        <f>+J707+J710</f>
        <v>392598</v>
      </c>
      <c r="K711" s="519">
        <f>+K710</f>
        <v>386500</v>
      </c>
      <c r="L711" s="519">
        <f>+L710</f>
        <v>6098</v>
      </c>
      <c r="M711" s="521" t="str">
        <f t="shared" ref="M711" si="662">IFERROR(J711/D711,"-")</f>
        <v>-</v>
      </c>
      <c r="N711" s="520">
        <f t="shared" si="658"/>
        <v>1.5532427572224006E-2</v>
      </c>
      <c r="O711" s="522"/>
      <c r="P711" s="523">
        <f>+P710</f>
        <v>0</v>
      </c>
      <c r="Q711" s="523">
        <f>+Q710</f>
        <v>855749.65</v>
      </c>
    </row>
    <row r="712" spans="1:17" ht="23.4" x14ac:dyDescent="0.4">
      <c r="A712" s="244" t="s">
        <v>108</v>
      </c>
      <c r="B712" s="1035" t="s">
        <v>270</v>
      </c>
      <c r="C712" s="547" t="s">
        <v>74</v>
      </c>
      <c r="D712" s="532"/>
      <c r="E712" s="463"/>
      <c r="F712" s="461">
        <f>+G712+H712</f>
        <v>10022</v>
      </c>
      <c r="G712" s="462">
        <f>5000+5000</f>
        <v>10000</v>
      </c>
      <c r="H712" s="462">
        <f>7+15</f>
        <v>22</v>
      </c>
      <c r="I712" s="536" t="str">
        <f>IFERROR(F712/#REF!,"-")</f>
        <v>-</v>
      </c>
      <c r="J712" s="461">
        <f>+K712+L712</f>
        <v>37130</v>
      </c>
      <c r="K712" s="462">
        <f t="shared" ref="K712:K743" si="663">+K650+G712</f>
        <v>37000</v>
      </c>
      <c r="L712" s="463">
        <f t="shared" ref="L712:L743" si="664">+L650+H712</f>
        <v>130</v>
      </c>
      <c r="M712" s="596" t="str">
        <f>IFERROR(J712/D712,"-")</f>
        <v>-</v>
      </c>
      <c r="N712" s="538">
        <f t="shared" si="658"/>
        <v>3.5012119579854563E-3</v>
      </c>
      <c r="O712" s="543">
        <v>32.946300000000001</v>
      </c>
      <c r="P712" s="539">
        <f t="shared" ref="P712:P743" si="665">+O712*G712</f>
        <v>329463</v>
      </c>
      <c r="Q712" s="540">
        <f t="shared" ref="Q712:Q743" si="666">+O712*K712</f>
        <v>1219013.1000000001</v>
      </c>
    </row>
    <row r="713" spans="1:17" ht="23.4" x14ac:dyDescent="0.4">
      <c r="A713" s="248" t="s">
        <v>108</v>
      </c>
      <c r="B713" s="1036"/>
      <c r="C713" s="548" t="s">
        <v>75</v>
      </c>
      <c r="D713" s="516"/>
      <c r="E713" s="439"/>
      <c r="F713" s="336">
        <f t="shared" ref="F713:F743" si="667">+G713+H713</f>
        <v>0</v>
      </c>
      <c r="G713" s="281"/>
      <c r="H713" s="281"/>
      <c r="I713" s="355" t="str">
        <f>IFERROR(F713/#REF!,"-")</f>
        <v>-</v>
      </c>
      <c r="J713" s="336">
        <f t="shared" ref="J713:J743" si="668">+K713+L713</f>
        <v>15076</v>
      </c>
      <c r="K713" s="281">
        <f t="shared" si="663"/>
        <v>15000</v>
      </c>
      <c r="L713" s="439">
        <f t="shared" si="664"/>
        <v>76</v>
      </c>
      <c r="M713" s="340" t="str">
        <f t="shared" ref="M713:M715" si="669">IFERROR(J713/D713,"-")</f>
        <v>-</v>
      </c>
      <c r="N713" s="268">
        <f t="shared" si="658"/>
        <v>5.0411249668347044E-3</v>
      </c>
      <c r="O713" s="512">
        <v>35.398400000000002</v>
      </c>
      <c r="P713" s="407">
        <f t="shared" si="665"/>
        <v>0</v>
      </c>
      <c r="Q713" s="452">
        <f t="shared" si="666"/>
        <v>530976</v>
      </c>
    </row>
    <row r="714" spans="1:17" ht="24" thickBot="1" x14ac:dyDescent="0.45">
      <c r="A714" s="248" t="s">
        <v>108</v>
      </c>
      <c r="B714" s="1037"/>
      <c r="C714" s="548" t="s">
        <v>76</v>
      </c>
      <c r="D714" s="279"/>
      <c r="E714" s="439"/>
      <c r="F714" s="336">
        <f t="shared" si="667"/>
        <v>0</v>
      </c>
      <c r="G714" s="281"/>
      <c r="H714" s="281"/>
      <c r="I714" s="355" t="str">
        <f>IFERROR(F714/#REF!,"-")</f>
        <v>-</v>
      </c>
      <c r="J714" s="336">
        <f t="shared" si="668"/>
        <v>0</v>
      </c>
      <c r="K714" s="281">
        <f t="shared" si="663"/>
        <v>0</v>
      </c>
      <c r="L714" s="439">
        <f t="shared" si="664"/>
        <v>0</v>
      </c>
      <c r="M714" s="340" t="str">
        <f t="shared" si="669"/>
        <v>-</v>
      </c>
      <c r="N714" s="268" t="str">
        <f>IFERROR(L714/J714,"-")</f>
        <v>-</v>
      </c>
      <c r="O714" s="512">
        <v>32.946300000000001</v>
      </c>
      <c r="P714" s="407">
        <f t="shared" si="665"/>
        <v>0</v>
      </c>
      <c r="Q714" s="452">
        <f t="shared" si="666"/>
        <v>0</v>
      </c>
    </row>
    <row r="715" spans="1:17" ht="23.4" x14ac:dyDescent="0.4">
      <c r="A715" s="248" t="s">
        <v>108</v>
      </c>
      <c r="B715" s="1035" t="s">
        <v>271</v>
      </c>
      <c r="C715" s="550" t="s">
        <v>78</v>
      </c>
      <c r="D715" s="279"/>
      <c r="E715" s="533"/>
      <c r="F715" s="337">
        <f t="shared" si="667"/>
        <v>0</v>
      </c>
      <c r="G715" s="281"/>
      <c r="H715" s="281"/>
      <c r="I715" s="355" t="str">
        <f>IFERROR(F715/#REF!,"-")</f>
        <v>-</v>
      </c>
      <c r="J715" s="336">
        <f t="shared" si="668"/>
        <v>32743</v>
      </c>
      <c r="K715" s="281">
        <f t="shared" si="663"/>
        <v>31201</v>
      </c>
      <c r="L715" s="439">
        <f t="shared" si="664"/>
        <v>1542</v>
      </c>
      <c r="M715" s="340" t="str">
        <f t="shared" si="669"/>
        <v>-</v>
      </c>
      <c r="N715" s="268">
        <f t="shared" ref="N715" si="670">IFERROR(L715/J715,"-")</f>
        <v>4.7094035366337841E-2</v>
      </c>
      <c r="O715" s="512">
        <v>55.4758</v>
      </c>
      <c r="P715" s="407">
        <f t="shared" si="665"/>
        <v>0</v>
      </c>
      <c r="Q715" s="452">
        <f t="shared" si="666"/>
        <v>1730900.4358000001</v>
      </c>
    </row>
    <row r="716" spans="1:17" ht="23.4" x14ac:dyDescent="0.4">
      <c r="A716" s="248" t="s">
        <v>108</v>
      </c>
      <c r="B716" s="1036"/>
      <c r="C716" s="550" t="s">
        <v>75</v>
      </c>
      <c r="D716" s="279"/>
      <c r="E716" s="534"/>
      <c r="F716" s="337">
        <f t="shared" si="667"/>
        <v>0</v>
      </c>
      <c r="G716" s="281"/>
      <c r="H716" s="281"/>
      <c r="I716" s="355" t="str">
        <f>IFERROR(F716/#REF!,"-")</f>
        <v>-</v>
      </c>
      <c r="J716" s="336">
        <f t="shared" si="668"/>
        <v>8448</v>
      </c>
      <c r="K716" s="281">
        <f t="shared" si="663"/>
        <v>6800</v>
      </c>
      <c r="L716" s="439">
        <f t="shared" si="664"/>
        <v>1648</v>
      </c>
      <c r="M716" s="725"/>
      <c r="N716" s="375"/>
      <c r="O716" s="545">
        <v>58.836300000000001</v>
      </c>
      <c r="P716" s="407">
        <f t="shared" si="665"/>
        <v>0</v>
      </c>
      <c r="Q716" s="452">
        <f t="shared" si="666"/>
        <v>400086.84</v>
      </c>
    </row>
    <row r="717" spans="1:17" ht="23.4" x14ac:dyDescent="0.4">
      <c r="A717" s="248" t="s">
        <v>108</v>
      </c>
      <c r="B717" s="1036"/>
      <c r="C717" s="550" t="s">
        <v>386</v>
      </c>
      <c r="D717" s="279"/>
      <c r="E717" s="438"/>
      <c r="F717" s="337">
        <f t="shared" si="667"/>
        <v>0</v>
      </c>
      <c r="G717" s="281"/>
      <c r="H717" s="281"/>
      <c r="I717" s="355" t="str">
        <f>IFERROR(F717/#REF!,"-")</f>
        <v>-</v>
      </c>
      <c r="J717" s="336">
        <f t="shared" si="668"/>
        <v>3290</v>
      </c>
      <c r="K717" s="281">
        <f t="shared" si="663"/>
        <v>2800</v>
      </c>
      <c r="L717" s="439">
        <f t="shared" si="664"/>
        <v>490</v>
      </c>
      <c r="M717" s="340" t="str">
        <f t="shared" ref="M717" si="671">IFERROR(J717/D717,"-")</f>
        <v>-</v>
      </c>
      <c r="N717" s="264">
        <f t="shared" ref="N717" si="672">IFERROR(L717/J717,"-")</f>
        <v>0.14893617021276595</v>
      </c>
      <c r="O717" s="512">
        <v>55.4758</v>
      </c>
      <c r="P717" s="407">
        <f t="shared" si="665"/>
        <v>0</v>
      </c>
      <c r="Q717" s="452">
        <f t="shared" si="666"/>
        <v>155332.24</v>
      </c>
    </row>
    <row r="718" spans="1:17" ht="24" thickBot="1" x14ac:dyDescent="0.45">
      <c r="A718" s="248"/>
      <c r="B718" s="1037"/>
      <c r="C718" s="550" t="s">
        <v>404</v>
      </c>
      <c r="D718" s="279"/>
      <c r="E718" s="438"/>
      <c r="F718" s="337">
        <f t="shared" si="667"/>
        <v>0</v>
      </c>
      <c r="G718" s="281"/>
      <c r="H718" s="281"/>
      <c r="I718" s="355"/>
      <c r="J718" s="336">
        <f t="shared" si="668"/>
        <v>2220</v>
      </c>
      <c r="K718" s="281">
        <f t="shared" si="663"/>
        <v>2064</v>
      </c>
      <c r="L718" s="439">
        <f t="shared" si="664"/>
        <v>156</v>
      </c>
      <c r="M718" s="340"/>
      <c r="N718" s="264">
        <f>IFERROR(L718/J718,"-")</f>
        <v>7.0270270270270274E-2</v>
      </c>
      <c r="O718" s="512">
        <v>55.4758</v>
      </c>
      <c r="P718" s="407">
        <f t="shared" si="665"/>
        <v>0</v>
      </c>
      <c r="Q718" s="452">
        <f t="shared" si="666"/>
        <v>114502.0512</v>
      </c>
    </row>
    <row r="719" spans="1:17" ht="23.4" x14ac:dyDescent="0.4">
      <c r="A719" s="248" t="s">
        <v>108</v>
      </c>
      <c r="B719" s="1035" t="s">
        <v>490</v>
      </c>
      <c r="C719" s="548" t="s">
        <v>80</v>
      </c>
      <c r="D719" s="279"/>
      <c r="E719" s="439"/>
      <c r="F719" s="336">
        <f t="shared" si="667"/>
        <v>0</v>
      </c>
      <c r="G719" s="281"/>
      <c r="H719" s="281"/>
      <c r="I719" s="355" t="str">
        <f>IFERROR(F719/#REF!,"-")</f>
        <v>-</v>
      </c>
      <c r="J719" s="336">
        <f t="shared" si="668"/>
        <v>1170</v>
      </c>
      <c r="K719" s="281">
        <f t="shared" si="663"/>
        <v>1100</v>
      </c>
      <c r="L719" s="439">
        <f t="shared" si="664"/>
        <v>70</v>
      </c>
      <c r="M719" s="340" t="str">
        <f t="shared" ref="M719:M746" si="673">IFERROR(J719/D719,"-")</f>
        <v>-</v>
      </c>
      <c r="N719" s="264">
        <f t="shared" ref="N719:N745" si="674">IFERROR(L719/J719,"-")</f>
        <v>5.9829059829059832E-2</v>
      </c>
      <c r="O719" s="512">
        <v>25.687200000000001</v>
      </c>
      <c r="P719" s="407">
        <f t="shared" si="665"/>
        <v>0</v>
      </c>
      <c r="Q719" s="452">
        <f t="shared" si="666"/>
        <v>28255.920000000002</v>
      </c>
    </row>
    <row r="720" spans="1:17" ht="24" thickBot="1" x14ac:dyDescent="0.45">
      <c r="A720" s="248" t="s">
        <v>108</v>
      </c>
      <c r="B720" s="1037"/>
      <c r="C720" s="548" t="s">
        <v>124</v>
      </c>
      <c r="D720" s="279"/>
      <c r="E720" s="439"/>
      <c r="F720" s="336">
        <f t="shared" si="667"/>
        <v>0</v>
      </c>
      <c r="G720" s="281"/>
      <c r="H720" s="281"/>
      <c r="I720" s="355" t="str">
        <f>IFERROR(F720/#REF!,"-")</f>
        <v>-</v>
      </c>
      <c r="J720" s="336">
        <f t="shared" si="668"/>
        <v>0</v>
      </c>
      <c r="K720" s="281">
        <f t="shared" si="663"/>
        <v>0</v>
      </c>
      <c r="L720" s="439">
        <f t="shared" si="664"/>
        <v>0</v>
      </c>
      <c r="M720" s="340" t="str">
        <f t="shared" si="673"/>
        <v>-</v>
      </c>
      <c r="N720" s="264" t="str">
        <f t="shared" si="674"/>
        <v>-</v>
      </c>
      <c r="O720" s="512">
        <v>25.033899999999999</v>
      </c>
      <c r="P720" s="407">
        <f t="shared" si="665"/>
        <v>0</v>
      </c>
      <c r="Q720" s="452">
        <f t="shared" si="666"/>
        <v>0</v>
      </c>
    </row>
    <row r="721" spans="1:17" ht="23.4" x14ac:dyDescent="0.4">
      <c r="A721" s="248"/>
      <c r="B721" s="1035" t="s">
        <v>491</v>
      </c>
      <c r="C721" s="548" t="s">
        <v>82</v>
      </c>
      <c r="D721" s="279"/>
      <c r="E721" s="439"/>
      <c r="F721" s="336">
        <f t="shared" si="667"/>
        <v>0</v>
      </c>
      <c r="G721" s="281"/>
      <c r="H721" s="281"/>
      <c r="I721" s="355" t="str">
        <f>IFERROR(F721/#REF!,"-")</f>
        <v>-</v>
      </c>
      <c r="J721" s="336">
        <f t="shared" si="668"/>
        <v>7837</v>
      </c>
      <c r="K721" s="281">
        <f t="shared" si="663"/>
        <v>7800</v>
      </c>
      <c r="L721" s="439">
        <f t="shared" si="664"/>
        <v>37</v>
      </c>
      <c r="M721" s="340" t="str">
        <f t="shared" si="673"/>
        <v>-</v>
      </c>
      <c r="N721" s="264">
        <f t="shared" si="674"/>
        <v>4.7211943345667985E-3</v>
      </c>
      <c r="O721" s="512">
        <v>41.992699999999999</v>
      </c>
      <c r="P721" s="407">
        <f t="shared" si="665"/>
        <v>0</v>
      </c>
      <c r="Q721" s="452">
        <f t="shared" si="666"/>
        <v>327543.06</v>
      </c>
    </row>
    <row r="722" spans="1:17" ht="23.4" x14ac:dyDescent="0.4">
      <c r="A722" s="248"/>
      <c r="B722" s="1036"/>
      <c r="C722" s="548" t="s">
        <v>75</v>
      </c>
      <c r="D722" s="279"/>
      <c r="E722" s="439"/>
      <c r="F722" s="336">
        <f t="shared" si="667"/>
        <v>0</v>
      </c>
      <c r="G722" s="281"/>
      <c r="H722" s="281"/>
      <c r="I722" s="355" t="str">
        <f>IFERROR(F722/#REF!,"-")</f>
        <v>-</v>
      </c>
      <c r="J722" s="336">
        <f t="shared" si="668"/>
        <v>45</v>
      </c>
      <c r="K722" s="281">
        <f t="shared" si="663"/>
        <v>45</v>
      </c>
      <c r="L722" s="439">
        <f t="shared" si="664"/>
        <v>0</v>
      </c>
      <c r="M722" s="340" t="str">
        <f t="shared" si="673"/>
        <v>-</v>
      </c>
      <c r="N722" s="264">
        <f t="shared" si="674"/>
        <v>0</v>
      </c>
      <c r="O722" s="512">
        <v>42.283799999999999</v>
      </c>
      <c r="P722" s="407">
        <f t="shared" si="665"/>
        <v>0</v>
      </c>
      <c r="Q722" s="452">
        <f t="shared" si="666"/>
        <v>1902.771</v>
      </c>
    </row>
    <row r="723" spans="1:17" ht="23.4" x14ac:dyDescent="0.4">
      <c r="A723" s="248"/>
      <c r="B723" s="1036"/>
      <c r="C723" s="548" t="s">
        <v>450</v>
      </c>
      <c r="D723" s="279"/>
      <c r="E723" s="439"/>
      <c r="F723" s="336">
        <f t="shared" si="667"/>
        <v>0</v>
      </c>
      <c r="G723" s="281"/>
      <c r="H723" s="281"/>
      <c r="I723" s="355" t="str">
        <f>IFERROR(F723/#REF!,"-")</f>
        <v>-</v>
      </c>
      <c r="J723" s="336">
        <f t="shared" si="668"/>
        <v>1140</v>
      </c>
      <c r="K723" s="281">
        <f t="shared" si="663"/>
        <v>1140</v>
      </c>
      <c r="L723" s="439">
        <f t="shared" si="664"/>
        <v>0</v>
      </c>
      <c r="M723" s="340" t="str">
        <f t="shared" si="673"/>
        <v>-</v>
      </c>
      <c r="N723" s="264">
        <f t="shared" si="674"/>
        <v>0</v>
      </c>
      <c r="O723" s="772">
        <v>41.992699999999999</v>
      </c>
      <c r="P723" s="407">
        <f t="shared" si="665"/>
        <v>0</v>
      </c>
      <c r="Q723" s="452">
        <f t="shared" si="666"/>
        <v>47871.678</v>
      </c>
    </row>
    <row r="724" spans="1:17" ht="24" thickBot="1" x14ac:dyDescent="0.45">
      <c r="A724" s="248"/>
      <c r="B724" s="1037"/>
      <c r="C724" s="548" t="s">
        <v>451</v>
      </c>
      <c r="D724" s="279"/>
      <c r="E724" s="439"/>
      <c r="F724" s="336">
        <f t="shared" si="667"/>
        <v>0</v>
      </c>
      <c r="G724" s="281"/>
      <c r="H724" s="281"/>
      <c r="I724" s="355" t="str">
        <f>IFERROR(F724/#REF!,"-")</f>
        <v>-</v>
      </c>
      <c r="J724" s="336">
        <f t="shared" si="668"/>
        <v>712</v>
      </c>
      <c r="K724" s="281">
        <f t="shared" si="663"/>
        <v>660</v>
      </c>
      <c r="L724" s="439">
        <f t="shared" si="664"/>
        <v>52</v>
      </c>
      <c r="M724" s="340" t="str">
        <f t="shared" si="673"/>
        <v>-</v>
      </c>
      <c r="N724" s="264">
        <f t="shared" si="674"/>
        <v>7.3033707865168537E-2</v>
      </c>
      <c r="O724" s="772">
        <v>42.283799999999999</v>
      </c>
      <c r="P724" s="407">
        <f t="shared" si="665"/>
        <v>0</v>
      </c>
      <c r="Q724" s="452">
        <f t="shared" si="666"/>
        <v>27907.308000000001</v>
      </c>
    </row>
    <row r="725" spans="1:17" ht="24" thickBot="1" x14ac:dyDescent="0.45">
      <c r="A725" s="248"/>
      <c r="B725" s="815" t="s">
        <v>83</v>
      </c>
      <c r="C725" s="548" t="s">
        <v>84</v>
      </c>
      <c r="D725" s="279"/>
      <c r="E725" s="439"/>
      <c r="F725" s="336">
        <f t="shared" si="667"/>
        <v>0</v>
      </c>
      <c r="G725" s="281"/>
      <c r="H725" s="281"/>
      <c r="I725" s="355" t="str">
        <f>IFERROR(F725/#REF!,"-")</f>
        <v>-</v>
      </c>
      <c r="J725" s="336">
        <f t="shared" si="668"/>
        <v>0</v>
      </c>
      <c r="K725" s="281">
        <f t="shared" si="663"/>
        <v>0</v>
      </c>
      <c r="L725" s="439">
        <f t="shared" si="664"/>
        <v>0</v>
      </c>
      <c r="M725" s="340" t="str">
        <f t="shared" si="673"/>
        <v>-</v>
      </c>
      <c r="N725" s="264" t="str">
        <f t="shared" si="674"/>
        <v>-</v>
      </c>
      <c r="O725" s="512">
        <v>4.3535000000000004</v>
      </c>
      <c r="P725" s="407">
        <f t="shared" si="665"/>
        <v>0</v>
      </c>
      <c r="Q725" s="452">
        <f t="shared" si="666"/>
        <v>0</v>
      </c>
    </row>
    <row r="726" spans="1:17" ht="23.4" x14ac:dyDescent="0.4">
      <c r="A726" s="248"/>
      <c r="B726" s="1035" t="s">
        <v>273</v>
      </c>
      <c r="C726" s="548" t="s">
        <v>80</v>
      </c>
      <c r="D726" s="279"/>
      <c r="E726" s="439"/>
      <c r="F726" s="336">
        <f t="shared" si="667"/>
        <v>72279</v>
      </c>
      <c r="G726" s="281">
        <f>28600+23100+19800</f>
        <v>71500</v>
      </c>
      <c r="H726" s="281">
        <f>289+198+292</f>
        <v>779</v>
      </c>
      <c r="I726" s="355" t="str">
        <f>IFERROR(F726/#REF!,"-")</f>
        <v>-</v>
      </c>
      <c r="J726" s="336">
        <f t="shared" si="668"/>
        <v>72279</v>
      </c>
      <c r="K726" s="281">
        <f t="shared" si="663"/>
        <v>71500</v>
      </c>
      <c r="L726" s="439">
        <f t="shared" si="664"/>
        <v>779</v>
      </c>
      <c r="M726" s="340" t="str">
        <f t="shared" si="673"/>
        <v>-</v>
      </c>
      <c r="N726" s="264">
        <f t="shared" si="674"/>
        <v>1.077768093083745E-2</v>
      </c>
      <c r="O726" s="512">
        <v>4.6184000000000003</v>
      </c>
      <c r="P726" s="407">
        <f t="shared" si="665"/>
        <v>330215.60000000003</v>
      </c>
      <c r="Q726" s="452">
        <f t="shared" si="666"/>
        <v>330215.60000000003</v>
      </c>
    </row>
    <row r="727" spans="1:17" ht="23.4" x14ac:dyDescent="0.4">
      <c r="A727" s="248"/>
      <c r="B727" s="1036"/>
      <c r="C727" s="548" t="s">
        <v>378</v>
      </c>
      <c r="D727" s="279"/>
      <c r="E727" s="439"/>
      <c r="F727" s="336">
        <f t="shared" si="667"/>
        <v>0</v>
      </c>
      <c r="G727" s="281"/>
      <c r="H727" s="281"/>
      <c r="I727" s="355" t="str">
        <f>IFERROR(F727/#REF!,"-")</f>
        <v>-</v>
      </c>
      <c r="J727" s="336">
        <f t="shared" si="668"/>
        <v>0</v>
      </c>
      <c r="K727" s="281">
        <f t="shared" si="663"/>
        <v>0</v>
      </c>
      <c r="L727" s="439">
        <f t="shared" si="664"/>
        <v>0</v>
      </c>
      <c r="M727" s="340" t="str">
        <f t="shared" si="673"/>
        <v>-</v>
      </c>
      <c r="N727" s="264" t="str">
        <f t="shared" si="674"/>
        <v>-</v>
      </c>
      <c r="O727" s="512">
        <v>4.6184000000000003</v>
      </c>
      <c r="P727" s="407">
        <f t="shared" si="665"/>
        <v>0</v>
      </c>
      <c r="Q727" s="452">
        <f t="shared" si="666"/>
        <v>0</v>
      </c>
    </row>
    <row r="728" spans="1:17" ht="23.4" x14ac:dyDescent="0.4">
      <c r="A728" s="248"/>
      <c r="B728" s="1036"/>
      <c r="C728" s="548" t="s">
        <v>272</v>
      </c>
      <c r="D728" s="279"/>
      <c r="E728" s="439"/>
      <c r="F728" s="336">
        <f t="shared" si="667"/>
        <v>0</v>
      </c>
      <c r="G728" s="281"/>
      <c r="H728" s="281"/>
      <c r="I728" s="355" t="str">
        <f>IFERROR(F728/#REF!,"-")</f>
        <v>-</v>
      </c>
      <c r="J728" s="336">
        <f t="shared" si="668"/>
        <v>0</v>
      </c>
      <c r="K728" s="281">
        <f t="shared" si="663"/>
        <v>0</v>
      </c>
      <c r="L728" s="439">
        <f t="shared" si="664"/>
        <v>0</v>
      </c>
      <c r="M728" s="340" t="str">
        <f t="shared" si="673"/>
        <v>-</v>
      </c>
      <c r="N728" s="264" t="str">
        <f t="shared" si="674"/>
        <v>-</v>
      </c>
      <c r="O728" s="512">
        <v>4.6184000000000003</v>
      </c>
      <c r="P728" s="407">
        <f t="shared" si="665"/>
        <v>0</v>
      </c>
      <c r="Q728" s="452">
        <f t="shared" si="666"/>
        <v>0</v>
      </c>
    </row>
    <row r="729" spans="1:17" ht="23.4" x14ac:dyDescent="0.4">
      <c r="A729" s="248"/>
      <c r="B729" s="1036"/>
      <c r="C729" s="548" t="s">
        <v>390</v>
      </c>
      <c r="D729" s="279"/>
      <c r="E729" s="439"/>
      <c r="F729" s="336">
        <f t="shared" si="667"/>
        <v>0</v>
      </c>
      <c r="G729" s="281"/>
      <c r="H729" s="281"/>
      <c r="I729" s="355" t="str">
        <f>IFERROR(F729/#REF!,"-")</f>
        <v>-</v>
      </c>
      <c r="J729" s="336">
        <f t="shared" si="668"/>
        <v>511962</v>
      </c>
      <c r="K729" s="730">
        <f t="shared" si="663"/>
        <v>508200</v>
      </c>
      <c r="L729" s="731">
        <f t="shared" si="664"/>
        <v>3762</v>
      </c>
      <c r="M729" s="340" t="str">
        <f t="shared" si="673"/>
        <v>-</v>
      </c>
      <c r="N729" s="264">
        <f t="shared" si="674"/>
        <v>7.3482016243393063E-3</v>
      </c>
      <c r="O729" s="512">
        <v>4.7636000000000003</v>
      </c>
      <c r="P729" s="407">
        <f t="shared" si="665"/>
        <v>0</v>
      </c>
      <c r="Q729" s="452">
        <f t="shared" si="666"/>
        <v>2420861.52</v>
      </c>
    </row>
    <row r="730" spans="1:17" ht="24" thickBot="1" x14ac:dyDescent="0.45">
      <c r="A730" s="248"/>
      <c r="B730" s="1037"/>
      <c r="C730" s="548" t="s">
        <v>384</v>
      </c>
      <c r="D730" s="279"/>
      <c r="E730" s="439"/>
      <c r="F730" s="336">
        <f t="shared" si="667"/>
        <v>0</v>
      </c>
      <c r="G730" s="281"/>
      <c r="H730" s="281"/>
      <c r="I730" s="355" t="str">
        <f>IFERROR(F730/#REF!,"-")</f>
        <v>-</v>
      </c>
      <c r="J730" s="336">
        <f t="shared" si="668"/>
        <v>0</v>
      </c>
      <c r="K730" s="281">
        <f t="shared" si="663"/>
        <v>0</v>
      </c>
      <c r="L730" s="439">
        <f t="shared" si="664"/>
        <v>0</v>
      </c>
      <c r="M730" s="340" t="str">
        <f t="shared" si="673"/>
        <v>-</v>
      </c>
      <c r="N730" s="264" t="str">
        <f t="shared" si="674"/>
        <v>-</v>
      </c>
      <c r="O730" s="512">
        <v>4.8738000000000001</v>
      </c>
      <c r="P730" s="407">
        <f t="shared" si="665"/>
        <v>0</v>
      </c>
      <c r="Q730" s="452">
        <f t="shared" si="666"/>
        <v>0</v>
      </c>
    </row>
    <row r="731" spans="1:17" ht="24" thickBot="1" x14ac:dyDescent="0.45">
      <c r="A731" s="248"/>
      <c r="B731" s="815" t="s">
        <v>274</v>
      </c>
      <c r="C731" s="548" t="s">
        <v>131</v>
      </c>
      <c r="D731" s="279"/>
      <c r="E731" s="439"/>
      <c r="F731" s="336">
        <f t="shared" si="667"/>
        <v>0</v>
      </c>
      <c r="G731" s="281"/>
      <c r="H731" s="281"/>
      <c r="I731" s="355" t="str">
        <f>IFERROR(F731/#REF!,"-")</f>
        <v>-</v>
      </c>
      <c r="J731" s="336">
        <f t="shared" si="668"/>
        <v>0</v>
      </c>
      <c r="K731" s="281">
        <f t="shared" si="663"/>
        <v>0</v>
      </c>
      <c r="L731" s="439">
        <f t="shared" si="664"/>
        <v>0</v>
      </c>
      <c r="M731" s="340" t="str">
        <f t="shared" si="673"/>
        <v>-</v>
      </c>
      <c r="N731" s="264" t="str">
        <f t="shared" si="674"/>
        <v>-</v>
      </c>
      <c r="O731" s="512">
        <v>4.8738000000000001</v>
      </c>
      <c r="P731" s="407">
        <f t="shared" si="665"/>
        <v>0</v>
      </c>
      <c r="Q731" s="452">
        <f t="shared" si="666"/>
        <v>0</v>
      </c>
    </row>
    <row r="732" spans="1:17" ht="23.4" x14ac:dyDescent="0.4">
      <c r="A732" s="248"/>
      <c r="B732" s="1035" t="s">
        <v>276</v>
      </c>
      <c r="C732" s="548" t="s">
        <v>80</v>
      </c>
      <c r="D732" s="279"/>
      <c r="E732" s="439"/>
      <c r="F732" s="336">
        <f t="shared" si="667"/>
        <v>75489</v>
      </c>
      <c r="G732" s="281">
        <f>33250+9750+31050</f>
        <v>74050</v>
      </c>
      <c r="H732" s="281">
        <f>291+428+720</f>
        <v>1439</v>
      </c>
      <c r="I732" s="355" t="str">
        <f>IFERROR(F732/#REF!,"-")</f>
        <v>-</v>
      </c>
      <c r="J732" s="336">
        <f t="shared" si="668"/>
        <v>334258</v>
      </c>
      <c r="K732" s="730">
        <f t="shared" si="663"/>
        <v>327250</v>
      </c>
      <c r="L732" s="731">
        <f t="shared" si="664"/>
        <v>7008</v>
      </c>
      <c r="M732" s="340" t="str">
        <f t="shared" si="673"/>
        <v>-</v>
      </c>
      <c r="N732" s="264">
        <f t="shared" si="674"/>
        <v>2.0965840757738035E-2</v>
      </c>
      <c r="O732" s="512">
        <v>4.9344999999999999</v>
      </c>
      <c r="P732" s="407">
        <f t="shared" si="665"/>
        <v>365399.72499999998</v>
      </c>
      <c r="Q732" s="452">
        <f t="shared" si="666"/>
        <v>1614815.125</v>
      </c>
    </row>
    <row r="733" spans="1:17" ht="23.4" x14ac:dyDescent="0.4">
      <c r="A733" s="248"/>
      <c r="B733" s="1036"/>
      <c r="C733" s="548" t="s">
        <v>142</v>
      </c>
      <c r="D733" s="279"/>
      <c r="E733" s="439"/>
      <c r="F733" s="336">
        <f t="shared" si="667"/>
        <v>0</v>
      </c>
      <c r="G733" s="281"/>
      <c r="H733" s="281"/>
      <c r="I733" s="355" t="str">
        <f>IFERROR(F733/#REF!,"-")</f>
        <v>-</v>
      </c>
      <c r="J733" s="336">
        <f t="shared" si="668"/>
        <v>0</v>
      </c>
      <c r="K733" s="281">
        <f t="shared" si="663"/>
        <v>0</v>
      </c>
      <c r="L733" s="439">
        <f t="shared" si="664"/>
        <v>0</v>
      </c>
      <c r="M733" s="340" t="str">
        <f t="shared" si="673"/>
        <v>-</v>
      </c>
      <c r="N733" s="264" t="str">
        <f t="shared" si="674"/>
        <v>-</v>
      </c>
      <c r="O733" s="512">
        <v>4.9344999999999999</v>
      </c>
      <c r="P733" s="407">
        <f t="shared" si="665"/>
        <v>0</v>
      </c>
      <c r="Q733" s="452">
        <f t="shared" si="666"/>
        <v>0</v>
      </c>
    </row>
    <row r="734" spans="1:17" ht="23.4" x14ac:dyDescent="0.4">
      <c r="A734" s="248"/>
      <c r="B734" s="1036"/>
      <c r="C734" s="548" t="s">
        <v>136</v>
      </c>
      <c r="D734" s="279"/>
      <c r="E734" s="439"/>
      <c r="F734" s="336">
        <f t="shared" si="667"/>
        <v>0</v>
      </c>
      <c r="G734" s="281"/>
      <c r="H734" s="281"/>
      <c r="I734" s="355" t="str">
        <f>IFERROR(F734/#REF!,"-")</f>
        <v>-</v>
      </c>
      <c r="J734" s="336">
        <f t="shared" si="668"/>
        <v>0</v>
      </c>
      <c r="K734" s="281">
        <f t="shared" si="663"/>
        <v>0</v>
      </c>
      <c r="L734" s="439">
        <f t="shared" si="664"/>
        <v>0</v>
      </c>
      <c r="M734" s="340" t="str">
        <f t="shared" si="673"/>
        <v>-</v>
      </c>
      <c r="N734" s="264" t="str">
        <f t="shared" si="674"/>
        <v>-</v>
      </c>
      <c r="O734" s="512">
        <v>4.9344999999999999</v>
      </c>
      <c r="P734" s="407">
        <f t="shared" si="665"/>
        <v>0</v>
      </c>
      <c r="Q734" s="452">
        <f t="shared" si="666"/>
        <v>0</v>
      </c>
    </row>
    <row r="735" spans="1:17" ht="24" thickBot="1" x14ac:dyDescent="0.45">
      <c r="A735" s="248"/>
      <c r="B735" s="1037"/>
      <c r="C735" s="548" t="s">
        <v>275</v>
      </c>
      <c r="D735" s="279"/>
      <c r="E735" s="439"/>
      <c r="F735" s="336">
        <f t="shared" si="667"/>
        <v>0</v>
      </c>
      <c r="G735" s="281"/>
      <c r="H735" s="281"/>
      <c r="I735" s="355" t="str">
        <f>IFERROR(F735/#REF!,"-")</f>
        <v>-</v>
      </c>
      <c r="J735" s="336">
        <f t="shared" si="668"/>
        <v>0</v>
      </c>
      <c r="K735" s="281">
        <f t="shared" si="663"/>
        <v>0</v>
      </c>
      <c r="L735" s="439">
        <f t="shared" si="664"/>
        <v>0</v>
      </c>
      <c r="M735" s="340" t="str">
        <f t="shared" si="673"/>
        <v>-</v>
      </c>
      <c r="N735" s="264" t="str">
        <f t="shared" si="674"/>
        <v>-</v>
      </c>
      <c r="O735" s="512">
        <v>5.5069999999999997</v>
      </c>
      <c r="P735" s="407">
        <f t="shared" si="665"/>
        <v>0</v>
      </c>
      <c r="Q735" s="452">
        <f t="shared" si="666"/>
        <v>0</v>
      </c>
    </row>
    <row r="736" spans="1:17" ht="23.4" x14ac:dyDescent="0.4">
      <c r="A736" s="248"/>
      <c r="B736" s="1035" t="s">
        <v>281</v>
      </c>
      <c r="C736" s="548" t="s">
        <v>277</v>
      </c>
      <c r="D736" s="279"/>
      <c r="E736" s="439"/>
      <c r="F736" s="336">
        <f t="shared" si="667"/>
        <v>75983</v>
      </c>
      <c r="G736" s="281">
        <f>36000+23050+14800</f>
        <v>73850</v>
      </c>
      <c r="H736" s="281">
        <f>629+972+532</f>
        <v>2133</v>
      </c>
      <c r="I736" s="355" t="str">
        <f>IFERROR(F736/#REF!,"-")</f>
        <v>-</v>
      </c>
      <c r="J736" s="336">
        <f t="shared" si="668"/>
        <v>223542</v>
      </c>
      <c r="K736" s="281">
        <f t="shared" si="663"/>
        <v>219450</v>
      </c>
      <c r="L736" s="439">
        <f t="shared" si="664"/>
        <v>4092</v>
      </c>
      <c r="M736" s="340" t="str">
        <f t="shared" si="673"/>
        <v>-</v>
      </c>
      <c r="N736" s="264">
        <f t="shared" si="674"/>
        <v>1.8305284912902273E-2</v>
      </c>
      <c r="O736" s="772">
        <v>5.5069999999999997</v>
      </c>
      <c r="P736" s="407">
        <f t="shared" si="665"/>
        <v>406691.94999999995</v>
      </c>
      <c r="Q736" s="452">
        <f t="shared" si="666"/>
        <v>1208511.1499999999</v>
      </c>
    </row>
    <row r="737" spans="1:17" ht="23.4" x14ac:dyDescent="0.4">
      <c r="A737" s="248"/>
      <c r="B737" s="1036"/>
      <c r="C737" s="548" t="s">
        <v>278</v>
      </c>
      <c r="D737" s="279"/>
      <c r="E737" s="439"/>
      <c r="F737" s="336">
        <f t="shared" si="667"/>
        <v>0</v>
      </c>
      <c r="G737" s="281"/>
      <c r="H737" s="281"/>
      <c r="I737" s="355" t="str">
        <f>IFERROR(F737/#REF!,"-")</f>
        <v>-</v>
      </c>
      <c r="J737" s="336">
        <f t="shared" si="668"/>
        <v>0</v>
      </c>
      <c r="K737" s="281">
        <f t="shared" si="663"/>
        <v>0</v>
      </c>
      <c r="L737" s="439">
        <f t="shared" si="664"/>
        <v>0</v>
      </c>
      <c r="M737" s="340" t="str">
        <f t="shared" si="673"/>
        <v>-</v>
      </c>
      <c r="N737" s="264" t="str">
        <f t="shared" si="674"/>
        <v>-</v>
      </c>
      <c r="O737" s="512">
        <v>5.6550000000000002</v>
      </c>
      <c r="P737" s="407">
        <f t="shared" si="665"/>
        <v>0</v>
      </c>
      <c r="Q737" s="452">
        <f t="shared" si="666"/>
        <v>0</v>
      </c>
    </row>
    <row r="738" spans="1:17" ht="23.4" x14ac:dyDescent="0.4">
      <c r="A738" s="248"/>
      <c r="B738" s="1036"/>
      <c r="C738" s="548" t="s">
        <v>355</v>
      </c>
      <c r="D738" s="279"/>
      <c r="E738" s="439"/>
      <c r="F738" s="336">
        <f t="shared" si="667"/>
        <v>19332</v>
      </c>
      <c r="G738" s="281">
        <f>5850+12150</f>
        <v>18000</v>
      </c>
      <c r="H738" s="281">
        <f>894+438</f>
        <v>1332</v>
      </c>
      <c r="I738" s="355" t="str">
        <f>IFERROR(F738/#REF!,"-")</f>
        <v>-</v>
      </c>
      <c r="J738" s="336">
        <f t="shared" si="668"/>
        <v>321630</v>
      </c>
      <c r="K738" s="730">
        <f t="shared" si="663"/>
        <v>310550</v>
      </c>
      <c r="L738" s="731">
        <f t="shared" si="664"/>
        <v>11080</v>
      </c>
      <c r="M738" s="340" t="str">
        <f t="shared" si="673"/>
        <v>-</v>
      </c>
      <c r="N738" s="264">
        <f t="shared" si="674"/>
        <v>3.4449522743525168E-2</v>
      </c>
      <c r="O738" s="512">
        <v>5.6550000000000002</v>
      </c>
      <c r="P738" s="407">
        <f t="shared" si="665"/>
        <v>101790</v>
      </c>
      <c r="Q738" s="452">
        <f t="shared" si="666"/>
        <v>1756160.25</v>
      </c>
    </row>
    <row r="739" spans="1:17" ht="23.4" x14ac:dyDescent="0.4">
      <c r="A739" s="248"/>
      <c r="B739" s="1036"/>
      <c r="C739" s="548" t="s">
        <v>279</v>
      </c>
      <c r="D739" s="279"/>
      <c r="E739" s="439"/>
      <c r="F739" s="336">
        <f t="shared" si="667"/>
        <v>0</v>
      </c>
      <c r="G739" s="281"/>
      <c r="H739" s="281"/>
      <c r="I739" s="355" t="str">
        <f>IFERROR(F739/#REF!,"-")</f>
        <v>-</v>
      </c>
      <c r="J739" s="336">
        <f t="shared" si="668"/>
        <v>0</v>
      </c>
      <c r="K739" s="281">
        <f t="shared" si="663"/>
        <v>0</v>
      </c>
      <c r="L739" s="439">
        <f t="shared" si="664"/>
        <v>0</v>
      </c>
      <c r="M739" s="340" t="str">
        <f t="shared" si="673"/>
        <v>-</v>
      </c>
      <c r="N739" s="264" t="str">
        <f t="shared" si="674"/>
        <v>-</v>
      </c>
      <c r="O739" s="512">
        <v>5.6550000000000002</v>
      </c>
      <c r="P739" s="407">
        <f t="shared" si="665"/>
        <v>0</v>
      </c>
      <c r="Q739" s="452">
        <f t="shared" si="666"/>
        <v>0</v>
      </c>
    </row>
    <row r="740" spans="1:17" ht="23.4" x14ac:dyDescent="0.4">
      <c r="A740" s="248" t="s">
        <v>108</v>
      </c>
      <c r="B740" s="1036"/>
      <c r="C740" s="548" t="s">
        <v>280</v>
      </c>
      <c r="D740" s="279"/>
      <c r="E740" s="439"/>
      <c r="F740" s="336">
        <f t="shared" si="667"/>
        <v>0</v>
      </c>
      <c r="G740" s="281"/>
      <c r="H740" s="281"/>
      <c r="I740" s="355" t="str">
        <f>IFERROR(F740/#REF!,"-")</f>
        <v>-</v>
      </c>
      <c r="J740" s="336">
        <f t="shared" si="668"/>
        <v>0</v>
      </c>
      <c r="K740" s="281">
        <f t="shared" si="663"/>
        <v>0</v>
      </c>
      <c r="L740" s="439">
        <f t="shared" si="664"/>
        <v>0</v>
      </c>
      <c r="M740" s="340" t="str">
        <f t="shared" si="673"/>
        <v>-</v>
      </c>
      <c r="N740" s="264" t="str">
        <f t="shared" si="674"/>
        <v>-</v>
      </c>
      <c r="O740" s="512">
        <v>3.2963</v>
      </c>
      <c r="P740" s="407">
        <f t="shared" si="665"/>
        <v>0</v>
      </c>
      <c r="Q740" s="452">
        <f t="shared" si="666"/>
        <v>0</v>
      </c>
    </row>
    <row r="741" spans="1:17" ht="24" thickBot="1" x14ac:dyDescent="0.45">
      <c r="A741" s="248" t="s">
        <v>108</v>
      </c>
      <c r="B741" s="1037"/>
      <c r="C741" s="548" t="s">
        <v>275</v>
      </c>
      <c r="D741" s="279"/>
      <c r="E741" s="439"/>
      <c r="F741" s="336">
        <f t="shared" si="667"/>
        <v>0</v>
      </c>
      <c r="G741" s="281"/>
      <c r="H741" s="281"/>
      <c r="I741" s="355" t="str">
        <f>IFERROR(F741/#REF!,"-")</f>
        <v>-</v>
      </c>
      <c r="J741" s="336">
        <f t="shared" si="668"/>
        <v>0</v>
      </c>
      <c r="K741" s="281">
        <f t="shared" si="663"/>
        <v>0</v>
      </c>
      <c r="L741" s="439">
        <f t="shared" si="664"/>
        <v>0</v>
      </c>
      <c r="M741" s="340" t="str">
        <f t="shared" si="673"/>
        <v>-</v>
      </c>
      <c r="N741" s="264" t="str">
        <f t="shared" si="674"/>
        <v>-</v>
      </c>
      <c r="O741" s="512">
        <v>3.2963</v>
      </c>
      <c r="P741" s="407">
        <f t="shared" si="665"/>
        <v>0</v>
      </c>
      <c r="Q741" s="452">
        <f t="shared" si="666"/>
        <v>0</v>
      </c>
    </row>
    <row r="742" spans="1:17" ht="23.4" x14ac:dyDescent="0.4">
      <c r="A742" s="248" t="s">
        <v>108</v>
      </c>
      <c r="B742" s="552"/>
      <c r="C742" s="549" t="s">
        <v>92</v>
      </c>
      <c r="D742" s="516"/>
      <c r="E742" s="439"/>
      <c r="F742" s="336">
        <f t="shared" si="667"/>
        <v>84534</v>
      </c>
      <c r="G742" s="281">
        <v>84000</v>
      </c>
      <c r="H742" s="281">
        <v>534</v>
      </c>
      <c r="I742" s="355" t="str">
        <f>IFERROR(F742/#REF!,"-")</f>
        <v>-</v>
      </c>
      <c r="J742" s="336">
        <f t="shared" si="668"/>
        <v>143839</v>
      </c>
      <c r="K742" s="281">
        <f t="shared" si="663"/>
        <v>142655</v>
      </c>
      <c r="L742" s="439">
        <f t="shared" si="664"/>
        <v>1184</v>
      </c>
      <c r="M742" s="340" t="str">
        <f t="shared" si="673"/>
        <v>-</v>
      </c>
      <c r="N742" s="264">
        <f t="shared" si="674"/>
        <v>8.2314254131355194E-3</v>
      </c>
      <c r="O742" s="512">
        <v>2.3201000000000001</v>
      </c>
      <c r="P742" s="407">
        <f t="shared" si="665"/>
        <v>194888.4</v>
      </c>
      <c r="Q742" s="452">
        <f t="shared" si="666"/>
        <v>330973.86550000001</v>
      </c>
    </row>
    <row r="743" spans="1:17" ht="24" thickBot="1" x14ac:dyDescent="0.35">
      <c r="A743" s="248" t="s">
        <v>108</v>
      </c>
      <c r="B743" s="529"/>
      <c r="C743" s="546"/>
      <c r="D743" s="535"/>
      <c r="E743" s="466"/>
      <c r="F743" s="464">
        <f t="shared" si="667"/>
        <v>0</v>
      </c>
      <c r="G743" s="465"/>
      <c r="H743" s="465"/>
      <c r="I743" s="537" t="str">
        <f>IFERROR(F743/#REF!,"-")</f>
        <v>-</v>
      </c>
      <c r="J743" s="464">
        <f t="shared" si="668"/>
        <v>0</v>
      </c>
      <c r="K743" s="465">
        <f t="shared" si="663"/>
        <v>0</v>
      </c>
      <c r="L743" s="466">
        <f t="shared" si="664"/>
        <v>0</v>
      </c>
      <c r="M743" s="726" t="str">
        <f t="shared" si="673"/>
        <v>-</v>
      </c>
      <c r="N743" s="266" t="str">
        <f t="shared" si="674"/>
        <v>-</v>
      </c>
      <c r="O743" s="544"/>
      <c r="P743" s="541">
        <f t="shared" si="665"/>
        <v>0</v>
      </c>
      <c r="Q743" s="542">
        <f t="shared" si="666"/>
        <v>0</v>
      </c>
    </row>
    <row r="744" spans="1:17" ht="23.25" customHeight="1" thickBot="1" x14ac:dyDescent="0.35">
      <c r="A744" s="277" t="s">
        <v>108</v>
      </c>
      <c r="B744" s="1038" t="s">
        <v>25</v>
      </c>
      <c r="C744" s="989"/>
      <c r="D744" s="518">
        <f>SUM(D717:D743)</f>
        <v>0</v>
      </c>
      <c r="E744" s="531">
        <v>100000</v>
      </c>
      <c r="F744" s="524">
        <f>SUM(F712:F743)</f>
        <v>337639</v>
      </c>
      <c r="G744" s="524">
        <f>SUM(G712:G743)</f>
        <v>331400</v>
      </c>
      <c r="H744" s="524">
        <f>SUM(H712:H743)</f>
        <v>6239</v>
      </c>
      <c r="I744" s="525" t="str">
        <f>IFERROR(F744/#REF!,"-")</f>
        <v>-</v>
      </c>
      <c r="J744" s="518">
        <f>SUM(J712:J743)</f>
        <v>1717321</v>
      </c>
      <c r="K744" s="518">
        <f t="shared" ref="K744:L744" si="675">SUM(K712:K743)</f>
        <v>1685215</v>
      </c>
      <c r="L744" s="518">
        <f t="shared" si="675"/>
        <v>32106</v>
      </c>
      <c r="M744" s="526" t="str">
        <f t="shared" si="673"/>
        <v>-</v>
      </c>
      <c r="N744" s="525">
        <f t="shared" si="674"/>
        <v>1.869539823946717E-2</v>
      </c>
      <c r="O744" s="527"/>
      <c r="P744" s="528">
        <f>SUM(P712:P743)</f>
        <v>1728448.6749999998</v>
      </c>
      <c r="Q744" s="528">
        <f>SUM(Q712:Q743)</f>
        <v>12245828.9145</v>
      </c>
    </row>
    <row r="745" spans="1:17" ht="23.25" customHeight="1" thickBot="1" x14ac:dyDescent="0.35">
      <c r="A745" s="321" t="s">
        <v>108</v>
      </c>
      <c r="B745" s="1039" t="s">
        <v>269</v>
      </c>
      <c r="C745" s="1040"/>
      <c r="D745" s="329">
        <f>+D716+D744</f>
        <v>0</v>
      </c>
      <c r="E745" s="330">
        <f>+E716+E744</f>
        <v>100000</v>
      </c>
      <c r="F745" s="329">
        <f>+F744</f>
        <v>337639</v>
      </c>
      <c r="G745" s="329">
        <f t="shared" ref="G745:H745" si="676">+G744</f>
        <v>331400</v>
      </c>
      <c r="H745" s="329">
        <f t="shared" si="676"/>
        <v>6239</v>
      </c>
      <c r="I745" s="352" t="str">
        <f>IFERROR(F745/#REF!,"-")</f>
        <v>-</v>
      </c>
      <c r="J745" s="329">
        <f>+J744</f>
        <v>1717321</v>
      </c>
      <c r="K745" s="329">
        <f t="shared" ref="K745:L745" si="677">+K744</f>
        <v>1685215</v>
      </c>
      <c r="L745" s="329">
        <f t="shared" si="677"/>
        <v>32106</v>
      </c>
      <c r="M745" s="344" t="str">
        <f t="shared" si="673"/>
        <v>-</v>
      </c>
      <c r="N745" s="352">
        <f t="shared" si="674"/>
        <v>1.869539823946717E-2</v>
      </c>
      <c r="O745" s="397"/>
      <c r="P745" s="413">
        <f>+P744</f>
        <v>1728448.6749999998</v>
      </c>
      <c r="Q745" s="431">
        <f>Q744</f>
        <v>12245828.9145</v>
      </c>
    </row>
    <row r="746" spans="1:17" ht="24.6" thickBot="1" x14ac:dyDescent="0.35">
      <c r="A746" s="322"/>
      <c r="B746" s="1041" t="s">
        <v>182</v>
      </c>
      <c r="C746" s="1042"/>
      <c r="D746" s="377">
        <f>+D745+D711+D702</f>
        <v>0</v>
      </c>
      <c r="E746" s="377">
        <f>+E745+E711+E702</f>
        <v>230000</v>
      </c>
      <c r="F746" s="377">
        <f>+F745+F711+F702</f>
        <v>522069</v>
      </c>
      <c r="G746" s="377">
        <f>+G745+G711+G702</f>
        <v>513900</v>
      </c>
      <c r="H746" s="377">
        <f>+H745+H711+H702</f>
        <v>8169</v>
      </c>
      <c r="I746" s="378" t="str">
        <f>IFERROR(F746/#REF!,"-")</f>
        <v>-</v>
      </c>
      <c r="J746" s="377">
        <f>+J745+J711+J702</f>
        <v>4348194</v>
      </c>
      <c r="K746" s="377">
        <f>+K745+K711+K702</f>
        <v>4248125</v>
      </c>
      <c r="L746" s="377">
        <f>+L745+L711+L702</f>
        <v>100069</v>
      </c>
      <c r="M746" s="378" t="str">
        <f t="shared" si="673"/>
        <v>-</v>
      </c>
      <c r="N746" s="378">
        <f>IFERROR(L746/J746,"-")</f>
        <v>2.3013922561872815E-2</v>
      </c>
      <c r="O746" s="404"/>
      <c r="P746" s="421">
        <f>+P745+P711+P702</f>
        <v>2667031.0499999998</v>
      </c>
      <c r="Q746" s="421">
        <f>+Q745+Q711+Q702</f>
        <v>22875679.146499999</v>
      </c>
    </row>
    <row r="747" spans="1:17" ht="22.5" customHeight="1" x14ac:dyDescent="0.3">
      <c r="A747" s="1043" t="s">
        <v>1</v>
      </c>
      <c r="B747" s="1046" t="s">
        <v>2</v>
      </c>
      <c r="C747" s="1049" t="s">
        <v>477</v>
      </c>
      <c r="D747" s="1000" t="s">
        <v>4</v>
      </c>
      <c r="E747" s="1001"/>
      <c r="F747" s="1001"/>
      <c r="G747" s="1001"/>
      <c r="H747" s="1001"/>
      <c r="I747" s="1001"/>
      <c r="J747" s="1001"/>
      <c r="K747" s="1001"/>
      <c r="L747" s="1001"/>
      <c r="M747" s="1001"/>
      <c r="N747" s="1002"/>
      <c r="O747" s="1021" t="s">
        <v>175</v>
      </c>
      <c r="P747" s="1022"/>
      <c r="Q747" s="1052"/>
    </row>
    <row r="748" spans="1:17" ht="22.5" customHeight="1" x14ac:dyDescent="0.3">
      <c r="A748" s="1044"/>
      <c r="B748" s="1047"/>
      <c r="C748" s="1050"/>
      <c r="D748" s="1003" t="s">
        <v>7</v>
      </c>
      <c r="E748" s="1005" t="s">
        <v>115</v>
      </c>
      <c r="F748" s="1053" t="s">
        <v>527</v>
      </c>
      <c r="G748" s="1008"/>
      <c r="H748" s="1008"/>
      <c r="I748" s="1009"/>
      <c r="J748" s="1010" t="s">
        <v>8</v>
      </c>
      <c r="K748" s="1011"/>
      <c r="L748" s="1012"/>
      <c r="M748" s="1013" t="s">
        <v>173</v>
      </c>
      <c r="N748" s="1015" t="s">
        <v>172</v>
      </c>
      <c r="O748" s="1054" t="s">
        <v>177</v>
      </c>
      <c r="P748" s="1055"/>
      <c r="Q748" s="1056"/>
    </row>
    <row r="749" spans="1:17" ht="47.4" thickBot="1" x14ac:dyDescent="0.35">
      <c r="A749" s="1045"/>
      <c r="B749" s="1048"/>
      <c r="C749" s="1051"/>
      <c r="D749" s="1004"/>
      <c r="E749" s="1006"/>
      <c r="F749" s="455" t="s">
        <v>13</v>
      </c>
      <c r="G749" s="456" t="s">
        <v>14</v>
      </c>
      <c r="H749" s="456" t="s">
        <v>15</v>
      </c>
      <c r="I749" s="457" t="s">
        <v>174</v>
      </c>
      <c r="J749" s="712" t="s">
        <v>13</v>
      </c>
      <c r="K749" s="710" t="s">
        <v>14</v>
      </c>
      <c r="L749" s="711" t="s">
        <v>15</v>
      </c>
      <c r="M749" s="1014"/>
      <c r="N749" s="1016"/>
      <c r="O749" s="447" t="s">
        <v>178</v>
      </c>
      <c r="P749" s="448" t="s">
        <v>11</v>
      </c>
      <c r="Q749" s="449" t="s">
        <v>12</v>
      </c>
    </row>
    <row r="750" spans="1:17" ht="23.4" x14ac:dyDescent="0.3">
      <c r="A750" s="271" t="s">
        <v>110</v>
      </c>
      <c r="B750" s="442"/>
      <c r="C750" s="272" t="s">
        <v>266</v>
      </c>
      <c r="D750" s="273"/>
      <c r="E750" s="274"/>
      <c r="F750" s="335">
        <f>+G750+H750</f>
        <v>0</v>
      </c>
      <c r="G750" s="275"/>
      <c r="H750" s="275"/>
      <c r="I750" s="354" t="str">
        <f>IFERROR(F750/#REF!,"-")</f>
        <v>-</v>
      </c>
      <c r="J750" s="461">
        <f>+K750+L750</f>
        <v>337292</v>
      </c>
      <c r="K750" s="462">
        <f>+K688+G750</f>
        <v>321720</v>
      </c>
      <c r="L750" s="463">
        <f>+L688+H750</f>
        <v>15572</v>
      </c>
      <c r="M750" s="339" t="str">
        <f>IFERROR(J750/D750,"-")</f>
        <v>-</v>
      </c>
      <c r="N750" s="346">
        <f t="shared" ref="N750:N751" si="678">IFERROR(L750/J750,"-")</f>
        <v>4.6167712249326989E-2</v>
      </c>
      <c r="O750" s="511">
        <v>1.5669</v>
      </c>
      <c r="P750" s="405">
        <f>+O750*G750</f>
        <v>0</v>
      </c>
      <c r="Q750" s="450">
        <f>+O750*K750</f>
        <v>504103.06799999997</v>
      </c>
    </row>
    <row r="751" spans="1:17" ht="23.4" x14ac:dyDescent="0.3">
      <c r="A751" s="277" t="s">
        <v>110</v>
      </c>
      <c r="B751" s="441"/>
      <c r="C751" s="278" t="s">
        <v>265</v>
      </c>
      <c r="D751" s="279"/>
      <c r="E751" s="280"/>
      <c r="F751" s="336">
        <f t="shared" ref="F751:F754" si="679">+G751+H751</f>
        <v>0</v>
      </c>
      <c r="G751" s="833"/>
      <c r="H751" s="833"/>
      <c r="I751" s="355" t="str">
        <f>IFERROR(F751/#REF!,"-")</f>
        <v>-</v>
      </c>
      <c r="J751" s="336">
        <f t="shared" ref="J751:J754" si="680">+K751+L751</f>
        <v>960348</v>
      </c>
      <c r="K751" s="281">
        <f t="shared" ref="K751:K754" si="681">+K689+G751</f>
        <v>947250</v>
      </c>
      <c r="L751" s="439">
        <f t="shared" ref="L751:L754" si="682">+L689+H751</f>
        <v>13098</v>
      </c>
      <c r="M751" s="340" t="str">
        <f t="shared" ref="M751:M754" si="683">IFERROR(J751/D751,"-")</f>
        <v>-</v>
      </c>
      <c r="N751" s="268">
        <f t="shared" si="678"/>
        <v>1.3638805932849342E-2</v>
      </c>
      <c r="O751" s="512">
        <v>2.3978999999999999</v>
      </c>
      <c r="P751" s="407">
        <f>+O751*G751</f>
        <v>0</v>
      </c>
      <c r="Q751" s="452">
        <f>+O751*K751</f>
        <v>2271410.7749999999</v>
      </c>
    </row>
    <row r="752" spans="1:17" ht="23.4" x14ac:dyDescent="0.3">
      <c r="A752" s="277" t="s">
        <v>110</v>
      </c>
      <c r="B752" s="441"/>
      <c r="C752" s="278" t="s">
        <v>476</v>
      </c>
      <c r="D752" s="279"/>
      <c r="E752" s="280"/>
      <c r="F752" s="336">
        <f t="shared" si="679"/>
        <v>115874</v>
      </c>
      <c r="G752" s="281">
        <v>115000</v>
      </c>
      <c r="H752" s="833">
        <v>874</v>
      </c>
      <c r="I752" s="355" t="str">
        <f>IFERROR(F752/#REF!,"-")</f>
        <v>-</v>
      </c>
      <c r="J752" s="336">
        <f t="shared" si="680"/>
        <v>201608</v>
      </c>
      <c r="K752" s="281">
        <f t="shared" si="681"/>
        <v>183750</v>
      </c>
      <c r="L752" s="439">
        <f t="shared" si="682"/>
        <v>17858</v>
      </c>
      <c r="M752" s="340" t="str">
        <f t="shared" si="683"/>
        <v>-</v>
      </c>
      <c r="N752" s="806">
        <f>IFERROR(L752/J752,"-")</f>
        <v>8.8577834212928058E-2</v>
      </c>
      <c r="O752" s="824">
        <v>3.6777000000000002</v>
      </c>
      <c r="P752" s="407">
        <f t="shared" ref="P752:P754" si="684">+O752*G752</f>
        <v>422935.5</v>
      </c>
      <c r="Q752" s="452">
        <f t="shared" ref="Q752:Q754" si="685">+O752*K752</f>
        <v>675777.375</v>
      </c>
    </row>
    <row r="753" spans="1:17" ht="23.4" x14ac:dyDescent="0.3">
      <c r="A753" s="277"/>
      <c r="B753" s="454"/>
      <c r="C753" s="278" t="s">
        <v>353</v>
      </c>
      <c r="D753" s="283"/>
      <c r="E753" s="284"/>
      <c r="F753" s="336">
        <f t="shared" si="679"/>
        <v>0</v>
      </c>
      <c r="G753" s="285"/>
      <c r="H753" s="285"/>
      <c r="I753" s="355" t="str">
        <f>IFERROR(F753/#REF!,"-")</f>
        <v>-</v>
      </c>
      <c r="J753" s="336">
        <f t="shared" si="680"/>
        <v>158819</v>
      </c>
      <c r="K753" s="281">
        <f t="shared" si="681"/>
        <v>155400</v>
      </c>
      <c r="L753" s="439">
        <f t="shared" si="682"/>
        <v>3419</v>
      </c>
      <c r="M753" s="340" t="str">
        <f t="shared" si="683"/>
        <v>-</v>
      </c>
      <c r="N753" s="268">
        <f>IFERROR(L753/J753,"-")</f>
        <v>2.1527650973749993E-2</v>
      </c>
      <c r="O753" s="513">
        <v>12.284700000000001</v>
      </c>
      <c r="P753" s="407">
        <f t="shared" si="684"/>
        <v>0</v>
      </c>
      <c r="Q753" s="452">
        <f t="shared" si="685"/>
        <v>1909042.3800000001</v>
      </c>
    </row>
    <row r="754" spans="1:17" ht="24" thickBot="1" x14ac:dyDescent="0.35">
      <c r="A754" s="277" t="s">
        <v>110</v>
      </c>
      <c r="B754" s="454"/>
      <c r="C754" s="278" t="s">
        <v>408</v>
      </c>
      <c r="D754" s="283"/>
      <c r="E754" s="284"/>
      <c r="F754" s="337">
        <f t="shared" si="679"/>
        <v>90984</v>
      </c>
      <c r="G754" s="285">
        <v>90000</v>
      </c>
      <c r="H754" s="285">
        <v>984</v>
      </c>
      <c r="I754" s="356" t="str">
        <f>IFERROR(F754/#REF!,"-")</f>
        <v>-</v>
      </c>
      <c r="J754" s="464">
        <f t="shared" si="680"/>
        <v>396166</v>
      </c>
      <c r="K754" s="465">
        <f t="shared" si="681"/>
        <v>384250</v>
      </c>
      <c r="L754" s="466">
        <f t="shared" si="682"/>
        <v>11916</v>
      </c>
      <c r="M754" s="341" t="str">
        <f t="shared" si="683"/>
        <v>-</v>
      </c>
      <c r="N754" s="347">
        <f t="shared" ref="N754:N766" si="686">IFERROR(L754/J754,"-")</f>
        <v>3.0078300510392109E-2</v>
      </c>
      <c r="O754" s="824">
        <v>7.0612000000000004</v>
      </c>
      <c r="P754" s="408">
        <f t="shared" si="684"/>
        <v>635508</v>
      </c>
      <c r="Q754" s="453">
        <f t="shared" si="685"/>
        <v>2713266.1</v>
      </c>
    </row>
    <row r="755" spans="1:17" ht="23.25" customHeight="1" thickBot="1" x14ac:dyDescent="0.35">
      <c r="A755" s="277" t="s">
        <v>110</v>
      </c>
      <c r="B755" s="1038" t="s">
        <v>21</v>
      </c>
      <c r="C755" s="989"/>
      <c r="D755" s="323">
        <f>SUM(D750:D754)</f>
        <v>0</v>
      </c>
      <c r="E755" s="288">
        <v>15000</v>
      </c>
      <c r="F755" s="323">
        <f>SUM(F750:F754)</f>
        <v>206858</v>
      </c>
      <c r="G755" s="324">
        <f>SUM(G750:G754)</f>
        <v>205000</v>
      </c>
      <c r="H755" s="324">
        <f>SUM(H750:H754)</f>
        <v>1858</v>
      </c>
      <c r="I755" s="348" t="str">
        <f>IFERROR(F755/#REF!,"-")</f>
        <v>-</v>
      </c>
      <c r="J755" s="323">
        <f>SUM(J750:J754)</f>
        <v>2054233</v>
      </c>
      <c r="K755" s="324">
        <f>SUM(K750:K754)</f>
        <v>1992370</v>
      </c>
      <c r="L755" s="325">
        <f>SUM(L750:L754)</f>
        <v>61863</v>
      </c>
      <c r="M755" s="342" t="str">
        <f>IFERROR(J755/D755,"-")</f>
        <v>-</v>
      </c>
      <c r="N755" s="348">
        <f t="shared" si="686"/>
        <v>3.0114889596262937E-2</v>
      </c>
      <c r="O755" s="394"/>
      <c r="P755" s="409">
        <f>SUM(P750:P754)</f>
        <v>1058443.5</v>
      </c>
      <c r="Q755" s="428">
        <f>SUM(Q750:Q754)</f>
        <v>8073599.6980000008</v>
      </c>
    </row>
    <row r="756" spans="1:17" ht="23.4" x14ac:dyDescent="0.3">
      <c r="A756" s="277" t="s">
        <v>110</v>
      </c>
      <c r="B756" s="442"/>
      <c r="C756" s="272" t="s">
        <v>264</v>
      </c>
      <c r="D756" s="273"/>
      <c r="E756" s="274"/>
      <c r="F756" s="335">
        <f t="shared" ref="F756:F762" si="687">+G756+H756</f>
        <v>0</v>
      </c>
      <c r="G756" s="275"/>
      <c r="H756" s="275"/>
      <c r="I756" s="354" t="str">
        <f>IFERROR(F756/#REF!,"-")</f>
        <v>-</v>
      </c>
      <c r="J756" s="461">
        <f t="shared" ref="J756:J762" si="688">+K756+L756</f>
        <v>34540</v>
      </c>
      <c r="K756" s="462">
        <f t="shared" ref="K756:K762" si="689">+K694+G756</f>
        <v>33840</v>
      </c>
      <c r="L756" s="463">
        <f t="shared" ref="L756:L762" si="690">+L694+H756</f>
        <v>700</v>
      </c>
      <c r="M756" s="339" t="str">
        <f t="shared" ref="M756:M764" si="691">IFERROR(J756/D756,"-")</f>
        <v>-</v>
      </c>
      <c r="N756" s="349">
        <f t="shared" si="686"/>
        <v>2.0266357845975681E-2</v>
      </c>
      <c r="O756" s="511">
        <v>18.2316</v>
      </c>
      <c r="P756" s="405">
        <f t="shared" ref="P756:P762" si="692">+O756*G756</f>
        <v>0</v>
      </c>
      <c r="Q756" s="450">
        <f t="shared" ref="Q756:Q762" si="693">+O756*K756</f>
        <v>616957.34400000004</v>
      </c>
    </row>
    <row r="757" spans="1:17" ht="23.4" x14ac:dyDescent="0.3">
      <c r="A757" s="277" t="s">
        <v>110</v>
      </c>
      <c r="B757" s="441"/>
      <c r="C757" s="278" t="s">
        <v>92</v>
      </c>
      <c r="D757" s="279"/>
      <c r="E757" s="280"/>
      <c r="F757" s="336">
        <f t="shared" si="687"/>
        <v>0</v>
      </c>
      <c r="G757" s="281"/>
      <c r="H757" s="281"/>
      <c r="I757" s="355" t="str">
        <f>IFERROR(F757/#REF!,"-")</f>
        <v>-</v>
      </c>
      <c r="J757" s="336">
        <f t="shared" si="688"/>
        <v>180000</v>
      </c>
      <c r="K757" s="281">
        <f t="shared" si="689"/>
        <v>180000</v>
      </c>
      <c r="L757" s="439">
        <f t="shared" si="690"/>
        <v>0</v>
      </c>
      <c r="M757" s="340" t="str">
        <f t="shared" si="691"/>
        <v>-</v>
      </c>
      <c r="N757" s="264">
        <f t="shared" si="686"/>
        <v>0</v>
      </c>
      <c r="O757" s="512">
        <v>1.2824</v>
      </c>
      <c r="P757" s="407">
        <f t="shared" si="692"/>
        <v>0</v>
      </c>
      <c r="Q757" s="452">
        <f t="shared" si="693"/>
        <v>230832</v>
      </c>
    </row>
    <row r="758" spans="1:17" ht="23.4" x14ac:dyDescent="0.3">
      <c r="A758" s="277" t="s">
        <v>110</v>
      </c>
      <c r="B758" s="441"/>
      <c r="C758" s="278" t="s">
        <v>329</v>
      </c>
      <c r="D758" s="279"/>
      <c r="E758" s="280"/>
      <c r="F758" s="336">
        <f t="shared" si="687"/>
        <v>0</v>
      </c>
      <c r="G758" s="281"/>
      <c r="H758" s="281"/>
      <c r="I758" s="355" t="str">
        <f>IFERROR(F758/#REF!,"-")</f>
        <v>-</v>
      </c>
      <c r="J758" s="336">
        <f t="shared" si="688"/>
        <v>31200</v>
      </c>
      <c r="K758" s="281">
        <f t="shared" si="689"/>
        <v>31200</v>
      </c>
      <c r="L758" s="439">
        <f t="shared" si="690"/>
        <v>0</v>
      </c>
      <c r="M758" s="340" t="str">
        <f t="shared" si="691"/>
        <v>-</v>
      </c>
      <c r="N758" s="264">
        <f t="shared" si="686"/>
        <v>0</v>
      </c>
      <c r="O758" s="772">
        <v>5.7342000000000004</v>
      </c>
      <c r="P758" s="407">
        <f t="shared" si="692"/>
        <v>0</v>
      </c>
      <c r="Q758" s="452">
        <f t="shared" si="693"/>
        <v>178907.04</v>
      </c>
    </row>
    <row r="759" spans="1:17" ht="23.4" x14ac:dyDescent="0.3">
      <c r="A759" s="277" t="s">
        <v>110</v>
      </c>
      <c r="B759" s="441"/>
      <c r="C759" s="278" t="s">
        <v>346</v>
      </c>
      <c r="D759" s="279"/>
      <c r="E759" s="280"/>
      <c r="F759" s="336">
        <f t="shared" si="687"/>
        <v>0</v>
      </c>
      <c r="G759" s="281"/>
      <c r="H759" s="281"/>
      <c r="I759" s="355" t="str">
        <f>IFERROR(F759/#REF!,"-")</f>
        <v>-</v>
      </c>
      <c r="J759" s="336">
        <f t="shared" si="688"/>
        <v>0</v>
      </c>
      <c r="K759" s="281">
        <f t="shared" si="689"/>
        <v>0</v>
      </c>
      <c r="L759" s="439">
        <f t="shared" si="690"/>
        <v>0</v>
      </c>
      <c r="M759" s="340" t="str">
        <f t="shared" si="691"/>
        <v>-</v>
      </c>
      <c r="N759" s="264" t="str">
        <f t="shared" si="686"/>
        <v>-</v>
      </c>
      <c r="O759" s="512"/>
      <c r="P759" s="407">
        <f t="shared" si="692"/>
        <v>0</v>
      </c>
      <c r="Q759" s="452">
        <f t="shared" si="693"/>
        <v>0</v>
      </c>
    </row>
    <row r="760" spans="1:17" ht="23.4" x14ac:dyDescent="0.3">
      <c r="A760" s="277" t="s">
        <v>110</v>
      </c>
      <c r="B760" s="441"/>
      <c r="C760" s="278" t="s">
        <v>354</v>
      </c>
      <c r="D760" s="279"/>
      <c r="E760" s="280"/>
      <c r="F760" s="336">
        <f t="shared" si="687"/>
        <v>18072</v>
      </c>
      <c r="G760" s="281">
        <v>18000</v>
      </c>
      <c r="H760" s="281">
        <v>72</v>
      </c>
      <c r="I760" s="355" t="str">
        <f>IFERROR(F760/#REF!,"-")</f>
        <v>-</v>
      </c>
      <c r="J760" s="336">
        <f t="shared" si="688"/>
        <v>163232</v>
      </c>
      <c r="K760" s="281">
        <f t="shared" si="689"/>
        <v>162000</v>
      </c>
      <c r="L760" s="439">
        <f t="shared" si="690"/>
        <v>1232</v>
      </c>
      <c r="M760" s="340" t="str">
        <f t="shared" si="691"/>
        <v>-</v>
      </c>
      <c r="N760" s="264">
        <f t="shared" si="686"/>
        <v>7.5475396980984122E-3</v>
      </c>
      <c r="O760" s="512">
        <v>12.029500000000001</v>
      </c>
      <c r="P760" s="407">
        <f t="shared" si="692"/>
        <v>216531</v>
      </c>
      <c r="Q760" s="452">
        <f t="shared" si="693"/>
        <v>1948779</v>
      </c>
    </row>
    <row r="761" spans="1:17" ht="23.4" x14ac:dyDescent="0.3">
      <c r="A761" s="277" t="s">
        <v>110</v>
      </c>
      <c r="B761" s="441"/>
      <c r="C761" s="278"/>
      <c r="D761" s="279"/>
      <c r="E761" s="280"/>
      <c r="F761" s="336">
        <f t="shared" si="687"/>
        <v>0</v>
      </c>
      <c r="G761" s="281"/>
      <c r="H761" s="281"/>
      <c r="I761" s="355" t="str">
        <f>IFERROR(F761/#REF!,"-")</f>
        <v>-</v>
      </c>
      <c r="J761" s="336">
        <f t="shared" si="688"/>
        <v>0</v>
      </c>
      <c r="K761" s="281">
        <f t="shared" si="689"/>
        <v>0</v>
      </c>
      <c r="L761" s="439">
        <f t="shared" si="690"/>
        <v>0</v>
      </c>
      <c r="M761" s="340" t="str">
        <f t="shared" si="691"/>
        <v>-</v>
      </c>
      <c r="N761" s="264" t="str">
        <f t="shared" si="686"/>
        <v>-</v>
      </c>
      <c r="O761" s="512"/>
      <c r="P761" s="407">
        <f t="shared" si="692"/>
        <v>0</v>
      </c>
      <c r="Q761" s="452">
        <f t="shared" si="693"/>
        <v>0</v>
      </c>
    </row>
    <row r="762" spans="1:17" ht="24" thickBot="1" x14ac:dyDescent="0.35">
      <c r="A762" s="277" t="s">
        <v>110</v>
      </c>
      <c r="B762" s="454"/>
      <c r="C762" s="282"/>
      <c r="D762" s="283">
        <v>0</v>
      </c>
      <c r="E762" s="284"/>
      <c r="F762" s="337">
        <f t="shared" si="687"/>
        <v>0</v>
      </c>
      <c r="G762" s="285"/>
      <c r="H762" s="285"/>
      <c r="I762" s="356" t="str">
        <f>IFERROR(F762/#REF!,"-")</f>
        <v>-</v>
      </c>
      <c r="J762" s="464">
        <f t="shared" si="688"/>
        <v>0</v>
      </c>
      <c r="K762" s="465">
        <f t="shared" si="689"/>
        <v>0</v>
      </c>
      <c r="L762" s="466">
        <f t="shared" si="690"/>
        <v>0</v>
      </c>
      <c r="M762" s="341" t="str">
        <f t="shared" si="691"/>
        <v>-</v>
      </c>
      <c r="N762" s="350" t="str">
        <f t="shared" si="686"/>
        <v>-</v>
      </c>
      <c r="O762" s="513"/>
      <c r="P762" s="408">
        <f t="shared" si="692"/>
        <v>0</v>
      </c>
      <c r="Q762" s="453">
        <f t="shared" si="693"/>
        <v>0</v>
      </c>
    </row>
    <row r="763" spans="1:17" ht="23.25" customHeight="1" thickBot="1" x14ac:dyDescent="0.35">
      <c r="A763" s="277" t="s">
        <v>110</v>
      </c>
      <c r="B763" s="1038" t="s">
        <v>25</v>
      </c>
      <c r="C763" s="989"/>
      <c r="D763" s="323">
        <f t="shared" ref="D763" si="694">SUM(D756:D762)</f>
        <v>0</v>
      </c>
      <c r="E763" s="288">
        <v>100000</v>
      </c>
      <c r="F763" s="323">
        <f>SUM(F756:F762)</f>
        <v>18072</v>
      </c>
      <c r="G763" s="324">
        <f t="shared" ref="G763:H763" si="695">SUM(G756:G762)</f>
        <v>18000</v>
      </c>
      <c r="H763" s="324">
        <f t="shared" si="695"/>
        <v>72</v>
      </c>
      <c r="I763" s="348" t="str">
        <f>IFERROR(F763/#REF!,"-")</f>
        <v>-</v>
      </c>
      <c r="J763" s="323">
        <f t="shared" ref="J763:L763" si="696">SUM(J756:J762)</f>
        <v>408972</v>
      </c>
      <c r="K763" s="324">
        <f t="shared" si="696"/>
        <v>407040</v>
      </c>
      <c r="L763" s="325">
        <f t="shared" si="696"/>
        <v>1932</v>
      </c>
      <c r="M763" s="342" t="str">
        <f t="shared" si="691"/>
        <v>-</v>
      </c>
      <c r="N763" s="348">
        <f t="shared" si="686"/>
        <v>4.7240397875649189E-3</v>
      </c>
      <c r="O763" s="394"/>
      <c r="P763" s="409">
        <f t="shared" ref="P763:Q763" si="697">SUM(P756:P762)</f>
        <v>216531</v>
      </c>
      <c r="Q763" s="428">
        <f t="shared" si="697"/>
        <v>2975475.3840000001</v>
      </c>
    </row>
    <row r="764" spans="1:17" ht="23.25" customHeight="1" thickBot="1" x14ac:dyDescent="0.35">
      <c r="A764" s="277" t="s">
        <v>110</v>
      </c>
      <c r="B764" s="1039" t="s">
        <v>180</v>
      </c>
      <c r="C764" s="1040"/>
      <c r="D764" s="329">
        <f>+D755+D763</f>
        <v>0</v>
      </c>
      <c r="E764" s="330">
        <f t="shared" ref="E764:H764" si="698">+E755+E763</f>
        <v>115000</v>
      </c>
      <c r="F764" s="329">
        <f t="shared" si="698"/>
        <v>224930</v>
      </c>
      <c r="G764" s="327">
        <f t="shared" si="698"/>
        <v>223000</v>
      </c>
      <c r="H764" s="327">
        <f t="shared" si="698"/>
        <v>1930</v>
      </c>
      <c r="I764" s="352" t="str">
        <f>IFERROR(F764/#REF!,"-")</f>
        <v>-</v>
      </c>
      <c r="J764" s="329">
        <f t="shared" ref="J764:L764" si="699">+J755+J763</f>
        <v>2463205</v>
      </c>
      <c r="K764" s="327">
        <f t="shared" si="699"/>
        <v>2399410</v>
      </c>
      <c r="L764" s="328">
        <f t="shared" si="699"/>
        <v>63795</v>
      </c>
      <c r="M764" s="344" t="str">
        <f t="shared" si="691"/>
        <v>-</v>
      </c>
      <c r="N764" s="352">
        <f t="shared" si="686"/>
        <v>2.5899184192951865E-2</v>
      </c>
      <c r="O764" s="397"/>
      <c r="P764" s="413">
        <f t="shared" ref="P764:Q764" si="700">+P755+P763</f>
        <v>1274974.5</v>
      </c>
      <c r="Q764" s="431">
        <f t="shared" si="700"/>
        <v>11049075.082</v>
      </c>
    </row>
    <row r="765" spans="1:17" ht="23.4" x14ac:dyDescent="0.3">
      <c r="A765" s="244" t="s">
        <v>108</v>
      </c>
      <c r="B765" s="591"/>
      <c r="C765" s="592" t="s">
        <v>306</v>
      </c>
      <c r="D765" s="532"/>
      <c r="E765" s="463"/>
      <c r="F765" s="461">
        <f>+G765+H765</f>
        <v>0</v>
      </c>
      <c r="G765" s="462"/>
      <c r="H765" s="462"/>
      <c r="I765" s="536" t="str">
        <f>IFERROR(F765/#REF!,"-")</f>
        <v>-</v>
      </c>
      <c r="J765" s="461">
        <f>+K765+L765</f>
        <v>0</v>
      </c>
      <c r="K765" s="462">
        <f t="shared" ref="K765:K771" si="701">+K703+G765</f>
        <v>0</v>
      </c>
      <c r="L765" s="463">
        <f t="shared" ref="L765:L771" si="702">+L703+H765</f>
        <v>0</v>
      </c>
      <c r="M765" s="596" t="str">
        <f>IFERROR(J765/D765,"-")</f>
        <v>-</v>
      </c>
      <c r="N765" s="538" t="str">
        <f t="shared" si="686"/>
        <v>-</v>
      </c>
      <c r="O765" s="638">
        <v>4.8285999999999998</v>
      </c>
      <c r="P765" s="539">
        <f t="shared" ref="P765:P771" si="703">+O765*G765</f>
        <v>0</v>
      </c>
      <c r="Q765" s="540">
        <f t="shared" ref="Q765:Q771" si="704">+O765*K765</f>
        <v>0</v>
      </c>
    </row>
    <row r="766" spans="1:17" ht="23.4" x14ac:dyDescent="0.3">
      <c r="A766" s="248" t="s">
        <v>108</v>
      </c>
      <c r="B766" s="593"/>
      <c r="C766" s="278" t="s">
        <v>307</v>
      </c>
      <c r="D766" s="279"/>
      <c r="E766" s="439"/>
      <c r="F766" s="336">
        <f t="shared" ref="F766:F771" si="705">+G766+H766</f>
        <v>0</v>
      </c>
      <c r="G766" s="281"/>
      <c r="H766" s="281"/>
      <c r="I766" s="355" t="str">
        <f>IFERROR(F766/#REF!,"-")</f>
        <v>-</v>
      </c>
      <c r="J766" s="336">
        <f t="shared" ref="J766:J771" si="706">+K766+L766</f>
        <v>0</v>
      </c>
      <c r="K766" s="281">
        <f t="shared" si="701"/>
        <v>0</v>
      </c>
      <c r="L766" s="439">
        <f t="shared" si="702"/>
        <v>0</v>
      </c>
      <c r="M766" s="340" t="str">
        <f t="shared" ref="M766:M768" si="707">IFERROR(J766/D766,"-")</f>
        <v>-</v>
      </c>
      <c r="N766" s="268" t="str">
        <f t="shared" si="686"/>
        <v>-</v>
      </c>
      <c r="O766" s="639">
        <v>1.4086000000000001</v>
      </c>
      <c r="P766" s="407">
        <f t="shared" si="703"/>
        <v>0</v>
      </c>
      <c r="Q766" s="452">
        <f t="shared" si="704"/>
        <v>0</v>
      </c>
    </row>
    <row r="767" spans="1:17" ht="23.4" x14ac:dyDescent="0.3">
      <c r="A767" s="248" t="s">
        <v>108</v>
      </c>
      <c r="B767" s="593"/>
      <c r="C767" s="278" t="s">
        <v>348</v>
      </c>
      <c r="D767" s="279"/>
      <c r="E767" s="439"/>
      <c r="F767" s="336">
        <f t="shared" si="705"/>
        <v>0</v>
      </c>
      <c r="G767" s="281"/>
      <c r="H767" s="281"/>
      <c r="I767" s="355" t="str">
        <f>IFERROR(F767/#REF!,"-")</f>
        <v>-</v>
      </c>
      <c r="J767" s="336">
        <f t="shared" si="706"/>
        <v>0</v>
      </c>
      <c r="K767" s="281">
        <f t="shared" si="701"/>
        <v>0</v>
      </c>
      <c r="L767" s="439">
        <f t="shared" si="702"/>
        <v>0</v>
      </c>
      <c r="M767" s="340" t="str">
        <f t="shared" si="707"/>
        <v>-</v>
      </c>
      <c r="N767" s="268" t="str">
        <f>IFERROR(L767/J767,"-")</f>
        <v>-</v>
      </c>
      <c r="O767" s="639">
        <v>2.2141000000000002</v>
      </c>
      <c r="P767" s="407">
        <f t="shared" si="703"/>
        <v>0</v>
      </c>
      <c r="Q767" s="452">
        <f t="shared" si="704"/>
        <v>0</v>
      </c>
    </row>
    <row r="768" spans="1:17" ht="23.4" x14ac:dyDescent="0.3">
      <c r="A768" s="248" t="s">
        <v>108</v>
      </c>
      <c r="B768" s="594"/>
      <c r="C768" s="278" t="s">
        <v>460</v>
      </c>
      <c r="D768" s="283"/>
      <c r="E768" s="533"/>
      <c r="F768" s="337">
        <f t="shared" si="705"/>
        <v>0</v>
      </c>
      <c r="G768" s="285"/>
      <c r="H768" s="285"/>
      <c r="I768" s="356" t="str">
        <f>IFERROR(F768/#REF!,"-")</f>
        <v>-</v>
      </c>
      <c r="J768" s="336">
        <f t="shared" si="706"/>
        <v>392598</v>
      </c>
      <c r="K768" s="281">
        <f t="shared" si="701"/>
        <v>386500</v>
      </c>
      <c r="L768" s="439">
        <f t="shared" si="702"/>
        <v>6098</v>
      </c>
      <c r="M768" s="341" t="str">
        <f t="shared" si="707"/>
        <v>-</v>
      </c>
      <c r="N768" s="347">
        <f t="shared" ref="N768:N775" si="708">IFERROR(L768/J768,"-")</f>
        <v>1.5532427572224006E-2</v>
      </c>
      <c r="O768" s="639">
        <v>2.2141000000000002</v>
      </c>
      <c r="P768" s="408">
        <f t="shared" si="703"/>
        <v>0</v>
      </c>
      <c r="Q768" s="453">
        <f t="shared" si="704"/>
        <v>855749.65</v>
      </c>
    </row>
    <row r="769" spans="1:17" ht="23.4" x14ac:dyDescent="0.3">
      <c r="A769" s="248" t="s">
        <v>108</v>
      </c>
      <c r="B769" s="443"/>
      <c r="C769" s="637" t="s">
        <v>393</v>
      </c>
      <c r="D769" s="514"/>
      <c r="E769" s="534"/>
      <c r="F769" s="336">
        <f t="shared" si="705"/>
        <v>0</v>
      </c>
      <c r="G769" s="553"/>
      <c r="H769" s="553"/>
      <c r="I769" s="355" t="str">
        <f>IFERROR(F769/#REF!,"-")</f>
        <v>-</v>
      </c>
      <c r="J769" s="336">
        <f t="shared" si="706"/>
        <v>0</v>
      </c>
      <c r="K769" s="281">
        <f t="shared" si="701"/>
        <v>0</v>
      </c>
      <c r="L769" s="439">
        <f t="shared" si="702"/>
        <v>0</v>
      </c>
      <c r="M769" s="725"/>
      <c r="N769" s="268" t="str">
        <f t="shared" si="708"/>
        <v>-</v>
      </c>
      <c r="O769" s="545">
        <v>4.8285999999999998</v>
      </c>
      <c r="P769" s="407">
        <f t="shared" si="703"/>
        <v>0</v>
      </c>
      <c r="Q769" s="452">
        <f t="shared" si="704"/>
        <v>0</v>
      </c>
    </row>
    <row r="770" spans="1:17" ht="23.4" x14ac:dyDescent="0.3">
      <c r="A770" s="248" t="s">
        <v>108</v>
      </c>
      <c r="B770" s="595"/>
      <c r="C770" s="637" t="s">
        <v>389</v>
      </c>
      <c r="D770" s="273"/>
      <c r="E770" s="438"/>
      <c r="F770" s="335">
        <f t="shared" si="705"/>
        <v>0</v>
      </c>
      <c r="G770" s="275"/>
      <c r="H770" s="275"/>
      <c r="I770" s="354" t="str">
        <f>IFERROR(F770/#REF!,"-")</f>
        <v>-</v>
      </c>
      <c r="J770" s="336">
        <f t="shared" si="706"/>
        <v>0</v>
      </c>
      <c r="K770" s="281">
        <f t="shared" si="701"/>
        <v>0</v>
      </c>
      <c r="L770" s="439">
        <f t="shared" si="702"/>
        <v>0</v>
      </c>
      <c r="M770" s="339" t="str">
        <f t="shared" ref="M770:M771" si="709">IFERROR(J770/D770,"-")</f>
        <v>-</v>
      </c>
      <c r="N770" s="349" t="str">
        <f t="shared" si="708"/>
        <v>-</v>
      </c>
      <c r="O770" s="511">
        <v>4.1712999999999996</v>
      </c>
      <c r="P770" s="405">
        <f t="shared" si="703"/>
        <v>0</v>
      </c>
      <c r="Q770" s="450">
        <f t="shared" si="704"/>
        <v>0</v>
      </c>
    </row>
    <row r="771" spans="1:17" ht="24" thickBot="1" x14ac:dyDescent="0.35">
      <c r="A771" s="248" t="s">
        <v>108</v>
      </c>
      <c r="B771" s="593"/>
      <c r="C771" s="278"/>
      <c r="D771" s="279"/>
      <c r="E771" s="439"/>
      <c r="F771" s="336">
        <f t="shared" si="705"/>
        <v>0</v>
      </c>
      <c r="G771" s="281"/>
      <c r="H771" s="281"/>
      <c r="I771" s="355" t="str">
        <f>IFERROR(F771/#REF!,"-")</f>
        <v>-</v>
      </c>
      <c r="J771" s="464">
        <f t="shared" si="706"/>
        <v>0</v>
      </c>
      <c r="K771" s="465">
        <f t="shared" si="701"/>
        <v>0</v>
      </c>
      <c r="L771" s="466">
        <f t="shared" si="702"/>
        <v>0</v>
      </c>
      <c r="M771" s="340" t="str">
        <f t="shared" si="709"/>
        <v>-</v>
      </c>
      <c r="N771" s="264" t="str">
        <f t="shared" si="708"/>
        <v>-</v>
      </c>
      <c r="O771" s="451"/>
      <c r="P771" s="407">
        <f t="shared" si="703"/>
        <v>0</v>
      </c>
      <c r="Q771" s="452">
        <f t="shared" si="704"/>
        <v>0</v>
      </c>
    </row>
    <row r="772" spans="1:17" ht="23.25" customHeight="1" thickBot="1" x14ac:dyDescent="0.35">
      <c r="A772" s="277" t="s">
        <v>108</v>
      </c>
      <c r="B772" s="1038" t="s">
        <v>21</v>
      </c>
      <c r="C772" s="989"/>
      <c r="D772" s="323">
        <v>0</v>
      </c>
      <c r="E772" s="288">
        <v>15000</v>
      </c>
      <c r="F772" s="323">
        <f>SUM(F765:F771)</f>
        <v>0</v>
      </c>
      <c r="G772" s="324">
        <f t="shared" ref="G772:H772" si="710">SUM(G765:G771)</f>
        <v>0</v>
      </c>
      <c r="H772" s="324">
        <f t="shared" si="710"/>
        <v>0</v>
      </c>
      <c r="I772" s="348" t="str">
        <f>IFERROR(F772/#REF!,"-")</f>
        <v>-</v>
      </c>
      <c r="J772" s="518">
        <f t="shared" ref="J772" si="711">SUM(J765:J771)</f>
        <v>392598</v>
      </c>
      <c r="K772" s="524">
        <f>SUM(K765:K771)</f>
        <v>386500</v>
      </c>
      <c r="L772" s="524">
        <f>SUM(L765:L771)</f>
        <v>6098</v>
      </c>
      <c r="M772" s="342" t="str">
        <f>IFERROR(J772/D772,"-")</f>
        <v>-</v>
      </c>
      <c r="N772" s="348">
        <f t="shared" si="708"/>
        <v>1.5532427572224006E-2</v>
      </c>
      <c r="O772" s="394"/>
      <c r="P772" s="409">
        <f>SUM(P765:P771)</f>
        <v>0</v>
      </c>
      <c r="Q772" s="428">
        <f>SUM(Q765:Q771)</f>
        <v>855749.65</v>
      </c>
    </row>
    <row r="773" spans="1:17" ht="23.25" customHeight="1" thickBot="1" x14ac:dyDescent="0.35">
      <c r="A773" s="277" t="s">
        <v>108</v>
      </c>
      <c r="B773" s="1039" t="s">
        <v>268</v>
      </c>
      <c r="C773" s="1040"/>
      <c r="D773" s="517">
        <f>+D769+D772</f>
        <v>0</v>
      </c>
      <c r="E773" s="530">
        <f>+E769+E772</f>
        <v>15000</v>
      </c>
      <c r="F773" s="517">
        <f>+F769+F772</f>
        <v>0</v>
      </c>
      <c r="G773" s="519">
        <f>+G769+G772</f>
        <v>0</v>
      </c>
      <c r="H773" s="519">
        <f>+H769+H772</f>
        <v>0</v>
      </c>
      <c r="I773" s="520" t="str">
        <f>IFERROR(F773/#REF!,"-")</f>
        <v>-</v>
      </c>
      <c r="J773" s="517">
        <f>+J769+J772</f>
        <v>392598</v>
      </c>
      <c r="K773" s="519">
        <f>+K772</f>
        <v>386500</v>
      </c>
      <c r="L773" s="519">
        <f>+L772</f>
        <v>6098</v>
      </c>
      <c r="M773" s="521" t="str">
        <f t="shared" ref="M773" si="712">IFERROR(J773/D773,"-")</f>
        <v>-</v>
      </c>
      <c r="N773" s="520">
        <f t="shared" si="708"/>
        <v>1.5532427572224006E-2</v>
      </c>
      <c r="O773" s="522"/>
      <c r="P773" s="523">
        <f>+P772</f>
        <v>0</v>
      </c>
      <c r="Q773" s="523">
        <f>+Q772</f>
        <v>855749.65</v>
      </c>
    </row>
    <row r="774" spans="1:17" ht="23.4" x14ac:dyDescent="0.4">
      <c r="A774" s="244" t="s">
        <v>108</v>
      </c>
      <c r="B774" s="1035" t="s">
        <v>270</v>
      </c>
      <c r="C774" s="547" t="s">
        <v>74</v>
      </c>
      <c r="D774" s="532"/>
      <c r="E774" s="463"/>
      <c r="F774" s="461">
        <f>+G774+H774</f>
        <v>7080</v>
      </c>
      <c r="G774" s="462">
        <v>7000</v>
      </c>
      <c r="H774" s="462">
        <v>80</v>
      </c>
      <c r="I774" s="536" t="str">
        <f>IFERROR(F774/#REF!,"-")</f>
        <v>-</v>
      </c>
      <c r="J774" s="461">
        <f>+K774+L774</f>
        <v>44210</v>
      </c>
      <c r="K774" s="462">
        <f t="shared" ref="K774:K805" si="713">+K712+G774</f>
        <v>44000</v>
      </c>
      <c r="L774" s="463">
        <f t="shared" ref="L774:L805" si="714">+L712+H774</f>
        <v>210</v>
      </c>
      <c r="M774" s="596" t="str">
        <f>IFERROR(J774/D774,"-")</f>
        <v>-</v>
      </c>
      <c r="N774" s="538">
        <f t="shared" si="708"/>
        <v>4.7500565482922414E-3</v>
      </c>
      <c r="O774" s="543">
        <v>32.946300000000001</v>
      </c>
      <c r="P774" s="539">
        <f t="shared" ref="P774:P805" si="715">+O774*G774</f>
        <v>230624.1</v>
      </c>
      <c r="Q774" s="540">
        <f t="shared" ref="Q774:Q805" si="716">+O774*K774</f>
        <v>1449637.2</v>
      </c>
    </row>
    <row r="775" spans="1:17" ht="23.4" x14ac:dyDescent="0.4">
      <c r="A775" s="248" t="s">
        <v>108</v>
      </c>
      <c r="B775" s="1036"/>
      <c r="C775" s="548" t="s">
        <v>75</v>
      </c>
      <c r="D775" s="516"/>
      <c r="E775" s="439"/>
      <c r="F775" s="336">
        <f t="shared" ref="F775:F805" si="717">+G775+H775</f>
        <v>0</v>
      </c>
      <c r="G775" s="281"/>
      <c r="H775" s="281"/>
      <c r="I775" s="355" t="str">
        <f>IFERROR(F775/#REF!,"-")</f>
        <v>-</v>
      </c>
      <c r="J775" s="336">
        <f t="shared" ref="J775:J805" si="718">+K775+L775</f>
        <v>15076</v>
      </c>
      <c r="K775" s="281">
        <f t="shared" si="713"/>
        <v>15000</v>
      </c>
      <c r="L775" s="439">
        <f t="shared" si="714"/>
        <v>76</v>
      </c>
      <c r="M775" s="340" t="str">
        <f t="shared" ref="M775:M777" si="719">IFERROR(J775/D775,"-")</f>
        <v>-</v>
      </c>
      <c r="N775" s="268">
        <f t="shared" si="708"/>
        <v>5.0411249668347044E-3</v>
      </c>
      <c r="O775" s="512">
        <v>35.398400000000002</v>
      </c>
      <c r="P775" s="407">
        <f t="shared" si="715"/>
        <v>0</v>
      </c>
      <c r="Q775" s="452">
        <f t="shared" si="716"/>
        <v>530976</v>
      </c>
    </row>
    <row r="776" spans="1:17" ht="24" thickBot="1" x14ac:dyDescent="0.45">
      <c r="A776" s="248" t="s">
        <v>108</v>
      </c>
      <c r="B776" s="1037"/>
      <c r="C776" s="548" t="s">
        <v>76</v>
      </c>
      <c r="D776" s="279"/>
      <c r="E776" s="439"/>
      <c r="F776" s="336">
        <f t="shared" si="717"/>
        <v>0</v>
      </c>
      <c r="G776" s="281"/>
      <c r="H776" s="281"/>
      <c r="I776" s="355" t="str">
        <f>IFERROR(F776/#REF!,"-")</f>
        <v>-</v>
      </c>
      <c r="J776" s="336">
        <f t="shared" si="718"/>
        <v>0</v>
      </c>
      <c r="K776" s="281">
        <f t="shared" si="713"/>
        <v>0</v>
      </c>
      <c r="L776" s="439">
        <f t="shared" si="714"/>
        <v>0</v>
      </c>
      <c r="M776" s="340" t="str">
        <f t="shared" si="719"/>
        <v>-</v>
      </c>
      <c r="N776" s="268" t="str">
        <f>IFERROR(L776/J776,"-")</f>
        <v>-</v>
      </c>
      <c r="O776" s="512">
        <v>32.946300000000001</v>
      </c>
      <c r="P776" s="407">
        <f t="shared" si="715"/>
        <v>0</v>
      </c>
      <c r="Q776" s="452">
        <f t="shared" si="716"/>
        <v>0</v>
      </c>
    </row>
    <row r="777" spans="1:17" ht="23.4" x14ac:dyDescent="0.4">
      <c r="A777" s="248" t="s">
        <v>108</v>
      </c>
      <c r="B777" s="1035" t="s">
        <v>271</v>
      </c>
      <c r="C777" s="550" t="s">
        <v>78</v>
      </c>
      <c r="D777" s="279"/>
      <c r="E777" s="533"/>
      <c r="F777" s="337">
        <f t="shared" si="717"/>
        <v>4920</v>
      </c>
      <c r="G777" s="281">
        <v>4800</v>
      </c>
      <c r="H777" s="281">
        <v>120</v>
      </c>
      <c r="I777" s="355" t="str">
        <f>IFERROR(F777/#REF!,"-")</f>
        <v>-</v>
      </c>
      <c r="J777" s="336">
        <f t="shared" si="718"/>
        <v>37663</v>
      </c>
      <c r="K777" s="281">
        <f t="shared" si="713"/>
        <v>36001</v>
      </c>
      <c r="L777" s="439">
        <f t="shared" si="714"/>
        <v>1662</v>
      </c>
      <c r="M777" s="340" t="str">
        <f t="shared" si="719"/>
        <v>-</v>
      </c>
      <c r="N777" s="268">
        <f t="shared" ref="N777" si="720">IFERROR(L777/J777,"-")</f>
        <v>4.4128189469771394E-2</v>
      </c>
      <c r="O777" s="512">
        <v>55.4758</v>
      </c>
      <c r="P777" s="407">
        <f t="shared" si="715"/>
        <v>266283.84000000003</v>
      </c>
      <c r="Q777" s="452">
        <f t="shared" si="716"/>
        <v>1997184.2757999999</v>
      </c>
    </row>
    <row r="778" spans="1:17" ht="23.4" x14ac:dyDescent="0.4">
      <c r="A778" s="248" t="s">
        <v>108</v>
      </c>
      <c r="B778" s="1036"/>
      <c r="C778" s="550" t="s">
        <v>75</v>
      </c>
      <c r="D778" s="279"/>
      <c r="E778" s="534"/>
      <c r="F778" s="337">
        <f t="shared" si="717"/>
        <v>0</v>
      </c>
      <c r="G778" s="281"/>
      <c r="H778" s="281"/>
      <c r="I778" s="355" t="str">
        <f>IFERROR(F778/#REF!,"-")</f>
        <v>-</v>
      </c>
      <c r="J778" s="336">
        <f t="shared" si="718"/>
        <v>8448</v>
      </c>
      <c r="K778" s="281">
        <f t="shared" si="713"/>
        <v>6800</v>
      </c>
      <c r="L778" s="439">
        <f t="shared" si="714"/>
        <v>1648</v>
      </c>
      <c r="M778" s="725"/>
      <c r="N778" s="375"/>
      <c r="O778" s="545">
        <v>58.836300000000001</v>
      </c>
      <c r="P778" s="407">
        <f t="shared" si="715"/>
        <v>0</v>
      </c>
      <c r="Q778" s="452">
        <f t="shared" si="716"/>
        <v>400086.84</v>
      </c>
    </row>
    <row r="779" spans="1:17" ht="23.4" x14ac:dyDescent="0.4">
      <c r="A779" s="248" t="s">
        <v>108</v>
      </c>
      <c r="B779" s="1036"/>
      <c r="C779" s="550" t="s">
        <v>386</v>
      </c>
      <c r="D779" s="279"/>
      <c r="E779" s="438"/>
      <c r="F779" s="337">
        <f t="shared" si="717"/>
        <v>0</v>
      </c>
      <c r="G779" s="281"/>
      <c r="H779" s="281"/>
      <c r="I779" s="355" t="str">
        <f>IFERROR(F779/#REF!,"-")</f>
        <v>-</v>
      </c>
      <c r="J779" s="336">
        <f t="shared" si="718"/>
        <v>3290</v>
      </c>
      <c r="K779" s="281">
        <f t="shared" si="713"/>
        <v>2800</v>
      </c>
      <c r="L779" s="439">
        <f t="shared" si="714"/>
        <v>490</v>
      </c>
      <c r="M779" s="340" t="str">
        <f t="shared" ref="M779" si="721">IFERROR(J779/D779,"-")</f>
        <v>-</v>
      </c>
      <c r="N779" s="264">
        <f t="shared" ref="N779" si="722">IFERROR(L779/J779,"-")</f>
        <v>0.14893617021276595</v>
      </c>
      <c r="O779" s="512">
        <v>55.4758</v>
      </c>
      <c r="P779" s="407">
        <f t="shared" si="715"/>
        <v>0</v>
      </c>
      <c r="Q779" s="452">
        <f t="shared" si="716"/>
        <v>155332.24</v>
      </c>
    </row>
    <row r="780" spans="1:17" ht="24" thickBot="1" x14ac:dyDescent="0.45">
      <c r="A780" s="248"/>
      <c r="B780" s="1037"/>
      <c r="C780" s="550" t="s">
        <v>404</v>
      </c>
      <c r="D780" s="279"/>
      <c r="E780" s="438"/>
      <c r="F780" s="337">
        <f t="shared" si="717"/>
        <v>0</v>
      </c>
      <c r="G780" s="281"/>
      <c r="H780" s="281"/>
      <c r="I780" s="355"/>
      <c r="J780" s="336">
        <f t="shared" si="718"/>
        <v>2220</v>
      </c>
      <c r="K780" s="281">
        <f t="shared" si="713"/>
        <v>2064</v>
      </c>
      <c r="L780" s="439">
        <f t="shared" si="714"/>
        <v>156</v>
      </c>
      <c r="M780" s="340"/>
      <c r="N780" s="264">
        <f>IFERROR(L780/J780,"-")</f>
        <v>7.0270270270270274E-2</v>
      </c>
      <c r="O780" s="512">
        <v>55.4758</v>
      </c>
      <c r="P780" s="407">
        <f t="shared" si="715"/>
        <v>0</v>
      </c>
      <c r="Q780" s="452">
        <f t="shared" si="716"/>
        <v>114502.0512</v>
      </c>
    </row>
    <row r="781" spans="1:17" ht="23.4" x14ac:dyDescent="0.4">
      <c r="A781" s="248" t="s">
        <v>108</v>
      </c>
      <c r="B781" s="1035" t="s">
        <v>490</v>
      </c>
      <c r="C781" s="548" t="s">
        <v>80</v>
      </c>
      <c r="D781" s="279"/>
      <c r="E781" s="439"/>
      <c r="F781" s="336">
        <f t="shared" si="717"/>
        <v>0</v>
      </c>
      <c r="G781" s="281"/>
      <c r="H781" s="281"/>
      <c r="I781" s="355" t="str">
        <f>IFERROR(F781/#REF!,"-")</f>
        <v>-</v>
      </c>
      <c r="J781" s="336">
        <f t="shared" si="718"/>
        <v>1170</v>
      </c>
      <c r="K781" s="281">
        <f t="shared" si="713"/>
        <v>1100</v>
      </c>
      <c r="L781" s="439">
        <f t="shared" si="714"/>
        <v>70</v>
      </c>
      <c r="M781" s="340" t="str">
        <f t="shared" ref="M781:M808" si="723">IFERROR(J781/D781,"-")</f>
        <v>-</v>
      </c>
      <c r="N781" s="264">
        <f t="shared" ref="N781:N807" si="724">IFERROR(L781/J781,"-")</f>
        <v>5.9829059829059832E-2</v>
      </c>
      <c r="O781" s="512">
        <v>25.687200000000001</v>
      </c>
      <c r="P781" s="407">
        <f t="shared" si="715"/>
        <v>0</v>
      </c>
      <c r="Q781" s="452">
        <f t="shared" si="716"/>
        <v>28255.920000000002</v>
      </c>
    </row>
    <row r="782" spans="1:17" ht="24" thickBot="1" x14ac:dyDescent="0.45">
      <c r="A782" s="248" t="s">
        <v>108</v>
      </c>
      <c r="B782" s="1037"/>
      <c r="C782" s="548" t="s">
        <v>124</v>
      </c>
      <c r="D782" s="279"/>
      <c r="E782" s="439"/>
      <c r="F782" s="336">
        <f t="shared" si="717"/>
        <v>0</v>
      </c>
      <c r="G782" s="281"/>
      <c r="H782" s="281"/>
      <c r="I782" s="355" t="str">
        <f>IFERROR(F782/#REF!,"-")</f>
        <v>-</v>
      </c>
      <c r="J782" s="336">
        <f t="shared" si="718"/>
        <v>0</v>
      </c>
      <c r="K782" s="281">
        <f t="shared" si="713"/>
        <v>0</v>
      </c>
      <c r="L782" s="439">
        <f t="shared" si="714"/>
        <v>0</v>
      </c>
      <c r="M782" s="340" t="str">
        <f t="shared" si="723"/>
        <v>-</v>
      </c>
      <c r="N782" s="264" t="str">
        <f t="shared" si="724"/>
        <v>-</v>
      </c>
      <c r="O782" s="512">
        <v>25.033899999999999</v>
      </c>
      <c r="P782" s="407">
        <f t="shared" si="715"/>
        <v>0</v>
      </c>
      <c r="Q782" s="452">
        <f t="shared" si="716"/>
        <v>0</v>
      </c>
    </row>
    <row r="783" spans="1:17" ht="23.4" x14ac:dyDescent="0.4">
      <c r="A783" s="248"/>
      <c r="B783" s="1035" t="s">
        <v>491</v>
      </c>
      <c r="C783" s="548" t="s">
        <v>82</v>
      </c>
      <c r="D783" s="279"/>
      <c r="E783" s="439"/>
      <c r="F783" s="336">
        <f t="shared" si="717"/>
        <v>0</v>
      </c>
      <c r="G783" s="281"/>
      <c r="H783" s="281"/>
      <c r="I783" s="355" t="str">
        <f>IFERROR(F783/#REF!,"-")</f>
        <v>-</v>
      </c>
      <c r="J783" s="336">
        <f t="shared" si="718"/>
        <v>7837</v>
      </c>
      <c r="K783" s="281">
        <f t="shared" si="713"/>
        <v>7800</v>
      </c>
      <c r="L783" s="439">
        <f t="shared" si="714"/>
        <v>37</v>
      </c>
      <c r="M783" s="340" t="str">
        <f t="shared" si="723"/>
        <v>-</v>
      </c>
      <c r="N783" s="264">
        <f t="shared" si="724"/>
        <v>4.7211943345667985E-3</v>
      </c>
      <c r="O783" s="512">
        <v>41.992699999999999</v>
      </c>
      <c r="P783" s="407">
        <f t="shared" si="715"/>
        <v>0</v>
      </c>
      <c r="Q783" s="452">
        <f t="shared" si="716"/>
        <v>327543.06</v>
      </c>
    </row>
    <row r="784" spans="1:17" ht="23.4" x14ac:dyDescent="0.4">
      <c r="A784" s="248"/>
      <c r="B784" s="1036"/>
      <c r="C784" s="548" t="s">
        <v>75</v>
      </c>
      <c r="D784" s="279"/>
      <c r="E784" s="439"/>
      <c r="F784" s="336">
        <f t="shared" si="717"/>
        <v>0</v>
      </c>
      <c r="G784" s="281"/>
      <c r="H784" s="281"/>
      <c r="I784" s="355" t="str">
        <f>IFERROR(F784/#REF!,"-")</f>
        <v>-</v>
      </c>
      <c r="J784" s="336">
        <f t="shared" si="718"/>
        <v>45</v>
      </c>
      <c r="K784" s="281">
        <f t="shared" si="713"/>
        <v>45</v>
      </c>
      <c r="L784" s="439">
        <f t="shared" si="714"/>
        <v>0</v>
      </c>
      <c r="M784" s="340" t="str">
        <f t="shared" si="723"/>
        <v>-</v>
      </c>
      <c r="N784" s="264">
        <f t="shared" si="724"/>
        <v>0</v>
      </c>
      <c r="O784" s="512">
        <v>42.283799999999999</v>
      </c>
      <c r="P784" s="407">
        <f t="shared" si="715"/>
        <v>0</v>
      </c>
      <c r="Q784" s="452">
        <f t="shared" si="716"/>
        <v>1902.771</v>
      </c>
    </row>
    <row r="785" spans="1:17" ht="23.4" x14ac:dyDescent="0.4">
      <c r="A785" s="248"/>
      <c r="B785" s="1036"/>
      <c r="C785" s="548" t="s">
        <v>450</v>
      </c>
      <c r="D785" s="279"/>
      <c r="E785" s="439"/>
      <c r="F785" s="336">
        <f t="shared" si="717"/>
        <v>0</v>
      </c>
      <c r="G785" s="281"/>
      <c r="H785" s="281"/>
      <c r="I785" s="355" t="str">
        <f>IFERROR(F785/#REF!,"-")</f>
        <v>-</v>
      </c>
      <c r="J785" s="336">
        <f t="shared" si="718"/>
        <v>1140</v>
      </c>
      <c r="K785" s="281">
        <f t="shared" si="713"/>
        <v>1140</v>
      </c>
      <c r="L785" s="439">
        <f t="shared" si="714"/>
        <v>0</v>
      </c>
      <c r="M785" s="340" t="str">
        <f t="shared" si="723"/>
        <v>-</v>
      </c>
      <c r="N785" s="264">
        <f t="shared" si="724"/>
        <v>0</v>
      </c>
      <c r="O785" s="772">
        <v>41.992699999999999</v>
      </c>
      <c r="P785" s="407">
        <f t="shared" si="715"/>
        <v>0</v>
      </c>
      <c r="Q785" s="452">
        <f t="shared" si="716"/>
        <v>47871.678</v>
      </c>
    </row>
    <row r="786" spans="1:17" ht="24" thickBot="1" x14ac:dyDescent="0.45">
      <c r="A786" s="248"/>
      <c r="B786" s="1037"/>
      <c r="C786" s="548" t="s">
        <v>451</v>
      </c>
      <c r="D786" s="279"/>
      <c r="E786" s="439"/>
      <c r="F786" s="336">
        <f t="shared" si="717"/>
        <v>0</v>
      </c>
      <c r="G786" s="281"/>
      <c r="H786" s="281"/>
      <c r="I786" s="355" t="str">
        <f>IFERROR(F786/#REF!,"-")</f>
        <v>-</v>
      </c>
      <c r="J786" s="336">
        <f t="shared" si="718"/>
        <v>712</v>
      </c>
      <c r="K786" s="281">
        <f t="shared" si="713"/>
        <v>660</v>
      </c>
      <c r="L786" s="439">
        <f t="shared" si="714"/>
        <v>52</v>
      </c>
      <c r="M786" s="340" t="str">
        <f t="shared" si="723"/>
        <v>-</v>
      </c>
      <c r="N786" s="264">
        <f t="shared" si="724"/>
        <v>7.3033707865168537E-2</v>
      </c>
      <c r="O786" s="772">
        <v>42.283799999999999</v>
      </c>
      <c r="P786" s="407">
        <f t="shared" si="715"/>
        <v>0</v>
      </c>
      <c r="Q786" s="452">
        <f t="shared" si="716"/>
        <v>27907.308000000001</v>
      </c>
    </row>
    <row r="787" spans="1:17" ht="24" thickBot="1" x14ac:dyDescent="0.45">
      <c r="A787" s="248"/>
      <c r="B787" s="815" t="s">
        <v>83</v>
      </c>
      <c r="C787" s="548" t="s">
        <v>84</v>
      </c>
      <c r="D787" s="279"/>
      <c r="E787" s="439"/>
      <c r="F787" s="336">
        <f t="shared" si="717"/>
        <v>0</v>
      </c>
      <c r="G787" s="281"/>
      <c r="H787" s="281"/>
      <c r="I787" s="355" t="str">
        <f>IFERROR(F787/#REF!,"-")</f>
        <v>-</v>
      </c>
      <c r="J787" s="336">
        <f t="shared" si="718"/>
        <v>0</v>
      </c>
      <c r="K787" s="281">
        <f t="shared" si="713"/>
        <v>0</v>
      </c>
      <c r="L787" s="439">
        <f t="shared" si="714"/>
        <v>0</v>
      </c>
      <c r="M787" s="340" t="str">
        <f t="shared" si="723"/>
        <v>-</v>
      </c>
      <c r="N787" s="264" t="str">
        <f t="shared" si="724"/>
        <v>-</v>
      </c>
      <c r="O787" s="512">
        <v>4.3535000000000004</v>
      </c>
      <c r="P787" s="407">
        <f t="shared" si="715"/>
        <v>0</v>
      </c>
      <c r="Q787" s="452">
        <f t="shared" si="716"/>
        <v>0</v>
      </c>
    </row>
    <row r="788" spans="1:17" ht="23.4" x14ac:dyDescent="0.4">
      <c r="A788" s="248"/>
      <c r="B788" s="1035" t="s">
        <v>273</v>
      </c>
      <c r="C788" s="548" t="s">
        <v>80</v>
      </c>
      <c r="D788" s="279"/>
      <c r="E788" s="439"/>
      <c r="F788" s="336">
        <f t="shared" si="717"/>
        <v>53200</v>
      </c>
      <c r="G788" s="281">
        <v>52800</v>
      </c>
      <c r="H788" s="281">
        <v>400</v>
      </c>
      <c r="I788" s="355" t="str">
        <f>IFERROR(F788/#REF!,"-")</f>
        <v>-</v>
      </c>
      <c r="J788" s="336">
        <f t="shared" si="718"/>
        <v>125479</v>
      </c>
      <c r="K788" s="281">
        <f t="shared" si="713"/>
        <v>124300</v>
      </c>
      <c r="L788" s="439">
        <f t="shared" si="714"/>
        <v>1179</v>
      </c>
      <c r="M788" s="340" t="str">
        <f t="shared" si="723"/>
        <v>-</v>
      </c>
      <c r="N788" s="264">
        <f t="shared" si="724"/>
        <v>9.395994548888658E-3</v>
      </c>
      <c r="O788" s="512">
        <v>4.6184000000000003</v>
      </c>
      <c r="P788" s="407">
        <f t="shared" si="715"/>
        <v>243851.52000000002</v>
      </c>
      <c r="Q788" s="452">
        <f t="shared" si="716"/>
        <v>574067.12</v>
      </c>
    </row>
    <row r="789" spans="1:17" ht="23.4" x14ac:dyDescent="0.4">
      <c r="A789" s="248"/>
      <c r="B789" s="1036"/>
      <c r="C789" s="548" t="s">
        <v>378</v>
      </c>
      <c r="D789" s="279"/>
      <c r="E789" s="439"/>
      <c r="F789" s="336">
        <f t="shared" si="717"/>
        <v>0</v>
      </c>
      <c r="G789" s="281"/>
      <c r="H789" s="281"/>
      <c r="I789" s="355" t="str">
        <f>IFERROR(F789/#REF!,"-")</f>
        <v>-</v>
      </c>
      <c r="J789" s="336">
        <f t="shared" si="718"/>
        <v>0</v>
      </c>
      <c r="K789" s="281">
        <f t="shared" si="713"/>
        <v>0</v>
      </c>
      <c r="L789" s="439">
        <f t="shared" si="714"/>
        <v>0</v>
      </c>
      <c r="M789" s="340" t="str">
        <f t="shared" si="723"/>
        <v>-</v>
      </c>
      <c r="N789" s="264" t="str">
        <f t="shared" si="724"/>
        <v>-</v>
      </c>
      <c r="O789" s="512">
        <v>4.6184000000000003</v>
      </c>
      <c r="P789" s="407">
        <f t="shared" si="715"/>
        <v>0</v>
      </c>
      <c r="Q789" s="452">
        <f t="shared" si="716"/>
        <v>0</v>
      </c>
    </row>
    <row r="790" spans="1:17" ht="23.4" x14ac:dyDescent="0.4">
      <c r="A790" s="248"/>
      <c r="B790" s="1036"/>
      <c r="C790" s="548" t="s">
        <v>272</v>
      </c>
      <c r="D790" s="279"/>
      <c r="E790" s="439"/>
      <c r="F790" s="336">
        <f t="shared" si="717"/>
        <v>0</v>
      </c>
      <c r="G790" s="281"/>
      <c r="H790" s="281"/>
      <c r="I790" s="355" t="str">
        <f>IFERROR(F790/#REF!,"-")</f>
        <v>-</v>
      </c>
      <c r="J790" s="336">
        <f t="shared" si="718"/>
        <v>0</v>
      </c>
      <c r="K790" s="281">
        <f t="shared" si="713"/>
        <v>0</v>
      </c>
      <c r="L790" s="439">
        <f t="shared" si="714"/>
        <v>0</v>
      </c>
      <c r="M790" s="340" t="str">
        <f t="shared" si="723"/>
        <v>-</v>
      </c>
      <c r="N790" s="264" t="str">
        <f t="shared" si="724"/>
        <v>-</v>
      </c>
      <c r="O790" s="512">
        <v>4.6184000000000003</v>
      </c>
      <c r="P790" s="407">
        <f t="shared" si="715"/>
        <v>0</v>
      </c>
      <c r="Q790" s="452">
        <f t="shared" si="716"/>
        <v>0</v>
      </c>
    </row>
    <row r="791" spans="1:17" ht="23.4" x14ac:dyDescent="0.4">
      <c r="A791" s="248"/>
      <c r="B791" s="1036"/>
      <c r="C791" s="548" t="s">
        <v>390</v>
      </c>
      <c r="D791" s="279"/>
      <c r="E791" s="439"/>
      <c r="F791" s="336">
        <f t="shared" si="717"/>
        <v>0</v>
      </c>
      <c r="G791" s="281"/>
      <c r="H791" s="281"/>
      <c r="I791" s="355" t="str">
        <f>IFERROR(F791/#REF!,"-")</f>
        <v>-</v>
      </c>
      <c r="J791" s="336">
        <f t="shared" si="718"/>
        <v>511962</v>
      </c>
      <c r="K791" s="730">
        <f t="shared" si="713"/>
        <v>508200</v>
      </c>
      <c r="L791" s="731">
        <f t="shared" si="714"/>
        <v>3762</v>
      </c>
      <c r="M791" s="340" t="str">
        <f t="shared" si="723"/>
        <v>-</v>
      </c>
      <c r="N791" s="264">
        <f t="shared" si="724"/>
        <v>7.3482016243393063E-3</v>
      </c>
      <c r="O791" s="512">
        <v>4.7636000000000003</v>
      </c>
      <c r="P791" s="407">
        <f t="shared" si="715"/>
        <v>0</v>
      </c>
      <c r="Q791" s="452">
        <f t="shared" si="716"/>
        <v>2420861.52</v>
      </c>
    </row>
    <row r="792" spans="1:17" ht="24" thickBot="1" x14ac:dyDescent="0.45">
      <c r="A792" s="248"/>
      <c r="B792" s="1037"/>
      <c r="C792" s="548" t="s">
        <v>384</v>
      </c>
      <c r="D792" s="279"/>
      <c r="E792" s="439"/>
      <c r="F792" s="336">
        <f t="shared" si="717"/>
        <v>0</v>
      </c>
      <c r="G792" s="281"/>
      <c r="H792" s="281"/>
      <c r="I792" s="355" t="str">
        <f>IFERROR(F792/#REF!,"-")</f>
        <v>-</v>
      </c>
      <c r="J792" s="336">
        <f t="shared" si="718"/>
        <v>0</v>
      </c>
      <c r="K792" s="281">
        <f t="shared" si="713"/>
        <v>0</v>
      </c>
      <c r="L792" s="439">
        <f t="shared" si="714"/>
        <v>0</v>
      </c>
      <c r="M792" s="340" t="str">
        <f t="shared" si="723"/>
        <v>-</v>
      </c>
      <c r="N792" s="264" t="str">
        <f t="shared" si="724"/>
        <v>-</v>
      </c>
      <c r="O792" s="512">
        <v>4.8738000000000001</v>
      </c>
      <c r="P792" s="407">
        <f t="shared" si="715"/>
        <v>0</v>
      </c>
      <c r="Q792" s="452">
        <f t="shared" si="716"/>
        <v>0</v>
      </c>
    </row>
    <row r="793" spans="1:17" ht="24" thickBot="1" x14ac:dyDescent="0.45">
      <c r="A793" s="248"/>
      <c r="B793" s="815" t="s">
        <v>274</v>
      </c>
      <c r="C793" s="548" t="s">
        <v>131</v>
      </c>
      <c r="D793" s="279"/>
      <c r="E793" s="439"/>
      <c r="F793" s="336">
        <f t="shared" si="717"/>
        <v>0</v>
      </c>
      <c r="G793" s="281"/>
      <c r="H793" s="281"/>
      <c r="I793" s="355" t="str">
        <f>IFERROR(F793/#REF!,"-")</f>
        <v>-</v>
      </c>
      <c r="J793" s="336">
        <f t="shared" si="718"/>
        <v>0</v>
      </c>
      <c r="K793" s="281">
        <f t="shared" si="713"/>
        <v>0</v>
      </c>
      <c r="L793" s="439">
        <f t="shared" si="714"/>
        <v>0</v>
      </c>
      <c r="M793" s="340" t="str">
        <f t="shared" si="723"/>
        <v>-</v>
      </c>
      <c r="N793" s="264" t="str">
        <f t="shared" si="724"/>
        <v>-</v>
      </c>
      <c r="O793" s="512">
        <v>4.8738000000000001</v>
      </c>
      <c r="P793" s="407">
        <f t="shared" si="715"/>
        <v>0</v>
      </c>
      <c r="Q793" s="452">
        <f t="shared" si="716"/>
        <v>0</v>
      </c>
    </row>
    <row r="794" spans="1:17" ht="23.4" x14ac:dyDescent="0.4">
      <c r="A794" s="248"/>
      <c r="B794" s="1035" t="s">
        <v>276</v>
      </c>
      <c r="C794" s="548" t="s">
        <v>80</v>
      </c>
      <c r="D794" s="279"/>
      <c r="E794" s="439"/>
      <c r="F794" s="336">
        <f t="shared" si="717"/>
        <v>20820</v>
      </c>
      <c r="G794" s="281">
        <v>20400</v>
      </c>
      <c r="H794" s="281">
        <v>420</v>
      </c>
      <c r="I794" s="355" t="str">
        <f>IFERROR(F794/#REF!,"-")</f>
        <v>-</v>
      </c>
      <c r="J794" s="336">
        <f t="shared" si="718"/>
        <v>355078</v>
      </c>
      <c r="K794" s="730">
        <f t="shared" si="713"/>
        <v>347650</v>
      </c>
      <c r="L794" s="731">
        <f t="shared" si="714"/>
        <v>7428</v>
      </c>
      <c r="M794" s="340" t="str">
        <f t="shared" si="723"/>
        <v>-</v>
      </c>
      <c r="N794" s="264">
        <f t="shared" si="724"/>
        <v>2.0919347298340083E-2</v>
      </c>
      <c r="O794" s="512">
        <v>4.9344999999999999</v>
      </c>
      <c r="P794" s="407">
        <f t="shared" si="715"/>
        <v>100663.8</v>
      </c>
      <c r="Q794" s="452">
        <f t="shared" si="716"/>
        <v>1715478.925</v>
      </c>
    </row>
    <row r="795" spans="1:17" ht="23.4" x14ac:dyDescent="0.4">
      <c r="A795" s="248"/>
      <c r="B795" s="1036"/>
      <c r="C795" s="548" t="s">
        <v>142</v>
      </c>
      <c r="D795" s="279"/>
      <c r="E795" s="439"/>
      <c r="F795" s="336">
        <f t="shared" si="717"/>
        <v>0</v>
      </c>
      <c r="G795" s="281"/>
      <c r="H795" s="281"/>
      <c r="I795" s="355" t="str">
        <f>IFERROR(F795/#REF!,"-")</f>
        <v>-</v>
      </c>
      <c r="J795" s="336">
        <f t="shared" si="718"/>
        <v>0</v>
      </c>
      <c r="K795" s="281">
        <f t="shared" si="713"/>
        <v>0</v>
      </c>
      <c r="L795" s="439">
        <f t="shared" si="714"/>
        <v>0</v>
      </c>
      <c r="M795" s="340" t="str">
        <f t="shared" si="723"/>
        <v>-</v>
      </c>
      <c r="N795" s="264" t="str">
        <f t="shared" si="724"/>
        <v>-</v>
      </c>
      <c r="O795" s="512">
        <v>4.9344999999999999</v>
      </c>
      <c r="P795" s="407">
        <f t="shared" si="715"/>
        <v>0</v>
      </c>
      <c r="Q795" s="452">
        <f t="shared" si="716"/>
        <v>0</v>
      </c>
    </row>
    <row r="796" spans="1:17" ht="23.4" x14ac:dyDescent="0.4">
      <c r="A796" s="248"/>
      <c r="B796" s="1036"/>
      <c r="C796" s="548" t="s">
        <v>136</v>
      </c>
      <c r="D796" s="279"/>
      <c r="E796" s="439"/>
      <c r="F796" s="336">
        <f t="shared" si="717"/>
        <v>0</v>
      </c>
      <c r="G796" s="281"/>
      <c r="H796" s="281"/>
      <c r="I796" s="355" t="str">
        <f>IFERROR(F796/#REF!,"-")</f>
        <v>-</v>
      </c>
      <c r="J796" s="336">
        <f t="shared" si="718"/>
        <v>0</v>
      </c>
      <c r="K796" s="281">
        <f t="shared" si="713"/>
        <v>0</v>
      </c>
      <c r="L796" s="439">
        <f t="shared" si="714"/>
        <v>0</v>
      </c>
      <c r="M796" s="340" t="str">
        <f t="shared" si="723"/>
        <v>-</v>
      </c>
      <c r="N796" s="264" t="str">
        <f t="shared" si="724"/>
        <v>-</v>
      </c>
      <c r="O796" s="512">
        <v>4.9344999999999999</v>
      </c>
      <c r="P796" s="407">
        <f t="shared" si="715"/>
        <v>0</v>
      </c>
      <c r="Q796" s="452">
        <f t="shared" si="716"/>
        <v>0</v>
      </c>
    </row>
    <row r="797" spans="1:17" ht="24" thickBot="1" x14ac:dyDescent="0.45">
      <c r="A797" s="248"/>
      <c r="B797" s="1037"/>
      <c r="C797" s="548" t="s">
        <v>275</v>
      </c>
      <c r="D797" s="279"/>
      <c r="E797" s="439"/>
      <c r="F797" s="336">
        <f t="shared" si="717"/>
        <v>0</v>
      </c>
      <c r="G797" s="281"/>
      <c r="H797" s="281"/>
      <c r="I797" s="355" t="str">
        <f>IFERROR(F797/#REF!,"-")</f>
        <v>-</v>
      </c>
      <c r="J797" s="336">
        <f t="shared" si="718"/>
        <v>0</v>
      </c>
      <c r="K797" s="281">
        <f t="shared" si="713"/>
        <v>0</v>
      </c>
      <c r="L797" s="439">
        <f t="shared" si="714"/>
        <v>0</v>
      </c>
      <c r="M797" s="340" t="str">
        <f t="shared" si="723"/>
        <v>-</v>
      </c>
      <c r="N797" s="264" t="str">
        <f t="shared" si="724"/>
        <v>-</v>
      </c>
      <c r="O797" s="512">
        <v>5.5069999999999997</v>
      </c>
      <c r="P797" s="407">
        <f t="shared" si="715"/>
        <v>0</v>
      </c>
      <c r="Q797" s="452">
        <f t="shared" si="716"/>
        <v>0</v>
      </c>
    </row>
    <row r="798" spans="1:17" ht="23.4" x14ac:dyDescent="0.4">
      <c r="A798" s="248"/>
      <c r="B798" s="1035" t="s">
        <v>281</v>
      </c>
      <c r="C798" s="548" t="s">
        <v>277</v>
      </c>
      <c r="D798" s="279"/>
      <c r="E798" s="439"/>
      <c r="F798" s="336">
        <f t="shared" si="717"/>
        <v>44278</v>
      </c>
      <c r="G798" s="281">
        <v>43300</v>
      </c>
      <c r="H798" s="281">
        <v>978</v>
      </c>
      <c r="I798" s="355" t="str">
        <f>IFERROR(F798/#REF!,"-")</f>
        <v>-</v>
      </c>
      <c r="J798" s="336">
        <f t="shared" si="718"/>
        <v>267820</v>
      </c>
      <c r="K798" s="281">
        <f t="shared" si="713"/>
        <v>262750</v>
      </c>
      <c r="L798" s="439">
        <f t="shared" si="714"/>
        <v>5070</v>
      </c>
      <c r="M798" s="340" t="str">
        <f t="shared" si="723"/>
        <v>-</v>
      </c>
      <c r="N798" s="264">
        <f t="shared" si="724"/>
        <v>1.8930625046673137E-2</v>
      </c>
      <c r="O798" s="772">
        <v>5.5069999999999997</v>
      </c>
      <c r="P798" s="407">
        <f t="shared" si="715"/>
        <v>238453.09999999998</v>
      </c>
      <c r="Q798" s="452">
        <f t="shared" si="716"/>
        <v>1446964.25</v>
      </c>
    </row>
    <row r="799" spans="1:17" ht="23.4" x14ac:dyDescent="0.4">
      <c r="A799" s="248"/>
      <c r="B799" s="1036"/>
      <c r="C799" s="548" t="s">
        <v>278</v>
      </c>
      <c r="D799" s="279"/>
      <c r="E799" s="439"/>
      <c r="F799" s="336">
        <f t="shared" si="717"/>
        <v>0</v>
      </c>
      <c r="G799" s="281"/>
      <c r="H799" s="281"/>
      <c r="I799" s="355" t="str">
        <f>IFERROR(F799/#REF!,"-")</f>
        <v>-</v>
      </c>
      <c r="J799" s="336">
        <f t="shared" si="718"/>
        <v>0</v>
      </c>
      <c r="K799" s="281">
        <f t="shared" si="713"/>
        <v>0</v>
      </c>
      <c r="L799" s="439">
        <f t="shared" si="714"/>
        <v>0</v>
      </c>
      <c r="M799" s="340" t="str">
        <f t="shared" si="723"/>
        <v>-</v>
      </c>
      <c r="N799" s="264" t="str">
        <f t="shared" si="724"/>
        <v>-</v>
      </c>
      <c r="O799" s="512">
        <v>5.6550000000000002</v>
      </c>
      <c r="P799" s="407">
        <f t="shared" si="715"/>
        <v>0</v>
      </c>
      <c r="Q799" s="452">
        <f t="shared" si="716"/>
        <v>0</v>
      </c>
    </row>
    <row r="800" spans="1:17" ht="23.4" x14ac:dyDescent="0.4">
      <c r="A800" s="248"/>
      <c r="B800" s="1036"/>
      <c r="C800" s="548" t="s">
        <v>355</v>
      </c>
      <c r="D800" s="279"/>
      <c r="E800" s="439"/>
      <c r="F800" s="336">
        <f t="shared" si="717"/>
        <v>0</v>
      </c>
      <c r="G800" s="281"/>
      <c r="H800" s="281"/>
      <c r="I800" s="355" t="str">
        <f>IFERROR(F800/#REF!,"-")</f>
        <v>-</v>
      </c>
      <c r="J800" s="336">
        <f t="shared" si="718"/>
        <v>321630</v>
      </c>
      <c r="K800" s="730">
        <f t="shared" si="713"/>
        <v>310550</v>
      </c>
      <c r="L800" s="731">
        <f t="shared" si="714"/>
        <v>11080</v>
      </c>
      <c r="M800" s="340" t="str">
        <f t="shared" si="723"/>
        <v>-</v>
      </c>
      <c r="N800" s="264">
        <f t="shared" si="724"/>
        <v>3.4449522743525168E-2</v>
      </c>
      <c r="O800" s="512">
        <v>5.6550000000000002</v>
      </c>
      <c r="P800" s="407">
        <f t="shared" si="715"/>
        <v>0</v>
      </c>
      <c r="Q800" s="452">
        <f t="shared" si="716"/>
        <v>1756160.25</v>
      </c>
    </row>
    <row r="801" spans="1:17" ht="23.4" x14ac:dyDescent="0.4">
      <c r="A801" s="248"/>
      <c r="B801" s="1036"/>
      <c r="C801" s="548" t="s">
        <v>279</v>
      </c>
      <c r="D801" s="279"/>
      <c r="E801" s="439"/>
      <c r="F801" s="336">
        <f t="shared" si="717"/>
        <v>0</v>
      </c>
      <c r="G801" s="281"/>
      <c r="H801" s="281"/>
      <c r="I801" s="355" t="str">
        <f>IFERROR(F801/#REF!,"-")</f>
        <v>-</v>
      </c>
      <c r="J801" s="336">
        <f t="shared" si="718"/>
        <v>0</v>
      </c>
      <c r="K801" s="281">
        <f t="shared" si="713"/>
        <v>0</v>
      </c>
      <c r="L801" s="439">
        <f t="shared" si="714"/>
        <v>0</v>
      </c>
      <c r="M801" s="340" t="str">
        <f t="shared" si="723"/>
        <v>-</v>
      </c>
      <c r="N801" s="264" t="str">
        <f t="shared" si="724"/>
        <v>-</v>
      </c>
      <c r="O801" s="512">
        <v>5.6550000000000002</v>
      </c>
      <c r="P801" s="407">
        <f t="shared" si="715"/>
        <v>0</v>
      </c>
      <c r="Q801" s="452">
        <f t="shared" si="716"/>
        <v>0</v>
      </c>
    </row>
    <row r="802" spans="1:17" ht="23.4" x14ac:dyDescent="0.4">
      <c r="A802" s="248" t="s">
        <v>108</v>
      </c>
      <c r="B802" s="1036"/>
      <c r="C802" s="548" t="s">
        <v>280</v>
      </c>
      <c r="D802" s="279"/>
      <c r="E802" s="439"/>
      <c r="F802" s="336">
        <f t="shared" si="717"/>
        <v>0</v>
      </c>
      <c r="G802" s="281"/>
      <c r="H802" s="281"/>
      <c r="I802" s="355" t="str">
        <f>IFERROR(F802/#REF!,"-")</f>
        <v>-</v>
      </c>
      <c r="J802" s="336">
        <f t="shared" si="718"/>
        <v>0</v>
      </c>
      <c r="K802" s="281">
        <f t="shared" si="713"/>
        <v>0</v>
      </c>
      <c r="L802" s="439">
        <f t="shared" si="714"/>
        <v>0</v>
      </c>
      <c r="M802" s="340" t="str">
        <f t="shared" si="723"/>
        <v>-</v>
      </c>
      <c r="N802" s="264" t="str">
        <f t="shared" si="724"/>
        <v>-</v>
      </c>
      <c r="O802" s="512">
        <v>3.2963</v>
      </c>
      <c r="P802" s="407">
        <f t="shared" si="715"/>
        <v>0</v>
      </c>
      <c r="Q802" s="452">
        <f t="shared" si="716"/>
        <v>0</v>
      </c>
    </row>
    <row r="803" spans="1:17" ht="24" thickBot="1" x14ac:dyDescent="0.45">
      <c r="A803" s="248" t="s">
        <v>108</v>
      </c>
      <c r="B803" s="1037"/>
      <c r="C803" s="548" t="s">
        <v>275</v>
      </c>
      <c r="D803" s="279"/>
      <c r="E803" s="439"/>
      <c r="F803" s="336">
        <f t="shared" si="717"/>
        <v>0</v>
      </c>
      <c r="G803" s="281"/>
      <c r="H803" s="281"/>
      <c r="I803" s="355" t="str">
        <f>IFERROR(F803/#REF!,"-")</f>
        <v>-</v>
      </c>
      <c r="J803" s="336">
        <f t="shared" si="718"/>
        <v>0</v>
      </c>
      <c r="K803" s="281">
        <f t="shared" si="713"/>
        <v>0</v>
      </c>
      <c r="L803" s="439">
        <f t="shared" si="714"/>
        <v>0</v>
      </c>
      <c r="M803" s="340" t="str">
        <f t="shared" si="723"/>
        <v>-</v>
      </c>
      <c r="N803" s="264" t="str">
        <f t="shared" si="724"/>
        <v>-</v>
      </c>
      <c r="O803" s="512">
        <v>3.2963</v>
      </c>
      <c r="P803" s="407">
        <f t="shared" si="715"/>
        <v>0</v>
      </c>
      <c r="Q803" s="452">
        <f t="shared" si="716"/>
        <v>0</v>
      </c>
    </row>
    <row r="804" spans="1:17" ht="23.4" x14ac:dyDescent="0.4">
      <c r="A804" s="248" t="s">
        <v>108</v>
      </c>
      <c r="B804" s="552"/>
      <c r="C804" s="549" t="s">
        <v>92</v>
      </c>
      <c r="D804" s="516"/>
      <c r="E804" s="439"/>
      <c r="F804" s="336">
        <f t="shared" si="717"/>
        <v>0</v>
      </c>
      <c r="G804" s="281"/>
      <c r="H804" s="281"/>
      <c r="I804" s="355" t="str">
        <f>IFERROR(F804/#REF!,"-")</f>
        <v>-</v>
      </c>
      <c r="J804" s="336">
        <f t="shared" si="718"/>
        <v>143839</v>
      </c>
      <c r="K804" s="281">
        <f t="shared" si="713"/>
        <v>142655</v>
      </c>
      <c r="L804" s="439">
        <f t="shared" si="714"/>
        <v>1184</v>
      </c>
      <c r="M804" s="340" t="str">
        <f t="shared" si="723"/>
        <v>-</v>
      </c>
      <c r="N804" s="264">
        <f t="shared" si="724"/>
        <v>8.2314254131355194E-3</v>
      </c>
      <c r="O804" s="512">
        <v>2.3201000000000001</v>
      </c>
      <c r="P804" s="407">
        <f t="shared" si="715"/>
        <v>0</v>
      </c>
      <c r="Q804" s="452">
        <f t="shared" si="716"/>
        <v>330973.86550000001</v>
      </c>
    </row>
    <row r="805" spans="1:17" ht="24" thickBot="1" x14ac:dyDescent="0.35">
      <c r="A805" s="248" t="s">
        <v>108</v>
      </c>
      <c r="B805" s="529"/>
      <c r="C805" s="546"/>
      <c r="D805" s="535"/>
      <c r="E805" s="466"/>
      <c r="F805" s="464">
        <f t="shared" si="717"/>
        <v>0</v>
      </c>
      <c r="G805" s="465"/>
      <c r="H805" s="465"/>
      <c r="I805" s="537" t="str">
        <f>IFERROR(F805/#REF!,"-")</f>
        <v>-</v>
      </c>
      <c r="J805" s="464">
        <f t="shared" si="718"/>
        <v>0</v>
      </c>
      <c r="K805" s="465">
        <f t="shared" si="713"/>
        <v>0</v>
      </c>
      <c r="L805" s="466">
        <f t="shared" si="714"/>
        <v>0</v>
      </c>
      <c r="M805" s="726" t="str">
        <f t="shared" si="723"/>
        <v>-</v>
      </c>
      <c r="N805" s="266" t="str">
        <f t="shared" si="724"/>
        <v>-</v>
      </c>
      <c r="O805" s="544"/>
      <c r="P805" s="541">
        <f t="shared" si="715"/>
        <v>0</v>
      </c>
      <c r="Q805" s="542">
        <f t="shared" si="716"/>
        <v>0</v>
      </c>
    </row>
    <row r="806" spans="1:17" ht="23.25" customHeight="1" thickBot="1" x14ac:dyDescent="0.35">
      <c r="A806" s="277" t="s">
        <v>108</v>
      </c>
      <c r="B806" s="1038" t="s">
        <v>25</v>
      </c>
      <c r="C806" s="989"/>
      <c r="D806" s="518">
        <f>SUM(D779:D805)</f>
        <v>0</v>
      </c>
      <c r="E806" s="531">
        <v>100000</v>
      </c>
      <c r="F806" s="524">
        <f>SUM(F774:F805)</f>
        <v>130298</v>
      </c>
      <c r="G806" s="524">
        <f>SUM(G774:G805)</f>
        <v>128300</v>
      </c>
      <c r="H806" s="524">
        <f>SUM(H774:H805)</f>
        <v>1998</v>
      </c>
      <c r="I806" s="525" t="str">
        <f>IFERROR(F806/#REF!,"-")</f>
        <v>-</v>
      </c>
      <c r="J806" s="518">
        <f>SUM(J774:J805)</f>
        <v>1847619</v>
      </c>
      <c r="K806" s="518">
        <f t="shared" ref="K806:L806" si="725">SUM(K774:K805)</f>
        <v>1813515</v>
      </c>
      <c r="L806" s="518">
        <f t="shared" si="725"/>
        <v>34104</v>
      </c>
      <c r="M806" s="526" t="str">
        <f t="shared" si="723"/>
        <v>-</v>
      </c>
      <c r="N806" s="525">
        <f t="shared" si="724"/>
        <v>1.8458350991194614E-2</v>
      </c>
      <c r="O806" s="527"/>
      <c r="P806" s="528">
        <f>SUM(P774:P805)</f>
        <v>1079876.3600000001</v>
      </c>
      <c r="Q806" s="528">
        <f>SUM(Q774:Q805)</f>
        <v>13325705.274499999</v>
      </c>
    </row>
    <row r="807" spans="1:17" ht="23.25" customHeight="1" thickBot="1" x14ac:dyDescent="0.35">
      <c r="A807" s="321" t="s">
        <v>108</v>
      </c>
      <c r="B807" s="1039" t="s">
        <v>269</v>
      </c>
      <c r="C807" s="1040"/>
      <c r="D807" s="329">
        <f>+D778+D806</f>
        <v>0</v>
      </c>
      <c r="E807" s="330">
        <f>+E778+E806</f>
        <v>100000</v>
      </c>
      <c r="F807" s="329">
        <f>+F806</f>
        <v>130298</v>
      </c>
      <c r="G807" s="329">
        <f t="shared" ref="G807:H807" si="726">+G806</f>
        <v>128300</v>
      </c>
      <c r="H807" s="329">
        <f t="shared" si="726"/>
        <v>1998</v>
      </c>
      <c r="I807" s="352" t="str">
        <f>IFERROR(F807/#REF!,"-")</f>
        <v>-</v>
      </c>
      <c r="J807" s="329">
        <f>+J806</f>
        <v>1847619</v>
      </c>
      <c r="K807" s="329">
        <f t="shared" ref="K807:L807" si="727">+K806</f>
        <v>1813515</v>
      </c>
      <c r="L807" s="329">
        <f t="shared" si="727"/>
        <v>34104</v>
      </c>
      <c r="M807" s="344" t="str">
        <f t="shared" si="723"/>
        <v>-</v>
      </c>
      <c r="N807" s="352">
        <f t="shared" si="724"/>
        <v>1.8458350991194614E-2</v>
      </c>
      <c r="O807" s="397"/>
      <c r="P807" s="413">
        <f>+P806</f>
        <v>1079876.3600000001</v>
      </c>
      <c r="Q807" s="431">
        <f>Q806</f>
        <v>13325705.274499999</v>
      </c>
    </row>
    <row r="808" spans="1:17" ht="24.6" thickBot="1" x14ac:dyDescent="0.35">
      <c r="A808" s="322"/>
      <c r="B808" s="1041" t="s">
        <v>182</v>
      </c>
      <c r="C808" s="1042"/>
      <c r="D808" s="377">
        <f>+D807+D773+D764</f>
        <v>0</v>
      </c>
      <c r="E808" s="377">
        <f>+E807+E773+E764</f>
        <v>230000</v>
      </c>
      <c r="F808" s="377">
        <f>+F807+F773+F764</f>
        <v>355228</v>
      </c>
      <c r="G808" s="377">
        <f>+G807+G773+G764</f>
        <v>351300</v>
      </c>
      <c r="H808" s="377">
        <f>+H807+H773+H764</f>
        <v>3928</v>
      </c>
      <c r="I808" s="378" t="str">
        <f>IFERROR(F808/#REF!,"-")</f>
        <v>-</v>
      </c>
      <c r="J808" s="377">
        <f>+J807+J773+J764</f>
        <v>4703422</v>
      </c>
      <c r="K808" s="377">
        <f>+K807+K773+K764</f>
        <v>4599425</v>
      </c>
      <c r="L808" s="377">
        <f>+L807+L773+L764</f>
        <v>103997</v>
      </c>
      <c r="M808" s="378" t="str">
        <f t="shared" si="723"/>
        <v>-</v>
      </c>
      <c r="N808" s="378">
        <f>IFERROR(L808/J808,"-")</f>
        <v>2.2110922643130894E-2</v>
      </c>
      <c r="O808" s="404"/>
      <c r="P808" s="421">
        <f>+P807+P773+P764</f>
        <v>2354850.8600000003</v>
      </c>
      <c r="Q808" s="421">
        <f>+Q807+Q773+Q764</f>
        <v>25230530.006499998</v>
      </c>
    </row>
    <row r="809" spans="1:17" ht="22.5" customHeight="1" x14ac:dyDescent="0.3">
      <c r="A809" s="1043" t="s">
        <v>1</v>
      </c>
      <c r="B809" s="1046" t="s">
        <v>2</v>
      </c>
      <c r="C809" s="1049" t="s">
        <v>477</v>
      </c>
      <c r="D809" s="1000" t="s">
        <v>4</v>
      </c>
      <c r="E809" s="1001"/>
      <c r="F809" s="1001"/>
      <c r="G809" s="1001"/>
      <c r="H809" s="1001"/>
      <c r="I809" s="1001"/>
      <c r="J809" s="1001"/>
      <c r="K809" s="1001"/>
      <c r="L809" s="1001"/>
      <c r="M809" s="1001"/>
      <c r="N809" s="1002"/>
      <c r="O809" s="1021" t="s">
        <v>175</v>
      </c>
      <c r="P809" s="1022"/>
      <c r="Q809" s="1052"/>
    </row>
    <row r="810" spans="1:17" ht="22.5" customHeight="1" x14ac:dyDescent="0.3">
      <c r="A810" s="1044"/>
      <c r="B810" s="1047"/>
      <c r="C810" s="1050"/>
      <c r="D810" s="1003" t="s">
        <v>7</v>
      </c>
      <c r="E810" s="1005" t="s">
        <v>115</v>
      </c>
      <c r="F810" s="1053" t="s">
        <v>535</v>
      </c>
      <c r="G810" s="1008"/>
      <c r="H810" s="1008"/>
      <c r="I810" s="1009"/>
      <c r="J810" s="1010" t="s">
        <v>8</v>
      </c>
      <c r="K810" s="1011"/>
      <c r="L810" s="1012"/>
      <c r="M810" s="1013" t="s">
        <v>173</v>
      </c>
      <c r="N810" s="1015" t="s">
        <v>172</v>
      </c>
      <c r="O810" s="1054" t="s">
        <v>177</v>
      </c>
      <c r="P810" s="1055"/>
      <c r="Q810" s="1056"/>
    </row>
    <row r="811" spans="1:17" ht="47.4" thickBot="1" x14ac:dyDescent="0.35">
      <c r="A811" s="1045"/>
      <c r="B811" s="1048"/>
      <c r="C811" s="1051"/>
      <c r="D811" s="1004"/>
      <c r="E811" s="1006"/>
      <c r="F811" s="455" t="s">
        <v>13</v>
      </c>
      <c r="G811" s="456" t="s">
        <v>14</v>
      </c>
      <c r="H811" s="456" t="s">
        <v>15</v>
      </c>
      <c r="I811" s="457" t="s">
        <v>174</v>
      </c>
      <c r="J811" s="712" t="s">
        <v>13</v>
      </c>
      <c r="K811" s="710" t="s">
        <v>14</v>
      </c>
      <c r="L811" s="711" t="s">
        <v>15</v>
      </c>
      <c r="M811" s="1014"/>
      <c r="N811" s="1016"/>
      <c r="O811" s="447" t="s">
        <v>178</v>
      </c>
      <c r="P811" s="448" t="s">
        <v>11</v>
      </c>
      <c r="Q811" s="449" t="s">
        <v>12</v>
      </c>
    </row>
    <row r="812" spans="1:17" ht="23.4" x14ac:dyDescent="0.3">
      <c r="A812" s="271" t="s">
        <v>110</v>
      </c>
      <c r="B812" s="442"/>
      <c r="C812" s="272" t="s">
        <v>266</v>
      </c>
      <c r="D812" s="273"/>
      <c r="E812" s="274"/>
      <c r="F812" s="335">
        <f>+G812+H812</f>
        <v>0</v>
      </c>
      <c r="G812" s="275"/>
      <c r="H812" s="275"/>
      <c r="I812" s="354" t="str">
        <f>IFERROR(F812/#REF!,"-")</f>
        <v>-</v>
      </c>
      <c r="J812" s="461">
        <f>+K812+L812</f>
        <v>337292</v>
      </c>
      <c r="K812" s="462">
        <f>+K750+G812</f>
        <v>321720</v>
      </c>
      <c r="L812" s="463">
        <f>+L750+H812</f>
        <v>15572</v>
      </c>
      <c r="M812" s="339" t="str">
        <f>IFERROR(J812/D812,"-")</f>
        <v>-</v>
      </c>
      <c r="N812" s="346">
        <f t="shared" ref="N812:N813" si="728">IFERROR(L812/J812,"-")</f>
        <v>4.6167712249326989E-2</v>
      </c>
      <c r="O812" s="511">
        <v>1.5669</v>
      </c>
      <c r="P812" s="405">
        <f>+O812*G812</f>
        <v>0</v>
      </c>
      <c r="Q812" s="450">
        <f>+O812*K812</f>
        <v>504103.06799999997</v>
      </c>
    </row>
    <row r="813" spans="1:17" ht="23.4" x14ac:dyDescent="0.3">
      <c r="A813" s="277" t="s">
        <v>110</v>
      </c>
      <c r="B813" s="441"/>
      <c r="C813" s="278" t="s">
        <v>265</v>
      </c>
      <c r="D813" s="279"/>
      <c r="E813" s="280"/>
      <c r="F813" s="336">
        <f t="shared" ref="F813:F816" si="729">+G813+H813</f>
        <v>0</v>
      </c>
      <c r="G813" s="833"/>
      <c r="H813" s="833"/>
      <c r="I813" s="355" t="str">
        <f>IFERROR(F813/#REF!,"-")</f>
        <v>-</v>
      </c>
      <c r="J813" s="336">
        <f t="shared" ref="J813:J816" si="730">+K813+L813</f>
        <v>960348</v>
      </c>
      <c r="K813" s="281">
        <f t="shared" ref="K813:K816" si="731">+K751+G813</f>
        <v>947250</v>
      </c>
      <c r="L813" s="439">
        <f t="shared" ref="L813:L816" si="732">+L751+H813</f>
        <v>13098</v>
      </c>
      <c r="M813" s="340" t="str">
        <f t="shared" ref="M813:M816" si="733">IFERROR(J813/D813,"-")</f>
        <v>-</v>
      </c>
      <c r="N813" s="268">
        <f t="shared" si="728"/>
        <v>1.3638805932849342E-2</v>
      </c>
      <c r="O813" s="512">
        <v>2.3978999999999999</v>
      </c>
      <c r="P813" s="407">
        <f>+O813*G813</f>
        <v>0</v>
      </c>
      <c r="Q813" s="452">
        <f>+O813*K813</f>
        <v>2271410.7749999999</v>
      </c>
    </row>
    <row r="814" spans="1:17" ht="23.4" x14ac:dyDescent="0.3">
      <c r="A814" s="277" t="s">
        <v>110</v>
      </c>
      <c r="B814" s="441"/>
      <c r="C814" s="278" t="s">
        <v>476</v>
      </c>
      <c r="D814" s="279"/>
      <c r="E814" s="280"/>
      <c r="F814" s="336">
        <f t="shared" si="729"/>
        <v>156790</v>
      </c>
      <c r="G814" s="281">
        <f>97750+57500</f>
        <v>155250</v>
      </c>
      <c r="H814" s="833">
        <f>968+572</f>
        <v>1540</v>
      </c>
      <c r="I814" s="355" t="str">
        <f>IFERROR(F814/#REF!,"-")</f>
        <v>-</v>
      </c>
      <c r="J814" s="336">
        <f t="shared" si="730"/>
        <v>358398</v>
      </c>
      <c r="K814" s="281">
        <f t="shared" si="731"/>
        <v>339000</v>
      </c>
      <c r="L814" s="439">
        <f t="shared" si="732"/>
        <v>19398</v>
      </c>
      <c r="M814" s="340" t="str">
        <f t="shared" si="733"/>
        <v>-</v>
      </c>
      <c r="N814" s="806">
        <f>IFERROR(L814/J814,"-")</f>
        <v>5.4124185960859154E-2</v>
      </c>
      <c r="O814" s="824">
        <v>3.6777000000000002</v>
      </c>
      <c r="P814" s="407">
        <f t="shared" ref="P814:P816" si="734">+O814*G814</f>
        <v>570962.92500000005</v>
      </c>
      <c r="Q814" s="452">
        <f t="shared" ref="Q814:Q816" si="735">+O814*K814</f>
        <v>1246740.3</v>
      </c>
    </row>
    <row r="815" spans="1:17" ht="23.4" x14ac:dyDescent="0.3">
      <c r="A815" s="277"/>
      <c r="B815" s="454"/>
      <c r="C815" s="278" t="s">
        <v>353</v>
      </c>
      <c r="D815" s="283"/>
      <c r="E815" s="284"/>
      <c r="F815" s="336">
        <f t="shared" si="729"/>
        <v>22241</v>
      </c>
      <c r="G815" s="285">
        <v>22000</v>
      </c>
      <c r="H815" s="285">
        <v>241</v>
      </c>
      <c r="I815" s="355" t="str">
        <f>IFERROR(F815/#REF!,"-")</f>
        <v>-</v>
      </c>
      <c r="J815" s="336">
        <f t="shared" si="730"/>
        <v>181060</v>
      </c>
      <c r="K815" s="281">
        <f t="shared" si="731"/>
        <v>177400</v>
      </c>
      <c r="L815" s="439">
        <f t="shared" si="732"/>
        <v>3660</v>
      </c>
      <c r="M815" s="340" t="str">
        <f t="shared" si="733"/>
        <v>-</v>
      </c>
      <c r="N815" s="268">
        <f>IFERROR(L815/J815,"-")</f>
        <v>2.0214293604330056E-2</v>
      </c>
      <c r="O815" s="513">
        <v>12.284700000000001</v>
      </c>
      <c r="P815" s="407">
        <f t="shared" si="734"/>
        <v>270263.40000000002</v>
      </c>
      <c r="Q815" s="452">
        <f t="shared" si="735"/>
        <v>2179305.7800000003</v>
      </c>
    </row>
    <row r="816" spans="1:17" ht="24" thickBot="1" x14ac:dyDescent="0.35">
      <c r="A816" s="277" t="s">
        <v>110</v>
      </c>
      <c r="B816" s="454"/>
      <c r="C816" s="278" t="s">
        <v>408</v>
      </c>
      <c r="D816" s="283"/>
      <c r="E816" s="284"/>
      <c r="F816" s="337">
        <f t="shared" si="729"/>
        <v>60982</v>
      </c>
      <c r="G816" s="285">
        <v>60000</v>
      </c>
      <c r="H816" s="285">
        <v>982</v>
      </c>
      <c r="I816" s="356" t="str">
        <f>IFERROR(F816/#REF!,"-")</f>
        <v>-</v>
      </c>
      <c r="J816" s="464">
        <f t="shared" si="730"/>
        <v>457148</v>
      </c>
      <c r="K816" s="465">
        <f t="shared" si="731"/>
        <v>444250</v>
      </c>
      <c r="L816" s="466">
        <f t="shared" si="732"/>
        <v>12898</v>
      </c>
      <c r="M816" s="341" t="str">
        <f t="shared" si="733"/>
        <v>-</v>
      </c>
      <c r="N816" s="347">
        <f t="shared" ref="N816:N828" si="736">IFERROR(L816/J816,"-")</f>
        <v>2.8214057591852092E-2</v>
      </c>
      <c r="O816" s="824">
        <v>7.0612000000000004</v>
      </c>
      <c r="P816" s="408">
        <f t="shared" si="734"/>
        <v>423672</v>
      </c>
      <c r="Q816" s="453">
        <f t="shared" si="735"/>
        <v>3136938.1</v>
      </c>
    </row>
    <row r="817" spans="1:17" ht="23.25" customHeight="1" thickBot="1" x14ac:dyDescent="0.35">
      <c r="A817" s="277" t="s">
        <v>110</v>
      </c>
      <c r="B817" s="1038" t="s">
        <v>21</v>
      </c>
      <c r="C817" s="989"/>
      <c r="D817" s="323">
        <f>SUM(D812:D816)</f>
        <v>0</v>
      </c>
      <c r="E817" s="288">
        <v>15000</v>
      </c>
      <c r="F817" s="323">
        <f>SUM(F812:F816)</f>
        <v>240013</v>
      </c>
      <c r="G817" s="324">
        <f>SUM(G812:G816)</f>
        <v>237250</v>
      </c>
      <c r="H817" s="324">
        <f>SUM(H812:H816)</f>
        <v>2763</v>
      </c>
      <c r="I817" s="348" t="str">
        <f>IFERROR(F817/#REF!,"-")</f>
        <v>-</v>
      </c>
      <c r="J817" s="323">
        <f>SUM(J812:J816)</f>
        <v>2294246</v>
      </c>
      <c r="K817" s="324">
        <f>SUM(K812:K816)</f>
        <v>2229620</v>
      </c>
      <c r="L817" s="325">
        <f>SUM(L812:L816)</f>
        <v>64626</v>
      </c>
      <c r="M817" s="342" t="str">
        <f>IFERROR(J817/D817,"-")</f>
        <v>-</v>
      </c>
      <c r="N817" s="348">
        <f t="shared" si="736"/>
        <v>2.8168731687883513E-2</v>
      </c>
      <c r="O817" s="394"/>
      <c r="P817" s="409">
        <f>SUM(P812:P816)</f>
        <v>1264898.3250000002</v>
      </c>
      <c r="Q817" s="428">
        <f>SUM(Q812:Q816)</f>
        <v>9338498.023</v>
      </c>
    </row>
    <row r="818" spans="1:17" ht="23.4" x14ac:dyDescent="0.3">
      <c r="A818" s="277" t="s">
        <v>110</v>
      </c>
      <c r="B818" s="442"/>
      <c r="C818" s="272" t="s">
        <v>264</v>
      </c>
      <c r="D818" s="273"/>
      <c r="E818" s="274"/>
      <c r="F818" s="335">
        <f t="shared" ref="F818:F824" si="737">+G818+H818</f>
        <v>0</v>
      </c>
      <c r="G818" s="275"/>
      <c r="H818" s="275"/>
      <c r="I818" s="354" t="str">
        <f>IFERROR(F818/#REF!,"-")</f>
        <v>-</v>
      </c>
      <c r="J818" s="461">
        <f t="shared" ref="J818:J824" si="738">+K818+L818</f>
        <v>34540</v>
      </c>
      <c r="K818" s="462">
        <f t="shared" ref="K818:K824" si="739">+K756+G818</f>
        <v>33840</v>
      </c>
      <c r="L818" s="463">
        <f t="shared" ref="L818:L824" si="740">+L756+H818</f>
        <v>700</v>
      </c>
      <c r="M818" s="339" t="str">
        <f t="shared" ref="M818:M826" si="741">IFERROR(J818/D818,"-")</f>
        <v>-</v>
      </c>
      <c r="N818" s="349">
        <f t="shared" si="736"/>
        <v>2.0266357845975681E-2</v>
      </c>
      <c r="O818" s="511">
        <v>18.2316</v>
      </c>
      <c r="P818" s="405">
        <f t="shared" ref="P818:P824" si="742">+O818*G818</f>
        <v>0</v>
      </c>
      <c r="Q818" s="450">
        <f t="shared" ref="Q818:Q824" si="743">+O818*K818</f>
        <v>616957.34400000004</v>
      </c>
    </row>
    <row r="819" spans="1:17" ht="23.4" x14ac:dyDescent="0.3">
      <c r="A819" s="277" t="s">
        <v>110</v>
      </c>
      <c r="B819" s="441"/>
      <c r="C819" s="278" t="s">
        <v>92</v>
      </c>
      <c r="D819" s="279"/>
      <c r="E819" s="280"/>
      <c r="F819" s="336">
        <f t="shared" si="737"/>
        <v>60000</v>
      </c>
      <c r="G819" s="281">
        <v>60000</v>
      </c>
      <c r="H819" s="281"/>
      <c r="I819" s="355" t="str">
        <f>IFERROR(F819/#REF!,"-")</f>
        <v>-</v>
      </c>
      <c r="J819" s="336">
        <f t="shared" si="738"/>
        <v>240000</v>
      </c>
      <c r="K819" s="281">
        <f t="shared" si="739"/>
        <v>240000</v>
      </c>
      <c r="L819" s="439">
        <f t="shared" si="740"/>
        <v>0</v>
      </c>
      <c r="M819" s="340" t="str">
        <f t="shared" si="741"/>
        <v>-</v>
      </c>
      <c r="N819" s="264">
        <f t="shared" si="736"/>
        <v>0</v>
      </c>
      <c r="O819" s="512">
        <v>1.2824</v>
      </c>
      <c r="P819" s="407">
        <f t="shared" si="742"/>
        <v>76944</v>
      </c>
      <c r="Q819" s="452">
        <f t="shared" si="743"/>
        <v>307776</v>
      </c>
    </row>
    <row r="820" spans="1:17" ht="23.4" x14ac:dyDescent="0.3">
      <c r="A820" s="277" t="s">
        <v>110</v>
      </c>
      <c r="B820" s="441"/>
      <c r="C820" s="278" t="s">
        <v>329</v>
      </c>
      <c r="D820" s="279"/>
      <c r="E820" s="280"/>
      <c r="F820" s="336">
        <f t="shared" si="737"/>
        <v>0</v>
      </c>
      <c r="G820" s="281"/>
      <c r="H820" s="281"/>
      <c r="I820" s="355" t="str">
        <f>IFERROR(F820/#REF!,"-")</f>
        <v>-</v>
      </c>
      <c r="J820" s="336">
        <f t="shared" si="738"/>
        <v>31200</v>
      </c>
      <c r="K820" s="281">
        <f t="shared" si="739"/>
        <v>31200</v>
      </c>
      <c r="L820" s="439">
        <f t="shared" si="740"/>
        <v>0</v>
      </c>
      <c r="M820" s="340" t="str">
        <f t="shared" si="741"/>
        <v>-</v>
      </c>
      <c r="N820" s="264">
        <f t="shared" si="736"/>
        <v>0</v>
      </c>
      <c r="O820" s="772">
        <v>5.7342000000000004</v>
      </c>
      <c r="P820" s="407">
        <f t="shared" si="742"/>
        <v>0</v>
      </c>
      <c r="Q820" s="452">
        <f t="shared" si="743"/>
        <v>178907.04</v>
      </c>
    </row>
    <row r="821" spans="1:17" ht="23.4" x14ac:dyDescent="0.3">
      <c r="A821" s="277" t="s">
        <v>110</v>
      </c>
      <c r="B821" s="441"/>
      <c r="C821" s="278" t="s">
        <v>346</v>
      </c>
      <c r="D821" s="279"/>
      <c r="E821" s="280"/>
      <c r="F821" s="336">
        <f t="shared" si="737"/>
        <v>0</v>
      </c>
      <c r="G821" s="281"/>
      <c r="H821" s="281"/>
      <c r="I821" s="355" t="str">
        <f>IFERROR(F821/#REF!,"-")</f>
        <v>-</v>
      </c>
      <c r="J821" s="336">
        <f t="shared" si="738"/>
        <v>0</v>
      </c>
      <c r="K821" s="281">
        <f t="shared" si="739"/>
        <v>0</v>
      </c>
      <c r="L821" s="439">
        <f t="shared" si="740"/>
        <v>0</v>
      </c>
      <c r="M821" s="340" t="str">
        <f t="shared" si="741"/>
        <v>-</v>
      </c>
      <c r="N821" s="264" t="str">
        <f t="shared" si="736"/>
        <v>-</v>
      </c>
      <c r="O821" s="512"/>
      <c r="P821" s="407">
        <f t="shared" si="742"/>
        <v>0</v>
      </c>
      <c r="Q821" s="452">
        <f t="shared" si="743"/>
        <v>0</v>
      </c>
    </row>
    <row r="822" spans="1:17" ht="23.4" x14ac:dyDescent="0.3">
      <c r="A822" s="277" t="s">
        <v>110</v>
      </c>
      <c r="B822" s="441"/>
      <c r="C822" s="278" t="s">
        <v>354</v>
      </c>
      <c r="D822" s="279"/>
      <c r="E822" s="280"/>
      <c r="F822" s="336">
        <f t="shared" si="737"/>
        <v>9054</v>
      </c>
      <c r="G822" s="281">
        <v>9000</v>
      </c>
      <c r="H822" s="281">
        <v>54</v>
      </c>
      <c r="I822" s="355" t="str">
        <f>IFERROR(F822/#REF!,"-")</f>
        <v>-</v>
      </c>
      <c r="J822" s="336">
        <f t="shared" si="738"/>
        <v>172286</v>
      </c>
      <c r="K822" s="281">
        <f t="shared" si="739"/>
        <v>171000</v>
      </c>
      <c r="L822" s="439">
        <f t="shared" si="740"/>
        <v>1286</v>
      </c>
      <c r="M822" s="340" t="str">
        <f t="shared" si="741"/>
        <v>-</v>
      </c>
      <c r="N822" s="264">
        <f t="shared" si="736"/>
        <v>7.4643325632959149E-3</v>
      </c>
      <c r="O822" s="512">
        <v>12.029500000000001</v>
      </c>
      <c r="P822" s="407">
        <f t="shared" si="742"/>
        <v>108265.5</v>
      </c>
      <c r="Q822" s="452">
        <f t="shared" si="743"/>
        <v>2057044.5</v>
      </c>
    </row>
    <row r="823" spans="1:17" ht="23.4" x14ac:dyDescent="0.3">
      <c r="A823" s="277" t="s">
        <v>110</v>
      </c>
      <c r="B823" s="441"/>
      <c r="C823" s="278"/>
      <c r="D823" s="279"/>
      <c r="E823" s="280"/>
      <c r="F823" s="336">
        <f t="shared" si="737"/>
        <v>0</v>
      </c>
      <c r="G823" s="281"/>
      <c r="H823" s="281"/>
      <c r="I823" s="355" t="str">
        <f>IFERROR(F823/#REF!,"-")</f>
        <v>-</v>
      </c>
      <c r="J823" s="336">
        <f t="shared" si="738"/>
        <v>0</v>
      </c>
      <c r="K823" s="281">
        <f t="shared" si="739"/>
        <v>0</v>
      </c>
      <c r="L823" s="439">
        <f t="shared" si="740"/>
        <v>0</v>
      </c>
      <c r="M823" s="340" t="str">
        <f t="shared" si="741"/>
        <v>-</v>
      </c>
      <c r="N823" s="264" t="str">
        <f t="shared" si="736"/>
        <v>-</v>
      </c>
      <c r="O823" s="512"/>
      <c r="P823" s="407">
        <f t="shared" si="742"/>
        <v>0</v>
      </c>
      <c r="Q823" s="452">
        <f t="shared" si="743"/>
        <v>0</v>
      </c>
    </row>
    <row r="824" spans="1:17" ht="24" thickBot="1" x14ac:dyDescent="0.35">
      <c r="A824" s="277" t="s">
        <v>110</v>
      </c>
      <c r="B824" s="454"/>
      <c r="C824" s="282"/>
      <c r="D824" s="283">
        <v>0</v>
      </c>
      <c r="E824" s="284"/>
      <c r="F824" s="337">
        <f t="shared" si="737"/>
        <v>0</v>
      </c>
      <c r="G824" s="285"/>
      <c r="H824" s="285"/>
      <c r="I824" s="356" t="str">
        <f>IFERROR(F824/#REF!,"-")</f>
        <v>-</v>
      </c>
      <c r="J824" s="464">
        <f t="shared" si="738"/>
        <v>0</v>
      </c>
      <c r="K824" s="465">
        <f t="shared" si="739"/>
        <v>0</v>
      </c>
      <c r="L824" s="466">
        <f t="shared" si="740"/>
        <v>0</v>
      </c>
      <c r="M824" s="341" t="str">
        <f t="shared" si="741"/>
        <v>-</v>
      </c>
      <c r="N824" s="350" t="str">
        <f t="shared" si="736"/>
        <v>-</v>
      </c>
      <c r="O824" s="513"/>
      <c r="P824" s="408">
        <f t="shared" si="742"/>
        <v>0</v>
      </c>
      <c r="Q824" s="453">
        <f t="shared" si="743"/>
        <v>0</v>
      </c>
    </row>
    <row r="825" spans="1:17" ht="23.25" customHeight="1" thickBot="1" x14ac:dyDescent="0.35">
      <c r="A825" s="277" t="s">
        <v>110</v>
      </c>
      <c r="B825" s="1038" t="s">
        <v>25</v>
      </c>
      <c r="C825" s="989"/>
      <c r="D825" s="323">
        <f t="shared" ref="D825" si="744">SUM(D818:D824)</f>
        <v>0</v>
      </c>
      <c r="E825" s="288">
        <v>100000</v>
      </c>
      <c r="F825" s="323">
        <f>SUM(F818:F824)</f>
        <v>69054</v>
      </c>
      <c r="G825" s="324">
        <f t="shared" ref="G825:H825" si="745">SUM(G818:G824)</f>
        <v>69000</v>
      </c>
      <c r="H825" s="324">
        <f t="shared" si="745"/>
        <v>54</v>
      </c>
      <c r="I825" s="348" t="str">
        <f>IFERROR(F825/#REF!,"-")</f>
        <v>-</v>
      </c>
      <c r="J825" s="323">
        <f t="shared" ref="J825:L825" si="746">SUM(J818:J824)</f>
        <v>478026</v>
      </c>
      <c r="K825" s="324">
        <f t="shared" si="746"/>
        <v>476040</v>
      </c>
      <c r="L825" s="325">
        <f t="shared" si="746"/>
        <v>1986</v>
      </c>
      <c r="M825" s="342" t="str">
        <f t="shared" si="741"/>
        <v>-</v>
      </c>
      <c r="N825" s="348">
        <f t="shared" si="736"/>
        <v>4.1545857338303772E-3</v>
      </c>
      <c r="O825" s="394"/>
      <c r="P825" s="409">
        <f t="shared" ref="P825:Q825" si="747">SUM(P818:P824)</f>
        <v>185209.5</v>
      </c>
      <c r="Q825" s="428">
        <f t="shared" si="747"/>
        <v>3160684.8840000001</v>
      </c>
    </row>
    <row r="826" spans="1:17" ht="23.25" customHeight="1" thickBot="1" x14ac:dyDescent="0.35">
      <c r="A826" s="277" t="s">
        <v>110</v>
      </c>
      <c r="B826" s="1039" t="s">
        <v>180</v>
      </c>
      <c r="C826" s="1040"/>
      <c r="D826" s="329">
        <f>+D817+D825</f>
        <v>0</v>
      </c>
      <c r="E826" s="330">
        <f t="shared" ref="E826:H826" si="748">+E817+E825</f>
        <v>115000</v>
      </c>
      <c r="F826" s="329">
        <f t="shared" si="748"/>
        <v>309067</v>
      </c>
      <c r="G826" s="327">
        <f t="shared" si="748"/>
        <v>306250</v>
      </c>
      <c r="H826" s="327">
        <f t="shared" si="748"/>
        <v>2817</v>
      </c>
      <c r="I826" s="352" t="str">
        <f>IFERROR(F826/#REF!,"-")</f>
        <v>-</v>
      </c>
      <c r="J826" s="329">
        <f t="shared" ref="J826:L826" si="749">+J817+J825</f>
        <v>2772272</v>
      </c>
      <c r="K826" s="327">
        <f t="shared" si="749"/>
        <v>2705660</v>
      </c>
      <c r="L826" s="328">
        <f t="shared" si="749"/>
        <v>66612</v>
      </c>
      <c r="M826" s="344" t="str">
        <f t="shared" si="741"/>
        <v>-</v>
      </c>
      <c r="N826" s="352">
        <f t="shared" si="736"/>
        <v>2.4027945309839729E-2</v>
      </c>
      <c r="O826" s="397"/>
      <c r="P826" s="413">
        <f t="shared" ref="P826:Q826" si="750">+P817+P825</f>
        <v>1450107.8250000002</v>
      </c>
      <c r="Q826" s="431">
        <f t="shared" si="750"/>
        <v>12499182.907</v>
      </c>
    </row>
    <row r="827" spans="1:17" ht="23.4" x14ac:dyDescent="0.3">
      <c r="A827" s="244" t="s">
        <v>108</v>
      </c>
      <c r="B827" s="591"/>
      <c r="C827" s="592" t="s">
        <v>306</v>
      </c>
      <c r="D827" s="532"/>
      <c r="E827" s="463"/>
      <c r="F827" s="461">
        <f>+G827+H827</f>
        <v>0</v>
      </c>
      <c r="G827" s="462"/>
      <c r="H827" s="462"/>
      <c r="I827" s="536" t="str">
        <f>IFERROR(F827/#REF!,"-")</f>
        <v>-</v>
      </c>
      <c r="J827" s="461">
        <f>+K827+L827</f>
        <v>0</v>
      </c>
      <c r="K827" s="462">
        <f t="shared" ref="K827:K833" si="751">+K765+G827</f>
        <v>0</v>
      </c>
      <c r="L827" s="463">
        <f t="shared" ref="L827:L833" si="752">+L765+H827</f>
        <v>0</v>
      </c>
      <c r="M827" s="596" t="str">
        <f>IFERROR(J827/D827,"-")</f>
        <v>-</v>
      </c>
      <c r="N827" s="538" t="str">
        <f t="shared" si="736"/>
        <v>-</v>
      </c>
      <c r="O827" s="638">
        <v>4.8285999999999998</v>
      </c>
      <c r="P827" s="539">
        <f t="shared" ref="P827:P833" si="753">+O827*G827</f>
        <v>0</v>
      </c>
      <c r="Q827" s="540">
        <f t="shared" ref="Q827:Q833" si="754">+O827*K827</f>
        <v>0</v>
      </c>
    </row>
    <row r="828" spans="1:17" ht="23.4" x14ac:dyDescent="0.3">
      <c r="A828" s="248" t="s">
        <v>108</v>
      </c>
      <c r="B828" s="593"/>
      <c r="C828" s="278" t="s">
        <v>307</v>
      </c>
      <c r="D828" s="279"/>
      <c r="E828" s="439"/>
      <c r="F828" s="336">
        <f t="shared" ref="F828:F833" si="755">+G828+H828</f>
        <v>0</v>
      </c>
      <c r="G828" s="281"/>
      <c r="H828" s="281"/>
      <c r="I828" s="355" t="str">
        <f>IFERROR(F828/#REF!,"-")</f>
        <v>-</v>
      </c>
      <c r="J828" s="336">
        <f t="shared" ref="J828:J833" si="756">+K828+L828</f>
        <v>0</v>
      </c>
      <c r="K828" s="281">
        <f t="shared" si="751"/>
        <v>0</v>
      </c>
      <c r="L828" s="439">
        <f t="shared" si="752"/>
        <v>0</v>
      </c>
      <c r="M828" s="340" t="str">
        <f t="shared" ref="M828:M830" si="757">IFERROR(J828/D828,"-")</f>
        <v>-</v>
      </c>
      <c r="N828" s="268" t="str">
        <f t="shared" si="736"/>
        <v>-</v>
      </c>
      <c r="O828" s="639">
        <v>1.4086000000000001</v>
      </c>
      <c r="P828" s="407">
        <f t="shared" si="753"/>
        <v>0</v>
      </c>
      <c r="Q828" s="452">
        <f t="shared" si="754"/>
        <v>0</v>
      </c>
    </row>
    <row r="829" spans="1:17" ht="23.4" x14ac:dyDescent="0.3">
      <c r="A829" s="248" t="s">
        <v>108</v>
      </c>
      <c r="B829" s="593"/>
      <c r="C829" s="278" t="s">
        <v>348</v>
      </c>
      <c r="D829" s="279"/>
      <c r="E829" s="439"/>
      <c r="F829" s="336">
        <f t="shared" si="755"/>
        <v>0</v>
      </c>
      <c r="G829" s="281"/>
      <c r="H829" s="281"/>
      <c r="I829" s="355" t="str">
        <f>IFERROR(F829/#REF!,"-")</f>
        <v>-</v>
      </c>
      <c r="J829" s="336">
        <f t="shared" si="756"/>
        <v>0</v>
      </c>
      <c r="K829" s="281">
        <f t="shared" si="751"/>
        <v>0</v>
      </c>
      <c r="L829" s="439">
        <f t="shared" si="752"/>
        <v>0</v>
      </c>
      <c r="M829" s="340" t="str">
        <f t="shared" si="757"/>
        <v>-</v>
      </c>
      <c r="N829" s="268" t="str">
        <f>IFERROR(L829/J829,"-")</f>
        <v>-</v>
      </c>
      <c r="O829" s="639">
        <v>2.2141000000000002</v>
      </c>
      <c r="P829" s="407">
        <f t="shared" si="753"/>
        <v>0</v>
      </c>
      <c r="Q829" s="452">
        <f t="shared" si="754"/>
        <v>0</v>
      </c>
    </row>
    <row r="830" spans="1:17" ht="23.4" x14ac:dyDescent="0.3">
      <c r="A830" s="248" t="s">
        <v>108</v>
      </c>
      <c r="B830" s="594"/>
      <c r="C830" s="278" t="s">
        <v>460</v>
      </c>
      <c r="D830" s="283"/>
      <c r="E830" s="533"/>
      <c r="F830" s="337">
        <f t="shared" si="755"/>
        <v>0</v>
      </c>
      <c r="G830" s="285"/>
      <c r="H830" s="285"/>
      <c r="I830" s="356" t="str">
        <f>IFERROR(F830/#REF!,"-")</f>
        <v>-</v>
      </c>
      <c r="J830" s="336">
        <f t="shared" si="756"/>
        <v>392598</v>
      </c>
      <c r="K830" s="281">
        <f t="shared" si="751"/>
        <v>386500</v>
      </c>
      <c r="L830" s="439">
        <f t="shared" si="752"/>
        <v>6098</v>
      </c>
      <c r="M830" s="341" t="str">
        <f t="shared" si="757"/>
        <v>-</v>
      </c>
      <c r="N830" s="347">
        <f t="shared" ref="N830:N837" si="758">IFERROR(L830/J830,"-")</f>
        <v>1.5532427572224006E-2</v>
      </c>
      <c r="O830" s="639">
        <v>2.2141000000000002</v>
      </c>
      <c r="P830" s="408">
        <f t="shared" si="753"/>
        <v>0</v>
      </c>
      <c r="Q830" s="453">
        <f t="shared" si="754"/>
        <v>855749.65</v>
      </c>
    </row>
    <row r="831" spans="1:17" ht="23.4" x14ac:dyDescent="0.3">
      <c r="A831" s="248" t="s">
        <v>108</v>
      </c>
      <c r="B831" s="443"/>
      <c r="C831" s="637" t="s">
        <v>393</v>
      </c>
      <c r="D831" s="514"/>
      <c r="E831" s="534"/>
      <c r="F831" s="336">
        <f t="shared" si="755"/>
        <v>0</v>
      </c>
      <c r="G831" s="553"/>
      <c r="H831" s="553"/>
      <c r="I831" s="355" t="str">
        <f>IFERROR(F831/#REF!,"-")</f>
        <v>-</v>
      </c>
      <c r="J831" s="336">
        <f t="shared" si="756"/>
        <v>0</v>
      </c>
      <c r="K831" s="281">
        <f t="shared" si="751"/>
        <v>0</v>
      </c>
      <c r="L831" s="439">
        <f t="shared" si="752"/>
        <v>0</v>
      </c>
      <c r="M831" s="725"/>
      <c r="N831" s="268" t="str">
        <f t="shared" si="758"/>
        <v>-</v>
      </c>
      <c r="O831" s="545">
        <v>4.8285999999999998</v>
      </c>
      <c r="P831" s="407">
        <f t="shared" si="753"/>
        <v>0</v>
      </c>
      <c r="Q831" s="452">
        <f t="shared" si="754"/>
        <v>0</v>
      </c>
    </row>
    <row r="832" spans="1:17" ht="23.4" x14ac:dyDescent="0.3">
      <c r="A832" s="248" t="s">
        <v>108</v>
      </c>
      <c r="B832" s="595"/>
      <c r="C832" s="637" t="s">
        <v>389</v>
      </c>
      <c r="D832" s="273"/>
      <c r="E832" s="438"/>
      <c r="F832" s="335">
        <f t="shared" si="755"/>
        <v>0</v>
      </c>
      <c r="G832" s="275"/>
      <c r="H832" s="275"/>
      <c r="I832" s="354" t="str">
        <f>IFERROR(F832/#REF!,"-")</f>
        <v>-</v>
      </c>
      <c r="J832" s="336">
        <f t="shared" si="756"/>
        <v>0</v>
      </c>
      <c r="K832" s="281">
        <f t="shared" si="751"/>
        <v>0</v>
      </c>
      <c r="L832" s="439">
        <f t="shared" si="752"/>
        <v>0</v>
      </c>
      <c r="M832" s="339" t="str">
        <f t="shared" ref="M832:M833" si="759">IFERROR(J832/D832,"-")</f>
        <v>-</v>
      </c>
      <c r="N832" s="349" t="str">
        <f t="shared" si="758"/>
        <v>-</v>
      </c>
      <c r="O832" s="511">
        <v>4.1712999999999996</v>
      </c>
      <c r="P832" s="405">
        <f t="shared" si="753"/>
        <v>0</v>
      </c>
      <c r="Q832" s="450">
        <f t="shared" si="754"/>
        <v>0</v>
      </c>
    </row>
    <row r="833" spans="1:17" ht="24" thickBot="1" x14ac:dyDescent="0.35">
      <c r="A833" s="248" t="s">
        <v>108</v>
      </c>
      <c r="B833" s="593"/>
      <c r="C833" s="278"/>
      <c r="D833" s="279"/>
      <c r="E833" s="439"/>
      <c r="F833" s="336">
        <f t="shared" si="755"/>
        <v>0</v>
      </c>
      <c r="G833" s="281"/>
      <c r="H833" s="281"/>
      <c r="I833" s="355" t="str">
        <f>IFERROR(F833/#REF!,"-")</f>
        <v>-</v>
      </c>
      <c r="J833" s="464">
        <f t="shared" si="756"/>
        <v>0</v>
      </c>
      <c r="K833" s="465">
        <f t="shared" si="751"/>
        <v>0</v>
      </c>
      <c r="L833" s="466">
        <f t="shared" si="752"/>
        <v>0</v>
      </c>
      <c r="M833" s="340" t="str">
        <f t="shared" si="759"/>
        <v>-</v>
      </c>
      <c r="N833" s="264" t="str">
        <f t="shared" si="758"/>
        <v>-</v>
      </c>
      <c r="O833" s="451"/>
      <c r="P833" s="407">
        <f t="shared" si="753"/>
        <v>0</v>
      </c>
      <c r="Q833" s="452">
        <f t="shared" si="754"/>
        <v>0</v>
      </c>
    </row>
    <row r="834" spans="1:17" ht="23.25" customHeight="1" thickBot="1" x14ac:dyDescent="0.35">
      <c r="A834" s="277" t="s">
        <v>108</v>
      </c>
      <c r="B834" s="1038" t="s">
        <v>21</v>
      </c>
      <c r="C834" s="989"/>
      <c r="D834" s="323">
        <v>0</v>
      </c>
      <c r="E834" s="288">
        <v>15000</v>
      </c>
      <c r="F834" s="323">
        <f>SUM(F827:F833)</f>
        <v>0</v>
      </c>
      <c r="G834" s="324">
        <f t="shared" ref="G834:H834" si="760">SUM(G827:G833)</f>
        <v>0</v>
      </c>
      <c r="H834" s="324">
        <f t="shared" si="760"/>
        <v>0</v>
      </c>
      <c r="I834" s="348" t="str">
        <f>IFERROR(F834/#REF!,"-")</f>
        <v>-</v>
      </c>
      <c r="J834" s="518">
        <f t="shared" ref="J834" si="761">SUM(J827:J833)</f>
        <v>392598</v>
      </c>
      <c r="K834" s="524">
        <f>SUM(K827:K833)</f>
        <v>386500</v>
      </c>
      <c r="L834" s="524">
        <f>SUM(L827:L833)</f>
        <v>6098</v>
      </c>
      <c r="M834" s="342" t="str">
        <f>IFERROR(J834/D834,"-")</f>
        <v>-</v>
      </c>
      <c r="N834" s="348">
        <f t="shared" si="758"/>
        <v>1.5532427572224006E-2</v>
      </c>
      <c r="O834" s="394"/>
      <c r="P834" s="409">
        <f>SUM(P827:P833)</f>
        <v>0</v>
      </c>
      <c r="Q834" s="428">
        <f>SUM(Q827:Q833)</f>
        <v>855749.65</v>
      </c>
    </row>
    <row r="835" spans="1:17" ht="23.25" customHeight="1" thickBot="1" x14ac:dyDescent="0.35">
      <c r="A835" s="277" t="s">
        <v>108</v>
      </c>
      <c r="B835" s="1039" t="s">
        <v>268</v>
      </c>
      <c r="C835" s="1040"/>
      <c r="D835" s="517">
        <f>+D831+D834</f>
        <v>0</v>
      </c>
      <c r="E835" s="530">
        <f>+E831+E834</f>
        <v>15000</v>
      </c>
      <c r="F835" s="517">
        <f>+F831+F834</f>
        <v>0</v>
      </c>
      <c r="G835" s="519">
        <f>+G831+G834</f>
        <v>0</v>
      </c>
      <c r="H835" s="519">
        <f>+H831+H834</f>
        <v>0</v>
      </c>
      <c r="I835" s="520" t="str">
        <f>IFERROR(F835/#REF!,"-")</f>
        <v>-</v>
      </c>
      <c r="J835" s="517">
        <f>+J831+J834</f>
        <v>392598</v>
      </c>
      <c r="K835" s="519">
        <f>+K834</f>
        <v>386500</v>
      </c>
      <c r="L835" s="519">
        <f>+L834</f>
        <v>6098</v>
      </c>
      <c r="M835" s="521" t="str">
        <f t="shared" ref="M835" si="762">IFERROR(J835/D835,"-")</f>
        <v>-</v>
      </c>
      <c r="N835" s="520">
        <f t="shared" si="758"/>
        <v>1.5532427572224006E-2</v>
      </c>
      <c r="O835" s="522"/>
      <c r="P835" s="523">
        <f>+P834</f>
        <v>0</v>
      </c>
      <c r="Q835" s="523">
        <f>+Q834</f>
        <v>855749.65</v>
      </c>
    </row>
    <row r="836" spans="1:17" ht="23.4" x14ac:dyDescent="0.4">
      <c r="A836" s="244" t="s">
        <v>108</v>
      </c>
      <c r="B836" s="1035" t="s">
        <v>270</v>
      </c>
      <c r="C836" s="547" t="s">
        <v>74</v>
      </c>
      <c r="D836" s="532"/>
      <c r="E836" s="463"/>
      <c r="F836" s="461">
        <f>+G836+H836</f>
        <v>0</v>
      </c>
      <c r="G836" s="462"/>
      <c r="H836" s="462"/>
      <c r="I836" s="536" t="str">
        <f>IFERROR(F836/#REF!,"-")</f>
        <v>-</v>
      </c>
      <c r="J836" s="461">
        <f>+K836+L836</f>
        <v>44210</v>
      </c>
      <c r="K836" s="462">
        <f t="shared" ref="K836:K867" si="763">+K774+G836</f>
        <v>44000</v>
      </c>
      <c r="L836" s="463">
        <f t="shared" ref="L836:L867" si="764">+L774+H836</f>
        <v>210</v>
      </c>
      <c r="M836" s="596" t="str">
        <f>IFERROR(J836/D836,"-")</f>
        <v>-</v>
      </c>
      <c r="N836" s="538">
        <f t="shared" si="758"/>
        <v>4.7500565482922414E-3</v>
      </c>
      <c r="O836" s="543">
        <v>32.946300000000001</v>
      </c>
      <c r="P836" s="539">
        <f t="shared" ref="P836:P867" si="765">+O836*G836</f>
        <v>0</v>
      </c>
      <c r="Q836" s="540">
        <f t="shared" ref="Q836:Q867" si="766">+O836*K836</f>
        <v>1449637.2</v>
      </c>
    </row>
    <row r="837" spans="1:17" ht="23.4" x14ac:dyDescent="0.4">
      <c r="A837" s="248" t="s">
        <v>108</v>
      </c>
      <c r="B837" s="1036"/>
      <c r="C837" s="548" t="s">
        <v>75</v>
      </c>
      <c r="D837" s="516"/>
      <c r="E837" s="439"/>
      <c r="F837" s="336">
        <f t="shared" ref="F837:F867" si="767">+G837+H837</f>
        <v>0</v>
      </c>
      <c r="G837" s="281"/>
      <c r="H837" s="281"/>
      <c r="I837" s="355" t="str">
        <f>IFERROR(F837/#REF!,"-")</f>
        <v>-</v>
      </c>
      <c r="J837" s="336">
        <f t="shared" ref="J837:J867" si="768">+K837+L837</f>
        <v>15076</v>
      </c>
      <c r="K837" s="281">
        <f t="shared" si="763"/>
        <v>15000</v>
      </c>
      <c r="L837" s="439">
        <f t="shared" si="764"/>
        <v>76</v>
      </c>
      <c r="M837" s="340" t="str">
        <f t="shared" ref="M837:M839" si="769">IFERROR(J837/D837,"-")</f>
        <v>-</v>
      </c>
      <c r="N837" s="268">
        <f t="shared" si="758"/>
        <v>5.0411249668347044E-3</v>
      </c>
      <c r="O837" s="512">
        <v>35.398400000000002</v>
      </c>
      <c r="P837" s="407">
        <f t="shared" si="765"/>
        <v>0</v>
      </c>
      <c r="Q837" s="452">
        <f t="shared" si="766"/>
        <v>530976</v>
      </c>
    </row>
    <row r="838" spans="1:17" ht="24" thickBot="1" x14ac:dyDescent="0.45">
      <c r="A838" s="248" t="s">
        <v>108</v>
      </c>
      <c r="B838" s="1037"/>
      <c r="C838" s="548" t="s">
        <v>76</v>
      </c>
      <c r="D838" s="279"/>
      <c r="E838" s="439"/>
      <c r="F838" s="336">
        <f t="shared" si="767"/>
        <v>0</v>
      </c>
      <c r="G838" s="281"/>
      <c r="H838" s="281"/>
      <c r="I838" s="355" t="str">
        <f>IFERROR(F838/#REF!,"-")</f>
        <v>-</v>
      </c>
      <c r="J838" s="336">
        <f t="shared" si="768"/>
        <v>0</v>
      </c>
      <c r="K838" s="281">
        <f t="shared" si="763"/>
        <v>0</v>
      </c>
      <c r="L838" s="439">
        <f t="shared" si="764"/>
        <v>0</v>
      </c>
      <c r="M838" s="340" t="str">
        <f t="shared" si="769"/>
        <v>-</v>
      </c>
      <c r="N838" s="268" t="str">
        <f>IFERROR(L838/J838,"-")</f>
        <v>-</v>
      </c>
      <c r="O838" s="512">
        <v>32.946300000000001</v>
      </c>
      <c r="P838" s="407">
        <f t="shared" si="765"/>
        <v>0</v>
      </c>
      <c r="Q838" s="452">
        <f t="shared" si="766"/>
        <v>0</v>
      </c>
    </row>
    <row r="839" spans="1:17" ht="23.4" x14ac:dyDescent="0.4">
      <c r="A839" s="248" t="s">
        <v>108</v>
      </c>
      <c r="B839" s="1035" t="s">
        <v>271</v>
      </c>
      <c r="C839" s="550" t="s">
        <v>78</v>
      </c>
      <c r="D839" s="279"/>
      <c r="E839" s="533"/>
      <c r="F839" s="337">
        <f t="shared" si="767"/>
        <v>4930</v>
      </c>
      <c r="G839" s="281">
        <v>4800</v>
      </c>
      <c r="H839" s="281">
        <v>130</v>
      </c>
      <c r="I839" s="355" t="str">
        <f>IFERROR(F839/#REF!,"-")</f>
        <v>-</v>
      </c>
      <c r="J839" s="336">
        <f t="shared" si="768"/>
        <v>42593</v>
      </c>
      <c r="K839" s="281">
        <f t="shared" si="763"/>
        <v>40801</v>
      </c>
      <c r="L839" s="439">
        <f t="shared" si="764"/>
        <v>1792</v>
      </c>
      <c r="M839" s="340" t="str">
        <f t="shared" si="769"/>
        <v>-</v>
      </c>
      <c r="N839" s="268">
        <f t="shared" ref="N839" si="770">IFERROR(L839/J839,"-")</f>
        <v>4.2072641044303055E-2</v>
      </c>
      <c r="O839" s="512">
        <v>55.4758</v>
      </c>
      <c r="P839" s="407">
        <f t="shared" si="765"/>
        <v>266283.84000000003</v>
      </c>
      <c r="Q839" s="452">
        <f t="shared" si="766"/>
        <v>2263468.1157999998</v>
      </c>
    </row>
    <row r="840" spans="1:17" ht="23.4" x14ac:dyDescent="0.4">
      <c r="A840" s="248" t="s">
        <v>108</v>
      </c>
      <c r="B840" s="1036"/>
      <c r="C840" s="550" t="s">
        <v>75</v>
      </c>
      <c r="D840" s="279"/>
      <c r="E840" s="534"/>
      <c r="F840" s="337">
        <f t="shared" si="767"/>
        <v>0</v>
      </c>
      <c r="G840" s="281"/>
      <c r="H840" s="281"/>
      <c r="I840" s="355" t="str">
        <f>IFERROR(F840/#REF!,"-")</f>
        <v>-</v>
      </c>
      <c r="J840" s="336">
        <f t="shared" si="768"/>
        <v>8448</v>
      </c>
      <c r="K840" s="281">
        <f t="shared" si="763"/>
        <v>6800</v>
      </c>
      <c r="L840" s="439">
        <f t="shared" si="764"/>
        <v>1648</v>
      </c>
      <c r="M840" s="725"/>
      <c r="N840" s="375"/>
      <c r="O840" s="545">
        <v>58.836300000000001</v>
      </c>
      <c r="P840" s="407">
        <f t="shared" si="765"/>
        <v>0</v>
      </c>
      <c r="Q840" s="452">
        <f t="shared" si="766"/>
        <v>400086.84</v>
      </c>
    </row>
    <row r="841" spans="1:17" ht="23.4" x14ac:dyDescent="0.4">
      <c r="A841" s="248" t="s">
        <v>108</v>
      </c>
      <c r="B841" s="1036"/>
      <c r="C841" s="550" t="s">
        <v>386</v>
      </c>
      <c r="D841" s="279"/>
      <c r="E841" s="438"/>
      <c r="F841" s="337">
        <f t="shared" si="767"/>
        <v>0</v>
      </c>
      <c r="G841" s="281"/>
      <c r="H841" s="281"/>
      <c r="I841" s="355" t="str">
        <f>IFERROR(F841/#REF!,"-")</f>
        <v>-</v>
      </c>
      <c r="J841" s="336">
        <f t="shared" si="768"/>
        <v>3290</v>
      </c>
      <c r="K841" s="281">
        <f t="shared" si="763"/>
        <v>2800</v>
      </c>
      <c r="L841" s="439">
        <f t="shared" si="764"/>
        <v>490</v>
      </c>
      <c r="M841" s="340" t="str">
        <f t="shared" ref="M841" si="771">IFERROR(J841/D841,"-")</f>
        <v>-</v>
      </c>
      <c r="N841" s="264">
        <f t="shared" ref="N841" si="772">IFERROR(L841/J841,"-")</f>
        <v>0.14893617021276595</v>
      </c>
      <c r="O841" s="512">
        <v>55.4758</v>
      </c>
      <c r="P841" s="407">
        <f t="shared" si="765"/>
        <v>0</v>
      </c>
      <c r="Q841" s="452">
        <f t="shared" si="766"/>
        <v>155332.24</v>
      </c>
    </row>
    <row r="842" spans="1:17" ht="24" thickBot="1" x14ac:dyDescent="0.45">
      <c r="A842" s="248"/>
      <c r="B842" s="1037"/>
      <c r="C842" s="550" t="s">
        <v>404</v>
      </c>
      <c r="D842" s="279"/>
      <c r="E842" s="438"/>
      <c r="F842" s="337">
        <f t="shared" si="767"/>
        <v>0</v>
      </c>
      <c r="G842" s="281"/>
      <c r="H842" s="281"/>
      <c r="I842" s="355"/>
      <c r="J842" s="336">
        <f t="shared" si="768"/>
        <v>2220</v>
      </c>
      <c r="K842" s="281">
        <f t="shared" si="763"/>
        <v>2064</v>
      </c>
      <c r="L842" s="439">
        <f t="shared" si="764"/>
        <v>156</v>
      </c>
      <c r="M842" s="340"/>
      <c r="N842" s="264">
        <f>IFERROR(L842/J842,"-")</f>
        <v>7.0270270270270274E-2</v>
      </c>
      <c r="O842" s="512">
        <v>55.4758</v>
      </c>
      <c r="P842" s="407">
        <f t="shared" si="765"/>
        <v>0</v>
      </c>
      <c r="Q842" s="452">
        <f t="shared" si="766"/>
        <v>114502.0512</v>
      </c>
    </row>
    <row r="843" spans="1:17" ht="23.4" x14ac:dyDescent="0.4">
      <c r="A843" s="248" t="s">
        <v>108</v>
      </c>
      <c r="B843" s="1035" t="s">
        <v>490</v>
      </c>
      <c r="C843" s="548" t="s">
        <v>80</v>
      </c>
      <c r="D843" s="279"/>
      <c r="E843" s="439"/>
      <c r="F843" s="336">
        <f t="shared" si="767"/>
        <v>6022</v>
      </c>
      <c r="G843" s="281">
        <v>6000</v>
      </c>
      <c r="H843" s="281">
        <v>22</v>
      </c>
      <c r="I843" s="355" t="str">
        <f>IFERROR(F843/#REF!,"-")</f>
        <v>-</v>
      </c>
      <c r="J843" s="336">
        <f t="shared" si="768"/>
        <v>7192</v>
      </c>
      <c r="K843" s="281">
        <f t="shared" si="763"/>
        <v>7100</v>
      </c>
      <c r="L843" s="439">
        <f t="shared" si="764"/>
        <v>92</v>
      </c>
      <c r="M843" s="340" t="str">
        <f t="shared" ref="M843:M870" si="773">IFERROR(J843/D843,"-")</f>
        <v>-</v>
      </c>
      <c r="N843" s="264">
        <f t="shared" ref="N843:N869" si="774">IFERROR(L843/J843,"-")</f>
        <v>1.2791991101223582E-2</v>
      </c>
      <c r="O843" s="512">
        <v>25.687200000000001</v>
      </c>
      <c r="P843" s="407">
        <f t="shared" si="765"/>
        <v>154123.20000000001</v>
      </c>
      <c r="Q843" s="452">
        <f t="shared" si="766"/>
        <v>182379.12</v>
      </c>
    </row>
    <row r="844" spans="1:17" ht="24" thickBot="1" x14ac:dyDescent="0.45">
      <c r="A844" s="248" t="s">
        <v>108</v>
      </c>
      <c r="B844" s="1037"/>
      <c r="C844" s="548" t="s">
        <v>124</v>
      </c>
      <c r="D844" s="279"/>
      <c r="E844" s="439"/>
      <c r="F844" s="336">
        <f t="shared" si="767"/>
        <v>0</v>
      </c>
      <c r="G844" s="281"/>
      <c r="H844" s="281"/>
      <c r="I844" s="355" t="str">
        <f>IFERROR(F844/#REF!,"-")</f>
        <v>-</v>
      </c>
      <c r="J844" s="336">
        <f t="shared" si="768"/>
        <v>0</v>
      </c>
      <c r="K844" s="281">
        <f t="shared" si="763"/>
        <v>0</v>
      </c>
      <c r="L844" s="439">
        <f t="shared" si="764"/>
        <v>0</v>
      </c>
      <c r="M844" s="340" t="str">
        <f t="shared" si="773"/>
        <v>-</v>
      </c>
      <c r="N844" s="264" t="str">
        <f t="shared" si="774"/>
        <v>-</v>
      </c>
      <c r="O844" s="512">
        <v>25.033899999999999</v>
      </c>
      <c r="P844" s="407">
        <f t="shared" si="765"/>
        <v>0</v>
      </c>
      <c r="Q844" s="452">
        <f t="shared" si="766"/>
        <v>0</v>
      </c>
    </row>
    <row r="845" spans="1:17" ht="23.4" x14ac:dyDescent="0.4">
      <c r="A845" s="248"/>
      <c r="B845" s="1035" t="s">
        <v>491</v>
      </c>
      <c r="C845" s="548" t="s">
        <v>82</v>
      </c>
      <c r="D845" s="279"/>
      <c r="E845" s="439"/>
      <c r="F845" s="336">
        <f t="shared" si="767"/>
        <v>0</v>
      </c>
      <c r="G845" s="281"/>
      <c r="H845" s="281"/>
      <c r="I845" s="355" t="str">
        <f>IFERROR(F845/#REF!,"-")</f>
        <v>-</v>
      </c>
      <c r="J845" s="336">
        <f t="shared" si="768"/>
        <v>7837</v>
      </c>
      <c r="K845" s="281">
        <f t="shared" si="763"/>
        <v>7800</v>
      </c>
      <c r="L845" s="439">
        <f t="shared" si="764"/>
        <v>37</v>
      </c>
      <c r="M845" s="340" t="str">
        <f t="shared" si="773"/>
        <v>-</v>
      </c>
      <c r="N845" s="264">
        <f t="shared" si="774"/>
        <v>4.7211943345667985E-3</v>
      </c>
      <c r="O845" s="512">
        <v>41.992699999999999</v>
      </c>
      <c r="P845" s="407">
        <f t="shared" si="765"/>
        <v>0</v>
      </c>
      <c r="Q845" s="452">
        <f t="shared" si="766"/>
        <v>327543.06</v>
      </c>
    </row>
    <row r="846" spans="1:17" ht="23.4" x14ac:dyDescent="0.4">
      <c r="A846" s="248"/>
      <c r="B846" s="1036"/>
      <c r="C846" s="548" t="s">
        <v>75</v>
      </c>
      <c r="D846" s="279"/>
      <c r="E846" s="439"/>
      <c r="F846" s="336">
        <f t="shared" si="767"/>
        <v>0</v>
      </c>
      <c r="G846" s="281"/>
      <c r="H846" s="281"/>
      <c r="I846" s="355" t="str">
        <f>IFERROR(F846/#REF!,"-")</f>
        <v>-</v>
      </c>
      <c r="J846" s="336">
        <f t="shared" si="768"/>
        <v>45</v>
      </c>
      <c r="K846" s="281">
        <f t="shared" si="763"/>
        <v>45</v>
      </c>
      <c r="L846" s="439">
        <f t="shared" si="764"/>
        <v>0</v>
      </c>
      <c r="M846" s="340" t="str">
        <f t="shared" si="773"/>
        <v>-</v>
      </c>
      <c r="N846" s="264">
        <f t="shared" si="774"/>
        <v>0</v>
      </c>
      <c r="O846" s="512">
        <v>42.283799999999999</v>
      </c>
      <c r="P846" s="407">
        <f t="shared" si="765"/>
        <v>0</v>
      </c>
      <c r="Q846" s="452">
        <f t="shared" si="766"/>
        <v>1902.771</v>
      </c>
    </row>
    <row r="847" spans="1:17" ht="23.4" x14ac:dyDescent="0.4">
      <c r="A847" s="248"/>
      <c r="B847" s="1036"/>
      <c r="C847" s="548" t="s">
        <v>450</v>
      </c>
      <c r="D847" s="279"/>
      <c r="E847" s="439"/>
      <c r="F847" s="336">
        <f t="shared" si="767"/>
        <v>0</v>
      </c>
      <c r="G847" s="281"/>
      <c r="H847" s="281"/>
      <c r="I847" s="355" t="str">
        <f>IFERROR(F847/#REF!,"-")</f>
        <v>-</v>
      </c>
      <c r="J847" s="336">
        <f t="shared" si="768"/>
        <v>1140</v>
      </c>
      <c r="K847" s="281">
        <f t="shared" si="763"/>
        <v>1140</v>
      </c>
      <c r="L847" s="439">
        <f t="shared" si="764"/>
        <v>0</v>
      </c>
      <c r="M847" s="340" t="str">
        <f t="shared" si="773"/>
        <v>-</v>
      </c>
      <c r="N847" s="264">
        <f t="shared" si="774"/>
        <v>0</v>
      </c>
      <c r="O847" s="772">
        <v>41.992699999999999</v>
      </c>
      <c r="P847" s="407">
        <f t="shared" si="765"/>
        <v>0</v>
      </c>
      <c r="Q847" s="452">
        <f t="shared" si="766"/>
        <v>47871.678</v>
      </c>
    </row>
    <row r="848" spans="1:17" ht="24" thickBot="1" x14ac:dyDescent="0.45">
      <c r="A848" s="248"/>
      <c r="B848" s="1037"/>
      <c r="C848" s="548" t="s">
        <v>451</v>
      </c>
      <c r="D848" s="279"/>
      <c r="E848" s="439"/>
      <c r="F848" s="336">
        <f t="shared" si="767"/>
        <v>0</v>
      </c>
      <c r="G848" s="281"/>
      <c r="H848" s="281"/>
      <c r="I848" s="355" t="str">
        <f>IFERROR(F848/#REF!,"-")</f>
        <v>-</v>
      </c>
      <c r="J848" s="336">
        <f t="shared" si="768"/>
        <v>712</v>
      </c>
      <c r="K848" s="281">
        <f t="shared" si="763"/>
        <v>660</v>
      </c>
      <c r="L848" s="439">
        <f t="shared" si="764"/>
        <v>52</v>
      </c>
      <c r="M848" s="340" t="str">
        <f t="shared" si="773"/>
        <v>-</v>
      </c>
      <c r="N848" s="264">
        <f t="shared" si="774"/>
        <v>7.3033707865168537E-2</v>
      </c>
      <c r="O848" s="772">
        <v>42.283799999999999</v>
      </c>
      <c r="P848" s="407">
        <f t="shared" si="765"/>
        <v>0</v>
      </c>
      <c r="Q848" s="452">
        <f t="shared" si="766"/>
        <v>27907.308000000001</v>
      </c>
    </row>
    <row r="849" spans="1:17" ht="24" thickBot="1" x14ac:dyDescent="0.45">
      <c r="A849" s="248"/>
      <c r="B849" s="815" t="s">
        <v>83</v>
      </c>
      <c r="C849" s="548" t="s">
        <v>84</v>
      </c>
      <c r="D849" s="279"/>
      <c r="E849" s="439"/>
      <c r="F849" s="336">
        <f t="shared" si="767"/>
        <v>0</v>
      </c>
      <c r="G849" s="281"/>
      <c r="H849" s="281"/>
      <c r="I849" s="355" t="str">
        <f>IFERROR(F849/#REF!,"-")</f>
        <v>-</v>
      </c>
      <c r="J849" s="336">
        <f t="shared" si="768"/>
        <v>0</v>
      </c>
      <c r="K849" s="281">
        <f t="shared" si="763"/>
        <v>0</v>
      </c>
      <c r="L849" s="439">
        <f t="shared" si="764"/>
        <v>0</v>
      </c>
      <c r="M849" s="340" t="str">
        <f t="shared" si="773"/>
        <v>-</v>
      </c>
      <c r="N849" s="264" t="str">
        <f t="shared" si="774"/>
        <v>-</v>
      </c>
      <c r="O849" s="512">
        <v>4.3535000000000004</v>
      </c>
      <c r="P849" s="407">
        <f t="shared" si="765"/>
        <v>0</v>
      </c>
      <c r="Q849" s="452">
        <f t="shared" si="766"/>
        <v>0</v>
      </c>
    </row>
    <row r="850" spans="1:17" ht="23.4" x14ac:dyDescent="0.4">
      <c r="A850" s="248"/>
      <c r="B850" s="1035" t="s">
        <v>273</v>
      </c>
      <c r="C850" s="548" t="s">
        <v>80</v>
      </c>
      <c r="D850" s="279"/>
      <c r="E850" s="439"/>
      <c r="F850" s="336">
        <f t="shared" si="767"/>
        <v>50080</v>
      </c>
      <c r="G850" s="281">
        <v>49500</v>
      </c>
      <c r="H850" s="281">
        <v>580</v>
      </c>
      <c r="I850" s="355" t="str">
        <f>IFERROR(F850/#REF!,"-")</f>
        <v>-</v>
      </c>
      <c r="J850" s="336">
        <f t="shared" si="768"/>
        <v>175559</v>
      </c>
      <c r="K850" s="281">
        <f t="shared" si="763"/>
        <v>173800</v>
      </c>
      <c r="L850" s="439">
        <f t="shared" si="764"/>
        <v>1759</v>
      </c>
      <c r="M850" s="340" t="str">
        <f t="shared" si="773"/>
        <v>-</v>
      </c>
      <c r="N850" s="264">
        <f t="shared" si="774"/>
        <v>1.0019423669535598E-2</v>
      </c>
      <c r="O850" s="512">
        <v>4.6184000000000003</v>
      </c>
      <c r="P850" s="407">
        <f t="shared" si="765"/>
        <v>228610.80000000002</v>
      </c>
      <c r="Q850" s="452">
        <f t="shared" si="766"/>
        <v>802677.92</v>
      </c>
    </row>
    <row r="851" spans="1:17" ht="23.4" x14ac:dyDescent="0.4">
      <c r="A851" s="248"/>
      <c r="B851" s="1036"/>
      <c r="C851" s="548" t="s">
        <v>378</v>
      </c>
      <c r="D851" s="279"/>
      <c r="E851" s="439"/>
      <c r="F851" s="336">
        <f t="shared" si="767"/>
        <v>0</v>
      </c>
      <c r="G851" s="281"/>
      <c r="H851" s="281"/>
      <c r="I851" s="355" t="str">
        <f>IFERROR(F851/#REF!,"-")</f>
        <v>-</v>
      </c>
      <c r="J851" s="336">
        <f t="shared" si="768"/>
        <v>0</v>
      </c>
      <c r="K851" s="281">
        <f t="shared" si="763"/>
        <v>0</v>
      </c>
      <c r="L851" s="439">
        <f t="shared" si="764"/>
        <v>0</v>
      </c>
      <c r="M851" s="340" t="str">
        <f t="shared" si="773"/>
        <v>-</v>
      </c>
      <c r="N851" s="264" t="str">
        <f t="shared" si="774"/>
        <v>-</v>
      </c>
      <c r="O851" s="512">
        <v>4.6184000000000003</v>
      </c>
      <c r="P851" s="407">
        <f t="shared" si="765"/>
        <v>0</v>
      </c>
      <c r="Q851" s="452">
        <f t="shared" si="766"/>
        <v>0</v>
      </c>
    </row>
    <row r="852" spans="1:17" ht="23.4" x14ac:dyDescent="0.4">
      <c r="A852" s="248"/>
      <c r="B852" s="1036"/>
      <c r="C852" s="548" t="s">
        <v>272</v>
      </c>
      <c r="D852" s="279"/>
      <c r="E852" s="439"/>
      <c r="F852" s="336">
        <f t="shared" si="767"/>
        <v>0</v>
      </c>
      <c r="G852" s="281"/>
      <c r="H852" s="281"/>
      <c r="I852" s="355" t="str">
        <f>IFERROR(F852/#REF!,"-")</f>
        <v>-</v>
      </c>
      <c r="J852" s="336">
        <f t="shared" si="768"/>
        <v>0</v>
      </c>
      <c r="K852" s="281">
        <f t="shared" si="763"/>
        <v>0</v>
      </c>
      <c r="L852" s="439">
        <f t="shared" si="764"/>
        <v>0</v>
      </c>
      <c r="M852" s="340" t="str">
        <f t="shared" si="773"/>
        <v>-</v>
      </c>
      <c r="N852" s="264" t="str">
        <f t="shared" si="774"/>
        <v>-</v>
      </c>
      <c r="O852" s="512">
        <v>4.6184000000000003</v>
      </c>
      <c r="P852" s="407">
        <f t="shared" si="765"/>
        <v>0</v>
      </c>
      <c r="Q852" s="452">
        <f t="shared" si="766"/>
        <v>0</v>
      </c>
    </row>
    <row r="853" spans="1:17" ht="23.4" x14ac:dyDescent="0.4">
      <c r="A853" s="248"/>
      <c r="B853" s="1036"/>
      <c r="C853" s="548" t="s">
        <v>390</v>
      </c>
      <c r="D853" s="279"/>
      <c r="E853" s="439"/>
      <c r="F853" s="336">
        <f t="shared" si="767"/>
        <v>0</v>
      </c>
      <c r="G853" s="281"/>
      <c r="H853" s="281"/>
      <c r="I853" s="355" t="str">
        <f>IFERROR(F853/#REF!,"-")</f>
        <v>-</v>
      </c>
      <c r="J853" s="336">
        <f t="shared" si="768"/>
        <v>511962</v>
      </c>
      <c r="K853" s="730">
        <f t="shared" si="763"/>
        <v>508200</v>
      </c>
      <c r="L853" s="731">
        <f t="shared" si="764"/>
        <v>3762</v>
      </c>
      <c r="M853" s="340" t="str">
        <f t="shared" si="773"/>
        <v>-</v>
      </c>
      <c r="N853" s="264">
        <f t="shared" si="774"/>
        <v>7.3482016243393063E-3</v>
      </c>
      <c r="O853" s="512">
        <v>4.7636000000000003</v>
      </c>
      <c r="P853" s="407">
        <f t="shared" si="765"/>
        <v>0</v>
      </c>
      <c r="Q853" s="452">
        <f t="shared" si="766"/>
        <v>2420861.52</v>
      </c>
    </row>
    <row r="854" spans="1:17" ht="24" thickBot="1" x14ac:dyDescent="0.45">
      <c r="A854" s="248"/>
      <c r="B854" s="1037"/>
      <c r="C854" s="548" t="s">
        <v>384</v>
      </c>
      <c r="D854" s="279"/>
      <c r="E854" s="439"/>
      <c r="F854" s="336">
        <f t="shared" si="767"/>
        <v>0</v>
      </c>
      <c r="G854" s="281"/>
      <c r="H854" s="281"/>
      <c r="I854" s="355" t="str">
        <f>IFERROR(F854/#REF!,"-")</f>
        <v>-</v>
      </c>
      <c r="J854" s="336">
        <f t="shared" si="768"/>
        <v>0</v>
      </c>
      <c r="K854" s="281">
        <f t="shared" si="763"/>
        <v>0</v>
      </c>
      <c r="L854" s="439">
        <f t="shared" si="764"/>
        <v>0</v>
      </c>
      <c r="M854" s="340" t="str">
        <f t="shared" si="773"/>
        <v>-</v>
      </c>
      <c r="N854" s="264" t="str">
        <f t="shared" si="774"/>
        <v>-</v>
      </c>
      <c r="O854" s="512">
        <v>4.8738000000000001</v>
      </c>
      <c r="P854" s="407">
        <f t="shared" si="765"/>
        <v>0</v>
      </c>
      <c r="Q854" s="452">
        <f t="shared" si="766"/>
        <v>0</v>
      </c>
    </row>
    <row r="855" spans="1:17" ht="24" thickBot="1" x14ac:dyDescent="0.45">
      <c r="A855" s="248"/>
      <c r="B855" s="815" t="s">
        <v>274</v>
      </c>
      <c r="C855" s="548" t="s">
        <v>131</v>
      </c>
      <c r="D855" s="279"/>
      <c r="E855" s="439"/>
      <c r="F855" s="336">
        <f t="shared" si="767"/>
        <v>0</v>
      </c>
      <c r="G855" s="281"/>
      <c r="H855" s="281"/>
      <c r="I855" s="355" t="str">
        <f>IFERROR(F855/#REF!,"-")</f>
        <v>-</v>
      </c>
      <c r="J855" s="336">
        <f t="shared" si="768"/>
        <v>0</v>
      </c>
      <c r="K855" s="281">
        <f t="shared" si="763"/>
        <v>0</v>
      </c>
      <c r="L855" s="439">
        <f t="shared" si="764"/>
        <v>0</v>
      </c>
      <c r="M855" s="340" t="str">
        <f t="shared" si="773"/>
        <v>-</v>
      </c>
      <c r="N855" s="264" t="str">
        <f t="shared" si="774"/>
        <v>-</v>
      </c>
      <c r="O855" s="512">
        <v>4.8738000000000001</v>
      </c>
      <c r="P855" s="407">
        <f t="shared" si="765"/>
        <v>0</v>
      </c>
      <c r="Q855" s="452">
        <f t="shared" si="766"/>
        <v>0</v>
      </c>
    </row>
    <row r="856" spans="1:17" ht="23.4" x14ac:dyDescent="0.4">
      <c r="A856" s="248"/>
      <c r="B856" s="1035" t="s">
        <v>276</v>
      </c>
      <c r="C856" s="548" t="s">
        <v>80</v>
      </c>
      <c r="D856" s="279"/>
      <c r="E856" s="439"/>
      <c r="F856" s="336">
        <f t="shared" si="767"/>
        <v>21740</v>
      </c>
      <c r="G856" s="281">
        <v>21300</v>
      </c>
      <c r="H856" s="281">
        <v>440</v>
      </c>
      <c r="I856" s="355" t="str">
        <f>IFERROR(F856/#REF!,"-")</f>
        <v>-</v>
      </c>
      <c r="J856" s="336">
        <f t="shared" si="768"/>
        <v>376818</v>
      </c>
      <c r="K856" s="730">
        <f t="shared" si="763"/>
        <v>368950</v>
      </c>
      <c r="L856" s="731">
        <f t="shared" si="764"/>
        <v>7868</v>
      </c>
      <c r="M856" s="340" t="str">
        <f t="shared" si="773"/>
        <v>-</v>
      </c>
      <c r="N856" s="264">
        <f t="shared" si="774"/>
        <v>2.0880106576649734E-2</v>
      </c>
      <c r="O856" s="512">
        <v>4.9344999999999999</v>
      </c>
      <c r="P856" s="407">
        <f t="shared" si="765"/>
        <v>105104.84999999999</v>
      </c>
      <c r="Q856" s="452">
        <f t="shared" si="766"/>
        <v>1820583.7749999999</v>
      </c>
    </row>
    <row r="857" spans="1:17" ht="23.4" x14ac:dyDescent="0.4">
      <c r="A857" s="248"/>
      <c r="B857" s="1036"/>
      <c r="C857" s="548" t="s">
        <v>142</v>
      </c>
      <c r="D857" s="279"/>
      <c r="E857" s="439"/>
      <c r="F857" s="336">
        <f t="shared" si="767"/>
        <v>0</v>
      </c>
      <c r="G857" s="281"/>
      <c r="H857" s="281"/>
      <c r="I857" s="355" t="str">
        <f>IFERROR(F857/#REF!,"-")</f>
        <v>-</v>
      </c>
      <c r="J857" s="336">
        <f t="shared" si="768"/>
        <v>0</v>
      </c>
      <c r="K857" s="281">
        <f t="shared" si="763"/>
        <v>0</v>
      </c>
      <c r="L857" s="439">
        <f t="shared" si="764"/>
        <v>0</v>
      </c>
      <c r="M857" s="340" t="str">
        <f t="shared" si="773"/>
        <v>-</v>
      </c>
      <c r="N857" s="264" t="str">
        <f t="shared" si="774"/>
        <v>-</v>
      </c>
      <c r="O857" s="512">
        <v>4.9344999999999999</v>
      </c>
      <c r="P857" s="407">
        <f t="shared" si="765"/>
        <v>0</v>
      </c>
      <c r="Q857" s="452">
        <f t="shared" si="766"/>
        <v>0</v>
      </c>
    </row>
    <row r="858" spans="1:17" ht="23.4" x14ac:dyDescent="0.4">
      <c r="A858" s="248"/>
      <c r="B858" s="1036"/>
      <c r="C858" s="548" t="s">
        <v>136</v>
      </c>
      <c r="D858" s="279"/>
      <c r="E858" s="439"/>
      <c r="F858" s="336">
        <f t="shared" si="767"/>
        <v>0</v>
      </c>
      <c r="G858" s="281"/>
      <c r="H858" s="281"/>
      <c r="I858" s="355" t="str">
        <f>IFERROR(F858/#REF!,"-")</f>
        <v>-</v>
      </c>
      <c r="J858" s="336">
        <f t="shared" si="768"/>
        <v>0</v>
      </c>
      <c r="K858" s="281">
        <f t="shared" si="763"/>
        <v>0</v>
      </c>
      <c r="L858" s="439">
        <f t="shared" si="764"/>
        <v>0</v>
      </c>
      <c r="M858" s="340" t="str">
        <f t="shared" si="773"/>
        <v>-</v>
      </c>
      <c r="N858" s="264" t="str">
        <f t="shared" si="774"/>
        <v>-</v>
      </c>
      <c r="O858" s="512">
        <v>4.9344999999999999</v>
      </c>
      <c r="P858" s="407">
        <f t="shared" si="765"/>
        <v>0</v>
      </c>
      <c r="Q858" s="452">
        <f t="shared" si="766"/>
        <v>0</v>
      </c>
    </row>
    <row r="859" spans="1:17" ht="24" thickBot="1" x14ac:dyDescent="0.45">
      <c r="A859" s="248"/>
      <c r="B859" s="1037"/>
      <c r="C859" s="548" t="s">
        <v>275</v>
      </c>
      <c r="D859" s="279"/>
      <c r="E859" s="439"/>
      <c r="F859" s="336">
        <f t="shared" si="767"/>
        <v>0</v>
      </c>
      <c r="G859" s="281"/>
      <c r="H859" s="281"/>
      <c r="I859" s="355" t="str">
        <f>IFERROR(F859/#REF!,"-")</f>
        <v>-</v>
      </c>
      <c r="J859" s="336">
        <f t="shared" si="768"/>
        <v>0</v>
      </c>
      <c r="K859" s="281">
        <f t="shared" si="763"/>
        <v>0</v>
      </c>
      <c r="L859" s="439">
        <f t="shared" si="764"/>
        <v>0</v>
      </c>
      <c r="M859" s="340" t="str">
        <f t="shared" si="773"/>
        <v>-</v>
      </c>
      <c r="N859" s="264" t="str">
        <f t="shared" si="774"/>
        <v>-</v>
      </c>
      <c r="O859" s="512">
        <v>5.5069999999999997</v>
      </c>
      <c r="P859" s="407">
        <f t="shared" si="765"/>
        <v>0</v>
      </c>
      <c r="Q859" s="452">
        <f t="shared" si="766"/>
        <v>0</v>
      </c>
    </row>
    <row r="860" spans="1:17" ht="23.4" x14ac:dyDescent="0.4">
      <c r="A860" s="248"/>
      <c r="B860" s="1035" t="s">
        <v>281</v>
      </c>
      <c r="C860" s="548" t="s">
        <v>277</v>
      </c>
      <c r="D860" s="279"/>
      <c r="E860" s="439"/>
      <c r="F860" s="336">
        <f t="shared" si="767"/>
        <v>48030</v>
      </c>
      <c r="G860" s="281">
        <v>47100</v>
      </c>
      <c r="H860" s="281">
        <v>930</v>
      </c>
      <c r="I860" s="355" t="str">
        <f>IFERROR(F860/#REF!,"-")</f>
        <v>-</v>
      </c>
      <c r="J860" s="336">
        <f t="shared" si="768"/>
        <v>315850</v>
      </c>
      <c r="K860" s="281">
        <f t="shared" si="763"/>
        <v>309850</v>
      </c>
      <c r="L860" s="439">
        <f t="shared" si="764"/>
        <v>6000</v>
      </c>
      <c r="M860" s="340" t="str">
        <f t="shared" si="773"/>
        <v>-</v>
      </c>
      <c r="N860" s="264">
        <f t="shared" si="774"/>
        <v>1.899635903118569E-2</v>
      </c>
      <c r="O860" s="772">
        <v>5.5069999999999997</v>
      </c>
      <c r="P860" s="407">
        <f t="shared" si="765"/>
        <v>259379.69999999998</v>
      </c>
      <c r="Q860" s="452">
        <f t="shared" si="766"/>
        <v>1706343.95</v>
      </c>
    </row>
    <row r="861" spans="1:17" ht="23.4" x14ac:dyDescent="0.4">
      <c r="A861" s="248"/>
      <c r="B861" s="1036"/>
      <c r="C861" s="548" t="s">
        <v>278</v>
      </c>
      <c r="D861" s="279"/>
      <c r="E861" s="439"/>
      <c r="F861" s="336">
        <f t="shared" si="767"/>
        <v>0</v>
      </c>
      <c r="G861" s="281"/>
      <c r="H861" s="281"/>
      <c r="I861" s="355" t="str">
        <f>IFERROR(F861/#REF!,"-")</f>
        <v>-</v>
      </c>
      <c r="J861" s="336">
        <f t="shared" si="768"/>
        <v>0</v>
      </c>
      <c r="K861" s="281">
        <f t="shared" si="763"/>
        <v>0</v>
      </c>
      <c r="L861" s="439">
        <f t="shared" si="764"/>
        <v>0</v>
      </c>
      <c r="M861" s="340" t="str">
        <f t="shared" si="773"/>
        <v>-</v>
      </c>
      <c r="N861" s="264" t="str">
        <f t="shared" si="774"/>
        <v>-</v>
      </c>
      <c r="O861" s="512">
        <v>5.6550000000000002</v>
      </c>
      <c r="P861" s="407">
        <f t="shared" si="765"/>
        <v>0</v>
      </c>
      <c r="Q861" s="452">
        <f t="shared" si="766"/>
        <v>0</v>
      </c>
    </row>
    <row r="862" spans="1:17" ht="23.4" x14ac:dyDescent="0.4">
      <c r="A862" s="248"/>
      <c r="B862" s="1036"/>
      <c r="C862" s="548" t="s">
        <v>355</v>
      </c>
      <c r="D862" s="279"/>
      <c r="E862" s="439"/>
      <c r="F862" s="336">
        <f t="shared" si="767"/>
        <v>0</v>
      </c>
      <c r="G862" s="281"/>
      <c r="H862" s="281"/>
      <c r="I862" s="355" t="str">
        <f>IFERROR(F862/#REF!,"-")</f>
        <v>-</v>
      </c>
      <c r="J862" s="336">
        <f t="shared" si="768"/>
        <v>321630</v>
      </c>
      <c r="K862" s="730">
        <f t="shared" si="763"/>
        <v>310550</v>
      </c>
      <c r="L862" s="731">
        <f t="shared" si="764"/>
        <v>11080</v>
      </c>
      <c r="M862" s="340" t="str">
        <f t="shared" si="773"/>
        <v>-</v>
      </c>
      <c r="N862" s="264">
        <f t="shared" si="774"/>
        <v>3.4449522743525168E-2</v>
      </c>
      <c r="O862" s="512">
        <v>5.6550000000000002</v>
      </c>
      <c r="P862" s="407">
        <f t="shared" si="765"/>
        <v>0</v>
      </c>
      <c r="Q862" s="452">
        <f t="shared" si="766"/>
        <v>1756160.25</v>
      </c>
    </row>
    <row r="863" spans="1:17" ht="23.4" x14ac:dyDescent="0.4">
      <c r="A863" s="248"/>
      <c r="B863" s="1036"/>
      <c r="C863" s="548" t="s">
        <v>279</v>
      </c>
      <c r="D863" s="279"/>
      <c r="E863" s="439"/>
      <c r="F863" s="336">
        <f t="shared" si="767"/>
        <v>0</v>
      </c>
      <c r="G863" s="281"/>
      <c r="H863" s="281"/>
      <c r="I863" s="355" t="str">
        <f>IFERROR(F863/#REF!,"-")</f>
        <v>-</v>
      </c>
      <c r="J863" s="336">
        <f t="shared" si="768"/>
        <v>0</v>
      </c>
      <c r="K863" s="281">
        <f t="shared" si="763"/>
        <v>0</v>
      </c>
      <c r="L863" s="439">
        <f t="shared" si="764"/>
        <v>0</v>
      </c>
      <c r="M863" s="340" t="str">
        <f t="shared" si="773"/>
        <v>-</v>
      </c>
      <c r="N863" s="264" t="str">
        <f t="shared" si="774"/>
        <v>-</v>
      </c>
      <c r="O863" s="512">
        <v>5.6550000000000002</v>
      </c>
      <c r="P863" s="407">
        <f t="shared" si="765"/>
        <v>0</v>
      </c>
      <c r="Q863" s="452">
        <f t="shared" si="766"/>
        <v>0</v>
      </c>
    </row>
    <row r="864" spans="1:17" ht="23.4" x14ac:dyDescent="0.4">
      <c r="A864" s="248" t="s">
        <v>108</v>
      </c>
      <c r="B864" s="1036"/>
      <c r="C864" s="548" t="s">
        <v>280</v>
      </c>
      <c r="D864" s="279"/>
      <c r="E864" s="439"/>
      <c r="F864" s="336">
        <f t="shared" si="767"/>
        <v>0</v>
      </c>
      <c r="G864" s="281"/>
      <c r="H864" s="281"/>
      <c r="I864" s="355" t="str">
        <f>IFERROR(F864/#REF!,"-")</f>
        <v>-</v>
      </c>
      <c r="J864" s="336">
        <f t="shared" si="768"/>
        <v>0</v>
      </c>
      <c r="K864" s="281">
        <f t="shared" si="763"/>
        <v>0</v>
      </c>
      <c r="L864" s="439">
        <f t="shared" si="764"/>
        <v>0</v>
      </c>
      <c r="M864" s="340" t="str">
        <f t="shared" si="773"/>
        <v>-</v>
      </c>
      <c r="N864" s="264" t="str">
        <f t="shared" si="774"/>
        <v>-</v>
      </c>
      <c r="O864" s="512">
        <v>3.2963</v>
      </c>
      <c r="P864" s="407">
        <f t="shared" si="765"/>
        <v>0</v>
      </c>
      <c r="Q864" s="452">
        <f t="shared" si="766"/>
        <v>0</v>
      </c>
    </row>
    <row r="865" spans="1:17" ht="24" thickBot="1" x14ac:dyDescent="0.45">
      <c r="A865" s="248" t="s">
        <v>108</v>
      </c>
      <c r="B865" s="1037"/>
      <c r="C865" s="548" t="s">
        <v>275</v>
      </c>
      <c r="D865" s="279"/>
      <c r="E865" s="439"/>
      <c r="F865" s="336">
        <f t="shared" si="767"/>
        <v>0</v>
      </c>
      <c r="G865" s="281"/>
      <c r="H865" s="281"/>
      <c r="I865" s="355" t="str">
        <f>IFERROR(F865/#REF!,"-")</f>
        <v>-</v>
      </c>
      <c r="J865" s="336">
        <f t="shared" si="768"/>
        <v>0</v>
      </c>
      <c r="K865" s="281">
        <f t="shared" si="763"/>
        <v>0</v>
      </c>
      <c r="L865" s="439">
        <f t="shared" si="764"/>
        <v>0</v>
      </c>
      <c r="M865" s="340" t="str">
        <f t="shared" si="773"/>
        <v>-</v>
      </c>
      <c r="N865" s="264" t="str">
        <f t="shared" si="774"/>
        <v>-</v>
      </c>
      <c r="O865" s="512">
        <v>3.2963</v>
      </c>
      <c r="P865" s="407">
        <f t="shared" si="765"/>
        <v>0</v>
      </c>
      <c r="Q865" s="452">
        <f t="shared" si="766"/>
        <v>0</v>
      </c>
    </row>
    <row r="866" spans="1:17" ht="23.4" x14ac:dyDescent="0.4">
      <c r="A866" s="248" t="s">
        <v>108</v>
      </c>
      <c r="B866" s="552"/>
      <c r="C866" s="549" t="s">
        <v>92</v>
      </c>
      <c r="D866" s="516"/>
      <c r="E866" s="439"/>
      <c r="F866" s="336">
        <f t="shared" si="767"/>
        <v>0</v>
      </c>
      <c r="G866" s="281"/>
      <c r="H866" s="281"/>
      <c r="I866" s="355" t="str">
        <f>IFERROR(F866/#REF!,"-")</f>
        <v>-</v>
      </c>
      <c r="J866" s="336">
        <f t="shared" si="768"/>
        <v>143839</v>
      </c>
      <c r="K866" s="281">
        <f t="shared" si="763"/>
        <v>142655</v>
      </c>
      <c r="L866" s="439">
        <f t="shared" si="764"/>
        <v>1184</v>
      </c>
      <c r="M866" s="340" t="str">
        <f t="shared" si="773"/>
        <v>-</v>
      </c>
      <c r="N866" s="264">
        <f t="shared" si="774"/>
        <v>8.2314254131355194E-3</v>
      </c>
      <c r="O866" s="512">
        <v>2.3201000000000001</v>
      </c>
      <c r="P866" s="407">
        <f t="shared" si="765"/>
        <v>0</v>
      </c>
      <c r="Q866" s="452">
        <f t="shared" si="766"/>
        <v>330973.86550000001</v>
      </c>
    </row>
    <row r="867" spans="1:17" ht="24" thickBot="1" x14ac:dyDescent="0.35">
      <c r="A867" s="248" t="s">
        <v>108</v>
      </c>
      <c r="B867" s="529"/>
      <c r="C867" s="546"/>
      <c r="D867" s="535"/>
      <c r="E867" s="466"/>
      <c r="F867" s="464">
        <f t="shared" si="767"/>
        <v>0</v>
      </c>
      <c r="G867" s="465"/>
      <c r="H867" s="465"/>
      <c r="I867" s="537" t="str">
        <f>IFERROR(F867/#REF!,"-")</f>
        <v>-</v>
      </c>
      <c r="J867" s="464">
        <f t="shared" si="768"/>
        <v>0</v>
      </c>
      <c r="K867" s="465">
        <f t="shared" si="763"/>
        <v>0</v>
      </c>
      <c r="L867" s="466">
        <f t="shared" si="764"/>
        <v>0</v>
      </c>
      <c r="M867" s="726" t="str">
        <f t="shared" si="773"/>
        <v>-</v>
      </c>
      <c r="N867" s="266" t="str">
        <f t="shared" si="774"/>
        <v>-</v>
      </c>
      <c r="O867" s="544"/>
      <c r="P867" s="541">
        <f t="shared" si="765"/>
        <v>0</v>
      </c>
      <c r="Q867" s="542">
        <f t="shared" si="766"/>
        <v>0</v>
      </c>
    </row>
    <row r="868" spans="1:17" ht="23.25" customHeight="1" thickBot="1" x14ac:dyDescent="0.35">
      <c r="A868" s="277" t="s">
        <v>108</v>
      </c>
      <c r="B868" s="1038" t="s">
        <v>25</v>
      </c>
      <c r="C868" s="989"/>
      <c r="D868" s="518">
        <f>SUM(D841:D867)</f>
        <v>0</v>
      </c>
      <c r="E868" s="531">
        <v>100000</v>
      </c>
      <c r="F868" s="524">
        <f>SUM(F836:F867)</f>
        <v>130802</v>
      </c>
      <c r="G868" s="524">
        <f>SUM(G836:G867)</f>
        <v>128700</v>
      </c>
      <c r="H868" s="524">
        <f>SUM(H836:H867)</f>
        <v>2102</v>
      </c>
      <c r="I868" s="525" t="str">
        <f>IFERROR(F868/#REF!,"-")</f>
        <v>-</v>
      </c>
      <c r="J868" s="518">
        <f>SUM(J836:J867)</f>
        <v>1978421</v>
      </c>
      <c r="K868" s="518">
        <f t="shared" ref="K868:L868" si="775">SUM(K836:K867)</f>
        <v>1942215</v>
      </c>
      <c r="L868" s="518">
        <f t="shared" si="775"/>
        <v>36206</v>
      </c>
      <c r="M868" s="526" t="str">
        <f t="shared" si="773"/>
        <v>-</v>
      </c>
      <c r="N868" s="525">
        <f t="shared" si="774"/>
        <v>1.8300452734781928E-2</v>
      </c>
      <c r="O868" s="527"/>
      <c r="P868" s="528">
        <f>SUM(P836:P867)</f>
        <v>1013502.39</v>
      </c>
      <c r="Q868" s="528">
        <f>SUM(Q836:Q867)</f>
        <v>14339207.664499998</v>
      </c>
    </row>
    <row r="869" spans="1:17" ht="23.25" customHeight="1" thickBot="1" x14ac:dyDescent="0.35">
      <c r="A869" s="321" t="s">
        <v>108</v>
      </c>
      <c r="B869" s="1039" t="s">
        <v>269</v>
      </c>
      <c r="C869" s="1040"/>
      <c r="D869" s="329">
        <f>+D840+D868</f>
        <v>0</v>
      </c>
      <c r="E869" s="330">
        <f>+E840+E868</f>
        <v>100000</v>
      </c>
      <c r="F869" s="329">
        <f>+F868</f>
        <v>130802</v>
      </c>
      <c r="G869" s="329">
        <f t="shared" ref="G869:H869" si="776">+G868</f>
        <v>128700</v>
      </c>
      <c r="H869" s="329">
        <f t="shared" si="776"/>
        <v>2102</v>
      </c>
      <c r="I869" s="352" t="str">
        <f>IFERROR(F869/#REF!,"-")</f>
        <v>-</v>
      </c>
      <c r="J869" s="329">
        <f>+J868</f>
        <v>1978421</v>
      </c>
      <c r="K869" s="329">
        <f t="shared" ref="K869:L869" si="777">+K868</f>
        <v>1942215</v>
      </c>
      <c r="L869" s="329">
        <f t="shared" si="777"/>
        <v>36206</v>
      </c>
      <c r="M869" s="344" t="str">
        <f t="shared" si="773"/>
        <v>-</v>
      </c>
      <c r="N869" s="352">
        <f t="shared" si="774"/>
        <v>1.8300452734781928E-2</v>
      </c>
      <c r="O869" s="397"/>
      <c r="P869" s="413">
        <f>+P868</f>
        <v>1013502.39</v>
      </c>
      <c r="Q869" s="431">
        <f>Q868</f>
        <v>14339207.664499998</v>
      </c>
    </row>
    <row r="870" spans="1:17" ht="24.6" thickBot="1" x14ac:dyDescent="0.35">
      <c r="A870" s="322"/>
      <c r="B870" s="1041" t="s">
        <v>182</v>
      </c>
      <c r="C870" s="1042"/>
      <c r="D870" s="377">
        <f>+D869+D835+D826</f>
        <v>0</v>
      </c>
      <c r="E870" s="377">
        <f>+E869+E835+E826</f>
        <v>230000</v>
      </c>
      <c r="F870" s="377">
        <f>+F869+F835+F826</f>
        <v>439869</v>
      </c>
      <c r="G870" s="377">
        <f>+G869+G835+G826</f>
        <v>434950</v>
      </c>
      <c r="H870" s="377">
        <f>+H869+H835+H826</f>
        <v>4919</v>
      </c>
      <c r="I870" s="378" t="str">
        <f>IFERROR(F870/#REF!,"-")</f>
        <v>-</v>
      </c>
      <c r="J870" s="377">
        <f>+J869+J835+J826</f>
        <v>5143291</v>
      </c>
      <c r="K870" s="377">
        <f>+K869+K835+K826</f>
        <v>5034375</v>
      </c>
      <c r="L870" s="377">
        <f>+L869+L835+L826</f>
        <v>108916</v>
      </c>
      <c r="M870" s="378" t="str">
        <f t="shared" si="773"/>
        <v>-</v>
      </c>
      <c r="N870" s="378">
        <f>IFERROR(L870/J870,"-")</f>
        <v>2.1176324652834148E-2</v>
      </c>
      <c r="O870" s="404"/>
      <c r="P870" s="421">
        <f>+P869+P835+P826</f>
        <v>2463610.2150000003</v>
      </c>
      <c r="Q870" s="421">
        <f>+Q869+Q835+Q826</f>
        <v>27694140.221499998</v>
      </c>
    </row>
    <row r="871" spans="1:17" ht="22.5" customHeight="1" x14ac:dyDescent="0.3">
      <c r="A871" s="1043" t="s">
        <v>1</v>
      </c>
      <c r="B871" s="1046" t="s">
        <v>2</v>
      </c>
      <c r="C871" s="1049" t="s">
        <v>477</v>
      </c>
      <c r="D871" s="1000" t="s">
        <v>4</v>
      </c>
      <c r="E871" s="1001"/>
      <c r="F871" s="1001"/>
      <c r="G871" s="1001"/>
      <c r="H871" s="1001"/>
      <c r="I871" s="1001"/>
      <c r="J871" s="1001"/>
      <c r="K871" s="1001"/>
      <c r="L871" s="1001"/>
      <c r="M871" s="1001"/>
      <c r="N871" s="1002"/>
      <c r="O871" s="1021" t="s">
        <v>175</v>
      </c>
      <c r="P871" s="1022"/>
      <c r="Q871" s="1052"/>
    </row>
    <row r="872" spans="1:17" ht="22.5" customHeight="1" x14ac:dyDescent="0.3">
      <c r="A872" s="1044"/>
      <c r="B872" s="1047"/>
      <c r="C872" s="1050"/>
      <c r="D872" s="1003" t="s">
        <v>7</v>
      </c>
      <c r="E872" s="1005" t="s">
        <v>115</v>
      </c>
      <c r="F872" s="1053" t="s">
        <v>552</v>
      </c>
      <c r="G872" s="1008"/>
      <c r="H872" s="1008"/>
      <c r="I872" s="1009"/>
      <c r="J872" s="1010" t="s">
        <v>8</v>
      </c>
      <c r="K872" s="1011"/>
      <c r="L872" s="1012"/>
      <c r="M872" s="1013" t="s">
        <v>173</v>
      </c>
      <c r="N872" s="1015" t="s">
        <v>172</v>
      </c>
      <c r="O872" s="1054" t="s">
        <v>177</v>
      </c>
      <c r="P872" s="1055"/>
      <c r="Q872" s="1056"/>
    </row>
    <row r="873" spans="1:17" ht="47.4" thickBot="1" x14ac:dyDescent="0.35">
      <c r="A873" s="1045"/>
      <c r="B873" s="1048"/>
      <c r="C873" s="1051"/>
      <c r="D873" s="1004"/>
      <c r="E873" s="1006"/>
      <c r="F873" s="455" t="s">
        <v>13</v>
      </c>
      <c r="G873" s="456" t="s">
        <v>14</v>
      </c>
      <c r="H873" s="456" t="s">
        <v>15</v>
      </c>
      <c r="I873" s="457" t="s">
        <v>174</v>
      </c>
      <c r="J873" s="712" t="s">
        <v>13</v>
      </c>
      <c r="K873" s="710" t="s">
        <v>14</v>
      </c>
      <c r="L873" s="711" t="s">
        <v>15</v>
      </c>
      <c r="M873" s="1014"/>
      <c r="N873" s="1016"/>
      <c r="O873" s="447" t="s">
        <v>178</v>
      </c>
      <c r="P873" s="448" t="s">
        <v>11</v>
      </c>
      <c r="Q873" s="449" t="s">
        <v>12</v>
      </c>
    </row>
    <row r="874" spans="1:17" ht="23.4" x14ac:dyDescent="0.3">
      <c r="A874" s="271" t="s">
        <v>110</v>
      </c>
      <c r="B874" s="442"/>
      <c r="C874" s="272" t="s">
        <v>266</v>
      </c>
      <c r="D874" s="273"/>
      <c r="E874" s="274"/>
      <c r="F874" s="335">
        <f>+G874+H874</f>
        <v>0</v>
      </c>
      <c r="G874" s="275"/>
      <c r="H874" s="275"/>
      <c r="I874" s="354" t="str">
        <f>IFERROR(F874/#REF!,"-")</f>
        <v>-</v>
      </c>
      <c r="J874" s="461">
        <f>+K874+L874</f>
        <v>337292</v>
      </c>
      <c r="K874" s="462">
        <f>+K812+G874</f>
        <v>321720</v>
      </c>
      <c r="L874" s="463">
        <f>+L812+H874</f>
        <v>15572</v>
      </c>
      <c r="M874" s="339" t="str">
        <f>IFERROR(J874/D874,"-")</f>
        <v>-</v>
      </c>
      <c r="N874" s="346">
        <f t="shared" ref="N874:N875" si="778">IFERROR(L874/J874,"-")</f>
        <v>4.6167712249326989E-2</v>
      </c>
      <c r="O874" s="511">
        <v>1.5669</v>
      </c>
      <c r="P874" s="405">
        <f>+O874*G874</f>
        <v>0</v>
      </c>
      <c r="Q874" s="450">
        <f>+O874*K874</f>
        <v>504103.06799999997</v>
      </c>
    </row>
    <row r="875" spans="1:17" ht="23.4" x14ac:dyDescent="0.3">
      <c r="A875" s="277" t="s">
        <v>110</v>
      </c>
      <c r="B875" s="441"/>
      <c r="C875" s="278" t="s">
        <v>265</v>
      </c>
      <c r="D875" s="279"/>
      <c r="E875" s="280"/>
      <c r="F875" s="336">
        <f t="shared" ref="F875:F878" si="779">+G875+H875</f>
        <v>0</v>
      </c>
      <c r="G875" s="833"/>
      <c r="H875" s="833"/>
      <c r="I875" s="355" t="str">
        <f>IFERROR(F875/#REF!,"-")</f>
        <v>-</v>
      </c>
      <c r="J875" s="336">
        <f t="shared" ref="J875:J878" si="780">+K875+L875</f>
        <v>960348</v>
      </c>
      <c r="K875" s="281">
        <f t="shared" ref="K875:K878" si="781">+K813+G875</f>
        <v>947250</v>
      </c>
      <c r="L875" s="439">
        <f t="shared" ref="L875:L878" si="782">+L813+H875</f>
        <v>13098</v>
      </c>
      <c r="M875" s="340" t="str">
        <f t="shared" ref="M875:M878" si="783">IFERROR(J875/D875,"-")</f>
        <v>-</v>
      </c>
      <c r="N875" s="268">
        <f t="shared" si="778"/>
        <v>1.3638805932849342E-2</v>
      </c>
      <c r="O875" s="512">
        <v>2.3978999999999999</v>
      </c>
      <c r="P875" s="407">
        <f>+O875*G875</f>
        <v>0</v>
      </c>
      <c r="Q875" s="452">
        <f>+O875*K875</f>
        <v>2271410.7749999999</v>
      </c>
    </row>
    <row r="876" spans="1:17" ht="23.4" x14ac:dyDescent="0.3">
      <c r="A876" s="277" t="s">
        <v>110</v>
      </c>
      <c r="B876" s="441"/>
      <c r="C876" s="278" t="s">
        <v>476</v>
      </c>
      <c r="D876" s="279"/>
      <c r="E876" s="280"/>
      <c r="F876" s="336">
        <f t="shared" si="779"/>
        <v>43472</v>
      </c>
      <c r="G876" s="281">
        <v>42500</v>
      </c>
      <c r="H876" s="833">
        <v>972</v>
      </c>
      <c r="I876" s="355" t="str">
        <f>IFERROR(F876/#REF!,"-")</f>
        <v>-</v>
      </c>
      <c r="J876" s="336">
        <f t="shared" si="780"/>
        <v>401870</v>
      </c>
      <c r="K876" s="281">
        <f t="shared" si="781"/>
        <v>381500</v>
      </c>
      <c r="L876" s="439">
        <f t="shared" si="782"/>
        <v>20370</v>
      </c>
      <c r="M876" s="340" t="str">
        <f t="shared" si="783"/>
        <v>-</v>
      </c>
      <c r="N876" s="806">
        <f>IFERROR(L876/J876,"-")</f>
        <v>5.0688033443650929E-2</v>
      </c>
      <c r="O876" s="824">
        <v>3.6777000000000002</v>
      </c>
      <c r="P876" s="407">
        <f t="shared" ref="P876:P878" si="784">+O876*G876</f>
        <v>156302.25</v>
      </c>
      <c r="Q876" s="452">
        <f t="shared" ref="Q876:Q878" si="785">+O876*K876</f>
        <v>1403042.55</v>
      </c>
    </row>
    <row r="877" spans="1:17" ht="23.4" x14ac:dyDescent="0.3">
      <c r="A877" s="277"/>
      <c r="B877" s="454"/>
      <c r="C877" s="278" t="s">
        <v>353</v>
      </c>
      <c r="D877" s="283"/>
      <c r="E877" s="284"/>
      <c r="F877" s="336">
        <f t="shared" si="779"/>
        <v>44996</v>
      </c>
      <c r="G877" s="285">
        <v>44000</v>
      </c>
      <c r="H877" s="285">
        <v>996</v>
      </c>
      <c r="I877" s="355" t="str">
        <f>IFERROR(F877/#REF!,"-")</f>
        <v>-</v>
      </c>
      <c r="J877" s="336">
        <f t="shared" si="780"/>
        <v>226056</v>
      </c>
      <c r="K877" s="281">
        <f t="shared" si="781"/>
        <v>221400</v>
      </c>
      <c r="L877" s="439">
        <f t="shared" si="782"/>
        <v>4656</v>
      </c>
      <c r="M877" s="340" t="str">
        <f t="shared" si="783"/>
        <v>-</v>
      </c>
      <c r="N877" s="268">
        <f>IFERROR(L877/J877,"-")</f>
        <v>2.0596666312772058E-2</v>
      </c>
      <c r="O877" s="513">
        <v>12.284700000000001</v>
      </c>
      <c r="P877" s="407">
        <f t="shared" si="784"/>
        <v>540526.80000000005</v>
      </c>
      <c r="Q877" s="452">
        <f t="shared" si="785"/>
        <v>2719832.58</v>
      </c>
    </row>
    <row r="878" spans="1:17" ht="24" thickBot="1" x14ac:dyDescent="0.35">
      <c r="A878" s="277" t="s">
        <v>110</v>
      </c>
      <c r="B878" s="454"/>
      <c r="C878" s="278" t="s">
        <v>408</v>
      </c>
      <c r="D878" s="283"/>
      <c r="E878" s="284"/>
      <c r="F878" s="337">
        <f t="shared" si="779"/>
        <v>0</v>
      </c>
      <c r="G878" s="285"/>
      <c r="H878" s="285"/>
      <c r="I878" s="356" t="str">
        <f>IFERROR(F878/#REF!,"-")</f>
        <v>-</v>
      </c>
      <c r="J878" s="464">
        <f t="shared" si="780"/>
        <v>457148</v>
      </c>
      <c r="K878" s="465">
        <f t="shared" si="781"/>
        <v>444250</v>
      </c>
      <c r="L878" s="466">
        <f t="shared" si="782"/>
        <v>12898</v>
      </c>
      <c r="M878" s="341" t="str">
        <f t="shared" si="783"/>
        <v>-</v>
      </c>
      <c r="N878" s="347">
        <f t="shared" ref="N878:N890" si="786">IFERROR(L878/J878,"-")</f>
        <v>2.8214057591852092E-2</v>
      </c>
      <c r="O878" s="824">
        <v>7.0612000000000004</v>
      </c>
      <c r="P878" s="408">
        <f t="shared" si="784"/>
        <v>0</v>
      </c>
      <c r="Q878" s="453">
        <f t="shared" si="785"/>
        <v>3136938.1</v>
      </c>
    </row>
    <row r="879" spans="1:17" ht="23.25" customHeight="1" thickBot="1" x14ac:dyDescent="0.35">
      <c r="A879" s="277" t="s">
        <v>110</v>
      </c>
      <c r="B879" s="1038" t="s">
        <v>21</v>
      </c>
      <c r="C879" s="989"/>
      <c r="D879" s="323">
        <f>SUM(D874:D878)</f>
        <v>0</v>
      </c>
      <c r="E879" s="288">
        <v>15000</v>
      </c>
      <c r="F879" s="323">
        <f>SUM(F874:F878)</f>
        <v>88468</v>
      </c>
      <c r="G879" s="324">
        <f>SUM(G874:G878)</f>
        <v>86500</v>
      </c>
      <c r="H879" s="324">
        <f>SUM(H874:H878)</f>
        <v>1968</v>
      </c>
      <c r="I879" s="348" t="str">
        <f>IFERROR(F879/#REF!,"-")</f>
        <v>-</v>
      </c>
      <c r="J879" s="323">
        <f>SUM(J874:J878)</f>
        <v>2382714</v>
      </c>
      <c r="K879" s="324">
        <f>SUM(K874:K878)</f>
        <v>2316120</v>
      </c>
      <c r="L879" s="325">
        <f>SUM(L874:L878)</f>
        <v>66594</v>
      </c>
      <c r="M879" s="342" t="str">
        <f>IFERROR(J879/D879,"-")</f>
        <v>-</v>
      </c>
      <c r="N879" s="348">
        <f t="shared" si="786"/>
        <v>2.7948801240937855E-2</v>
      </c>
      <c r="O879" s="394"/>
      <c r="P879" s="409">
        <f>SUM(P874:P878)</f>
        <v>696829.05</v>
      </c>
      <c r="Q879" s="428">
        <f>SUM(Q874:Q878)</f>
        <v>10035327.073000001</v>
      </c>
    </row>
    <row r="880" spans="1:17" ht="23.4" x14ac:dyDescent="0.3">
      <c r="A880" s="277" t="s">
        <v>110</v>
      </c>
      <c r="B880" s="442"/>
      <c r="C880" s="272" t="s">
        <v>264</v>
      </c>
      <c r="D880" s="273"/>
      <c r="E880" s="274"/>
      <c r="F880" s="335">
        <f t="shared" ref="F880:F886" si="787">+G880+H880</f>
        <v>0</v>
      </c>
      <c r="G880" s="275"/>
      <c r="H880" s="275"/>
      <c r="I880" s="354" t="str">
        <f>IFERROR(F880/#REF!,"-")</f>
        <v>-</v>
      </c>
      <c r="J880" s="461">
        <f t="shared" ref="J880:J886" si="788">+K880+L880</f>
        <v>34540</v>
      </c>
      <c r="K880" s="462">
        <f t="shared" ref="K880:K886" si="789">+K818+G880</f>
        <v>33840</v>
      </c>
      <c r="L880" s="463">
        <f t="shared" ref="L880:L886" si="790">+L818+H880</f>
        <v>700</v>
      </c>
      <c r="M880" s="339" t="str">
        <f t="shared" ref="M880:M888" si="791">IFERROR(J880/D880,"-")</f>
        <v>-</v>
      </c>
      <c r="N880" s="349">
        <f t="shared" si="786"/>
        <v>2.0266357845975681E-2</v>
      </c>
      <c r="O880" s="511">
        <v>18.2316</v>
      </c>
      <c r="P880" s="405">
        <f t="shared" ref="P880:P886" si="792">+O880*G880</f>
        <v>0</v>
      </c>
      <c r="Q880" s="450">
        <f t="shared" ref="Q880:Q886" si="793">+O880*K880</f>
        <v>616957.34400000004</v>
      </c>
    </row>
    <row r="881" spans="1:17" ht="23.4" x14ac:dyDescent="0.3">
      <c r="A881" s="277" t="s">
        <v>110</v>
      </c>
      <c r="B881" s="441"/>
      <c r="C881" s="278" t="s">
        <v>92</v>
      </c>
      <c r="D881" s="279"/>
      <c r="E881" s="280"/>
      <c r="F881" s="336">
        <f t="shared" si="787"/>
        <v>0</v>
      </c>
      <c r="G881" s="281"/>
      <c r="H881" s="281"/>
      <c r="I881" s="355" t="str">
        <f>IFERROR(F881/#REF!,"-")</f>
        <v>-</v>
      </c>
      <c r="J881" s="336">
        <f t="shared" si="788"/>
        <v>240000</v>
      </c>
      <c r="K881" s="281">
        <f t="shared" si="789"/>
        <v>240000</v>
      </c>
      <c r="L881" s="439">
        <f t="shared" si="790"/>
        <v>0</v>
      </c>
      <c r="M881" s="340" t="str">
        <f t="shared" si="791"/>
        <v>-</v>
      </c>
      <c r="N881" s="264">
        <f t="shared" si="786"/>
        <v>0</v>
      </c>
      <c r="O881" s="512">
        <v>1.2824</v>
      </c>
      <c r="P881" s="407">
        <f t="shared" si="792"/>
        <v>0</v>
      </c>
      <c r="Q881" s="452">
        <f t="shared" si="793"/>
        <v>307776</v>
      </c>
    </row>
    <row r="882" spans="1:17" ht="23.4" x14ac:dyDescent="0.3">
      <c r="A882" s="277" t="s">
        <v>110</v>
      </c>
      <c r="B882" s="441"/>
      <c r="C882" s="278" t="s">
        <v>329</v>
      </c>
      <c r="D882" s="279"/>
      <c r="E882" s="280"/>
      <c r="F882" s="336">
        <f t="shared" si="787"/>
        <v>45600</v>
      </c>
      <c r="G882" s="281">
        <v>45600</v>
      </c>
      <c r="H882" s="281"/>
      <c r="I882" s="355" t="str">
        <f>IFERROR(F882/#REF!,"-")</f>
        <v>-</v>
      </c>
      <c r="J882" s="336">
        <f t="shared" si="788"/>
        <v>76800</v>
      </c>
      <c r="K882" s="281">
        <f t="shared" si="789"/>
        <v>76800</v>
      </c>
      <c r="L882" s="439">
        <f t="shared" si="790"/>
        <v>0</v>
      </c>
      <c r="M882" s="340" t="str">
        <f t="shared" si="791"/>
        <v>-</v>
      </c>
      <c r="N882" s="264">
        <f t="shared" si="786"/>
        <v>0</v>
      </c>
      <c r="O882" s="772">
        <v>5.7342000000000004</v>
      </c>
      <c r="P882" s="407">
        <f t="shared" si="792"/>
        <v>261479.52000000002</v>
      </c>
      <c r="Q882" s="452">
        <f t="shared" si="793"/>
        <v>440386.56000000006</v>
      </c>
    </row>
    <row r="883" spans="1:17" ht="23.4" x14ac:dyDescent="0.3">
      <c r="A883" s="277" t="s">
        <v>110</v>
      </c>
      <c r="B883" s="441"/>
      <c r="C883" s="278" t="s">
        <v>346</v>
      </c>
      <c r="D883" s="279"/>
      <c r="E883" s="280"/>
      <c r="F883" s="336">
        <f t="shared" si="787"/>
        <v>0</v>
      </c>
      <c r="G883" s="281"/>
      <c r="H883" s="281"/>
      <c r="I883" s="355" t="str">
        <f>IFERROR(F883/#REF!,"-")</f>
        <v>-</v>
      </c>
      <c r="J883" s="336">
        <f t="shared" si="788"/>
        <v>0</v>
      </c>
      <c r="K883" s="281">
        <f t="shared" si="789"/>
        <v>0</v>
      </c>
      <c r="L883" s="439">
        <f t="shared" si="790"/>
        <v>0</v>
      </c>
      <c r="M883" s="340" t="str">
        <f t="shared" si="791"/>
        <v>-</v>
      </c>
      <c r="N883" s="264" t="str">
        <f t="shared" si="786"/>
        <v>-</v>
      </c>
      <c r="O883" s="512"/>
      <c r="P883" s="407">
        <f t="shared" si="792"/>
        <v>0</v>
      </c>
      <c r="Q883" s="452">
        <f t="shared" si="793"/>
        <v>0</v>
      </c>
    </row>
    <row r="884" spans="1:17" ht="23.4" x14ac:dyDescent="0.3">
      <c r="A884" s="277" t="s">
        <v>110</v>
      </c>
      <c r="B884" s="441"/>
      <c r="C884" s="278" t="s">
        <v>354</v>
      </c>
      <c r="D884" s="279"/>
      <c r="E884" s="280"/>
      <c r="F884" s="336">
        <f t="shared" si="787"/>
        <v>14234</v>
      </c>
      <c r="G884" s="281">
        <v>14200</v>
      </c>
      <c r="H884" s="281">
        <v>34</v>
      </c>
      <c r="I884" s="355" t="str">
        <f>IFERROR(F884/#REF!,"-")</f>
        <v>-</v>
      </c>
      <c r="J884" s="336">
        <f t="shared" si="788"/>
        <v>186520</v>
      </c>
      <c r="K884" s="281">
        <f t="shared" si="789"/>
        <v>185200</v>
      </c>
      <c r="L884" s="439">
        <f t="shared" si="790"/>
        <v>1320</v>
      </c>
      <c r="M884" s="340" t="str">
        <f t="shared" si="791"/>
        <v>-</v>
      </c>
      <c r="N884" s="264">
        <f t="shared" si="786"/>
        <v>7.0769890628350849E-3</v>
      </c>
      <c r="O884" s="512">
        <v>12.029500000000001</v>
      </c>
      <c r="P884" s="407">
        <f t="shared" si="792"/>
        <v>170818.9</v>
      </c>
      <c r="Q884" s="452">
        <f t="shared" si="793"/>
        <v>2227863.4</v>
      </c>
    </row>
    <row r="885" spans="1:17" ht="23.4" x14ac:dyDescent="0.3">
      <c r="A885" s="277" t="s">
        <v>110</v>
      </c>
      <c r="B885" s="441"/>
      <c r="C885" s="278"/>
      <c r="D885" s="279"/>
      <c r="E885" s="280"/>
      <c r="F885" s="336">
        <f t="shared" si="787"/>
        <v>0</v>
      </c>
      <c r="G885" s="281"/>
      <c r="H885" s="281"/>
      <c r="I885" s="355" t="str">
        <f>IFERROR(F885/#REF!,"-")</f>
        <v>-</v>
      </c>
      <c r="J885" s="336">
        <f t="shared" si="788"/>
        <v>0</v>
      </c>
      <c r="K885" s="281">
        <f t="shared" si="789"/>
        <v>0</v>
      </c>
      <c r="L885" s="439">
        <f t="shared" si="790"/>
        <v>0</v>
      </c>
      <c r="M885" s="340" t="str">
        <f t="shared" si="791"/>
        <v>-</v>
      </c>
      <c r="N885" s="264" t="str">
        <f t="shared" si="786"/>
        <v>-</v>
      </c>
      <c r="O885" s="512"/>
      <c r="P885" s="407">
        <f t="shared" si="792"/>
        <v>0</v>
      </c>
      <c r="Q885" s="452">
        <f t="shared" si="793"/>
        <v>0</v>
      </c>
    </row>
    <row r="886" spans="1:17" ht="24" thickBot="1" x14ac:dyDescent="0.35">
      <c r="A886" s="277" t="s">
        <v>110</v>
      </c>
      <c r="B886" s="454"/>
      <c r="C886" s="282"/>
      <c r="D886" s="283">
        <v>0</v>
      </c>
      <c r="E886" s="284"/>
      <c r="F886" s="337">
        <f t="shared" si="787"/>
        <v>0</v>
      </c>
      <c r="G886" s="285"/>
      <c r="H886" s="285"/>
      <c r="I886" s="356" t="str">
        <f>IFERROR(F886/#REF!,"-")</f>
        <v>-</v>
      </c>
      <c r="J886" s="464">
        <f t="shared" si="788"/>
        <v>0</v>
      </c>
      <c r="K886" s="465">
        <f t="shared" si="789"/>
        <v>0</v>
      </c>
      <c r="L886" s="466">
        <f t="shared" si="790"/>
        <v>0</v>
      </c>
      <c r="M886" s="341" t="str">
        <f t="shared" si="791"/>
        <v>-</v>
      </c>
      <c r="N886" s="350" t="str">
        <f t="shared" si="786"/>
        <v>-</v>
      </c>
      <c r="O886" s="513"/>
      <c r="P886" s="408">
        <f t="shared" si="792"/>
        <v>0</v>
      </c>
      <c r="Q886" s="453">
        <f t="shared" si="793"/>
        <v>0</v>
      </c>
    </row>
    <row r="887" spans="1:17" ht="23.25" customHeight="1" thickBot="1" x14ac:dyDescent="0.35">
      <c r="A887" s="277" t="s">
        <v>110</v>
      </c>
      <c r="B887" s="1038" t="s">
        <v>25</v>
      </c>
      <c r="C887" s="989"/>
      <c r="D887" s="323">
        <f t="shared" ref="D887" si="794">SUM(D880:D886)</f>
        <v>0</v>
      </c>
      <c r="E887" s="288">
        <v>100000</v>
      </c>
      <c r="F887" s="323">
        <f>SUM(F880:F886)</f>
        <v>59834</v>
      </c>
      <c r="G887" s="324">
        <f t="shared" ref="G887:H887" si="795">SUM(G880:G886)</f>
        <v>59800</v>
      </c>
      <c r="H887" s="324">
        <f t="shared" si="795"/>
        <v>34</v>
      </c>
      <c r="I887" s="348" t="str">
        <f>IFERROR(F887/#REF!,"-")</f>
        <v>-</v>
      </c>
      <c r="J887" s="323">
        <f t="shared" ref="J887:L887" si="796">SUM(J880:J886)</f>
        <v>537860</v>
      </c>
      <c r="K887" s="324">
        <f t="shared" si="796"/>
        <v>535840</v>
      </c>
      <c r="L887" s="325">
        <f t="shared" si="796"/>
        <v>2020</v>
      </c>
      <c r="M887" s="342" t="str">
        <f t="shared" si="791"/>
        <v>-</v>
      </c>
      <c r="N887" s="348">
        <f t="shared" si="786"/>
        <v>3.7556241401108096E-3</v>
      </c>
      <c r="O887" s="394"/>
      <c r="P887" s="409">
        <f t="shared" ref="P887:Q887" si="797">SUM(P880:P886)</f>
        <v>432298.42000000004</v>
      </c>
      <c r="Q887" s="428">
        <f t="shared" si="797"/>
        <v>3592983.304</v>
      </c>
    </row>
    <row r="888" spans="1:17" ht="23.25" customHeight="1" thickBot="1" x14ac:dyDescent="0.35">
      <c r="A888" s="277" t="s">
        <v>110</v>
      </c>
      <c r="B888" s="1039" t="s">
        <v>180</v>
      </c>
      <c r="C888" s="1040"/>
      <c r="D888" s="329">
        <f>+D879+D887</f>
        <v>0</v>
      </c>
      <c r="E888" s="330">
        <f t="shared" ref="E888:H888" si="798">+E879+E887</f>
        <v>115000</v>
      </c>
      <c r="F888" s="329">
        <f t="shared" si="798"/>
        <v>148302</v>
      </c>
      <c r="G888" s="327">
        <f t="shared" si="798"/>
        <v>146300</v>
      </c>
      <c r="H888" s="327">
        <f t="shared" si="798"/>
        <v>2002</v>
      </c>
      <c r="I888" s="352" t="str">
        <f>IFERROR(F888/#REF!,"-")</f>
        <v>-</v>
      </c>
      <c r="J888" s="329">
        <f t="shared" ref="J888:L888" si="799">+J879+J887</f>
        <v>2920574</v>
      </c>
      <c r="K888" s="327">
        <f t="shared" si="799"/>
        <v>2851960</v>
      </c>
      <c r="L888" s="328">
        <f t="shared" si="799"/>
        <v>68614</v>
      </c>
      <c r="M888" s="344" t="str">
        <f t="shared" si="791"/>
        <v>-</v>
      </c>
      <c r="N888" s="352">
        <f t="shared" si="786"/>
        <v>2.3493326996679421E-2</v>
      </c>
      <c r="O888" s="397"/>
      <c r="P888" s="413">
        <f t="shared" ref="P888:Q888" si="800">+P879+P887</f>
        <v>1129127.4700000002</v>
      </c>
      <c r="Q888" s="431">
        <f t="shared" si="800"/>
        <v>13628310.377</v>
      </c>
    </row>
    <row r="889" spans="1:17" ht="23.4" x14ac:dyDescent="0.3">
      <c r="A889" s="244" t="s">
        <v>108</v>
      </c>
      <c r="B889" s="591"/>
      <c r="C889" s="592" t="s">
        <v>306</v>
      </c>
      <c r="D889" s="532"/>
      <c r="E889" s="463"/>
      <c r="F889" s="461">
        <f>+G889+H889</f>
        <v>0</v>
      </c>
      <c r="G889" s="462"/>
      <c r="H889" s="462"/>
      <c r="I889" s="536" t="str">
        <f>IFERROR(F889/#REF!,"-")</f>
        <v>-</v>
      </c>
      <c r="J889" s="461">
        <f>+K889+L889</f>
        <v>0</v>
      </c>
      <c r="K889" s="462">
        <f t="shared" ref="K889:K895" si="801">+K827+G889</f>
        <v>0</v>
      </c>
      <c r="L889" s="463">
        <f t="shared" ref="L889:L895" si="802">+L827+H889</f>
        <v>0</v>
      </c>
      <c r="M889" s="596" t="str">
        <f>IFERROR(J889/D889,"-")</f>
        <v>-</v>
      </c>
      <c r="N889" s="538" t="str">
        <f t="shared" si="786"/>
        <v>-</v>
      </c>
      <c r="O889" s="638">
        <v>4.8285999999999998</v>
      </c>
      <c r="P889" s="539">
        <f t="shared" ref="P889:P895" si="803">+O889*G889</f>
        <v>0</v>
      </c>
      <c r="Q889" s="540">
        <f t="shared" ref="Q889:Q895" si="804">+O889*K889</f>
        <v>0</v>
      </c>
    </row>
    <row r="890" spans="1:17" ht="23.4" x14ac:dyDescent="0.3">
      <c r="A890" s="248" t="s">
        <v>108</v>
      </c>
      <c r="B890" s="593"/>
      <c r="C890" s="278" t="s">
        <v>307</v>
      </c>
      <c r="D890" s="279"/>
      <c r="E890" s="439"/>
      <c r="F890" s="336">
        <f t="shared" ref="F890:F895" si="805">+G890+H890</f>
        <v>0</v>
      </c>
      <c r="G890" s="281"/>
      <c r="H890" s="281"/>
      <c r="I890" s="355" t="str">
        <f>IFERROR(F890/#REF!,"-")</f>
        <v>-</v>
      </c>
      <c r="J890" s="336">
        <f t="shared" ref="J890:J895" si="806">+K890+L890</f>
        <v>0</v>
      </c>
      <c r="K890" s="281">
        <f t="shared" si="801"/>
        <v>0</v>
      </c>
      <c r="L890" s="439">
        <f t="shared" si="802"/>
        <v>0</v>
      </c>
      <c r="M890" s="340" t="str">
        <f t="shared" ref="M890:M892" si="807">IFERROR(J890/D890,"-")</f>
        <v>-</v>
      </c>
      <c r="N890" s="268" t="str">
        <f t="shared" si="786"/>
        <v>-</v>
      </c>
      <c r="O890" s="639">
        <v>1.4086000000000001</v>
      </c>
      <c r="P890" s="407">
        <f t="shared" si="803"/>
        <v>0</v>
      </c>
      <c r="Q890" s="452">
        <f t="shared" si="804"/>
        <v>0</v>
      </c>
    </row>
    <row r="891" spans="1:17" ht="23.4" x14ac:dyDescent="0.3">
      <c r="A891" s="248" t="s">
        <v>108</v>
      </c>
      <c r="B891" s="593"/>
      <c r="C891" s="278" t="s">
        <v>348</v>
      </c>
      <c r="D891" s="279"/>
      <c r="E891" s="439"/>
      <c r="F891" s="336">
        <f t="shared" si="805"/>
        <v>0</v>
      </c>
      <c r="G891" s="281"/>
      <c r="H891" s="281"/>
      <c r="I891" s="355" t="str">
        <f>IFERROR(F891/#REF!,"-")</f>
        <v>-</v>
      </c>
      <c r="J891" s="336">
        <f t="shared" si="806"/>
        <v>0</v>
      </c>
      <c r="K891" s="281">
        <f t="shared" si="801"/>
        <v>0</v>
      </c>
      <c r="L891" s="439">
        <f t="shared" si="802"/>
        <v>0</v>
      </c>
      <c r="M891" s="340" t="str">
        <f t="shared" si="807"/>
        <v>-</v>
      </c>
      <c r="N891" s="268" t="str">
        <f>IFERROR(L891/J891,"-")</f>
        <v>-</v>
      </c>
      <c r="O891" s="639">
        <v>2.2141000000000002</v>
      </c>
      <c r="P891" s="407">
        <f t="shared" si="803"/>
        <v>0</v>
      </c>
      <c r="Q891" s="452">
        <f t="shared" si="804"/>
        <v>0</v>
      </c>
    </row>
    <row r="892" spans="1:17" ht="23.4" x14ac:dyDescent="0.3">
      <c r="A892" s="248" t="s">
        <v>108</v>
      </c>
      <c r="B892" s="594"/>
      <c r="C892" s="278" t="s">
        <v>460</v>
      </c>
      <c r="D892" s="283"/>
      <c r="E892" s="533"/>
      <c r="F892" s="337">
        <f t="shared" si="805"/>
        <v>0</v>
      </c>
      <c r="G892" s="285"/>
      <c r="H892" s="285"/>
      <c r="I892" s="356" t="str">
        <f>IFERROR(F892/#REF!,"-")</f>
        <v>-</v>
      </c>
      <c r="J892" s="336">
        <f t="shared" si="806"/>
        <v>392598</v>
      </c>
      <c r="K892" s="281">
        <f t="shared" si="801"/>
        <v>386500</v>
      </c>
      <c r="L892" s="439">
        <f t="shared" si="802"/>
        <v>6098</v>
      </c>
      <c r="M892" s="341" t="str">
        <f t="shared" si="807"/>
        <v>-</v>
      </c>
      <c r="N892" s="347">
        <f t="shared" ref="N892:N899" si="808">IFERROR(L892/J892,"-")</f>
        <v>1.5532427572224006E-2</v>
      </c>
      <c r="O892" s="639">
        <v>2.2141000000000002</v>
      </c>
      <c r="P892" s="408">
        <f t="shared" si="803"/>
        <v>0</v>
      </c>
      <c r="Q892" s="453">
        <f t="shared" si="804"/>
        <v>855749.65</v>
      </c>
    </row>
    <row r="893" spans="1:17" ht="23.4" x14ac:dyDescent="0.3">
      <c r="A893" s="248" t="s">
        <v>108</v>
      </c>
      <c r="B893" s="443"/>
      <c r="C893" s="637" t="s">
        <v>393</v>
      </c>
      <c r="D893" s="514"/>
      <c r="E893" s="534"/>
      <c r="F893" s="336">
        <f t="shared" si="805"/>
        <v>0</v>
      </c>
      <c r="G893" s="553"/>
      <c r="H893" s="553"/>
      <c r="I893" s="355" t="str">
        <f>IFERROR(F893/#REF!,"-")</f>
        <v>-</v>
      </c>
      <c r="J893" s="336">
        <f t="shared" si="806"/>
        <v>0</v>
      </c>
      <c r="K893" s="281">
        <f t="shared" si="801"/>
        <v>0</v>
      </c>
      <c r="L893" s="439">
        <f t="shared" si="802"/>
        <v>0</v>
      </c>
      <c r="M893" s="725"/>
      <c r="N893" s="268" t="str">
        <f t="shared" si="808"/>
        <v>-</v>
      </c>
      <c r="O893" s="545">
        <v>4.8285999999999998</v>
      </c>
      <c r="P893" s="407">
        <f t="shared" si="803"/>
        <v>0</v>
      </c>
      <c r="Q893" s="452">
        <f t="shared" si="804"/>
        <v>0</v>
      </c>
    </row>
    <row r="894" spans="1:17" ht="23.4" x14ac:dyDescent="0.3">
      <c r="A894" s="248" t="s">
        <v>108</v>
      </c>
      <c r="B894" s="595"/>
      <c r="C894" s="637" t="s">
        <v>389</v>
      </c>
      <c r="D894" s="273"/>
      <c r="E894" s="438"/>
      <c r="F894" s="335">
        <f t="shared" si="805"/>
        <v>0</v>
      </c>
      <c r="G894" s="275"/>
      <c r="H894" s="275"/>
      <c r="I894" s="354" t="str">
        <f>IFERROR(F894/#REF!,"-")</f>
        <v>-</v>
      </c>
      <c r="J894" s="336">
        <f t="shared" si="806"/>
        <v>0</v>
      </c>
      <c r="K894" s="281">
        <f t="shared" si="801"/>
        <v>0</v>
      </c>
      <c r="L894" s="439">
        <f t="shared" si="802"/>
        <v>0</v>
      </c>
      <c r="M894" s="339" t="str">
        <f t="shared" ref="M894:M895" si="809">IFERROR(J894/D894,"-")</f>
        <v>-</v>
      </c>
      <c r="N894" s="349" t="str">
        <f t="shared" si="808"/>
        <v>-</v>
      </c>
      <c r="O894" s="511">
        <v>4.1712999999999996</v>
      </c>
      <c r="P894" s="405">
        <f t="shared" si="803"/>
        <v>0</v>
      </c>
      <c r="Q894" s="450">
        <f t="shared" si="804"/>
        <v>0</v>
      </c>
    </row>
    <row r="895" spans="1:17" ht="24" thickBot="1" x14ac:dyDescent="0.35">
      <c r="A895" s="248" t="s">
        <v>108</v>
      </c>
      <c r="B895" s="593"/>
      <c r="C895" s="278"/>
      <c r="D895" s="279"/>
      <c r="E895" s="439"/>
      <c r="F895" s="336">
        <f t="shared" si="805"/>
        <v>0</v>
      </c>
      <c r="G895" s="281"/>
      <c r="H895" s="281"/>
      <c r="I895" s="355" t="str">
        <f>IFERROR(F895/#REF!,"-")</f>
        <v>-</v>
      </c>
      <c r="J895" s="464">
        <f t="shared" si="806"/>
        <v>0</v>
      </c>
      <c r="K895" s="465">
        <f t="shared" si="801"/>
        <v>0</v>
      </c>
      <c r="L895" s="466">
        <f t="shared" si="802"/>
        <v>0</v>
      </c>
      <c r="M895" s="340" t="str">
        <f t="shared" si="809"/>
        <v>-</v>
      </c>
      <c r="N895" s="264" t="str">
        <f t="shared" si="808"/>
        <v>-</v>
      </c>
      <c r="O895" s="451"/>
      <c r="P895" s="407">
        <f t="shared" si="803"/>
        <v>0</v>
      </c>
      <c r="Q895" s="452">
        <f t="shared" si="804"/>
        <v>0</v>
      </c>
    </row>
    <row r="896" spans="1:17" ht="23.25" customHeight="1" thickBot="1" x14ac:dyDescent="0.35">
      <c r="A896" s="277" t="s">
        <v>108</v>
      </c>
      <c r="B896" s="1038" t="s">
        <v>21</v>
      </c>
      <c r="C896" s="989"/>
      <c r="D896" s="323">
        <v>0</v>
      </c>
      <c r="E896" s="288">
        <v>15000</v>
      </c>
      <c r="F896" s="323">
        <f>SUM(F889:F895)</f>
        <v>0</v>
      </c>
      <c r="G896" s="324">
        <f t="shared" ref="G896:H896" si="810">SUM(G889:G895)</f>
        <v>0</v>
      </c>
      <c r="H896" s="324">
        <f t="shared" si="810"/>
        <v>0</v>
      </c>
      <c r="I896" s="348" t="str">
        <f>IFERROR(F896/#REF!,"-")</f>
        <v>-</v>
      </c>
      <c r="J896" s="518">
        <f t="shared" ref="J896" si="811">SUM(J889:J895)</f>
        <v>392598</v>
      </c>
      <c r="K896" s="524">
        <f>SUM(K889:K895)</f>
        <v>386500</v>
      </c>
      <c r="L896" s="524">
        <f>SUM(L889:L895)</f>
        <v>6098</v>
      </c>
      <c r="M896" s="342" t="str">
        <f>IFERROR(J896/D896,"-")</f>
        <v>-</v>
      </c>
      <c r="N896" s="348">
        <f t="shared" si="808"/>
        <v>1.5532427572224006E-2</v>
      </c>
      <c r="O896" s="394"/>
      <c r="P896" s="409">
        <f>SUM(P889:P895)</f>
        <v>0</v>
      </c>
      <c r="Q896" s="428">
        <f>SUM(Q889:Q895)</f>
        <v>855749.65</v>
      </c>
    </row>
    <row r="897" spans="1:17" ht="23.25" customHeight="1" thickBot="1" x14ac:dyDescent="0.35">
      <c r="A897" s="277" t="s">
        <v>108</v>
      </c>
      <c r="B897" s="1039" t="s">
        <v>268</v>
      </c>
      <c r="C897" s="1040"/>
      <c r="D897" s="517">
        <f>+D893+D896</f>
        <v>0</v>
      </c>
      <c r="E897" s="530">
        <f>+E893+E896</f>
        <v>15000</v>
      </c>
      <c r="F897" s="517">
        <f>+F893+F896</f>
        <v>0</v>
      </c>
      <c r="G897" s="519">
        <f>+G893+G896</f>
        <v>0</v>
      </c>
      <c r="H897" s="519">
        <f>+H893+H896</f>
        <v>0</v>
      </c>
      <c r="I897" s="520" t="str">
        <f>IFERROR(F897/#REF!,"-")</f>
        <v>-</v>
      </c>
      <c r="J897" s="517">
        <f>+J893+J896</f>
        <v>392598</v>
      </c>
      <c r="K897" s="519">
        <f>+K896</f>
        <v>386500</v>
      </c>
      <c r="L897" s="519">
        <f>+L896</f>
        <v>6098</v>
      </c>
      <c r="M897" s="521" t="str">
        <f t="shared" ref="M897" si="812">IFERROR(J897/D897,"-")</f>
        <v>-</v>
      </c>
      <c r="N897" s="520">
        <f t="shared" si="808"/>
        <v>1.5532427572224006E-2</v>
      </c>
      <c r="O897" s="522"/>
      <c r="P897" s="523">
        <f>+P896</f>
        <v>0</v>
      </c>
      <c r="Q897" s="523">
        <f>+Q896</f>
        <v>855749.65</v>
      </c>
    </row>
    <row r="898" spans="1:17" ht="23.4" x14ac:dyDescent="0.4">
      <c r="A898" s="244" t="s">
        <v>108</v>
      </c>
      <c r="B898" s="1035" t="s">
        <v>270</v>
      </c>
      <c r="C898" s="547" t="s">
        <v>74</v>
      </c>
      <c r="D898" s="532"/>
      <c r="E898" s="463"/>
      <c r="F898" s="461">
        <f>+G898+H898</f>
        <v>10185</v>
      </c>
      <c r="G898" s="462">
        <v>10000</v>
      </c>
      <c r="H898" s="462">
        <v>185</v>
      </c>
      <c r="I898" s="536" t="str">
        <f>IFERROR(F898/#REF!,"-")</f>
        <v>-</v>
      </c>
      <c r="J898" s="461">
        <f>+K898+L898</f>
        <v>54395</v>
      </c>
      <c r="K898" s="462">
        <f t="shared" ref="K898:K929" si="813">+K836+G898</f>
        <v>54000</v>
      </c>
      <c r="L898" s="463">
        <f t="shared" ref="L898:L929" si="814">+L836+H898</f>
        <v>395</v>
      </c>
      <c r="M898" s="596" t="str">
        <f>IFERROR(J898/D898,"-")</f>
        <v>-</v>
      </c>
      <c r="N898" s="538">
        <f t="shared" si="808"/>
        <v>7.2616968471366852E-3</v>
      </c>
      <c r="O898" s="543">
        <v>32.946300000000001</v>
      </c>
      <c r="P898" s="539">
        <f t="shared" ref="P898:P929" si="815">+O898*G898</f>
        <v>329463</v>
      </c>
      <c r="Q898" s="540">
        <f t="shared" ref="Q898:Q929" si="816">+O898*K898</f>
        <v>1779100.2</v>
      </c>
    </row>
    <row r="899" spans="1:17" ht="23.4" x14ac:dyDescent="0.4">
      <c r="A899" s="248" t="s">
        <v>108</v>
      </c>
      <c r="B899" s="1036"/>
      <c r="C899" s="548" t="s">
        <v>75</v>
      </c>
      <c r="D899" s="516"/>
      <c r="E899" s="439"/>
      <c r="F899" s="336">
        <f t="shared" ref="F899:F929" si="817">+G899+H899</f>
        <v>0</v>
      </c>
      <c r="G899" s="281"/>
      <c r="H899" s="281"/>
      <c r="I899" s="355" t="str">
        <f>IFERROR(F899/#REF!,"-")</f>
        <v>-</v>
      </c>
      <c r="J899" s="336">
        <f t="shared" ref="J899:J929" si="818">+K899+L899</f>
        <v>15076</v>
      </c>
      <c r="K899" s="281">
        <f t="shared" si="813"/>
        <v>15000</v>
      </c>
      <c r="L899" s="439">
        <f t="shared" si="814"/>
        <v>76</v>
      </c>
      <c r="M899" s="340" t="str">
        <f t="shared" ref="M899:M901" si="819">IFERROR(J899/D899,"-")</f>
        <v>-</v>
      </c>
      <c r="N899" s="268">
        <f t="shared" si="808"/>
        <v>5.0411249668347044E-3</v>
      </c>
      <c r="O899" s="512">
        <v>35.398400000000002</v>
      </c>
      <c r="P899" s="407">
        <f t="shared" si="815"/>
        <v>0</v>
      </c>
      <c r="Q899" s="452">
        <f t="shared" si="816"/>
        <v>530976</v>
      </c>
    </row>
    <row r="900" spans="1:17" ht="24" thickBot="1" x14ac:dyDescent="0.45">
      <c r="A900" s="248" t="s">
        <v>108</v>
      </c>
      <c r="B900" s="1037"/>
      <c r="C900" s="548" t="s">
        <v>76</v>
      </c>
      <c r="D900" s="279"/>
      <c r="E900" s="439"/>
      <c r="F900" s="336">
        <f t="shared" si="817"/>
        <v>0</v>
      </c>
      <c r="G900" s="281"/>
      <c r="H900" s="281"/>
      <c r="I900" s="355" t="str">
        <f>IFERROR(F900/#REF!,"-")</f>
        <v>-</v>
      </c>
      <c r="J900" s="336">
        <f t="shared" si="818"/>
        <v>0</v>
      </c>
      <c r="K900" s="281">
        <f t="shared" si="813"/>
        <v>0</v>
      </c>
      <c r="L900" s="439">
        <f t="shared" si="814"/>
        <v>0</v>
      </c>
      <c r="M900" s="340" t="str">
        <f t="shared" si="819"/>
        <v>-</v>
      </c>
      <c r="N900" s="268" t="str">
        <f>IFERROR(L900/J900,"-")</f>
        <v>-</v>
      </c>
      <c r="O900" s="512">
        <v>32.946300000000001</v>
      </c>
      <c r="P900" s="407">
        <f t="shared" si="815"/>
        <v>0</v>
      </c>
      <c r="Q900" s="452">
        <f t="shared" si="816"/>
        <v>0</v>
      </c>
    </row>
    <row r="901" spans="1:17" ht="23.4" x14ac:dyDescent="0.4">
      <c r="A901" s="248" t="s">
        <v>108</v>
      </c>
      <c r="B901" s="1035" t="s">
        <v>271</v>
      </c>
      <c r="C901" s="550" t="s">
        <v>78</v>
      </c>
      <c r="D901" s="279"/>
      <c r="E901" s="533"/>
      <c r="F901" s="337">
        <f t="shared" si="817"/>
        <v>19262</v>
      </c>
      <c r="G901" s="281">
        <v>19097</v>
      </c>
      <c r="H901" s="281">
        <v>165</v>
      </c>
      <c r="I901" s="355" t="str">
        <f>IFERROR(F901/#REF!,"-")</f>
        <v>-</v>
      </c>
      <c r="J901" s="336">
        <f t="shared" si="818"/>
        <v>61855</v>
      </c>
      <c r="K901" s="281">
        <f t="shared" si="813"/>
        <v>59898</v>
      </c>
      <c r="L901" s="439">
        <f t="shared" si="814"/>
        <v>1957</v>
      </c>
      <c r="M901" s="340" t="str">
        <f t="shared" si="819"/>
        <v>-</v>
      </c>
      <c r="N901" s="268">
        <f t="shared" ref="N901" si="820">IFERROR(L901/J901,"-")</f>
        <v>3.1638509417185351E-2</v>
      </c>
      <c r="O901" s="512">
        <v>55.4758</v>
      </c>
      <c r="P901" s="407">
        <f t="shared" si="815"/>
        <v>1059421.3526000001</v>
      </c>
      <c r="Q901" s="452">
        <f t="shared" si="816"/>
        <v>3322889.4684000001</v>
      </c>
    </row>
    <row r="902" spans="1:17" ht="23.4" x14ac:dyDescent="0.4">
      <c r="A902" s="248" t="s">
        <v>108</v>
      </c>
      <c r="B902" s="1036"/>
      <c r="C902" s="550" t="s">
        <v>75</v>
      </c>
      <c r="D902" s="279"/>
      <c r="E902" s="534"/>
      <c r="F902" s="337">
        <f t="shared" si="817"/>
        <v>0</v>
      </c>
      <c r="G902" s="281"/>
      <c r="H902" s="281"/>
      <c r="I902" s="355" t="str">
        <f>IFERROR(F902/#REF!,"-")</f>
        <v>-</v>
      </c>
      <c r="J902" s="336">
        <f t="shared" si="818"/>
        <v>8448</v>
      </c>
      <c r="K902" s="281">
        <f t="shared" si="813"/>
        <v>6800</v>
      </c>
      <c r="L902" s="439">
        <f t="shared" si="814"/>
        <v>1648</v>
      </c>
      <c r="M902" s="725"/>
      <c r="N902" s="375"/>
      <c r="O902" s="545">
        <v>58.836300000000001</v>
      </c>
      <c r="P902" s="407">
        <f t="shared" si="815"/>
        <v>0</v>
      </c>
      <c r="Q902" s="452">
        <f t="shared" si="816"/>
        <v>400086.84</v>
      </c>
    </row>
    <row r="903" spans="1:17" ht="23.4" x14ac:dyDescent="0.4">
      <c r="A903" s="248" t="s">
        <v>108</v>
      </c>
      <c r="B903" s="1036"/>
      <c r="C903" s="550" t="s">
        <v>386</v>
      </c>
      <c r="D903" s="279"/>
      <c r="E903" s="438"/>
      <c r="F903" s="337">
        <f t="shared" si="817"/>
        <v>0</v>
      </c>
      <c r="G903" s="281"/>
      <c r="H903" s="281"/>
      <c r="I903" s="355" t="str">
        <f>IFERROR(F903/#REF!,"-")</f>
        <v>-</v>
      </c>
      <c r="J903" s="336">
        <f t="shared" si="818"/>
        <v>3290</v>
      </c>
      <c r="K903" s="281">
        <f t="shared" si="813"/>
        <v>2800</v>
      </c>
      <c r="L903" s="439">
        <f t="shared" si="814"/>
        <v>490</v>
      </c>
      <c r="M903" s="340" t="str">
        <f t="shared" ref="M903" si="821">IFERROR(J903/D903,"-")</f>
        <v>-</v>
      </c>
      <c r="N903" s="264">
        <f t="shared" ref="N903" si="822">IFERROR(L903/J903,"-")</f>
        <v>0.14893617021276595</v>
      </c>
      <c r="O903" s="512">
        <v>55.4758</v>
      </c>
      <c r="P903" s="407">
        <f t="shared" si="815"/>
        <v>0</v>
      </c>
      <c r="Q903" s="452">
        <f t="shared" si="816"/>
        <v>155332.24</v>
      </c>
    </row>
    <row r="904" spans="1:17" ht="24" thickBot="1" x14ac:dyDescent="0.45">
      <c r="A904" s="248"/>
      <c r="B904" s="1037"/>
      <c r="C904" s="550" t="s">
        <v>404</v>
      </c>
      <c r="D904" s="279"/>
      <c r="E904" s="438"/>
      <c r="F904" s="337">
        <f t="shared" si="817"/>
        <v>0</v>
      </c>
      <c r="G904" s="281"/>
      <c r="H904" s="281"/>
      <c r="I904" s="355"/>
      <c r="J904" s="336">
        <f t="shared" si="818"/>
        <v>2220</v>
      </c>
      <c r="K904" s="281">
        <f t="shared" si="813"/>
        <v>2064</v>
      </c>
      <c r="L904" s="439">
        <f t="shared" si="814"/>
        <v>156</v>
      </c>
      <c r="M904" s="340"/>
      <c r="N904" s="264">
        <f>IFERROR(L904/J904,"-")</f>
        <v>7.0270270270270274E-2</v>
      </c>
      <c r="O904" s="512">
        <v>55.4758</v>
      </c>
      <c r="P904" s="407">
        <f t="shared" si="815"/>
        <v>0</v>
      </c>
      <c r="Q904" s="452">
        <f t="shared" si="816"/>
        <v>114502.0512</v>
      </c>
    </row>
    <row r="905" spans="1:17" ht="23.4" x14ac:dyDescent="0.4">
      <c r="A905" s="248" t="s">
        <v>108</v>
      </c>
      <c r="B905" s="1035" t="s">
        <v>490</v>
      </c>
      <c r="C905" s="548" t="s">
        <v>80</v>
      </c>
      <c r="D905" s="279"/>
      <c r="E905" s="439"/>
      <c r="F905" s="336">
        <f t="shared" si="817"/>
        <v>2708</v>
      </c>
      <c r="G905" s="281">
        <v>2700</v>
      </c>
      <c r="H905" s="281">
        <v>8</v>
      </c>
      <c r="I905" s="355" t="str">
        <f>IFERROR(F905/#REF!,"-")</f>
        <v>-</v>
      </c>
      <c r="J905" s="336">
        <f t="shared" si="818"/>
        <v>9900</v>
      </c>
      <c r="K905" s="281">
        <f t="shared" si="813"/>
        <v>9800</v>
      </c>
      <c r="L905" s="439">
        <f t="shared" si="814"/>
        <v>100</v>
      </c>
      <c r="M905" s="340" t="str">
        <f t="shared" ref="M905:M932" si="823">IFERROR(J905/D905,"-")</f>
        <v>-</v>
      </c>
      <c r="N905" s="264">
        <f t="shared" ref="N905:N931" si="824">IFERROR(L905/J905,"-")</f>
        <v>1.0101010101010102E-2</v>
      </c>
      <c r="O905" s="512">
        <v>25.687200000000001</v>
      </c>
      <c r="P905" s="407">
        <f t="shared" si="815"/>
        <v>69355.44</v>
      </c>
      <c r="Q905" s="452">
        <f t="shared" si="816"/>
        <v>251734.56</v>
      </c>
    </row>
    <row r="906" spans="1:17" ht="24" thickBot="1" x14ac:dyDescent="0.45">
      <c r="A906" s="248" t="s">
        <v>108</v>
      </c>
      <c r="B906" s="1037"/>
      <c r="C906" s="548" t="s">
        <v>124</v>
      </c>
      <c r="D906" s="279"/>
      <c r="E906" s="439"/>
      <c r="F906" s="336">
        <f t="shared" si="817"/>
        <v>0</v>
      </c>
      <c r="G906" s="281"/>
      <c r="H906" s="281"/>
      <c r="I906" s="355" t="str">
        <f>IFERROR(F906/#REF!,"-")</f>
        <v>-</v>
      </c>
      <c r="J906" s="336">
        <f t="shared" si="818"/>
        <v>0</v>
      </c>
      <c r="K906" s="281">
        <f t="shared" si="813"/>
        <v>0</v>
      </c>
      <c r="L906" s="439">
        <f t="shared" si="814"/>
        <v>0</v>
      </c>
      <c r="M906" s="340" t="str">
        <f t="shared" si="823"/>
        <v>-</v>
      </c>
      <c r="N906" s="264" t="str">
        <f t="shared" si="824"/>
        <v>-</v>
      </c>
      <c r="O906" s="512">
        <v>25.033899999999999</v>
      </c>
      <c r="P906" s="407">
        <f t="shared" si="815"/>
        <v>0</v>
      </c>
      <c r="Q906" s="452">
        <f t="shared" si="816"/>
        <v>0</v>
      </c>
    </row>
    <row r="907" spans="1:17" ht="23.4" x14ac:dyDescent="0.4">
      <c r="A907" s="248"/>
      <c r="B907" s="1035" t="s">
        <v>491</v>
      </c>
      <c r="C907" s="548" t="s">
        <v>82</v>
      </c>
      <c r="D907" s="279"/>
      <c r="E907" s="439"/>
      <c r="F907" s="336">
        <f t="shared" si="817"/>
        <v>0</v>
      </c>
      <c r="G907" s="281"/>
      <c r="H907" s="281"/>
      <c r="I907" s="355" t="str">
        <f>IFERROR(F907/#REF!,"-")</f>
        <v>-</v>
      </c>
      <c r="J907" s="336">
        <f t="shared" si="818"/>
        <v>7837</v>
      </c>
      <c r="K907" s="281">
        <f t="shared" si="813"/>
        <v>7800</v>
      </c>
      <c r="L907" s="439">
        <f t="shared" si="814"/>
        <v>37</v>
      </c>
      <c r="M907" s="340" t="str">
        <f t="shared" si="823"/>
        <v>-</v>
      </c>
      <c r="N907" s="264">
        <f t="shared" si="824"/>
        <v>4.7211943345667985E-3</v>
      </c>
      <c r="O907" s="512">
        <v>41.992699999999999</v>
      </c>
      <c r="P907" s="407">
        <f t="shared" si="815"/>
        <v>0</v>
      </c>
      <c r="Q907" s="452">
        <f t="shared" si="816"/>
        <v>327543.06</v>
      </c>
    </row>
    <row r="908" spans="1:17" ht="23.4" x14ac:dyDescent="0.4">
      <c r="A908" s="248"/>
      <c r="B908" s="1036"/>
      <c r="C908" s="548" t="s">
        <v>75</v>
      </c>
      <c r="D908" s="279"/>
      <c r="E908" s="439"/>
      <c r="F908" s="336">
        <f t="shared" si="817"/>
        <v>0</v>
      </c>
      <c r="G908" s="281"/>
      <c r="H908" s="281"/>
      <c r="I908" s="355" t="str">
        <f>IFERROR(F908/#REF!,"-")</f>
        <v>-</v>
      </c>
      <c r="J908" s="336">
        <f t="shared" si="818"/>
        <v>45</v>
      </c>
      <c r="K908" s="281">
        <f t="shared" si="813"/>
        <v>45</v>
      </c>
      <c r="L908" s="439">
        <f t="shared" si="814"/>
        <v>0</v>
      </c>
      <c r="M908" s="340" t="str">
        <f t="shared" si="823"/>
        <v>-</v>
      </c>
      <c r="N908" s="264">
        <f t="shared" si="824"/>
        <v>0</v>
      </c>
      <c r="O908" s="512">
        <v>42.283799999999999</v>
      </c>
      <c r="P908" s="407">
        <f t="shared" si="815"/>
        <v>0</v>
      </c>
      <c r="Q908" s="452">
        <f t="shared" si="816"/>
        <v>1902.771</v>
      </c>
    </row>
    <row r="909" spans="1:17" ht="23.4" x14ac:dyDescent="0.4">
      <c r="A909" s="248"/>
      <c r="B909" s="1036"/>
      <c r="C909" s="548" t="s">
        <v>450</v>
      </c>
      <c r="D909" s="279"/>
      <c r="E909" s="439"/>
      <c r="F909" s="336">
        <f t="shared" si="817"/>
        <v>0</v>
      </c>
      <c r="G909" s="281"/>
      <c r="H909" s="281"/>
      <c r="I909" s="355" t="str">
        <f>IFERROR(F909/#REF!,"-")</f>
        <v>-</v>
      </c>
      <c r="J909" s="336">
        <f t="shared" si="818"/>
        <v>1140</v>
      </c>
      <c r="K909" s="281">
        <f t="shared" si="813"/>
        <v>1140</v>
      </c>
      <c r="L909" s="439">
        <f t="shared" si="814"/>
        <v>0</v>
      </c>
      <c r="M909" s="340" t="str">
        <f t="shared" si="823"/>
        <v>-</v>
      </c>
      <c r="N909" s="264">
        <f t="shared" si="824"/>
        <v>0</v>
      </c>
      <c r="O909" s="772">
        <v>41.992699999999999</v>
      </c>
      <c r="P909" s="407">
        <f t="shared" si="815"/>
        <v>0</v>
      </c>
      <c r="Q909" s="452">
        <f t="shared" si="816"/>
        <v>47871.678</v>
      </c>
    </row>
    <row r="910" spans="1:17" ht="24" thickBot="1" x14ac:dyDescent="0.45">
      <c r="A910" s="248"/>
      <c r="B910" s="1037"/>
      <c r="C910" s="548" t="s">
        <v>451</v>
      </c>
      <c r="D910" s="279"/>
      <c r="E910" s="439"/>
      <c r="F910" s="336">
        <f t="shared" si="817"/>
        <v>0</v>
      </c>
      <c r="G910" s="281"/>
      <c r="H910" s="281"/>
      <c r="I910" s="355" t="str">
        <f>IFERROR(F910/#REF!,"-")</f>
        <v>-</v>
      </c>
      <c r="J910" s="336">
        <f t="shared" si="818"/>
        <v>712</v>
      </c>
      <c r="K910" s="281">
        <f t="shared" si="813"/>
        <v>660</v>
      </c>
      <c r="L910" s="439">
        <f t="shared" si="814"/>
        <v>52</v>
      </c>
      <c r="M910" s="340" t="str">
        <f t="shared" si="823"/>
        <v>-</v>
      </c>
      <c r="N910" s="264">
        <f t="shared" si="824"/>
        <v>7.3033707865168537E-2</v>
      </c>
      <c r="O910" s="772">
        <v>42.283799999999999</v>
      </c>
      <c r="P910" s="407">
        <f t="shared" si="815"/>
        <v>0</v>
      </c>
      <c r="Q910" s="452">
        <f t="shared" si="816"/>
        <v>27907.308000000001</v>
      </c>
    </row>
    <row r="911" spans="1:17" ht="24" thickBot="1" x14ac:dyDescent="0.45">
      <c r="A911" s="248"/>
      <c r="B911" s="815" t="s">
        <v>83</v>
      </c>
      <c r="C911" s="548" t="s">
        <v>84</v>
      </c>
      <c r="D911" s="279"/>
      <c r="E911" s="439"/>
      <c r="F911" s="336">
        <f t="shared" si="817"/>
        <v>0</v>
      </c>
      <c r="G911" s="281"/>
      <c r="H911" s="281"/>
      <c r="I911" s="355" t="str">
        <f>IFERROR(F911/#REF!,"-")</f>
        <v>-</v>
      </c>
      <c r="J911" s="336">
        <f t="shared" si="818"/>
        <v>0</v>
      </c>
      <c r="K911" s="281">
        <f t="shared" si="813"/>
        <v>0</v>
      </c>
      <c r="L911" s="439">
        <f t="shared" si="814"/>
        <v>0</v>
      </c>
      <c r="M911" s="340" t="str">
        <f t="shared" si="823"/>
        <v>-</v>
      </c>
      <c r="N911" s="264" t="str">
        <f t="shared" si="824"/>
        <v>-</v>
      </c>
      <c r="O911" s="512">
        <v>4.3535000000000004</v>
      </c>
      <c r="P911" s="407">
        <f t="shared" si="815"/>
        <v>0</v>
      </c>
      <c r="Q911" s="452">
        <f t="shared" si="816"/>
        <v>0</v>
      </c>
    </row>
    <row r="912" spans="1:17" ht="23.4" x14ac:dyDescent="0.4">
      <c r="A912" s="248"/>
      <c r="B912" s="1035" t="s">
        <v>273</v>
      </c>
      <c r="C912" s="548" t="s">
        <v>80</v>
      </c>
      <c r="D912" s="279"/>
      <c r="E912" s="439"/>
      <c r="F912" s="336">
        <f t="shared" si="817"/>
        <v>40020</v>
      </c>
      <c r="G912" s="281">
        <v>39600</v>
      </c>
      <c r="H912" s="281">
        <v>420</v>
      </c>
      <c r="I912" s="355" t="str">
        <f>IFERROR(F912/#REF!,"-")</f>
        <v>-</v>
      </c>
      <c r="J912" s="336">
        <f t="shared" si="818"/>
        <v>215579</v>
      </c>
      <c r="K912" s="281">
        <f t="shared" si="813"/>
        <v>213400</v>
      </c>
      <c r="L912" s="439">
        <f t="shared" si="814"/>
        <v>2179</v>
      </c>
      <c r="M912" s="340" t="str">
        <f t="shared" si="823"/>
        <v>-</v>
      </c>
      <c r="N912" s="264">
        <f t="shared" si="824"/>
        <v>1.0107663547933705E-2</v>
      </c>
      <c r="O912" s="512">
        <v>4.6184000000000003</v>
      </c>
      <c r="P912" s="407">
        <f t="shared" si="815"/>
        <v>182888.64</v>
      </c>
      <c r="Q912" s="452">
        <f t="shared" si="816"/>
        <v>985566.56</v>
      </c>
    </row>
    <row r="913" spans="1:17" ht="23.4" x14ac:dyDescent="0.4">
      <c r="A913" s="248"/>
      <c r="B913" s="1036"/>
      <c r="C913" s="548" t="s">
        <v>378</v>
      </c>
      <c r="D913" s="279"/>
      <c r="E913" s="439"/>
      <c r="F913" s="336">
        <f t="shared" si="817"/>
        <v>0</v>
      </c>
      <c r="G913" s="281"/>
      <c r="H913" s="281"/>
      <c r="I913" s="355" t="str">
        <f>IFERROR(F913/#REF!,"-")</f>
        <v>-</v>
      </c>
      <c r="J913" s="336">
        <f t="shared" si="818"/>
        <v>0</v>
      </c>
      <c r="K913" s="281">
        <f t="shared" si="813"/>
        <v>0</v>
      </c>
      <c r="L913" s="439">
        <f t="shared" si="814"/>
        <v>0</v>
      </c>
      <c r="M913" s="340" t="str">
        <f t="shared" si="823"/>
        <v>-</v>
      </c>
      <c r="N913" s="264" t="str">
        <f t="shared" si="824"/>
        <v>-</v>
      </c>
      <c r="O913" s="512">
        <v>4.6184000000000003</v>
      </c>
      <c r="P913" s="407">
        <f t="shared" si="815"/>
        <v>0</v>
      </c>
      <c r="Q913" s="452">
        <f t="shared" si="816"/>
        <v>0</v>
      </c>
    </row>
    <row r="914" spans="1:17" ht="23.4" x14ac:dyDescent="0.4">
      <c r="A914" s="248"/>
      <c r="B914" s="1036"/>
      <c r="C914" s="548" t="s">
        <v>272</v>
      </c>
      <c r="D914" s="279"/>
      <c r="E914" s="439"/>
      <c r="F914" s="336">
        <f t="shared" si="817"/>
        <v>0</v>
      </c>
      <c r="G914" s="281"/>
      <c r="H914" s="281"/>
      <c r="I914" s="355" t="str">
        <f>IFERROR(F914/#REF!,"-")</f>
        <v>-</v>
      </c>
      <c r="J914" s="336">
        <f t="shared" si="818"/>
        <v>0</v>
      </c>
      <c r="K914" s="281">
        <f t="shared" si="813"/>
        <v>0</v>
      </c>
      <c r="L914" s="439">
        <f t="shared" si="814"/>
        <v>0</v>
      </c>
      <c r="M914" s="340" t="str">
        <f t="shared" si="823"/>
        <v>-</v>
      </c>
      <c r="N914" s="264" t="str">
        <f t="shared" si="824"/>
        <v>-</v>
      </c>
      <c r="O914" s="512">
        <v>4.6184000000000003</v>
      </c>
      <c r="P914" s="407">
        <f t="shared" si="815"/>
        <v>0</v>
      </c>
      <c r="Q914" s="452">
        <f t="shared" si="816"/>
        <v>0</v>
      </c>
    </row>
    <row r="915" spans="1:17" ht="23.4" x14ac:dyDescent="0.4">
      <c r="A915" s="248"/>
      <c r="B915" s="1036"/>
      <c r="C915" s="548" t="s">
        <v>390</v>
      </c>
      <c r="D915" s="279"/>
      <c r="E915" s="439"/>
      <c r="F915" s="336">
        <f t="shared" si="817"/>
        <v>0</v>
      </c>
      <c r="G915" s="281"/>
      <c r="H915" s="281"/>
      <c r="I915" s="355" t="str">
        <f>IFERROR(F915/#REF!,"-")</f>
        <v>-</v>
      </c>
      <c r="J915" s="336">
        <f t="shared" si="818"/>
        <v>511962</v>
      </c>
      <c r="K915" s="730">
        <f t="shared" si="813"/>
        <v>508200</v>
      </c>
      <c r="L915" s="731">
        <f t="shared" si="814"/>
        <v>3762</v>
      </c>
      <c r="M915" s="340" t="str">
        <f t="shared" si="823"/>
        <v>-</v>
      </c>
      <c r="N915" s="264">
        <f t="shared" si="824"/>
        <v>7.3482016243393063E-3</v>
      </c>
      <c r="O915" s="512">
        <v>4.7636000000000003</v>
      </c>
      <c r="P915" s="407">
        <f t="shared" si="815"/>
        <v>0</v>
      </c>
      <c r="Q915" s="452">
        <f t="shared" si="816"/>
        <v>2420861.52</v>
      </c>
    </row>
    <row r="916" spans="1:17" ht="24" thickBot="1" x14ac:dyDescent="0.45">
      <c r="A916" s="248"/>
      <c r="B916" s="1037"/>
      <c r="C916" s="548" t="s">
        <v>384</v>
      </c>
      <c r="D916" s="279"/>
      <c r="E916" s="439"/>
      <c r="F916" s="336">
        <f t="shared" si="817"/>
        <v>0</v>
      </c>
      <c r="G916" s="281"/>
      <c r="H916" s="281"/>
      <c r="I916" s="355" t="str">
        <f>IFERROR(F916/#REF!,"-")</f>
        <v>-</v>
      </c>
      <c r="J916" s="336">
        <f t="shared" si="818"/>
        <v>0</v>
      </c>
      <c r="K916" s="281">
        <f t="shared" si="813"/>
        <v>0</v>
      </c>
      <c r="L916" s="439">
        <f t="shared" si="814"/>
        <v>0</v>
      </c>
      <c r="M916" s="340" t="str">
        <f t="shared" si="823"/>
        <v>-</v>
      </c>
      <c r="N916" s="264" t="str">
        <f t="shared" si="824"/>
        <v>-</v>
      </c>
      <c r="O916" s="512">
        <v>4.8738000000000001</v>
      </c>
      <c r="P916" s="407">
        <f t="shared" si="815"/>
        <v>0</v>
      </c>
      <c r="Q916" s="452">
        <f t="shared" si="816"/>
        <v>0</v>
      </c>
    </row>
    <row r="917" spans="1:17" ht="24" thickBot="1" x14ac:dyDescent="0.45">
      <c r="A917" s="248"/>
      <c r="B917" s="815" t="s">
        <v>274</v>
      </c>
      <c r="C917" s="548" t="s">
        <v>131</v>
      </c>
      <c r="D917" s="279"/>
      <c r="E917" s="439"/>
      <c r="F917" s="336">
        <f t="shared" si="817"/>
        <v>0</v>
      </c>
      <c r="G917" s="281"/>
      <c r="H917" s="281"/>
      <c r="I917" s="355" t="str">
        <f>IFERROR(F917/#REF!,"-")</f>
        <v>-</v>
      </c>
      <c r="J917" s="336">
        <f t="shared" si="818"/>
        <v>0</v>
      </c>
      <c r="K917" s="281">
        <f t="shared" si="813"/>
        <v>0</v>
      </c>
      <c r="L917" s="439">
        <f t="shared" si="814"/>
        <v>0</v>
      </c>
      <c r="M917" s="340" t="str">
        <f t="shared" si="823"/>
        <v>-</v>
      </c>
      <c r="N917" s="264" t="str">
        <f t="shared" si="824"/>
        <v>-</v>
      </c>
      <c r="O917" s="512">
        <v>4.8738000000000001</v>
      </c>
      <c r="P917" s="407">
        <f t="shared" si="815"/>
        <v>0</v>
      </c>
      <c r="Q917" s="452">
        <f t="shared" si="816"/>
        <v>0</v>
      </c>
    </row>
    <row r="918" spans="1:17" ht="23.4" x14ac:dyDescent="0.4">
      <c r="A918" s="248"/>
      <c r="B918" s="1035" t="s">
        <v>276</v>
      </c>
      <c r="C918" s="548" t="s">
        <v>80</v>
      </c>
      <c r="D918" s="279"/>
      <c r="E918" s="439"/>
      <c r="F918" s="336">
        <f t="shared" si="817"/>
        <v>26120</v>
      </c>
      <c r="G918" s="281">
        <v>25600</v>
      </c>
      <c r="H918" s="281">
        <v>520</v>
      </c>
      <c r="I918" s="355" t="str">
        <f>IFERROR(F918/#REF!,"-")</f>
        <v>-</v>
      </c>
      <c r="J918" s="336">
        <f t="shared" si="818"/>
        <v>402938</v>
      </c>
      <c r="K918" s="730">
        <f t="shared" si="813"/>
        <v>394550</v>
      </c>
      <c r="L918" s="731">
        <f t="shared" si="814"/>
        <v>8388</v>
      </c>
      <c r="M918" s="340" t="str">
        <f t="shared" si="823"/>
        <v>-</v>
      </c>
      <c r="N918" s="264">
        <f t="shared" si="824"/>
        <v>2.0817098412162664E-2</v>
      </c>
      <c r="O918" s="512">
        <v>4.9344999999999999</v>
      </c>
      <c r="P918" s="407">
        <f t="shared" si="815"/>
        <v>126323.2</v>
      </c>
      <c r="Q918" s="452">
        <f t="shared" si="816"/>
        <v>1946906.9749999999</v>
      </c>
    </row>
    <row r="919" spans="1:17" ht="23.4" x14ac:dyDescent="0.4">
      <c r="A919" s="248"/>
      <c r="B919" s="1036"/>
      <c r="C919" s="548" t="s">
        <v>142</v>
      </c>
      <c r="D919" s="279"/>
      <c r="E919" s="439"/>
      <c r="F919" s="336">
        <f t="shared" si="817"/>
        <v>0</v>
      </c>
      <c r="G919" s="281"/>
      <c r="H919" s="281"/>
      <c r="I919" s="355" t="str">
        <f>IFERROR(F919/#REF!,"-")</f>
        <v>-</v>
      </c>
      <c r="J919" s="336">
        <f t="shared" si="818"/>
        <v>0</v>
      </c>
      <c r="K919" s="281">
        <f t="shared" si="813"/>
        <v>0</v>
      </c>
      <c r="L919" s="439">
        <f t="shared" si="814"/>
        <v>0</v>
      </c>
      <c r="M919" s="340" t="str">
        <f t="shared" si="823"/>
        <v>-</v>
      </c>
      <c r="N919" s="264" t="str">
        <f t="shared" si="824"/>
        <v>-</v>
      </c>
      <c r="O919" s="512">
        <v>4.9344999999999999</v>
      </c>
      <c r="P919" s="407">
        <f t="shared" si="815"/>
        <v>0</v>
      </c>
      <c r="Q919" s="452">
        <f t="shared" si="816"/>
        <v>0</v>
      </c>
    </row>
    <row r="920" spans="1:17" ht="23.4" x14ac:dyDescent="0.4">
      <c r="A920" s="248"/>
      <c r="B920" s="1036"/>
      <c r="C920" s="548" t="s">
        <v>136</v>
      </c>
      <c r="D920" s="279"/>
      <c r="E920" s="439"/>
      <c r="F920" s="336">
        <f t="shared" si="817"/>
        <v>0</v>
      </c>
      <c r="G920" s="281"/>
      <c r="H920" s="281"/>
      <c r="I920" s="355" t="str">
        <f>IFERROR(F920/#REF!,"-")</f>
        <v>-</v>
      </c>
      <c r="J920" s="336">
        <f t="shared" si="818"/>
        <v>0</v>
      </c>
      <c r="K920" s="281">
        <f t="shared" si="813"/>
        <v>0</v>
      </c>
      <c r="L920" s="439">
        <f t="shared" si="814"/>
        <v>0</v>
      </c>
      <c r="M920" s="340" t="str">
        <f t="shared" si="823"/>
        <v>-</v>
      </c>
      <c r="N920" s="264" t="str">
        <f t="shared" si="824"/>
        <v>-</v>
      </c>
      <c r="O920" s="512">
        <v>4.9344999999999999</v>
      </c>
      <c r="P920" s="407">
        <f t="shared" si="815"/>
        <v>0</v>
      </c>
      <c r="Q920" s="452">
        <f t="shared" si="816"/>
        <v>0</v>
      </c>
    </row>
    <row r="921" spans="1:17" ht="24" thickBot="1" x14ac:dyDescent="0.45">
      <c r="A921" s="248"/>
      <c r="B921" s="1037"/>
      <c r="C921" s="548" t="s">
        <v>275</v>
      </c>
      <c r="D921" s="279"/>
      <c r="E921" s="439"/>
      <c r="F921" s="336">
        <f t="shared" si="817"/>
        <v>0</v>
      </c>
      <c r="G921" s="281"/>
      <c r="H921" s="281"/>
      <c r="I921" s="355" t="str">
        <f>IFERROR(F921/#REF!,"-")</f>
        <v>-</v>
      </c>
      <c r="J921" s="336">
        <f t="shared" si="818"/>
        <v>0</v>
      </c>
      <c r="K921" s="281">
        <f t="shared" si="813"/>
        <v>0</v>
      </c>
      <c r="L921" s="439">
        <f t="shared" si="814"/>
        <v>0</v>
      </c>
      <c r="M921" s="340" t="str">
        <f t="shared" si="823"/>
        <v>-</v>
      </c>
      <c r="N921" s="264" t="str">
        <f t="shared" si="824"/>
        <v>-</v>
      </c>
      <c r="O921" s="512">
        <v>5.5069999999999997</v>
      </c>
      <c r="P921" s="407">
        <f t="shared" si="815"/>
        <v>0</v>
      </c>
      <c r="Q921" s="452">
        <f t="shared" si="816"/>
        <v>0</v>
      </c>
    </row>
    <row r="922" spans="1:17" ht="23.4" x14ac:dyDescent="0.4">
      <c r="A922" s="248"/>
      <c r="B922" s="1035" t="s">
        <v>281</v>
      </c>
      <c r="C922" s="548" t="s">
        <v>277</v>
      </c>
      <c r="D922" s="279"/>
      <c r="E922" s="439"/>
      <c r="F922" s="336">
        <f t="shared" si="817"/>
        <v>42678</v>
      </c>
      <c r="G922" s="281">
        <v>41700</v>
      </c>
      <c r="H922" s="281">
        <v>978</v>
      </c>
      <c r="I922" s="355" t="str">
        <f>IFERROR(F922/#REF!,"-")</f>
        <v>-</v>
      </c>
      <c r="J922" s="336">
        <f t="shared" si="818"/>
        <v>358528</v>
      </c>
      <c r="K922" s="281">
        <f t="shared" si="813"/>
        <v>351550</v>
      </c>
      <c r="L922" s="439">
        <f t="shared" si="814"/>
        <v>6978</v>
      </c>
      <c r="M922" s="340" t="str">
        <f t="shared" si="823"/>
        <v>-</v>
      </c>
      <c r="N922" s="264">
        <f t="shared" si="824"/>
        <v>1.9462915030346306E-2</v>
      </c>
      <c r="O922" s="772">
        <v>5.5069999999999997</v>
      </c>
      <c r="P922" s="407">
        <f t="shared" si="815"/>
        <v>229641.9</v>
      </c>
      <c r="Q922" s="452">
        <f t="shared" si="816"/>
        <v>1935985.8499999999</v>
      </c>
    </row>
    <row r="923" spans="1:17" ht="23.4" x14ac:dyDescent="0.4">
      <c r="A923" s="248"/>
      <c r="B923" s="1036"/>
      <c r="C923" s="548" t="s">
        <v>278</v>
      </c>
      <c r="D923" s="279"/>
      <c r="E923" s="439"/>
      <c r="F923" s="336">
        <f t="shared" si="817"/>
        <v>0</v>
      </c>
      <c r="G923" s="281"/>
      <c r="H923" s="281"/>
      <c r="I923" s="355" t="str">
        <f>IFERROR(F923/#REF!,"-")</f>
        <v>-</v>
      </c>
      <c r="J923" s="336">
        <f t="shared" si="818"/>
        <v>0</v>
      </c>
      <c r="K923" s="281">
        <f t="shared" si="813"/>
        <v>0</v>
      </c>
      <c r="L923" s="439">
        <f t="shared" si="814"/>
        <v>0</v>
      </c>
      <c r="M923" s="340" t="str">
        <f t="shared" si="823"/>
        <v>-</v>
      </c>
      <c r="N923" s="264" t="str">
        <f t="shared" si="824"/>
        <v>-</v>
      </c>
      <c r="O923" s="512">
        <v>5.6550000000000002</v>
      </c>
      <c r="P923" s="407">
        <f t="shared" si="815"/>
        <v>0</v>
      </c>
      <c r="Q923" s="452">
        <f t="shared" si="816"/>
        <v>0</v>
      </c>
    </row>
    <row r="924" spans="1:17" ht="23.4" x14ac:dyDescent="0.4">
      <c r="A924" s="248"/>
      <c r="B924" s="1036"/>
      <c r="C924" s="548" t="s">
        <v>355</v>
      </c>
      <c r="D924" s="279"/>
      <c r="E924" s="439"/>
      <c r="F924" s="336">
        <f t="shared" si="817"/>
        <v>0</v>
      </c>
      <c r="G924" s="281"/>
      <c r="H924" s="281"/>
      <c r="I924" s="355" t="str">
        <f>IFERROR(F924/#REF!,"-")</f>
        <v>-</v>
      </c>
      <c r="J924" s="336">
        <f t="shared" si="818"/>
        <v>321630</v>
      </c>
      <c r="K924" s="730">
        <f t="shared" si="813"/>
        <v>310550</v>
      </c>
      <c r="L924" s="731">
        <f t="shared" si="814"/>
        <v>11080</v>
      </c>
      <c r="M924" s="340" t="str">
        <f t="shared" si="823"/>
        <v>-</v>
      </c>
      <c r="N924" s="264">
        <f t="shared" si="824"/>
        <v>3.4449522743525168E-2</v>
      </c>
      <c r="O924" s="512">
        <v>5.6550000000000002</v>
      </c>
      <c r="P924" s="407">
        <f t="shared" si="815"/>
        <v>0</v>
      </c>
      <c r="Q924" s="452">
        <f t="shared" si="816"/>
        <v>1756160.25</v>
      </c>
    </row>
    <row r="925" spans="1:17" ht="23.4" x14ac:dyDescent="0.4">
      <c r="A925" s="248"/>
      <c r="B925" s="1036"/>
      <c r="C925" s="548" t="s">
        <v>279</v>
      </c>
      <c r="D925" s="279"/>
      <c r="E925" s="439"/>
      <c r="F925" s="336">
        <f t="shared" si="817"/>
        <v>0</v>
      </c>
      <c r="G925" s="281"/>
      <c r="H925" s="281"/>
      <c r="I925" s="355" t="str">
        <f>IFERROR(F925/#REF!,"-")</f>
        <v>-</v>
      </c>
      <c r="J925" s="336">
        <f t="shared" si="818"/>
        <v>0</v>
      </c>
      <c r="K925" s="281">
        <f t="shared" si="813"/>
        <v>0</v>
      </c>
      <c r="L925" s="439">
        <f t="shared" si="814"/>
        <v>0</v>
      </c>
      <c r="M925" s="340" t="str">
        <f t="shared" si="823"/>
        <v>-</v>
      </c>
      <c r="N925" s="264" t="str">
        <f t="shared" si="824"/>
        <v>-</v>
      </c>
      <c r="O925" s="512">
        <v>5.6550000000000002</v>
      </c>
      <c r="P925" s="407">
        <f t="shared" si="815"/>
        <v>0</v>
      </c>
      <c r="Q925" s="452">
        <f t="shared" si="816"/>
        <v>0</v>
      </c>
    </row>
    <row r="926" spans="1:17" ht="23.4" x14ac:dyDescent="0.4">
      <c r="A926" s="248" t="s">
        <v>108</v>
      </c>
      <c r="B926" s="1036"/>
      <c r="C926" s="548" t="s">
        <v>280</v>
      </c>
      <c r="D926" s="279"/>
      <c r="E926" s="439"/>
      <c r="F926" s="336">
        <f t="shared" si="817"/>
        <v>0</v>
      </c>
      <c r="G926" s="281"/>
      <c r="H926" s="281"/>
      <c r="I926" s="355" t="str">
        <f>IFERROR(F926/#REF!,"-")</f>
        <v>-</v>
      </c>
      <c r="J926" s="336">
        <f t="shared" si="818"/>
        <v>0</v>
      </c>
      <c r="K926" s="281">
        <f t="shared" si="813"/>
        <v>0</v>
      </c>
      <c r="L926" s="439">
        <f t="shared" si="814"/>
        <v>0</v>
      </c>
      <c r="M926" s="340" t="str">
        <f t="shared" si="823"/>
        <v>-</v>
      </c>
      <c r="N926" s="264" t="str">
        <f t="shared" si="824"/>
        <v>-</v>
      </c>
      <c r="O926" s="512">
        <v>3.2963</v>
      </c>
      <c r="P926" s="407">
        <f t="shared" si="815"/>
        <v>0</v>
      </c>
      <c r="Q926" s="452">
        <f t="shared" si="816"/>
        <v>0</v>
      </c>
    </row>
    <row r="927" spans="1:17" ht="24" thickBot="1" x14ac:dyDescent="0.45">
      <c r="A927" s="248" t="s">
        <v>108</v>
      </c>
      <c r="B927" s="1037"/>
      <c r="C927" s="548" t="s">
        <v>275</v>
      </c>
      <c r="D927" s="279"/>
      <c r="E927" s="439"/>
      <c r="F927" s="336">
        <f t="shared" si="817"/>
        <v>0</v>
      </c>
      <c r="G927" s="281"/>
      <c r="H927" s="281"/>
      <c r="I927" s="355" t="str">
        <f>IFERROR(F927/#REF!,"-")</f>
        <v>-</v>
      </c>
      <c r="J927" s="336">
        <f t="shared" si="818"/>
        <v>0</v>
      </c>
      <c r="K927" s="281">
        <f t="shared" si="813"/>
        <v>0</v>
      </c>
      <c r="L927" s="439">
        <f t="shared" si="814"/>
        <v>0</v>
      </c>
      <c r="M927" s="340" t="str">
        <f t="shared" si="823"/>
        <v>-</v>
      </c>
      <c r="N927" s="264" t="str">
        <f t="shared" si="824"/>
        <v>-</v>
      </c>
      <c r="O927" s="512">
        <v>3.2963</v>
      </c>
      <c r="P927" s="407">
        <f t="shared" si="815"/>
        <v>0</v>
      </c>
      <c r="Q927" s="452">
        <f t="shared" si="816"/>
        <v>0</v>
      </c>
    </row>
    <row r="928" spans="1:17" ht="23.4" x14ac:dyDescent="0.4">
      <c r="A928" s="248" t="s">
        <v>108</v>
      </c>
      <c r="B928" s="552"/>
      <c r="C928" s="549" t="s">
        <v>92</v>
      </c>
      <c r="D928" s="516"/>
      <c r="E928" s="439"/>
      <c r="F928" s="336">
        <f t="shared" si="817"/>
        <v>0</v>
      </c>
      <c r="G928" s="281"/>
      <c r="H928" s="281"/>
      <c r="I928" s="355" t="str">
        <f>IFERROR(F928/#REF!,"-")</f>
        <v>-</v>
      </c>
      <c r="J928" s="336">
        <f t="shared" si="818"/>
        <v>143839</v>
      </c>
      <c r="K928" s="281">
        <f t="shared" si="813"/>
        <v>142655</v>
      </c>
      <c r="L928" s="439">
        <f t="shared" si="814"/>
        <v>1184</v>
      </c>
      <c r="M928" s="340" t="str">
        <f t="shared" si="823"/>
        <v>-</v>
      </c>
      <c r="N928" s="264">
        <f t="shared" si="824"/>
        <v>8.2314254131355194E-3</v>
      </c>
      <c r="O928" s="512">
        <v>2.3201000000000001</v>
      </c>
      <c r="P928" s="407">
        <f t="shared" si="815"/>
        <v>0</v>
      </c>
      <c r="Q928" s="452">
        <f t="shared" si="816"/>
        <v>330973.86550000001</v>
      </c>
    </row>
    <row r="929" spans="1:17" ht="24" thickBot="1" x14ac:dyDescent="0.35">
      <c r="A929" s="248" t="s">
        <v>108</v>
      </c>
      <c r="B929" s="529"/>
      <c r="C929" s="546"/>
      <c r="D929" s="535"/>
      <c r="E929" s="466"/>
      <c r="F929" s="464">
        <f t="shared" si="817"/>
        <v>0</v>
      </c>
      <c r="G929" s="465"/>
      <c r="H929" s="465"/>
      <c r="I929" s="537" t="str">
        <f>IFERROR(F929/#REF!,"-")</f>
        <v>-</v>
      </c>
      <c r="J929" s="464">
        <f t="shared" si="818"/>
        <v>0</v>
      </c>
      <c r="K929" s="465">
        <f t="shared" si="813"/>
        <v>0</v>
      </c>
      <c r="L929" s="466">
        <f t="shared" si="814"/>
        <v>0</v>
      </c>
      <c r="M929" s="726" t="str">
        <f t="shared" si="823"/>
        <v>-</v>
      </c>
      <c r="N929" s="266" t="str">
        <f t="shared" si="824"/>
        <v>-</v>
      </c>
      <c r="O929" s="544"/>
      <c r="P929" s="541">
        <f t="shared" si="815"/>
        <v>0</v>
      </c>
      <c r="Q929" s="542">
        <f t="shared" si="816"/>
        <v>0</v>
      </c>
    </row>
    <row r="930" spans="1:17" ht="23.25" customHeight="1" thickBot="1" x14ac:dyDescent="0.35">
      <c r="A930" s="277" t="s">
        <v>108</v>
      </c>
      <c r="B930" s="1038" t="s">
        <v>25</v>
      </c>
      <c r="C930" s="989"/>
      <c r="D930" s="518">
        <f>SUM(D903:D929)</f>
        <v>0</v>
      </c>
      <c r="E930" s="531">
        <v>100000</v>
      </c>
      <c r="F930" s="524">
        <f>SUM(F898:F929)</f>
        <v>140973</v>
      </c>
      <c r="G930" s="524">
        <f>SUM(G898:G929)</f>
        <v>138697</v>
      </c>
      <c r="H930" s="524">
        <f>SUM(H898:H929)</f>
        <v>2276</v>
      </c>
      <c r="I930" s="525" t="str">
        <f>IFERROR(F930/#REF!,"-")</f>
        <v>-</v>
      </c>
      <c r="J930" s="518">
        <f>SUM(J898:J929)</f>
        <v>2119394</v>
      </c>
      <c r="K930" s="518">
        <f t="shared" ref="K930:L930" si="825">SUM(K898:K929)</f>
        <v>2080912</v>
      </c>
      <c r="L930" s="518">
        <f t="shared" si="825"/>
        <v>38482</v>
      </c>
      <c r="M930" s="526" t="str">
        <f t="shared" si="823"/>
        <v>-</v>
      </c>
      <c r="N930" s="525">
        <f t="shared" si="824"/>
        <v>1.8157076975777037E-2</v>
      </c>
      <c r="O930" s="527"/>
      <c r="P930" s="528">
        <f>SUM(P898:P929)</f>
        <v>1997093.5325999998</v>
      </c>
      <c r="Q930" s="528">
        <f>SUM(Q898:Q929)</f>
        <v>16336301.197099999</v>
      </c>
    </row>
    <row r="931" spans="1:17" ht="23.25" customHeight="1" thickBot="1" x14ac:dyDescent="0.35">
      <c r="A931" s="321" t="s">
        <v>108</v>
      </c>
      <c r="B931" s="1039" t="s">
        <v>269</v>
      </c>
      <c r="C931" s="1040"/>
      <c r="D931" s="329">
        <f>+D902+D930</f>
        <v>0</v>
      </c>
      <c r="E931" s="330">
        <f>+E902+E930</f>
        <v>100000</v>
      </c>
      <c r="F931" s="329">
        <f>+F930</f>
        <v>140973</v>
      </c>
      <c r="G931" s="329">
        <f t="shared" ref="G931:H931" si="826">+G930</f>
        <v>138697</v>
      </c>
      <c r="H931" s="329">
        <f t="shared" si="826"/>
        <v>2276</v>
      </c>
      <c r="I931" s="352" t="str">
        <f>IFERROR(F931/#REF!,"-")</f>
        <v>-</v>
      </c>
      <c r="J931" s="329">
        <f>+J930</f>
        <v>2119394</v>
      </c>
      <c r="K931" s="329">
        <f t="shared" ref="K931:L931" si="827">+K930</f>
        <v>2080912</v>
      </c>
      <c r="L931" s="329">
        <f t="shared" si="827"/>
        <v>38482</v>
      </c>
      <c r="M931" s="344" t="str">
        <f t="shared" si="823"/>
        <v>-</v>
      </c>
      <c r="N931" s="352">
        <f t="shared" si="824"/>
        <v>1.8157076975777037E-2</v>
      </c>
      <c r="O931" s="397"/>
      <c r="P931" s="413">
        <f>+P930</f>
        <v>1997093.5325999998</v>
      </c>
      <c r="Q931" s="431">
        <f>Q930</f>
        <v>16336301.197099999</v>
      </c>
    </row>
    <row r="932" spans="1:17" ht="24.6" thickBot="1" x14ac:dyDescent="0.35">
      <c r="A932" s="322"/>
      <c r="B932" s="1041" t="s">
        <v>182</v>
      </c>
      <c r="C932" s="1042"/>
      <c r="D932" s="377">
        <f>+D931+D897+D888</f>
        <v>0</v>
      </c>
      <c r="E932" s="377">
        <f>+E931+E897+E888</f>
        <v>230000</v>
      </c>
      <c r="F932" s="377">
        <f>+F931+F897+F888</f>
        <v>289275</v>
      </c>
      <c r="G932" s="377">
        <f>+G931+G897+G888</f>
        <v>284997</v>
      </c>
      <c r="H932" s="377">
        <f>+H931+H897+H888</f>
        <v>4278</v>
      </c>
      <c r="I932" s="378" t="str">
        <f>IFERROR(F932/#REF!,"-")</f>
        <v>-</v>
      </c>
      <c r="J932" s="377">
        <f>+J931+J897+J888</f>
        <v>5432566</v>
      </c>
      <c r="K932" s="377">
        <f>+K931+K897+K888</f>
        <v>5319372</v>
      </c>
      <c r="L932" s="377">
        <f>+L931+L897+L888</f>
        <v>113194</v>
      </c>
      <c r="M932" s="378" t="str">
        <f t="shared" si="823"/>
        <v>-</v>
      </c>
      <c r="N932" s="378">
        <f>IFERROR(L932/J932,"-")</f>
        <v>2.0836194166808097E-2</v>
      </c>
      <c r="O932" s="404"/>
      <c r="P932" s="421">
        <f>+P931+P897+P888</f>
        <v>3126221.0026000002</v>
      </c>
      <c r="Q932" s="421">
        <f>+Q931+Q897+Q888</f>
        <v>30820361.224099997</v>
      </c>
    </row>
    <row r="933" spans="1:17" ht="22.5" customHeight="1" x14ac:dyDescent="0.3">
      <c r="A933" s="1043" t="s">
        <v>1</v>
      </c>
      <c r="B933" s="1046" t="s">
        <v>2</v>
      </c>
      <c r="C933" s="1049" t="s">
        <v>477</v>
      </c>
      <c r="D933" s="1000" t="s">
        <v>4</v>
      </c>
      <c r="E933" s="1001"/>
      <c r="F933" s="1001"/>
      <c r="G933" s="1001"/>
      <c r="H933" s="1001"/>
      <c r="I933" s="1001"/>
      <c r="J933" s="1001"/>
      <c r="K933" s="1001"/>
      <c r="L933" s="1001"/>
      <c r="M933" s="1001"/>
      <c r="N933" s="1002"/>
      <c r="O933" s="1021" t="s">
        <v>175</v>
      </c>
      <c r="P933" s="1022"/>
      <c r="Q933" s="1052"/>
    </row>
    <row r="934" spans="1:17" ht="22.5" customHeight="1" x14ac:dyDescent="0.3">
      <c r="A934" s="1044"/>
      <c r="B934" s="1047"/>
      <c r="C934" s="1050"/>
      <c r="D934" s="1003" t="s">
        <v>7</v>
      </c>
      <c r="E934" s="1005" t="s">
        <v>115</v>
      </c>
      <c r="F934" s="1053" t="s">
        <v>558</v>
      </c>
      <c r="G934" s="1008"/>
      <c r="H934" s="1008"/>
      <c r="I934" s="1009"/>
      <c r="J934" s="1010" t="s">
        <v>8</v>
      </c>
      <c r="K934" s="1011"/>
      <c r="L934" s="1012"/>
      <c r="M934" s="1013" t="s">
        <v>173</v>
      </c>
      <c r="N934" s="1015" t="s">
        <v>172</v>
      </c>
      <c r="O934" s="1054" t="s">
        <v>177</v>
      </c>
      <c r="P934" s="1055"/>
      <c r="Q934" s="1056"/>
    </row>
    <row r="935" spans="1:17" ht="47.4" thickBot="1" x14ac:dyDescent="0.35">
      <c r="A935" s="1045"/>
      <c r="B935" s="1048"/>
      <c r="C935" s="1051"/>
      <c r="D935" s="1004"/>
      <c r="E935" s="1006"/>
      <c r="F935" s="455" t="s">
        <v>13</v>
      </c>
      <c r="G935" s="456" t="s">
        <v>14</v>
      </c>
      <c r="H935" s="456" t="s">
        <v>15</v>
      </c>
      <c r="I935" s="457" t="s">
        <v>174</v>
      </c>
      <c r="J935" s="712" t="s">
        <v>13</v>
      </c>
      <c r="K935" s="710" t="s">
        <v>14</v>
      </c>
      <c r="L935" s="711" t="s">
        <v>15</v>
      </c>
      <c r="M935" s="1014"/>
      <c r="N935" s="1016"/>
      <c r="O935" s="447" t="s">
        <v>178</v>
      </c>
      <c r="P935" s="448" t="s">
        <v>11</v>
      </c>
      <c r="Q935" s="449" t="s">
        <v>12</v>
      </c>
    </row>
    <row r="936" spans="1:17" ht="23.4" x14ac:dyDescent="0.3">
      <c r="A936" s="271" t="s">
        <v>110</v>
      </c>
      <c r="B936" s="442"/>
      <c r="C936" s="272" t="s">
        <v>266</v>
      </c>
      <c r="D936" s="273"/>
      <c r="E936" s="274"/>
      <c r="F936" s="335">
        <f>+G936+H936</f>
        <v>0</v>
      </c>
      <c r="G936" s="275"/>
      <c r="H936" s="275"/>
      <c r="I936" s="354" t="str">
        <f>IFERROR(F936/#REF!,"-")</f>
        <v>-</v>
      </c>
      <c r="J936" s="461">
        <f>+K936+L936</f>
        <v>337292</v>
      </c>
      <c r="K936" s="462">
        <f>+K874+G936</f>
        <v>321720</v>
      </c>
      <c r="L936" s="463">
        <f>+L874+H936</f>
        <v>15572</v>
      </c>
      <c r="M936" s="339" t="str">
        <f>IFERROR(J936/D936,"-")</f>
        <v>-</v>
      </c>
      <c r="N936" s="346">
        <f t="shared" ref="N936:N937" si="828">IFERROR(L936/J936,"-")</f>
        <v>4.6167712249326989E-2</v>
      </c>
      <c r="O936" s="511">
        <v>1.5669</v>
      </c>
      <c r="P936" s="405">
        <f>+O936*G936</f>
        <v>0</v>
      </c>
      <c r="Q936" s="450">
        <f>+O936*K936</f>
        <v>504103.06799999997</v>
      </c>
    </row>
    <row r="937" spans="1:17" ht="23.4" x14ac:dyDescent="0.3">
      <c r="A937" s="277" t="s">
        <v>110</v>
      </c>
      <c r="B937" s="441"/>
      <c r="C937" s="278" t="s">
        <v>265</v>
      </c>
      <c r="D937" s="279"/>
      <c r="E937" s="280"/>
      <c r="F937" s="336">
        <f t="shared" ref="F937:F940" si="829">+G937+H937</f>
        <v>0</v>
      </c>
      <c r="G937" s="833"/>
      <c r="H937" s="833"/>
      <c r="I937" s="355" t="str">
        <f>IFERROR(F937/#REF!,"-")</f>
        <v>-</v>
      </c>
      <c r="J937" s="336">
        <f t="shared" ref="J937:J940" si="830">+K937+L937</f>
        <v>960348</v>
      </c>
      <c r="K937" s="281">
        <f t="shared" ref="K937:K940" si="831">+K875+G937</f>
        <v>947250</v>
      </c>
      <c r="L937" s="439">
        <f t="shared" ref="L937:L940" si="832">+L875+H937</f>
        <v>13098</v>
      </c>
      <c r="M937" s="340" t="str">
        <f t="shared" ref="M937:M940" si="833">IFERROR(J937/D937,"-")</f>
        <v>-</v>
      </c>
      <c r="N937" s="268">
        <f t="shared" si="828"/>
        <v>1.3638805932849342E-2</v>
      </c>
      <c r="O937" s="512">
        <v>2.3978999999999999</v>
      </c>
      <c r="P937" s="407">
        <f>+O937*G937</f>
        <v>0</v>
      </c>
      <c r="Q937" s="452">
        <f>+O937*K937</f>
        <v>2271410.7749999999</v>
      </c>
    </row>
    <row r="938" spans="1:17" ht="23.4" x14ac:dyDescent="0.3">
      <c r="A938" s="277" t="s">
        <v>110</v>
      </c>
      <c r="B938" s="441"/>
      <c r="C938" s="278" t="s">
        <v>476</v>
      </c>
      <c r="D938" s="279"/>
      <c r="E938" s="280"/>
      <c r="F938" s="336">
        <f t="shared" si="829"/>
        <v>103490</v>
      </c>
      <c r="G938" s="281">
        <v>102250</v>
      </c>
      <c r="H938" s="833">
        <v>1240</v>
      </c>
      <c r="I938" s="355" t="str">
        <f>IFERROR(F938/#REF!,"-")</f>
        <v>-</v>
      </c>
      <c r="J938" s="336">
        <f t="shared" si="830"/>
        <v>505360</v>
      </c>
      <c r="K938" s="281">
        <f t="shared" si="831"/>
        <v>483750</v>
      </c>
      <c r="L938" s="439">
        <f t="shared" si="832"/>
        <v>21610</v>
      </c>
      <c r="M938" s="340" t="str">
        <f t="shared" si="833"/>
        <v>-</v>
      </c>
      <c r="N938" s="806">
        <f>IFERROR(L938/J938,"-")</f>
        <v>4.2761595694158619E-2</v>
      </c>
      <c r="O938" s="824">
        <v>3.6777000000000002</v>
      </c>
      <c r="P938" s="407">
        <f t="shared" ref="P938:P940" si="834">+O938*G938</f>
        <v>376044.82500000001</v>
      </c>
      <c r="Q938" s="452">
        <f t="shared" ref="Q938:Q940" si="835">+O938*K938</f>
        <v>1779087.375</v>
      </c>
    </row>
    <row r="939" spans="1:17" ht="23.4" x14ac:dyDescent="0.3">
      <c r="A939" s="277"/>
      <c r="B939" s="454"/>
      <c r="C939" s="278" t="s">
        <v>353</v>
      </c>
      <c r="D939" s="283"/>
      <c r="E939" s="284"/>
      <c r="F939" s="336">
        <f t="shared" si="829"/>
        <v>45063</v>
      </c>
      <c r="G939" s="285">
        <v>44000</v>
      </c>
      <c r="H939" s="285">
        <v>1063</v>
      </c>
      <c r="I939" s="355" t="str">
        <f>IFERROR(F939/#REF!,"-")</f>
        <v>-</v>
      </c>
      <c r="J939" s="336">
        <f t="shared" si="830"/>
        <v>271119</v>
      </c>
      <c r="K939" s="281">
        <f t="shared" si="831"/>
        <v>265400</v>
      </c>
      <c r="L939" s="439">
        <f t="shared" si="832"/>
        <v>5719</v>
      </c>
      <c r="M939" s="340" t="str">
        <f t="shared" si="833"/>
        <v>-</v>
      </c>
      <c r="N939" s="268">
        <f>IFERROR(L939/J939,"-")</f>
        <v>2.1094058328630601E-2</v>
      </c>
      <c r="O939" s="513">
        <v>12.284700000000001</v>
      </c>
      <c r="P939" s="407">
        <f t="shared" si="834"/>
        <v>540526.80000000005</v>
      </c>
      <c r="Q939" s="452">
        <f t="shared" si="835"/>
        <v>3260359.3800000004</v>
      </c>
    </row>
    <row r="940" spans="1:17" ht="24" thickBot="1" x14ac:dyDescent="0.35">
      <c r="A940" s="277" t="s">
        <v>110</v>
      </c>
      <c r="B940" s="454"/>
      <c r="C940" s="278" t="s">
        <v>408</v>
      </c>
      <c r="D940" s="283"/>
      <c r="E940" s="284"/>
      <c r="F940" s="337">
        <f t="shared" si="829"/>
        <v>27224</v>
      </c>
      <c r="G940" s="285">
        <v>26000</v>
      </c>
      <c r="H940" s="285">
        <v>1224</v>
      </c>
      <c r="I940" s="356" t="str">
        <f>IFERROR(F940/#REF!,"-")</f>
        <v>-</v>
      </c>
      <c r="J940" s="464">
        <f t="shared" si="830"/>
        <v>484372</v>
      </c>
      <c r="K940" s="465">
        <f t="shared" si="831"/>
        <v>470250</v>
      </c>
      <c r="L940" s="466">
        <f t="shared" si="832"/>
        <v>14122</v>
      </c>
      <c r="M940" s="341" t="str">
        <f t="shared" si="833"/>
        <v>-</v>
      </c>
      <c r="N940" s="347">
        <f t="shared" ref="N940:N952" si="836">IFERROR(L940/J940,"-")</f>
        <v>2.9155277348814547E-2</v>
      </c>
      <c r="O940" s="824">
        <v>7.0612000000000004</v>
      </c>
      <c r="P940" s="408">
        <f t="shared" si="834"/>
        <v>183591.2</v>
      </c>
      <c r="Q940" s="453">
        <f t="shared" si="835"/>
        <v>3320529.3000000003</v>
      </c>
    </row>
    <row r="941" spans="1:17" ht="23.25" customHeight="1" thickBot="1" x14ac:dyDescent="0.35">
      <c r="A941" s="277" t="s">
        <v>110</v>
      </c>
      <c r="B941" s="1038" t="s">
        <v>21</v>
      </c>
      <c r="C941" s="989"/>
      <c r="D941" s="323">
        <f>SUM(D936:D940)</f>
        <v>0</v>
      </c>
      <c r="E941" s="288">
        <v>15000</v>
      </c>
      <c r="F941" s="323">
        <f>SUM(F936:F940)</f>
        <v>175777</v>
      </c>
      <c r="G941" s="324">
        <f>SUM(G936:G940)</f>
        <v>172250</v>
      </c>
      <c r="H941" s="324">
        <f>SUM(H936:H940)</f>
        <v>3527</v>
      </c>
      <c r="I941" s="348" t="str">
        <f>IFERROR(F941/#REF!,"-")</f>
        <v>-</v>
      </c>
      <c r="J941" s="323">
        <f>SUM(J936:J940)</f>
        <v>2558491</v>
      </c>
      <c r="K941" s="324">
        <f>SUM(K936:K940)</f>
        <v>2488370</v>
      </c>
      <c r="L941" s="325">
        <f>SUM(L936:L940)</f>
        <v>70121</v>
      </c>
      <c r="M941" s="342" t="str">
        <f>IFERROR(J941/D941,"-")</f>
        <v>-</v>
      </c>
      <c r="N941" s="348">
        <f t="shared" si="836"/>
        <v>2.7407170867515266E-2</v>
      </c>
      <c r="O941" s="394"/>
      <c r="P941" s="409">
        <f>SUM(P936:P940)</f>
        <v>1100162.825</v>
      </c>
      <c r="Q941" s="428">
        <f>SUM(Q936:Q940)</f>
        <v>11135489.898000002</v>
      </c>
    </row>
    <row r="942" spans="1:17" ht="23.4" x14ac:dyDescent="0.3">
      <c r="A942" s="277" t="s">
        <v>110</v>
      </c>
      <c r="B942" s="442"/>
      <c r="C942" s="272" t="s">
        <v>264</v>
      </c>
      <c r="D942" s="273"/>
      <c r="E942" s="274"/>
      <c r="F942" s="335">
        <f t="shared" ref="F942:F948" si="837">+G942+H942</f>
        <v>0</v>
      </c>
      <c r="G942" s="275"/>
      <c r="H942" s="275"/>
      <c r="I942" s="354" t="str">
        <f>IFERROR(F942/#REF!,"-")</f>
        <v>-</v>
      </c>
      <c r="J942" s="461">
        <f t="shared" ref="J942:J948" si="838">+K942+L942</f>
        <v>34540</v>
      </c>
      <c r="K942" s="462">
        <f t="shared" ref="K942:K948" si="839">+K880+G942</f>
        <v>33840</v>
      </c>
      <c r="L942" s="463">
        <f t="shared" ref="L942:L948" si="840">+L880+H942</f>
        <v>700</v>
      </c>
      <c r="M942" s="339" t="str">
        <f t="shared" ref="M942:M950" si="841">IFERROR(J942/D942,"-")</f>
        <v>-</v>
      </c>
      <c r="N942" s="349">
        <f t="shared" si="836"/>
        <v>2.0266357845975681E-2</v>
      </c>
      <c r="O942" s="511">
        <v>18.2316</v>
      </c>
      <c r="P942" s="405">
        <f t="shared" ref="P942:P948" si="842">+O942*G942</f>
        <v>0</v>
      </c>
      <c r="Q942" s="450">
        <f t="shared" ref="Q942:Q948" si="843">+O942*K942</f>
        <v>616957.34400000004</v>
      </c>
    </row>
    <row r="943" spans="1:17" ht="23.4" x14ac:dyDescent="0.3">
      <c r="A943" s="277" t="s">
        <v>110</v>
      </c>
      <c r="B943" s="441"/>
      <c r="C943" s="278" t="s">
        <v>92</v>
      </c>
      <c r="D943" s="279"/>
      <c r="E943" s="280"/>
      <c r="F943" s="336">
        <f t="shared" si="837"/>
        <v>60000</v>
      </c>
      <c r="G943" s="281">
        <v>60000</v>
      </c>
      <c r="H943" s="281"/>
      <c r="I943" s="355" t="str">
        <f>IFERROR(F943/#REF!,"-")</f>
        <v>-</v>
      </c>
      <c r="J943" s="336">
        <f t="shared" si="838"/>
        <v>300000</v>
      </c>
      <c r="K943" s="281">
        <f t="shared" si="839"/>
        <v>300000</v>
      </c>
      <c r="L943" s="439">
        <f t="shared" si="840"/>
        <v>0</v>
      </c>
      <c r="M943" s="340" t="str">
        <f t="shared" si="841"/>
        <v>-</v>
      </c>
      <c r="N943" s="264">
        <f t="shared" si="836"/>
        <v>0</v>
      </c>
      <c r="O943" s="512">
        <v>1.2824</v>
      </c>
      <c r="P943" s="407">
        <f t="shared" si="842"/>
        <v>76944</v>
      </c>
      <c r="Q943" s="452">
        <f t="shared" si="843"/>
        <v>384720</v>
      </c>
    </row>
    <row r="944" spans="1:17" ht="23.4" x14ac:dyDescent="0.3">
      <c r="A944" s="277" t="s">
        <v>110</v>
      </c>
      <c r="B944" s="441"/>
      <c r="C944" s="278" t="s">
        <v>329</v>
      </c>
      <c r="D944" s="279"/>
      <c r="E944" s="280"/>
      <c r="F944" s="336">
        <f t="shared" si="837"/>
        <v>0</v>
      </c>
      <c r="G944" s="281"/>
      <c r="H944" s="281"/>
      <c r="I944" s="355" t="str">
        <f>IFERROR(F944/#REF!,"-")</f>
        <v>-</v>
      </c>
      <c r="J944" s="336">
        <f t="shared" si="838"/>
        <v>76800</v>
      </c>
      <c r="K944" s="281">
        <f t="shared" si="839"/>
        <v>76800</v>
      </c>
      <c r="L944" s="439">
        <f t="shared" si="840"/>
        <v>0</v>
      </c>
      <c r="M944" s="340" t="str">
        <f t="shared" si="841"/>
        <v>-</v>
      </c>
      <c r="N944" s="264">
        <f t="shared" si="836"/>
        <v>0</v>
      </c>
      <c r="O944" s="772">
        <v>5.7342000000000004</v>
      </c>
      <c r="P944" s="407">
        <f t="shared" si="842"/>
        <v>0</v>
      </c>
      <c r="Q944" s="452">
        <f t="shared" si="843"/>
        <v>440386.56000000006</v>
      </c>
    </row>
    <row r="945" spans="1:17" ht="23.4" x14ac:dyDescent="0.3">
      <c r="A945" s="277" t="s">
        <v>110</v>
      </c>
      <c r="B945" s="441"/>
      <c r="C945" s="278" t="s">
        <v>346</v>
      </c>
      <c r="D945" s="279"/>
      <c r="E945" s="280"/>
      <c r="F945" s="336">
        <f t="shared" si="837"/>
        <v>0</v>
      </c>
      <c r="G945" s="281"/>
      <c r="H945" s="281"/>
      <c r="I945" s="355" t="str">
        <f>IFERROR(F945/#REF!,"-")</f>
        <v>-</v>
      </c>
      <c r="J945" s="336">
        <f t="shared" si="838"/>
        <v>0</v>
      </c>
      <c r="K945" s="281">
        <f t="shared" si="839"/>
        <v>0</v>
      </c>
      <c r="L945" s="439">
        <f t="shared" si="840"/>
        <v>0</v>
      </c>
      <c r="M945" s="340" t="str">
        <f t="shared" si="841"/>
        <v>-</v>
      </c>
      <c r="N945" s="264" t="str">
        <f t="shared" si="836"/>
        <v>-</v>
      </c>
      <c r="O945" s="512"/>
      <c r="P945" s="407">
        <f t="shared" si="842"/>
        <v>0</v>
      </c>
      <c r="Q945" s="452">
        <f t="shared" si="843"/>
        <v>0</v>
      </c>
    </row>
    <row r="946" spans="1:17" ht="23.4" x14ac:dyDescent="0.3">
      <c r="A946" s="277" t="s">
        <v>110</v>
      </c>
      <c r="B946" s="441"/>
      <c r="C946" s="278" t="s">
        <v>354</v>
      </c>
      <c r="D946" s="279"/>
      <c r="E946" s="280"/>
      <c r="F946" s="336">
        <f t="shared" si="837"/>
        <v>0</v>
      </c>
      <c r="G946" s="281"/>
      <c r="H946" s="281"/>
      <c r="I946" s="355" t="str">
        <f>IFERROR(F946/#REF!,"-")</f>
        <v>-</v>
      </c>
      <c r="J946" s="336">
        <f t="shared" si="838"/>
        <v>186520</v>
      </c>
      <c r="K946" s="281">
        <f t="shared" si="839"/>
        <v>185200</v>
      </c>
      <c r="L946" s="439">
        <f t="shared" si="840"/>
        <v>1320</v>
      </c>
      <c r="M946" s="340" t="str">
        <f t="shared" si="841"/>
        <v>-</v>
      </c>
      <c r="N946" s="264">
        <f t="shared" si="836"/>
        <v>7.0769890628350849E-3</v>
      </c>
      <c r="O946" s="512">
        <v>12.029500000000001</v>
      </c>
      <c r="P946" s="407">
        <f t="shared" si="842"/>
        <v>0</v>
      </c>
      <c r="Q946" s="452">
        <f t="shared" si="843"/>
        <v>2227863.4</v>
      </c>
    </row>
    <row r="947" spans="1:17" ht="23.4" x14ac:dyDescent="0.3">
      <c r="A947" s="277" t="s">
        <v>110</v>
      </c>
      <c r="B947" s="441"/>
      <c r="C947" s="278"/>
      <c r="D947" s="279"/>
      <c r="E947" s="280"/>
      <c r="F947" s="336">
        <f t="shared" si="837"/>
        <v>0</v>
      </c>
      <c r="G947" s="281"/>
      <c r="H947" s="281"/>
      <c r="I947" s="355" t="str">
        <f>IFERROR(F947/#REF!,"-")</f>
        <v>-</v>
      </c>
      <c r="J947" s="336">
        <f t="shared" si="838"/>
        <v>0</v>
      </c>
      <c r="K947" s="281">
        <f t="shared" si="839"/>
        <v>0</v>
      </c>
      <c r="L947" s="439">
        <f t="shared" si="840"/>
        <v>0</v>
      </c>
      <c r="M947" s="340" t="str">
        <f t="shared" si="841"/>
        <v>-</v>
      </c>
      <c r="N947" s="264" t="str">
        <f t="shared" si="836"/>
        <v>-</v>
      </c>
      <c r="O947" s="512"/>
      <c r="P947" s="407">
        <f t="shared" si="842"/>
        <v>0</v>
      </c>
      <c r="Q947" s="452">
        <f t="shared" si="843"/>
        <v>0</v>
      </c>
    </row>
    <row r="948" spans="1:17" ht="24" thickBot="1" x14ac:dyDescent="0.35">
      <c r="A948" s="277" t="s">
        <v>110</v>
      </c>
      <c r="B948" s="454"/>
      <c r="C948" s="282"/>
      <c r="D948" s="283">
        <v>0</v>
      </c>
      <c r="E948" s="284"/>
      <c r="F948" s="337">
        <f t="shared" si="837"/>
        <v>0</v>
      </c>
      <c r="G948" s="285"/>
      <c r="H948" s="285"/>
      <c r="I948" s="356" t="str">
        <f>IFERROR(F948/#REF!,"-")</f>
        <v>-</v>
      </c>
      <c r="J948" s="464">
        <f t="shared" si="838"/>
        <v>0</v>
      </c>
      <c r="K948" s="465">
        <f t="shared" si="839"/>
        <v>0</v>
      </c>
      <c r="L948" s="466">
        <f t="shared" si="840"/>
        <v>0</v>
      </c>
      <c r="M948" s="341" t="str">
        <f t="shared" si="841"/>
        <v>-</v>
      </c>
      <c r="N948" s="350" t="str">
        <f t="shared" si="836"/>
        <v>-</v>
      </c>
      <c r="O948" s="513"/>
      <c r="P948" s="408">
        <f t="shared" si="842"/>
        <v>0</v>
      </c>
      <c r="Q948" s="453">
        <f t="shared" si="843"/>
        <v>0</v>
      </c>
    </row>
    <row r="949" spans="1:17" ht="23.25" customHeight="1" thickBot="1" x14ac:dyDescent="0.35">
      <c r="A949" s="277" t="s">
        <v>110</v>
      </c>
      <c r="B949" s="1038" t="s">
        <v>25</v>
      </c>
      <c r="C949" s="989"/>
      <c r="D949" s="323">
        <f t="shared" ref="D949" si="844">SUM(D942:D948)</f>
        <v>0</v>
      </c>
      <c r="E949" s="288">
        <v>100000</v>
      </c>
      <c r="F949" s="323">
        <f>SUM(F942:F948)</f>
        <v>60000</v>
      </c>
      <c r="G949" s="324">
        <f t="shared" ref="G949:H949" si="845">SUM(G942:G948)</f>
        <v>60000</v>
      </c>
      <c r="H949" s="324">
        <f t="shared" si="845"/>
        <v>0</v>
      </c>
      <c r="I949" s="348" t="str">
        <f>IFERROR(F949/#REF!,"-")</f>
        <v>-</v>
      </c>
      <c r="J949" s="323">
        <f t="shared" ref="J949:L949" si="846">SUM(J942:J948)</f>
        <v>597860</v>
      </c>
      <c r="K949" s="324">
        <f t="shared" si="846"/>
        <v>595840</v>
      </c>
      <c r="L949" s="325">
        <f t="shared" si="846"/>
        <v>2020</v>
      </c>
      <c r="M949" s="342" t="str">
        <f t="shared" si="841"/>
        <v>-</v>
      </c>
      <c r="N949" s="348">
        <f t="shared" si="836"/>
        <v>3.3787174254842271E-3</v>
      </c>
      <c r="O949" s="394"/>
      <c r="P949" s="409">
        <f t="shared" ref="P949:Q949" si="847">SUM(P942:P948)</f>
        <v>76944</v>
      </c>
      <c r="Q949" s="428">
        <f t="shared" si="847"/>
        <v>3669927.304</v>
      </c>
    </row>
    <row r="950" spans="1:17" ht="23.25" customHeight="1" thickBot="1" x14ac:dyDescent="0.35">
      <c r="A950" s="277" t="s">
        <v>110</v>
      </c>
      <c r="B950" s="1039" t="s">
        <v>180</v>
      </c>
      <c r="C950" s="1040"/>
      <c r="D950" s="329">
        <f>+D941+D949</f>
        <v>0</v>
      </c>
      <c r="E950" s="330">
        <f t="shared" ref="E950:H950" si="848">+E941+E949</f>
        <v>115000</v>
      </c>
      <c r="F950" s="329">
        <f t="shared" si="848"/>
        <v>235777</v>
      </c>
      <c r="G950" s="327">
        <f t="shared" si="848"/>
        <v>232250</v>
      </c>
      <c r="H950" s="327">
        <f t="shared" si="848"/>
        <v>3527</v>
      </c>
      <c r="I950" s="352" t="str">
        <f>IFERROR(F950/#REF!,"-")</f>
        <v>-</v>
      </c>
      <c r="J950" s="329">
        <f t="shared" ref="J950:L950" si="849">+J941+J949</f>
        <v>3156351</v>
      </c>
      <c r="K950" s="327">
        <f t="shared" si="849"/>
        <v>3084210</v>
      </c>
      <c r="L950" s="328">
        <f t="shared" si="849"/>
        <v>72141</v>
      </c>
      <c r="M950" s="344" t="str">
        <f t="shared" si="841"/>
        <v>-</v>
      </c>
      <c r="N950" s="352">
        <f t="shared" si="836"/>
        <v>2.2855823069107332E-2</v>
      </c>
      <c r="O950" s="397"/>
      <c r="P950" s="413">
        <f t="shared" ref="P950:Q950" si="850">+P941+P949</f>
        <v>1177106.825</v>
      </c>
      <c r="Q950" s="431">
        <f t="shared" si="850"/>
        <v>14805417.202000001</v>
      </c>
    </row>
    <row r="951" spans="1:17" ht="23.4" x14ac:dyDescent="0.3">
      <c r="A951" s="244" t="s">
        <v>108</v>
      </c>
      <c r="B951" s="591"/>
      <c r="C951" s="592" t="s">
        <v>306</v>
      </c>
      <c r="D951" s="532"/>
      <c r="E951" s="463"/>
      <c r="F951" s="461">
        <f>+G951+H951</f>
        <v>0</v>
      </c>
      <c r="G951" s="462"/>
      <c r="H951" s="462"/>
      <c r="I951" s="536" t="str">
        <f>IFERROR(F951/#REF!,"-")</f>
        <v>-</v>
      </c>
      <c r="J951" s="461">
        <f>+K951+L951</f>
        <v>0</v>
      </c>
      <c r="K951" s="462">
        <f t="shared" ref="K951:K957" si="851">+K889+G951</f>
        <v>0</v>
      </c>
      <c r="L951" s="463">
        <f t="shared" ref="L951:L957" si="852">+L889+H951</f>
        <v>0</v>
      </c>
      <c r="M951" s="596" t="str">
        <f>IFERROR(J951/D951,"-")</f>
        <v>-</v>
      </c>
      <c r="N951" s="538" t="str">
        <f t="shared" si="836"/>
        <v>-</v>
      </c>
      <c r="O951" s="638">
        <v>4.8285999999999998</v>
      </c>
      <c r="P951" s="539">
        <f t="shared" ref="P951:P957" si="853">+O951*G951</f>
        <v>0</v>
      </c>
      <c r="Q951" s="540">
        <f t="shared" ref="Q951:Q957" si="854">+O951*K951</f>
        <v>0</v>
      </c>
    </row>
    <row r="952" spans="1:17" ht="23.4" x14ac:dyDescent="0.3">
      <c r="A952" s="248" t="s">
        <v>108</v>
      </c>
      <c r="B952" s="593"/>
      <c r="C952" s="278" t="s">
        <v>307</v>
      </c>
      <c r="D952" s="279"/>
      <c r="E952" s="439"/>
      <c r="F952" s="336">
        <f t="shared" ref="F952:F957" si="855">+G952+H952</f>
        <v>0</v>
      </c>
      <c r="G952" s="281"/>
      <c r="H952" s="281"/>
      <c r="I952" s="355" t="str">
        <f>IFERROR(F952/#REF!,"-")</f>
        <v>-</v>
      </c>
      <c r="J952" s="336">
        <f t="shared" ref="J952:J957" si="856">+K952+L952</f>
        <v>0</v>
      </c>
      <c r="K952" s="281">
        <f t="shared" si="851"/>
        <v>0</v>
      </c>
      <c r="L952" s="439">
        <f t="shared" si="852"/>
        <v>0</v>
      </c>
      <c r="M952" s="340" t="str">
        <f t="shared" ref="M952:M954" si="857">IFERROR(J952/D952,"-")</f>
        <v>-</v>
      </c>
      <c r="N952" s="268" t="str">
        <f t="shared" si="836"/>
        <v>-</v>
      </c>
      <c r="O952" s="639">
        <v>1.4086000000000001</v>
      </c>
      <c r="P952" s="407">
        <f t="shared" si="853"/>
        <v>0</v>
      </c>
      <c r="Q952" s="452">
        <f t="shared" si="854"/>
        <v>0</v>
      </c>
    </row>
    <row r="953" spans="1:17" ht="23.4" x14ac:dyDescent="0.3">
      <c r="A953" s="248" t="s">
        <v>108</v>
      </c>
      <c r="B953" s="593"/>
      <c r="C953" s="278" t="s">
        <v>348</v>
      </c>
      <c r="D953" s="279"/>
      <c r="E953" s="439"/>
      <c r="F953" s="336">
        <f t="shared" si="855"/>
        <v>0</v>
      </c>
      <c r="G953" s="281"/>
      <c r="H953" s="281"/>
      <c r="I953" s="355" t="str">
        <f>IFERROR(F953/#REF!,"-")</f>
        <v>-</v>
      </c>
      <c r="J953" s="336">
        <f t="shared" si="856"/>
        <v>0</v>
      </c>
      <c r="K953" s="281">
        <f t="shared" si="851"/>
        <v>0</v>
      </c>
      <c r="L953" s="439">
        <f t="shared" si="852"/>
        <v>0</v>
      </c>
      <c r="M953" s="340" t="str">
        <f t="shared" si="857"/>
        <v>-</v>
      </c>
      <c r="N953" s="268" t="str">
        <f>IFERROR(L953/J953,"-")</f>
        <v>-</v>
      </c>
      <c r="O953" s="639">
        <v>2.2141000000000002</v>
      </c>
      <c r="P953" s="407">
        <f t="shared" si="853"/>
        <v>0</v>
      </c>
      <c r="Q953" s="452">
        <f t="shared" si="854"/>
        <v>0</v>
      </c>
    </row>
    <row r="954" spans="1:17" ht="23.4" x14ac:dyDescent="0.3">
      <c r="A954" s="248" t="s">
        <v>108</v>
      </c>
      <c r="B954" s="594"/>
      <c r="C954" s="278" t="s">
        <v>460</v>
      </c>
      <c r="D954" s="283"/>
      <c r="E954" s="533"/>
      <c r="F954" s="337">
        <f t="shared" si="855"/>
        <v>0</v>
      </c>
      <c r="G954" s="285"/>
      <c r="H954" s="285"/>
      <c r="I954" s="356" t="str">
        <f>IFERROR(F954/#REF!,"-")</f>
        <v>-</v>
      </c>
      <c r="J954" s="336">
        <f t="shared" si="856"/>
        <v>392598</v>
      </c>
      <c r="K954" s="281">
        <f t="shared" si="851"/>
        <v>386500</v>
      </c>
      <c r="L954" s="439">
        <f t="shared" si="852"/>
        <v>6098</v>
      </c>
      <c r="M954" s="341" t="str">
        <f t="shared" si="857"/>
        <v>-</v>
      </c>
      <c r="N954" s="347">
        <f t="shared" ref="N954:N961" si="858">IFERROR(L954/J954,"-")</f>
        <v>1.5532427572224006E-2</v>
      </c>
      <c r="O954" s="639">
        <v>2.2141000000000002</v>
      </c>
      <c r="P954" s="408">
        <f t="shared" si="853"/>
        <v>0</v>
      </c>
      <c r="Q954" s="453">
        <f t="shared" si="854"/>
        <v>855749.65</v>
      </c>
    </row>
    <row r="955" spans="1:17" ht="23.4" x14ac:dyDescent="0.3">
      <c r="A955" s="248" t="s">
        <v>108</v>
      </c>
      <c r="B955" s="443"/>
      <c r="C955" s="637" t="s">
        <v>393</v>
      </c>
      <c r="D955" s="514"/>
      <c r="E955" s="534"/>
      <c r="F955" s="336">
        <f t="shared" si="855"/>
        <v>0</v>
      </c>
      <c r="G955" s="553"/>
      <c r="H955" s="553"/>
      <c r="I955" s="355" t="str">
        <f>IFERROR(F955/#REF!,"-")</f>
        <v>-</v>
      </c>
      <c r="J955" s="336">
        <f t="shared" si="856"/>
        <v>0</v>
      </c>
      <c r="K955" s="281">
        <f t="shared" si="851"/>
        <v>0</v>
      </c>
      <c r="L955" s="439">
        <f t="shared" si="852"/>
        <v>0</v>
      </c>
      <c r="M955" s="725"/>
      <c r="N955" s="268" t="str">
        <f t="shared" si="858"/>
        <v>-</v>
      </c>
      <c r="O955" s="545">
        <v>4.8285999999999998</v>
      </c>
      <c r="P955" s="407">
        <f t="shared" si="853"/>
        <v>0</v>
      </c>
      <c r="Q955" s="452">
        <f t="shared" si="854"/>
        <v>0</v>
      </c>
    </row>
    <row r="956" spans="1:17" ht="23.4" x14ac:dyDescent="0.3">
      <c r="A956" s="248" t="s">
        <v>108</v>
      </c>
      <c r="B956" s="595"/>
      <c r="C956" s="637" t="s">
        <v>389</v>
      </c>
      <c r="D956" s="273"/>
      <c r="E956" s="438"/>
      <c r="F956" s="335">
        <f t="shared" si="855"/>
        <v>0</v>
      </c>
      <c r="G956" s="275"/>
      <c r="H956" s="275"/>
      <c r="I956" s="354" t="str">
        <f>IFERROR(F956/#REF!,"-")</f>
        <v>-</v>
      </c>
      <c r="J956" s="336">
        <f t="shared" si="856"/>
        <v>0</v>
      </c>
      <c r="K956" s="281">
        <f t="shared" si="851"/>
        <v>0</v>
      </c>
      <c r="L956" s="439">
        <f t="shared" si="852"/>
        <v>0</v>
      </c>
      <c r="M956" s="339" t="str">
        <f t="shared" ref="M956:M957" si="859">IFERROR(J956/D956,"-")</f>
        <v>-</v>
      </c>
      <c r="N956" s="349" t="str">
        <f t="shared" si="858"/>
        <v>-</v>
      </c>
      <c r="O956" s="511">
        <v>4.1712999999999996</v>
      </c>
      <c r="P956" s="405">
        <f t="shared" si="853"/>
        <v>0</v>
      </c>
      <c r="Q956" s="450">
        <f t="shared" si="854"/>
        <v>0</v>
      </c>
    </row>
    <row r="957" spans="1:17" ht="24" thickBot="1" x14ac:dyDescent="0.35">
      <c r="A957" s="248" t="s">
        <v>108</v>
      </c>
      <c r="B957" s="593"/>
      <c r="C957" s="278"/>
      <c r="D957" s="279"/>
      <c r="E957" s="439"/>
      <c r="F957" s="336">
        <f t="shared" si="855"/>
        <v>0</v>
      </c>
      <c r="G957" s="281"/>
      <c r="H957" s="281"/>
      <c r="I957" s="355" t="str">
        <f>IFERROR(F957/#REF!,"-")</f>
        <v>-</v>
      </c>
      <c r="J957" s="464">
        <f t="shared" si="856"/>
        <v>0</v>
      </c>
      <c r="K957" s="465">
        <f t="shared" si="851"/>
        <v>0</v>
      </c>
      <c r="L957" s="466">
        <f t="shared" si="852"/>
        <v>0</v>
      </c>
      <c r="M957" s="340" t="str">
        <f t="shared" si="859"/>
        <v>-</v>
      </c>
      <c r="N957" s="264" t="str">
        <f t="shared" si="858"/>
        <v>-</v>
      </c>
      <c r="O957" s="451"/>
      <c r="P957" s="407">
        <f t="shared" si="853"/>
        <v>0</v>
      </c>
      <c r="Q957" s="452">
        <f t="shared" si="854"/>
        <v>0</v>
      </c>
    </row>
    <row r="958" spans="1:17" ht="23.25" customHeight="1" thickBot="1" x14ac:dyDescent="0.35">
      <c r="A958" s="277" t="s">
        <v>108</v>
      </c>
      <c r="B958" s="1038" t="s">
        <v>21</v>
      </c>
      <c r="C958" s="989"/>
      <c r="D958" s="323">
        <v>0</v>
      </c>
      <c r="E958" s="288">
        <v>15000</v>
      </c>
      <c r="F958" s="323">
        <f>SUM(F951:F957)</f>
        <v>0</v>
      </c>
      <c r="G958" s="324">
        <f t="shared" ref="G958:H958" si="860">SUM(G951:G957)</f>
        <v>0</v>
      </c>
      <c r="H958" s="324">
        <f t="shared" si="860"/>
        <v>0</v>
      </c>
      <c r="I958" s="348" t="str">
        <f>IFERROR(F958/#REF!,"-")</f>
        <v>-</v>
      </c>
      <c r="J958" s="518">
        <f t="shared" ref="J958" si="861">SUM(J951:J957)</f>
        <v>392598</v>
      </c>
      <c r="K958" s="524">
        <f>SUM(K951:K957)</f>
        <v>386500</v>
      </c>
      <c r="L958" s="524">
        <f>SUM(L951:L957)</f>
        <v>6098</v>
      </c>
      <c r="M958" s="342" t="str">
        <f>IFERROR(J958/D958,"-")</f>
        <v>-</v>
      </c>
      <c r="N958" s="348">
        <f t="shared" si="858"/>
        <v>1.5532427572224006E-2</v>
      </c>
      <c r="O958" s="394"/>
      <c r="P958" s="409">
        <f>SUM(P951:P957)</f>
        <v>0</v>
      </c>
      <c r="Q958" s="428">
        <f>SUM(Q951:Q957)</f>
        <v>855749.65</v>
      </c>
    </row>
    <row r="959" spans="1:17" ht="23.25" customHeight="1" thickBot="1" x14ac:dyDescent="0.35">
      <c r="A959" s="277" t="s">
        <v>108</v>
      </c>
      <c r="B959" s="1039" t="s">
        <v>268</v>
      </c>
      <c r="C959" s="1040"/>
      <c r="D959" s="517">
        <f>+D955+D958</f>
        <v>0</v>
      </c>
      <c r="E959" s="530">
        <f>+E955+E958</f>
        <v>15000</v>
      </c>
      <c r="F959" s="517">
        <f>+F955+F958</f>
        <v>0</v>
      </c>
      <c r="G959" s="519">
        <f>+G955+G958</f>
        <v>0</v>
      </c>
      <c r="H959" s="519">
        <f>+H955+H958</f>
        <v>0</v>
      </c>
      <c r="I959" s="520" t="str">
        <f>IFERROR(F959/#REF!,"-")</f>
        <v>-</v>
      </c>
      <c r="J959" s="517">
        <f>+J955+J958</f>
        <v>392598</v>
      </c>
      <c r="K959" s="519">
        <f>+K958</f>
        <v>386500</v>
      </c>
      <c r="L959" s="519">
        <f>+L958</f>
        <v>6098</v>
      </c>
      <c r="M959" s="521" t="str">
        <f t="shared" ref="M959" si="862">IFERROR(J959/D959,"-")</f>
        <v>-</v>
      </c>
      <c r="N959" s="520">
        <f t="shared" si="858"/>
        <v>1.5532427572224006E-2</v>
      </c>
      <c r="O959" s="522"/>
      <c r="P959" s="523">
        <f>+P958</f>
        <v>0</v>
      </c>
      <c r="Q959" s="523">
        <f>+Q958</f>
        <v>855749.65</v>
      </c>
    </row>
    <row r="960" spans="1:17" ht="23.4" x14ac:dyDescent="0.4">
      <c r="A960" s="244" t="s">
        <v>108</v>
      </c>
      <c r="B960" s="1035" t="s">
        <v>270</v>
      </c>
      <c r="C960" s="547" t="s">
        <v>74</v>
      </c>
      <c r="D960" s="532"/>
      <c r="E960" s="463"/>
      <c r="F960" s="461">
        <f>+G960+H960</f>
        <v>5045</v>
      </c>
      <c r="G960" s="462">
        <v>5000</v>
      </c>
      <c r="H960" s="462">
        <v>45</v>
      </c>
      <c r="I960" s="536" t="str">
        <f>IFERROR(F960/#REF!,"-")</f>
        <v>-</v>
      </c>
      <c r="J960" s="461">
        <f>+K960+L960</f>
        <v>59440</v>
      </c>
      <c r="K960" s="462">
        <f t="shared" ref="K960:K991" si="863">+K898+G960</f>
        <v>59000</v>
      </c>
      <c r="L960" s="463">
        <f t="shared" ref="L960:L991" si="864">+L898+H960</f>
        <v>440</v>
      </c>
      <c r="M960" s="596" t="str">
        <f>IFERROR(J960/D960,"-")</f>
        <v>-</v>
      </c>
      <c r="N960" s="538">
        <f t="shared" si="858"/>
        <v>7.4024226110363392E-3</v>
      </c>
      <c r="O960" s="543">
        <v>32.946300000000001</v>
      </c>
      <c r="P960" s="539">
        <f t="shared" ref="P960:P991" si="865">+O960*G960</f>
        <v>164731.5</v>
      </c>
      <c r="Q960" s="540">
        <f t="shared" ref="Q960:Q991" si="866">+O960*K960</f>
        <v>1943831.7</v>
      </c>
    </row>
    <row r="961" spans="1:17" ht="23.4" x14ac:dyDescent="0.4">
      <c r="A961" s="248" t="s">
        <v>108</v>
      </c>
      <c r="B961" s="1036"/>
      <c r="C961" s="548" t="s">
        <v>75</v>
      </c>
      <c r="D961" s="516"/>
      <c r="E961" s="439"/>
      <c r="F961" s="336">
        <f t="shared" ref="F961:F991" si="867">+G961+H961</f>
        <v>0</v>
      </c>
      <c r="G961" s="281"/>
      <c r="H961" s="281"/>
      <c r="I961" s="355" t="str">
        <f>IFERROR(F961/#REF!,"-")</f>
        <v>-</v>
      </c>
      <c r="J961" s="336">
        <f t="shared" ref="J961:J991" si="868">+K961+L961</f>
        <v>15076</v>
      </c>
      <c r="K961" s="281">
        <f t="shared" si="863"/>
        <v>15000</v>
      </c>
      <c r="L961" s="439">
        <f t="shared" si="864"/>
        <v>76</v>
      </c>
      <c r="M961" s="340" t="str">
        <f t="shared" ref="M961:M963" si="869">IFERROR(J961/D961,"-")</f>
        <v>-</v>
      </c>
      <c r="N961" s="268">
        <f t="shared" si="858"/>
        <v>5.0411249668347044E-3</v>
      </c>
      <c r="O961" s="512">
        <v>35.398400000000002</v>
      </c>
      <c r="P961" s="407">
        <f t="shared" si="865"/>
        <v>0</v>
      </c>
      <c r="Q961" s="452">
        <f t="shared" si="866"/>
        <v>530976</v>
      </c>
    </row>
    <row r="962" spans="1:17" ht="24" thickBot="1" x14ac:dyDescent="0.45">
      <c r="A962" s="248" t="s">
        <v>108</v>
      </c>
      <c r="B962" s="1037"/>
      <c r="C962" s="548" t="s">
        <v>76</v>
      </c>
      <c r="D962" s="279"/>
      <c r="E962" s="439"/>
      <c r="F962" s="336">
        <f t="shared" si="867"/>
        <v>0</v>
      </c>
      <c r="G962" s="281"/>
      <c r="H962" s="281"/>
      <c r="I962" s="355" t="str">
        <f>IFERROR(F962/#REF!,"-")</f>
        <v>-</v>
      </c>
      <c r="J962" s="336">
        <f t="shared" si="868"/>
        <v>0</v>
      </c>
      <c r="K962" s="281">
        <f t="shared" si="863"/>
        <v>0</v>
      </c>
      <c r="L962" s="439">
        <f t="shared" si="864"/>
        <v>0</v>
      </c>
      <c r="M962" s="340" t="str">
        <f t="shared" si="869"/>
        <v>-</v>
      </c>
      <c r="N962" s="268" t="str">
        <f>IFERROR(L962/J962,"-")</f>
        <v>-</v>
      </c>
      <c r="O962" s="512">
        <v>32.946300000000001</v>
      </c>
      <c r="P962" s="407">
        <f t="shared" si="865"/>
        <v>0</v>
      </c>
      <c r="Q962" s="452">
        <f t="shared" si="866"/>
        <v>0</v>
      </c>
    </row>
    <row r="963" spans="1:17" ht="23.4" x14ac:dyDescent="0.4">
      <c r="A963" s="248" t="s">
        <v>108</v>
      </c>
      <c r="B963" s="1035" t="s">
        <v>271</v>
      </c>
      <c r="C963" s="550" t="s">
        <v>78</v>
      </c>
      <c r="D963" s="279"/>
      <c r="E963" s="533"/>
      <c r="F963" s="337">
        <f t="shared" si="867"/>
        <v>0</v>
      </c>
      <c r="G963" s="281"/>
      <c r="H963" s="281"/>
      <c r="I963" s="355" t="str">
        <f>IFERROR(F963/#REF!,"-")</f>
        <v>-</v>
      </c>
      <c r="J963" s="336">
        <f t="shared" si="868"/>
        <v>61855</v>
      </c>
      <c r="K963" s="281">
        <f t="shared" si="863"/>
        <v>59898</v>
      </c>
      <c r="L963" s="439">
        <f t="shared" si="864"/>
        <v>1957</v>
      </c>
      <c r="M963" s="340" t="str">
        <f t="shared" si="869"/>
        <v>-</v>
      </c>
      <c r="N963" s="268">
        <f t="shared" ref="N963" si="870">IFERROR(L963/J963,"-")</f>
        <v>3.1638509417185351E-2</v>
      </c>
      <c r="O963" s="512">
        <v>55.4758</v>
      </c>
      <c r="P963" s="407">
        <f t="shared" si="865"/>
        <v>0</v>
      </c>
      <c r="Q963" s="452">
        <f t="shared" si="866"/>
        <v>3322889.4684000001</v>
      </c>
    </row>
    <row r="964" spans="1:17" ht="23.4" x14ac:dyDescent="0.4">
      <c r="A964" s="248" t="s">
        <v>108</v>
      </c>
      <c r="B964" s="1036"/>
      <c r="C964" s="550" t="s">
        <v>75</v>
      </c>
      <c r="D964" s="279"/>
      <c r="E964" s="534"/>
      <c r="F964" s="337">
        <f t="shared" si="867"/>
        <v>0</v>
      </c>
      <c r="G964" s="281"/>
      <c r="H964" s="281"/>
      <c r="I964" s="355" t="str">
        <f>IFERROR(F964/#REF!,"-")</f>
        <v>-</v>
      </c>
      <c r="J964" s="336">
        <f t="shared" si="868"/>
        <v>8448</v>
      </c>
      <c r="K964" s="281">
        <f t="shared" si="863"/>
        <v>6800</v>
      </c>
      <c r="L964" s="439">
        <f t="shared" si="864"/>
        <v>1648</v>
      </c>
      <c r="M964" s="725"/>
      <c r="N964" s="375"/>
      <c r="O964" s="545">
        <v>58.836300000000001</v>
      </c>
      <c r="P964" s="407">
        <f t="shared" si="865"/>
        <v>0</v>
      </c>
      <c r="Q964" s="452">
        <f t="shared" si="866"/>
        <v>400086.84</v>
      </c>
    </row>
    <row r="965" spans="1:17" ht="23.4" x14ac:dyDescent="0.4">
      <c r="A965" s="248" t="s">
        <v>108</v>
      </c>
      <c r="B965" s="1036"/>
      <c r="C965" s="550" t="s">
        <v>386</v>
      </c>
      <c r="D965" s="279"/>
      <c r="E965" s="438"/>
      <c r="F965" s="337">
        <f t="shared" si="867"/>
        <v>0</v>
      </c>
      <c r="G965" s="281"/>
      <c r="H965" s="281"/>
      <c r="I965" s="355" t="str">
        <f>IFERROR(F965/#REF!,"-")</f>
        <v>-</v>
      </c>
      <c r="J965" s="336">
        <f t="shared" si="868"/>
        <v>3290</v>
      </c>
      <c r="K965" s="281">
        <f t="shared" si="863"/>
        <v>2800</v>
      </c>
      <c r="L965" s="439">
        <f t="shared" si="864"/>
        <v>490</v>
      </c>
      <c r="M965" s="340" t="str">
        <f t="shared" ref="M965" si="871">IFERROR(J965/D965,"-")</f>
        <v>-</v>
      </c>
      <c r="N965" s="264">
        <f t="shared" ref="N965" si="872">IFERROR(L965/J965,"-")</f>
        <v>0.14893617021276595</v>
      </c>
      <c r="O965" s="512">
        <v>55.4758</v>
      </c>
      <c r="P965" s="407">
        <f t="shared" si="865"/>
        <v>0</v>
      </c>
      <c r="Q965" s="452">
        <f t="shared" si="866"/>
        <v>155332.24</v>
      </c>
    </row>
    <row r="966" spans="1:17" ht="24" thickBot="1" x14ac:dyDescent="0.45">
      <c r="A966" s="248"/>
      <c r="B966" s="1037"/>
      <c r="C966" s="550" t="s">
        <v>404</v>
      </c>
      <c r="D966" s="279"/>
      <c r="E966" s="438"/>
      <c r="F966" s="337">
        <f t="shared" si="867"/>
        <v>0</v>
      </c>
      <c r="G966" s="281"/>
      <c r="H966" s="281"/>
      <c r="I966" s="355"/>
      <c r="J966" s="336">
        <f t="shared" si="868"/>
        <v>2220</v>
      </c>
      <c r="K966" s="281">
        <f t="shared" si="863"/>
        <v>2064</v>
      </c>
      <c r="L966" s="439">
        <f t="shared" si="864"/>
        <v>156</v>
      </c>
      <c r="M966" s="340"/>
      <c r="N966" s="264">
        <f>IFERROR(L966/J966,"-")</f>
        <v>7.0270270270270274E-2</v>
      </c>
      <c r="O966" s="512">
        <v>55.4758</v>
      </c>
      <c r="P966" s="407">
        <f t="shared" si="865"/>
        <v>0</v>
      </c>
      <c r="Q966" s="452">
        <f t="shared" si="866"/>
        <v>114502.0512</v>
      </c>
    </row>
    <row r="967" spans="1:17" ht="23.4" x14ac:dyDescent="0.4">
      <c r="A967" s="248" t="s">
        <v>108</v>
      </c>
      <c r="B967" s="1035" t="s">
        <v>490</v>
      </c>
      <c r="C967" s="548" t="s">
        <v>80</v>
      </c>
      <c r="D967" s="279"/>
      <c r="E967" s="439"/>
      <c r="F967" s="336">
        <f t="shared" si="867"/>
        <v>0</v>
      </c>
      <c r="G967" s="281"/>
      <c r="H967" s="281"/>
      <c r="I967" s="355" t="str">
        <f>IFERROR(F967/#REF!,"-")</f>
        <v>-</v>
      </c>
      <c r="J967" s="336">
        <f t="shared" si="868"/>
        <v>9900</v>
      </c>
      <c r="K967" s="281">
        <f t="shared" si="863"/>
        <v>9800</v>
      </c>
      <c r="L967" s="439">
        <f t="shared" si="864"/>
        <v>100</v>
      </c>
      <c r="M967" s="340" t="str">
        <f t="shared" ref="M967:M994" si="873">IFERROR(J967/D967,"-")</f>
        <v>-</v>
      </c>
      <c r="N967" s="264">
        <f t="shared" ref="N967:N993" si="874">IFERROR(L967/J967,"-")</f>
        <v>1.0101010101010102E-2</v>
      </c>
      <c r="O967" s="512">
        <v>25.687200000000001</v>
      </c>
      <c r="P967" s="407">
        <f t="shared" si="865"/>
        <v>0</v>
      </c>
      <c r="Q967" s="452">
        <f t="shared" si="866"/>
        <v>251734.56</v>
      </c>
    </row>
    <row r="968" spans="1:17" ht="24" thickBot="1" x14ac:dyDescent="0.45">
      <c r="A968" s="248" t="s">
        <v>108</v>
      </c>
      <c r="B968" s="1037"/>
      <c r="C968" s="548" t="s">
        <v>124</v>
      </c>
      <c r="D968" s="279"/>
      <c r="E968" s="439"/>
      <c r="F968" s="336">
        <f t="shared" si="867"/>
        <v>0</v>
      </c>
      <c r="G968" s="281"/>
      <c r="H968" s="281"/>
      <c r="I968" s="355" t="str">
        <f>IFERROR(F968/#REF!,"-")</f>
        <v>-</v>
      </c>
      <c r="J968" s="336">
        <f t="shared" si="868"/>
        <v>0</v>
      </c>
      <c r="K968" s="281">
        <f t="shared" si="863"/>
        <v>0</v>
      </c>
      <c r="L968" s="439">
        <f t="shared" si="864"/>
        <v>0</v>
      </c>
      <c r="M968" s="340" t="str">
        <f t="shared" si="873"/>
        <v>-</v>
      </c>
      <c r="N968" s="264" t="str">
        <f t="shared" si="874"/>
        <v>-</v>
      </c>
      <c r="O968" s="512">
        <v>25.033899999999999</v>
      </c>
      <c r="P968" s="407">
        <f t="shared" si="865"/>
        <v>0</v>
      </c>
      <c r="Q968" s="452">
        <f t="shared" si="866"/>
        <v>0</v>
      </c>
    </row>
    <row r="969" spans="1:17" ht="23.4" x14ac:dyDescent="0.4">
      <c r="A969" s="248"/>
      <c r="B969" s="1035" t="s">
        <v>491</v>
      </c>
      <c r="C969" s="548" t="s">
        <v>82</v>
      </c>
      <c r="D969" s="279"/>
      <c r="E969" s="439"/>
      <c r="F969" s="336">
        <f t="shared" si="867"/>
        <v>0</v>
      </c>
      <c r="G969" s="281"/>
      <c r="H969" s="281"/>
      <c r="I969" s="355" t="str">
        <f>IFERROR(F969/#REF!,"-")</f>
        <v>-</v>
      </c>
      <c r="J969" s="336">
        <f t="shared" si="868"/>
        <v>7837</v>
      </c>
      <c r="K969" s="281">
        <f t="shared" si="863"/>
        <v>7800</v>
      </c>
      <c r="L969" s="439">
        <f t="shared" si="864"/>
        <v>37</v>
      </c>
      <c r="M969" s="340" t="str">
        <f t="shared" si="873"/>
        <v>-</v>
      </c>
      <c r="N969" s="264">
        <f t="shared" si="874"/>
        <v>4.7211943345667985E-3</v>
      </c>
      <c r="O969" s="512">
        <v>41.992699999999999</v>
      </c>
      <c r="P969" s="407">
        <f t="shared" si="865"/>
        <v>0</v>
      </c>
      <c r="Q969" s="452">
        <f t="shared" si="866"/>
        <v>327543.06</v>
      </c>
    </row>
    <row r="970" spans="1:17" ht="23.4" x14ac:dyDescent="0.4">
      <c r="A970" s="248"/>
      <c r="B970" s="1036"/>
      <c r="C970" s="548" t="s">
        <v>75</v>
      </c>
      <c r="D970" s="279"/>
      <c r="E970" s="439"/>
      <c r="F970" s="336">
        <f t="shared" si="867"/>
        <v>0</v>
      </c>
      <c r="G970" s="281"/>
      <c r="H970" s="281"/>
      <c r="I970" s="355" t="str">
        <f>IFERROR(F970/#REF!,"-")</f>
        <v>-</v>
      </c>
      <c r="J970" s="336">
        <f t="shared" si="868"/>
        <v>45</v>
      </c>
      <c r="K970" s="281">
        <f t="shared" si="863"/>
        <v>45</v>
      </c>
      <c r="L970" s="439">
        <f t="shared" si="864"/>
        <v>0</v>
      </c>
      <c r="M970" s="340" t="str">
        <f t="shared" si="873"/>
        <v>-</v>
      </c>
      <c r="N970" s="264">
        <f t="shared" si="874"/>
        <v>0</v>
      </c>
      <c r="O970" s="512">
        <v>42.283799999999999</v>
      </c>
      <c r="P970" s="407">
        <f t="shared" si="865"/>
        <v>0</v>
      </c>
      <c r="Q970" s="452">
        <f t="shared" si="866"/>
        <v>1902.771</v>
      </c>
    </row>
    <row r="971" spans="1:17" ht="23.4" x14ac:dyDescent="0.4">
      <c r="A971" s="248"/>
      <c r="B971" s="1036"/>
      <c r="C971" s="548" t="s">
        <v>450</v>
      </c>
      <c r="D971" s="279"/>
      <c r="E971" s="439"/>
      <c r="F971" s="336">
        <f t="shared" si="867"/>
        <v>0</v>
      </c>
      <c r="G971" s="281"/>
      <c r="H971" s="281"/>
      <c r="I971" s="355" t="str">
        <f>IFERROR(F971/#REF!,"-")</f>
        <v>-</v>
      </c>
      <c r="J971" s="336">
        <f t="shared" si="868"/>
        <v>1140</v>
      </c>
      <c r="K971" s="281">
        <f t="shared" si="863"/>
        <v>1140</v>
      </c>
      <c r="L971" s="439">
        <f t="shared" si="864"/>
        <v>0</v>
      </c>
      <c r="M971" s="340" t="str">
        <f t="shared" si="873"/>
        <v>-</v>
      </c>
      <c r="N971" s="264">
        <f t="shared" si="874"/>
        <v>0</v>
      </c>
      <c r="O971" s="772">
        <v>41.992699999999999</v>
      </c>
      <c r="P971" s="407">
        <f t="shared" si="865"/>
        <v>0</v>
      </c>
      <c r="Q971" s="452">
        <f t="shared" si="866"/>
        <v>47871.678</v>
      </c>
    </row>
    <row r="972" spans="1:17" ht="24" thickBot="1" x14ac:dyDescent="0.45">
      <c r="A972" s="248"/>
      <c r="B972" s="1037"/>
      <c r="C972" s="548" t="s">
        <v>451</v>
      </c>
      <c r="D972" s="279"/>
      <c r="E972" s="439"/>
      <c r="F972" s="336">
        <f t="shared" si="867"/>
        <v>0</v>
      </c>
      <c r="G972" s="281"/>
      <c r="H972" s="281"/>
      <c r="I972" s="355" t="str">
        <f>IFERROR(F972/#REF!,"-")</f>
        <v>-</v>
      </c>
      <c r="J972" s="336">
        <f t="shared" si="868"/>
        <v>712</v>
      </c>
      <c r="K972" s="281">
        <f t="shared" si="863"/>
        <v>660</v>
      </c>
      <c r="L972" s="439">
        <f t="shared" si="864"/>
        <v>52</v>
      </c>
      <c r="M972" s="340" t="str">
        <f t="shared" si="873"/>
        <v>-</v>
      </c>
      <c r="N972" s="264">
        <f t="shared" si="874"/>
        <v>7.3033707865168537E-2</v>
      </c>
      <c r="O972" s="772">
        <v>42.283799999999999</v>
      </c>
      <c r="P972" s="407">
        <f t="shared" si="865"/>
        <v>0</v>
      </c>
      <c r="Q972" s="452">
        <f t="shared" si="866"/>
        <v>27907.308000000001</v>
      </c>
    </row>
    <row r="973" spans="1:17" ht="24" thickBot="1" x14ac:dyDescent="0.45">
      <c r="A973" s="248"/>
      <c r="B973" s="815" t="s">
        <v>83</v>
      </c>
      <c r="C973" s="548" t="s">
        <v>84</v>
      </c>
      <c r="D973" s="279"/>
      <c r="E973" s="439"/>
      <c r="F973" s="336">
        <f t="shared" si="867"/>
        <v>0</v>
      </c>
      <c r="G973" s="281"/>
      <c r="H973" s="281"/>
      <c r="I973" s="355" t="str">
        <f>IFERROR(F973/#REF!,"-")</f>
        <v>-</v>
      </c>
      <c r="J973" s="336">
        <f t="shared" si="868"/>
        <v>0</v>
      </c>
      <c r="K973" s="281">
        <f t="shared" si="863"/>
        <v>0</v>
      </c>
      <c r="L973" s="439">
        <f t="shared" si="864"/>
        <v>0</v>
      </c>
      <c r="M973" s="340" t="str">
        <f t="shared" si="873"/>
        <v>-</v>
      </c>
      <c r="N973" s="264" t="str">
        <f t="shared" si="874"/>
        <v>-</v>
      </c>
      <c r="O973" s="512">
        <v>4.3535000000000004</v>
      </c>
      <c r="P973" s="407">
        <f t="shared" si="865"/>
        <v>0</v>
      </c>
      <c r="Q973" s="452">
        <f t="shared" si="866"/>
        <v>0</v>
      </c>
    </row>
    <row r="974" spans="1:17" ht="23.4" x14ac:dyDescent="0.4">
      <c r="A974" s="248"/>
      <c r="B974" s="1035" t="s">
        <v>273</v>
      </c>
      <c r="C974" s="548" t="s">
        <v>80</v>
      </c>
      <c r="D974" s="279"/>
      <c r="E974" s="439"/>
      <c r="F974" s="336">
        <f t="shared" si="867"/>
        <v>36645</v>
      </c>
      <c r="G974" s="281">
        <v>36300</v>
      </c>
      <c r="H974" s="281">
        <v>345</v>
      </c>
      <c r="I974" s="355" t="str">
        <f>IFERROR(F974/#REF!,"-")</f>
        <v>-</v>
      </c>
      <c r="J974" s="336">
        <f t="shared" si="868"/>
        <v>252224</v>
      </c>
      <c r="K974" s="281">
        <f t="shared" si="863"/>
        <v>249700</v>
      </c>
      <c r="L974" s="439">
        <f t="shared" si="864"/>
        <v>2524</v>
      </c>
      <c r="M974" s="340" t="str">
        <f t="shared" si="873"/>
        <v>-</v>
      </c>
      <c r="N974" s="264">
        <f t="shared" si="874"/>
        <v>1.0006977924384673E-2</v>
      </c>
      <c r="O974" s="512">
        <v>4.6184000000000003</v>
      </c>
      <c r="P974" s="407">
        <f t="shared" si="865"/>
        <v>167647.92000000001</v>
      </c>
      <c r="Q974" s="452">
        <f t="shared" si="866"/>
        <v>1153214.48</v>
      </c>
    </row>
    <row r="975" spans="1:17" ht="23.4" x14ac:dyDescent="0.4">
      <c r="A975" s="248"/>
      <c r="B975" s="1036"/>
      <c r="C975" s="548" t="s">
        <v>378</v>
      </c>
      <c r="D975" s="279"/>
      <c r="E975" s="439"/>
      <c r="F975" s="336">
        <f t="shared" si="867"/>
        <v>0</v>
      </c>
      <c r="G975" s="281"/>
      <c r="H975" s="281"/>
      <c r="I975" s="355" t="str">
        <f>IFERROR(F975/#REF!,"-")</f>
        <v>-</v>
      </c>
      <c r="J975" s="336">
        <f t="shared" si="868"/>
        <v>0</v>
      </c>
      <c r="K975" s="281">
        <f t="shared" si="863"/>
        <v>0</v>
      </c>
      <c r="L975" s="439">
        <f t="shared" si="864"/>
        <v>0</v>
      </c>
      <c r="M975" s="340" t="str">
        <f t="shared" si="873"/>
        <v>-</v>
      </c>
      <c r="N975" s="264" t="str">
        <f t="shared" si="874"/>
        <v>-</v>
      </c>
      <c r="O975" s="512">
        <v>4.6184000000000003</v>
      </c>
      <c r="P975" s="407">
        <f t="shared" si="865"/>
        <v>0</v>
      </c>
      <c r="Q975" s="452">
        <f t="shared" si="866"/>
        <v>0</v>
      </c>
    </row>
    <row r="976" spans="1:17" ht="23.4" x14ac:dyDescent="0.4">
      <c r="A976" s="248"/>
      <c r="B976" s="1036"/>
      <c r="C976" s="548" t="s">
        <v>272</v>
      </c>
      <c r="D976" s="279"/>
      <c r="E976" s="439"/>
      <c r="F976" s="336">
        <f t="shared" si="867"/>
        <v>0</v>
      </c>
      <c r="G976" s="281"/>
      <c r="H976" s="281"/>
      <c r="I976" s="355" t="str">
        <f>IFERROR(F976/#REF!,"-")</f>
        <v>-</v>
      </c>
      <c r="J976" s="336">
        <f t="shared" si="868"/>
        <v>0</v>
      </c>
      <c r="K976" s="281">
        <f t="shared" si="863"/>
        <v>0</v>
      </c>
      <c r="L976" s="439">
        <f t="shared" si="864"/>
        <v>0</v>
      </c>
      <c r="M976" s="340" t="str">
        <f t="shared" si="873"/>
        <v>-</v>
      </c>
      <c r="N976" s="264" t="str">
        <f t="shared" si="874"/>
        <v>-</v>
      </c>
      <c r="O976" s="512">
        <v>4.6184000000000003</v>
      </c>
      <c r="P976" s="407">
        <f t="shared" si="865"/>
        <v>0</v>
      </c>
      <c r="Q976" s="452">
        <f t="shared" si="866"/>
        <v>0</v>
      </c>
    </row>
    <row r="977" spans="1:17" ht="23.4" x14ac:dyDescent="0.4">
      <c r="A977" s="248"/>
      <c r="B977" s="1036"/>
      <c r="C977" s="548" t="s">
        <v>390</v>
      </c>
      <c r="D977" s="279"/>
      <c r="E977" s="439"/>
      <c r="F977" s="336">
        <f t="shared" si="867"/>
        <v>0</v>
      </c>
      <c r="G977" s="281"/>
      <c r="H977" s="281"/>
      <c r="I977" s="355" t="str">
        <f>IFERROR(F977/#REF!,"-")</f>
        <v>-</v>
      </c>
      <c r="J977" s="336">
        <f t="shared" si="868"/>
        <v>511962</v>
      </c>
      <c r="K977" s="730">
        <f t="shared" si="863"/>
        <v>508200</v>
      </c>
      <c r="L977" s="731">
        <f t="shared" si="864"/>
        <v>3762</v>
      </c>
      <c r="M977" s="340" t="str">
        <f t="shared" si="873"/>
        <v>-</v>
      </c>
      <c r="N977" s="264">
        <f t="shared" si="874"/>
        <v>7.3482016243393063E-3</v>
      </c>
      <c r="O977" s="512">
        <v>4.7636000000000003</v>
      </c>
      <c r="P977" s="407">
        <f t="shared" si="865"/>
        <v>0</v>
      </c>
      <c r="Q977" s="452">
        <f t="shared" si="866"/>
        <v>2420861.52</v>
      </c>
    </row>
    <row r="978" spans="1:17" ht="24" thickBot="1" x14ac:dyDescent="0.45">
      <c r="A978" s="248"/>
      <c r="B978" s="1037"/>
      <c r="C978" s="548" t="s">
        <v>384</v>
      </c>
      <c r="D978" s="279"/>
      <c r="E978" s="439"/>
      <c r="F978" s="336">
        <f t="shared" si="867"/>
        <v>0</v>
      </c>
      <c r="G978" s="281"/>
      <c r="H978" s="281"/>
      <c r="I978" s="355" t="str">
        <f>IFERROR(F978/#REF!,"-")</f>
        <v>-</v>
      </c>
      <c r="J978" s="336">
        <f t="shared" si="868"/>
        <v>0</v>
      </c>
      <c r="K978" s="281">
        <f t="shared" si="863"/>
        <v>0</v>
      </c>
      <c r="L978" s="439">
        <f t="shared" si="864"/>
        <v>0</v>
      </c>
      <c r="M978" s="340" t="str">
        <f t="shared" si="873"/>
        <v>-</v>
      </c>
      <c r="N978" s="264" t="str">
        <f t="shared" si="874"/>
        <v>-</v>
      </c>
      <c r="O978" s="512">
        <v>4.8738000000000001</v>
      </c>
      <c r="P978" s="407">
        <f t="shared" si="865"/>
        <v>0</v>
      </c>
      <c r="Q978" s="452">
        <f t="shared" si="866"/>
        <v>0</v>
      </c>
    </row>
    <row r="979" spans="1:17" ht="24" thickBot="1" x14ac:dyDescent="0.45">
      <c r="A979" s="248"/>
      <c r="B979" s="815" t="s">
        <v>274</v>
      </c>
      <c r="C979" s="548" t="s">
        <v>131</v>
      </c>
      <c r="D979" s="279"/>
      <c r="E979" s="439"/>
      <c r="F979" s="336">
        <f t="shared" si="867"/>
        <v>0</v>
      </c>
      <c r="G979" s="281"/>
      <c r="H979" s="281"/>
      <c r="I979" s="355" t="str">
        <f>IFERROR(F979/#REF!,"-")</f>
        <v>-</v>
      </c>
      <c r="J979" s="336">
        <f t="shared" si="868"/>
        <v>0</v>
      </c>
      <c r="K979" s="281">
        <f t="shared" si="863"/>
        <v>0</v>
      </c>
      <c r="L979" s="439">
        <f t="shared" si="864"/>
        <v>0</v>
      </c>
      <c r="M979" s="340" t="str">
        <f t="shared" si="873"/>
        <v>-</v>
      </c>
      <c r="N979" s="264" t="str">
        <f t="shared" si="874"/>
        <v>-</v>
      </c>
      <c r="O979" s="512">
        <v>4.8738000000000001</v>
      </c>
      <c r="P979" s="407">
        <f t="shared" si="865"/>
        <v>0</v>
      </c>
      <c r="Q979" s="452">
        <f t="shared" si="866"/>
        <v>0</v>
      </c>
    </row>
    <row r="980" spans="1:17" ht="23.4" x14ac:dyDescent="0.4">
      <c r="A980" s="248"/>
      <c r="B980" s="1035" t="s">
        <v>276</v>
      </c>
      <c r="C980" s="548" t="s">
        <v>80</v>
      </c>
      <c r="D980" s="279"/>
      <c r="E980" s="439"/>
      <c r="F980" s="336">
        <f t="shared" si="867"/>
        <v>40685</v>
      </c>
      <c r="G980" s="281">
        <v>39900</v>
      </c>
      <c r="H980" s="281">
        <v>785</v>
      </c>
      <c r="I980" s="355" t="str">
        <f>IFERROR(F980/#REF!,"-")</f>
        <v>-</v>
      </c>
      <c r="J980" s="336">
        <f t="shared" si="868"/>
        <v>443623</v>
      </c>
      <c r="K980" s="730">
        <f t="shared" si="863"/>
        <v>434450</v>
      </c>
      <c r="L980" s="731">
        <f t="shared" si="864"/>
        <v>9173</v>
      </c>
      <c r="M980" s="340" t="str">
        <f t="shared" si="873"/>
        <v>-</v>
      </c>
      <c r="N980" s="264">
        <f t="shared" si="874"/>
        <v>2.0677467128620473E-2</v>
      </c>
      <c r="O980" s="512">
        <v>4.9344999999999999</v>
      </c>
      <c r="P980" s="407">
        <f t="shared" si="865"/>
        <v>196886.55</v>
      </c>
      <c r="Q980" s="452">
        <f t="shared" si="866"/>
        <v>2143793.5249999999</v>
      </c>
    </row>
    <row r="981" spans="1:17" ht="23.4" x14ac:dyDescent="0.4">
      <c r="A981" s="248"/>
      <c r="B981" s="1036"/>
      <c r="C981" s="548" t="s">
        <v>142</v>
      </c>
      <c r="D981" s="279"/>
      <c r="E981" s="439"/>
      <c r="F981" s="336">
        <f t="shared" si="867"/>
        <v>0</v>
      </c>
      <c r="G981" s="281"/>
      <c r="H981" s="281"/>
      <c r="I981" s="355" t="str">
        <f>IFERROR(F981/#REF!,"-")</f>
        <v>-</v>
      </c>
      <c r="J981" s="336">
        <f t="shared" si="868"/>
        <v>0</v>
      </c>
      <c r="K981" s="281">
        <f t="shared" si="863"/>
        <v>0</v>
      </c>
      <c r="L981" s="439">
        <f t="shared" si="864"/>
        <v>0</v>
      </c>
      <c r="M981" s="340" t="str">
        <f t="shared" si="873"/>
        <v>-</v>
      </c>
      <c r="N981" s="264" t="str">
        <f t="shared" si="874"/>
        <v>-</v>
      </c>
      <c r="O981" s="512">
        <v>4.9344999999999999</v>
      </c>
      <c r="P981" s="407">
        <f t="shared" si="865"/>
        <v>0</v>
      </c>
      <c r="Q981" s="452">
        <f t="shared" si="866"/>
        <v>0</v>
      </c>
    </row>
    <row r="982" spans="1:17" ht="23.4" x14ac:dyDescent="0.4">
      <c r="A982" s="248"/>
      <c r="B982" s="1036"/>
      <c r="C982" s="548" t="s">
        <v>136</v>
      </c>
      <c r="D982" s="279"/>
      <c r="E982" s="439"/>
      <c r="F982" s="336">
        <f t="shared" si="867"/>
        <v>0</v>
      </c>
      <c r="G982" s="281"/>
      <c r="H982" s="281"/>
      <c r="I982" s="355" t="str">
        <f>IFERROR(F982/#REF!,"-")</f>
        <v>-</v>
      </c>
      <c r="J982" s="336">
        <f t="shared" si="868"/>
        <v>0</v>
      </c>
      <c r="K982" s="281">
        <f t="shared" si="863"/>
        <v>0</v>
      </c>
      <c r="L982" s="439">
        <f t="shared" si="864"/>
        <v>0</v>
      </c>
      <c r="M982" s="340" t="str">
        <f t="shared" si="873"/>
        <v>-</v>
      </c>
      <c r="N982" s="264" t="str">
        <f t="shared" si="874"/>
        <v>-</v>
      </c>
      <c r="O982" s="512">
        <v>4.9344999999999999</v>
      </c>
      <c r="P982" s="407">
        <f t="shared" si="865"/>
        <v>0</v>
      </c>
      <c r="Q982" s="452">
        <f t="shared" si="866"/>
        <v>0</v>
      </c>
    </row>
    <row r="983" spans="1:17" ht="24" thickBot="1" x14ac:dyDescent="0.45">
      <c r="A983" s="248"/>
      <c r="B983" s="1037"/>
      <c r="C983" s="548" t="s">
        <v>275</v>
      </c>
      <c r="D983" s="279"/>
      <c r="E983" s="439"/>
      <c r="F983" s="336">
        <f t="shared" si="867"/>
        <v>0</v>
      </c>
      <c r="G983" s="281"/>
      <c r="H983" s="281"/>
      <c r="I983" s="355" t="str">
        <f>IFERROR(F983/#REF!,"-")</f>
        <v>-</v>
      </c>
      <c r="J983" s="336">
        <f t="shared" si="868"/>
        <v>0</v>
      </c>
      <c r="K983" s="281">
        <f t="shared" si="863"/>
        <v>0</v>
      </c>
      <c r="L983" s="439">
        <f t="shared" si="864"/>
        <v>0</v>
      </c>
      <c r="M983" s="340" t="str">
        <f t="shared" si="873"/>
        <v>-</v>
      </c>
      <c r="N983" s="264" t="str">
        <f t="shared" si="874"/>
        <v>-</v>
      </c>
      <c r="O983" s="512">
        <v>5.5069999999999997</v>
      </c>
      <c r="P983" s="407">
        <f t="shared" si="865"/>
        <v>0</v>
      </c>
      <c r="Q983" s="452">
        <f t="shared" si="866"/>
        <v>0</v>
      </c>
    </row>
    <row r="984" spans="1:17" ht="23.4" x14ac:dyDescent="0.4">
      <c r="A984" s="248"/>
      <c r="B984" s="1035" t="s">
        <v>281</v>
      </c>
      <c r="C984" s="548" t="s">
        <v>277</v>
      </c>
      <c r="D984" s="279"/>
      <c r="E984" s="439"/>
      <c r="F984" s="336">
        <f t="shared" si="867"/>
        <v>43780</v>
      </c>
      <c r="G984" s="281">
        <v>42800</v>
      </c>
      <c r="H984" s="281">
        <v>980</v>
      </c>
      <c r="I984" s="355" t="str">
        <f>IFERROR(F984/#REF!,"-")</f>
        <v>-</v>
      </c>
      <c r="J984" s="336">
        <f t="shared" si="868"/>
        <v>402308</v>
      </c>
      <c r="K984" s="281">
        <f t="shared" si="863"/>
        <v>394350</v>
      </c>
      <c r="L984" s="439">
        <f t="shared" si="864"/>
        <v>7958</v>
      </c>
      <c r="M984" s="340" t="str">
        <f t="shared" si="873"/>
        <v>-</v>
      </c>
      <c r="N984" s="264">
        <f t="shared" si="874"/>
        <v>1.9780864412340792E-2</v>
      </c>
      <c r="O984" s="772">
        <v>5.5069999999999997</v>
      </c>
      <c r="P984" s="407">
        <f t="shared" si="865"/>
        <v>235699.59999999998</v>
      </c>
      <c r="Q984" s="452">
        <f t="shared" si="866"/>
        <v>2171685.4499999997</v>
      </c>
    </row>
    <row r="985" spans="1:17" ht="23.4" x14ac:dyDescent="0.4">
      <c r="A985" s="248"/>
      <c r="B985" s="1036"/>
      <c r="C985" s="548" t="s">
        <v>278</v>
      </c>
      <c r="D985" s="279"/>
      <c r="E985" s="439"/>
      <c r="F985" s="336">
        <f t="shared" si="867"/>
        <v>0</v>
      </c>
      <c r="G985" s="281"/>
      <c r="H985" s="281"/>
      <c r="I985" s="355" t="str">
        <f>IFERROR(F985/#REF!,"-")</f>
        <v>-</v>
      </c>
      <c r="J985" s="336">
        <f t="shared" si="868"/>
        <v>0</v>
      </c>
      <c r="K985" s="281">
        <f t="shared" si="863"/>
        <v>0</v>
      </c>
      <c r="L985" s="439">
        <f t="shared" si="864"/>
        <v>0</v>
      </c>
      <c r="M985" s="340" t="str">
        <f t="shared" si="873"/>
        <v>-</v>
      </c>
      <c r="N985" s="264" t="str">
        <f t="shared" si="874"/>
        <v>-</v>
      </c>
      <c r="O985" s="512">
        <v>5.6550000000000002</v>
      </c>
      <c r="P985" s="407">
        <f t="shared" si="865"/>
        <v>0</v>
      </c>
      <c r="Q985" s="452">
        <f t="shared" si="866"/>
        <v>0</v>
      </c>
    </row>
    <row r="986" spans="1:17" ht="23.4" x14ac:dyDescent="0.4">
      <c r="A986" s="248"/>
      <c r="B986" s="1036"/>
      <c r="C986" s="548" t="s">
        <v>355</v>
      </c>
      <c r="D986" s="279"/>
      <c r="E986" s="439"/>
      <c r="F986" s="336">
        <f t="shared" si="867"/>
        <v>0</v>
      </c>
      <c r="G986" s="281"/>
      <c r="H986" s="281"/>
      <c r="I986" s="355" t="str">
        <f>IFERROR(F986/#REF!,"-")</f>
        <v>-</v>
      </c>
      <c r="J986" s="336">
        <f t="shared" si="868"/>
        <v>321630</v>
      </c>
      <c r="K986" s="730">
        <f t="shared" si="863"/>
        <v>310550</v>
      </c>
      <c r="L986" s="731">
        <f t="shared" si="864"/>
        <v>11080</v>
      </c>
      <c r="M986" s="340" t="str">
        <f t="shared" si="873"/>
        <v>-</v>
      </c>
      <c r="N986" s="264">
        <f t="shared" si="874"/>
        <v>3.4449522743525168E-2</v>
      </c>
      <c r="O986" s="512">
        <v>5.6550000000000002</v>
      </c>
      <c r="P986" s="407">
        <f t="shared" si="865"/>
        <v>0</v>
      </c>
      <c r="Q986" s="452">
        <f t="shared" si="866"/>
        <v>1756160.25</v>
      </c>
    </row>
    <row r="987" spans="1:17" ht="23.4" x14ac:dyDescent="0.4">
      <c r="A987" s="248"/>
      <c r="B987" s="1036"/>
      <c r="C987" s="548" t="s">
        <v>279</v>
      </c>
      <c r="D987" s="279"/>
      <c r="E987" s="439"/>
      <c r="F987" s="336">
        <f t="shared" si="867"/>
        <v>0</v>
      </c>
      <c r="G987" s="281"/>
      <c r="H987" s="281"/>
      <c r="I987" s="355" t="str">
        <f>IFERROR(F987/#REF!,"-")</f>
        <v>-</v>
      </c>
      <c r="J987" s="336">
        <f t="shared" si="868"/>
        <v>0</v>
      </c>
      <c r="K987" s="281">
        <f t="shared" si="863"/>
        <v>0</v>
      </c>
      <c r="L987" s="439">
        <f t="shared" si="864"/>
        <v>0</v>
      </c>
      <c r="M987" s="340" t="str">
        <f t="shared" si="873"/>
        <v>-</v>
      </c>
      <c r="N987" s="264" t="str">
        <f t="shared" si="874"/>
        <v>-</v>
      </c>
      <c r="O987" s="512">
        <v>5.6550000000000002</v>
      </c>
      <c r="P987" s="407">
        <f t="shared" si="865"/>
        <v>0</v>
      </c>
      <c r="Q987" s="452">
        <f t="shared" si="866"/>
        <v>0</v>
      </c>
    </row>
    <row r="988" spans="1:17" ht="23.4" x14ac:dyDescent="0.4">
      <c r="A988" s="248" t="s">
        <v>108</v>
      </c>
      <c r="B988" s="1036"/>
      <c r="C988" s="548" t="s">
        <v>280</v>
      </c>
      <c r="D988" s="279"/>
      <c r="E988" s="439"/>
      <c r="F988" s="336">
        <f t="shared" si="867"/>
        <v>0</v>
      </c>
      <c r="G988" s="281"/>
      <c r="H988" s="281"/>
      <c r="I988" s="355" t="str">
        <f>IFERROR(F988/#REF!,"-")</f>
        <v>-</v>
      </c>
      <c r="J988" s="336">
        <f t="shared" si="868"/>
        <v>0</v>
      </c>
      <c r="K988" s="281">
        <f t="shared" si="863"/>
        <v>0</v>
      </c>
      <c r="L988" s="439">
        <f t="shared" si="864"/>
        <v>0</v>
      </c>
      <c r="M988" s="340" t="str">
        <f t="shared" si="873"/>
        <v>-</v>
      </c>
      <c r="N988" s="264" t="str">
        <f t="shared" si="874"/>
        <v>-</v>
      </c>
      <c r="O988" s="512">
        <v>3.2963</v>
      </c>
      <c r="P988" s="407">
        <f t="shared" si="865"/>
        <v>0</v>
      </c>
      <c r="Q988" s="452">
        <f t="shared" si="866"/>
        <v>0</v>
      </c>
    </row>
    <row r="989" spans="1:17" ht="24" thickBot="1" x14ac:dyDescent="0.45">
      <c r="A989" s="248" t="s">
        <v>108</v>
      </c>
      <c r="B989" s="1037"/>
      <c r="C989" s="548" t="s">
        <v>275</v>
      </c>
      <c r="D989" s="279"/>
      <c r="E989" s="439"/>
      <c r="F989" s="336">
        <f t="shared" si="867"/>
        <v>0</v>
      </c>
      <c r="G989" s="281"/>
      <c r="H989" s="281"/>
      <c r="I989" s="355" t="str">
        <f>IFERROR(F989/#REF!,"-")</f>
        <v>-</v>
      </c>
      <c r="J989" s="336">
        <f t="shared" si="868"/>
        <v>0</v>
      </c>
      <c r="K989" s="281">
        <f t="shared" si="863"/>
        <v>0</v>
      </c>
      <c r="L989" s="439">
        <f t="shared" si="864"/>
        <v>0</v>
      </c>
      <c r="M989" s="340" t="str">
        <f t="shared" si="873"/>
        <v>-</v>
      </c>
      <c r="N989" s="264" t="str">
        <f t="shared" si="874"/>
        <v>-</v>
      </c>
      <c r="O989" s="512">
        <v>3.2963</v>
      </c>
      <c r="P989" s="407">
        <f t="shared" si="865"/>
        <v>0</v>
      </c>
      <c r="Q989" s="452">
        <f t="shared" si="866"/>
        <v>0</v>
      </c>
    </row>
    <row r="990" spans="1:17" ht="23.4" x14ac:dyDescent="0.4">
      <c r="A990" s="248" t="s">
        <v>108</v>
      </c>
      <c r="B990" s="552"/>
      <c r="C990" s="549" t="s">
        <v>92</v>
      </c>
      <c r="D990" s="516"/>
      <c r="E990" s="439"/>
      <c r="F990" s="336">
        <f t="shared" si="867"/>
        <v>0</v>
      </c>
      <c r="G990" s="281"/>
      <c r="H990" s="281"/>
      <c r="I990" s="355" t="str">
        <f>IFERROR(F990/#REF!,"-")</f>
        <v>-</v>
      </c>
      <c r="J990" s="336">
        <f t="shared" si="868"/>
        <v>143839</v>
      </c>
      <c r="K990" s="281">
        <f t="shared" si="863"/>
        <v>142655</v>
      </c>
      <c r="L990" s="439">
        <f t="shared" si="864"/>
        <v>1184</v>
      </c>
      <c r="M990" s="340" t="str">
        <f t="shared" si="873"/>
        <v>-</v>
      </c>
      <c r="N990" s="264">
        <f t="shared" si="874"/>
        <v>8.2314254131355194E-3</v>
      </c>
      <c r="O990" s="512">
        <v>2.3201000000000001</v>
      </c>
      <c r="P990" s="407">
        <f t="shared" si="865"/>
        <v>0</v>
      </c>
      <c r="Q990" s="452">
        <f t="shared" si="866"/>
        <v>330973.86550000001</v>
      </c>
    </row>
    <row r="991" spans="1:17" ht="24" thickBot="1" x14ac:dyDescent="0.35">
      <c r="A991" s="248" t="s">
        <v>108</v>
      </c>
      <c r="B991" s="529"/>
      <c r="C991" s="546"/>
      <c r="D991" s="535"/>
      <c r="E991" s="466"/>
      <c r="F991" s="464">
        <f t="shared" si="867"/>
        <v>0</v>
      </c>
      <c r="G991" s="465"/>
      <c r="H991" s="465"/>
      <c r="I991" s="537" t="str">
        <f>IFERROR(F991/#REF!,"-")</f>
        <v>-</v>
      </c>
      <c r="J991" s="464">
        <f t="shared" si="868"/>
        <v>0</v>
      </c>
      <c r="K991" s="465">
        <f t="shared" si="863"/>
        <v>0</v>
      </c>
      <c r="L991" s="466">
        <f t="shared" si="864"/>
        <v>0</v>
      </c>
      <c r="M991" s="726" t="str">
        <f t="shared" si="873"/>
        <v>-</v>
      </c>
      <c r="N991" s="266" t="str">
        <f t="shared" si="874"/>
        <v>-</v>
      </c>
      <c r="O991" s="544"/>
      <c r="P991" s="541">
        <f t="shared" si="865"/>
        <v>0</v>
      </c>
      <c r="Q991" s="542">
        <f t="shared" si="866"/>
        <v>0</v>
      </c>
    </row>
    <row r="992" spans="1:17" ht="23.25" customHeight="1" thickBot="1" x14ac:dyDescent="0.35">
      <c r="A992" s="277" t="s">
        <v>108</v>
      </c>
      <c r="B992" s="1038" t="s">
        <v>25</v>
      </c>
      <c r="C992" s="989"/>
      <c r="D992" s="518">
        <f>SUM(D965:D991)</f>
        <v>0</v>
      </c>
      <c r="E992" s="531">
        <v>100000</v>
      </c>
      <c r="F992" s="524">
        <f>SUM(F960:F991)</f>
        <v>126155</v>
      </c>
      <c r="G992" s="524">
        <f>SUM(G960:G991)</f>
        <v>124000</v>
      </c>
      <c r="H992" s="524">
        <f>SUM(H960:H991)</f>
        <v>2155</v>
      </c>
      <c r="I992" s="525" t="str">
        <f>IFERROR(F992/#REF!,"-")</f>
        <v>-</v>
      </c>
      <c r="J992" s="518">
        <f>SUM(J960:J991)</f>
        <v>2245549</v>
      </c>
      <c r="K992" s="518">
        <f t="shared" ref="K992:L992" si="875">SUM(K960:K991)</f>
        <v>2204912</v>
      </c>
      <c r="L992" s="518">
        <f t="shared" si="875"/>
        <v>40637</v>
      </c>
      <c r="M992" s="526" t="str">
        <f t="shared" si="873"/>
        <v>-</v>
      </c>
      <c r="N992" s="525">
        <f t="shared" si="874"/>
        <v>1.8096688159554748E-2</v>
      </c>
      <c r="O992" s="527"/>
      <c r="P992" s="528">
        <f>SUM(P960:P991)</f>
        <v>764965.57</v>
      </c>
      <c r="Q992" s="528">
        <f>SUM(Q960:Q991)</f>
        <v>17101266.767099999</v>
      </c>
    </row>
    <row r="993" spans="1:17" ht="23.25" customHeight="1" thickBot="1" x14ac:dyDescent="0.35">
      <c r="A993" s="321" t="s">
        <v>108</v>
      </c>
      <c r="B993" s="1039" t="s">
        <v>269</v>
      </c>
      <c r="C993" s="1040"/>
      <c r="D993" s="329">
        <f>+D964+D992</f>
        <v>0</v>
      </c>
      <c r="E993" s="330">
        <f>+E964+E992</f>
        <v>100000</v>
      </c>
      <c r="F993" s="329">
        <f>+F992</f>
        <v>126155</v>
      </c>
      <c r="G993" s="329">
        <f t="shared" ref="G993:H993" si="876">+G992</f>
        <v>124000</v>
      </c>
      <c r="H993" s="329">
        <f t="shared" si="876"/>
        <v>2155</v>
      </c>
      <c r="I993" s="352" t="str">
        <f>IFERROR(F993/#REF!,"-")</f>
        <v>-</v>
      </c>
      <c r="J993" s="329">
        <f>+J992</f>
        <v>2245549</v>
      </c>
      <c r="K993" s="329">
        <f t="shared" ref="K993:L993" si="877">+K992</f>
        <v>2204912</v>
      </c>
      <c r="L993" s="329">
        <f t="shared" si="877"/>
        <v>40637</v>
      </c>
      <c r="M993" s="344" t="str">
        <f t="shared" si="873"/>
        <v>-</v>
      </c>
      <c r="N993" s="352">
        <f t="shared" si="874"/>
        <v>1.8096688159554748E-2</v>
      </c>
      <c r="O993" s="397"/>
      <c r="P993" s="413">
        <f>+P992</f>
        <v>764965.57</v>
      </c>
      <c r="Q993" s="431">
        <f>Q992</f>
        <v>17101266.767099999</v>
      </c>
    </row>
    <row r="994" spans="1:17" ht="24.6" thickBot="1" x14ac:dyDescent="0.35">
      <c r="A994" s="322"/>
      <c r="B994" s="1041" t="s">
        <v>182</v>
      </c>
      <c r="C994" s="1042"/>
      <c r="D994" s="377">
        <f>+D993+D959+D950</f>
        <v>0</v>
      </c>
      <c r="E994" s="377">
        <f>+E993+E959+E950</f>
        <v>230000</v>
      </c>
      <c r="F994" s="377">
        <f>+F993+F959+F950</f>
        <v>361932</v>
      </c>
      <c r="G994" s="377">
        <f>+G993+G959+G950</f>
        <v>356250</v>
      </c>
      <c r="H994" s="377">
        <f>+H993+H959+H950</f>
        <v>5682</v>
      </c>
      <c r="I994" s="378" t="str">
        <f>IFERROR(F994/#REF!,"-")</f>
        <v>-</v>
      </c>
      <c r="J994" s="377">
        <f>+J993+J959+J950</f>
        <v>5794498</v>
      </c>
      <c r="K994" s="377">
        <f>+K993+K959+K950</f>
        <v>5675622</v>
      </c>
      <c r="L994" s="377">
        <f>+L993+L959+L950</f>
        <v>118876</v>
      </c>
      <c r="M994" s="378" t="str">
        <f t="shared" si="873"/>
        <v>-</v>
      </c>
      <c r="N994" s="378">
        <f>IFERROR(L994/J994,"-")</f>
        <v>2.0515323329130496E-2</v>
      </c>
      <c r="O994" s="404"/>
      <c r="P994" s="421">
        <f>+P993+P959+P950</f>
        <v>1942072.395</v>
      </c>
      <c r="Q994" s="421">
        <f>+Q993+Q959+Q950</f>
        <v>32762433.619099997</v>
      </c>
    </row>
    <row r="995" spans="1:17" ht="22.5" customHeight="1" x14ac:dyDescent="0.3">
      <c r="A995" s="1043" t="s">
        <v>1</v>
      </c>
      <c r="B995" s="1046" t="s">
        <v>2</v>
      </c>
      <c r="C995" s="1049" t="s">
        <v>477</v>
      </c>
      <c r="D995" s="1000" t="s">
        <v>4</v>
      </c>
      <c r="E995" s="1001"/>
      <c r="F995" s="1001"/>
      <c r="G995" s="1001"/>
      <c r="H995" s="1001"/>
      <c r="I995" s="1001"/>
      <c r="J995" s="1001"/>
      <c r="K995" s="1001"/>
      <c r="L995" s="1001"/>
      <c r="M995" s="1001"/>
      <c r="N995" s="1002"/>
      <c r="O995" s="1021" t="s">
        <v>175</v>
      </c>
      <c r="P995" s="1022"/>
      <c r="Q995" s="1052"/>
    </row>
    <row r="996" spans="1:17" ht="22.5" customHeight="1" x14ac:dyDescent="0.3">
      <c r="A996" s="1044"/>
      <c r="B996" s="1047"/>
      <c r="C996" s="1050"/>
      <c r="D996" s="1003" t="s">
        <v>7</v>
      </c>
      <c r="E996" s="1005" t="s">
        <v>115</v>
      </c>
      <c r="F996" s="1053" t="s">
        <v>569</v>
      </c>
      <c r="G996" s="1008"/>
      <c r="H996" s="1008"/>
      <c r="I996" s="1009"/>
      <c r="J996" s="1010" t="s">
        <v>8</v>
      </c>
      <c r="K996" s="1011"/>
      <c r="L996" s="1012"/>
      <c r="M996" s="1013" t="s">
        <v>173</v>
      </c>
      <c r="N996" s="1015" t="s">
        <v>172</v>
      </c>
      <c r="O996" s="1054" t="s">
        <v>177</v>
      </c>
      <c r="P996" s="1055"/>
      <c r="Q996" s="1056"/>
    </row>
    <row r="997" spans="1:17" ht="47.4" thickBot="1" x14ac:dyDescent="0.35">
      <c r="A997" s="1045"/>
      <c r="B997" s="1048"/>
      <c r="C997" s="1051"/>
      <c r="D997" s="1004"/>
      <c r="E997" s="1006"/>
      <c r="F997" s="455" t="s">
        <v>13</v>
      </c>
      <c r="G997" s="456" t="s">
        <v>14</v>
      </c>
      <c r="H997" s="456" t="s">
        <v>15</v>
      </c>
      <c r="I997" s="457" t="s">
        <v>174</v>
      </c>
      <c r="J997" s="712" t="s">
        <v>13</v>
      </c>
      <c r="K997" s="710" t="s">
        <v>14</v>
      </c>
      <c r="L997" s="711" t="s">
        <v>15</v>
      </c>
      <c r="M997" s="1014"/>
      <c r="N997" s="1016"/>
      <c r="O997" s="447" t="s">
        <v>178</v>
      </c>
      <c r="P997" s="448" t="s">
        <v>11</v>
      </c>
      <c r="Q997" s="449" t="s">
        <v>12</v>
      </c>
    </row>
    <row r="998" spans="1:17" ht="23.4" x14ac:dyDescent="0.3">
      <c r="A998" s="271" t="s">
        <v>110</v>
      </c>
      <c r="B998" s="442"/>
      <c r="C998" s="272" t="s">
        <v>266</v>
      </c>
      <c r="D998" s="273"/>
      <c r="E998" s="274"/>
      <c r="F998" s="335">
        <f>+G998+H998</f>
        <v>0</v>
      </c>
      <c r="G998" s="275"/>
      <c r="H998" s="275"/>
      <c r="I998" s="354" t="str">
        <f>IFERROR(F998/#REF!,"-")</f>
        <v>-</v>
      </c>
      <c r="J998" s="461">
        <f>+K998+L998</f>
        <v>337292</v>
      </c>
      <c r="K998" s="462">
        <f>+K936+G998</f>
        <v>321720</v>
      </c>
      <c r="L998" s="463">
        <f>+L936+H998</f>
        <v>15572</v>
      </c>
      <c r="M998" s="339" t="str">
        <f>IFERROR(J998/D998,"-")</f>
        <v>-</v>
      </c>
      <c r="N998" s="346">
        <f t="shared" ref="N998:N999" si="878">IFERROR(L998/J998,"-")</f>
        <v>4.6167712249326989E-2</v>
      </c>
      <c r="O998" s="511">
        <v>1.5669</v>
      </c>
      <c r="P998" s="405">
        <f>+O998*G998</f>
        <v>0</v>
      </c>
      <c r="Q998" s="450">
        <f>+O998*K998</f>
        <v>504103.06799999997</v>
      </c>
    </row>
    <row r="999" spans="1:17" ht="23.4" x14ac:dyDescent="0.3">
      <c r="A999" s="277" t="s">
        <v>110</v>
      </c>
      <c r="B999" s="441"/>
      <c r="C999" s="278" t="s">
        <v>265</v>
      </c>
      <c r="D999" s="279"/>
      <c r="E999" s="280"/>
      <c r="F999" s="336">
        <f t="shared" ref="F999:F1002" si="879">+G999+H999</f>
        <v>0</v>
      </c>
      <c r="G999" s="833"/>
      <c r="H999" s="833"/>
      <c r="I999" s="355" t="str">
        <f>IFERROR(F999/#REF!,"-")</f>
        <v>-</v>
      </c>
      <c r="J999" s="336">
        <f t="shared" ref="J999:J1002" si="880">+K999+L999</f>
        <v>960348</v>
      </c>
      <c r="K999" s="281">
        <f t="shared" ref="K999:K1002" si="881">+K937+G999</f>
        <v>947250</v>
      </c>
      <c r="L999" s="439">
        <f t="shared" ref="L999:L1002" si="882">+L937+H999</f>
        <v>13098</v>
      </c>
      <c r="M999" s="340" t="str">
        <f t="shared" ref="M999:M1002" si="883">IFERROR(J999/D999,"-")</f>
        <v>-</v>
      </c>
      <c r="N999" s="268">
        <f t="shared" si="878"/>
        <v>1.3638805932849342E-2</v>
      </c>
      <c r="O999" s="512">
        <v>2.3978999999999999</v>
      </c>
      <c r="P999" s="407">
        <f>+O999*G999</f>
        <v>0</v>
      </c>
      <c r="Q999" s="452">
        <f>+O999*K999</f>
        <v>2271410.7749999999</v>
      </c>
    </row>
    <row r="1000" spans="1:17" ht="23.4" x14ac:dyDescent="0.3">
      <c r="A1000" s="277" t="s">
        <v>110</v>
      </c>
      <c r="B1000" s="441"/>
      <c r="C1000" s="278" t="s">
        <v>476</v>
      </c>
      <c r="D1000" s="279"/>
      <c r="E1000" s="280"/>
      <c r="F1000" s="336">
        <f t="shared" si="879"/>
        <v>135350</v>
      </c>
      <c r="G1000" s="281">
        <v>134000</v>
      </c>
      <c r="H1000" s="833">
        <v>1350</v>
      </c>
      <c r="I1000" s="355" t="str">
        <f>IFERROR(F1000/#REF!,"-")</f>
        <v>-</v>
      </c>
      <c r="J1000" s="336">
        <f t="shared" si="880"/>
        <v>640710</v>
      </c>
      <c r="K1000" s="281">
        <f t="shared" si="881"/>
        <v>617750</v>
      </c>
      <c r="L1000" s="439">
        <f t="shared" si="882"/>
        <v>22960</v>
      </c>
      <c r="M1000" s="340" t="str">
        <f t="shared" si="883"/>
        <v>-</v>
      </c>
      <c r="N1000" s="806">
        <f>IFERROR(L1000/J1000,"-")</f>
        <v>3.5835245274773296E-2</v>
      </c>
      <c r="O1000" s="824">
        <v>3.6777000000000002</v>
      </c>
      <c r="P1000" s="407">
        <f t="shared" ref="P1000:P1002" si="884">+O1000*G1000</f>
        <v>492811.80000000005</v>
      </c>
      <c r="Q1000" s="452">
        <f t="shared" ref="Q1000:Q1002" si="885">+O1000*K1000</f>
        <v>2271899.1750000003</v>
      </c>
    </row>
    <row r="1001" spans="1:17" ht="23.4" x14ac:dyDescent="0.3">
      <c r="A1001" s="277"/>
      <c r="B1001" s="454"/>
      <c r="C1001" s="278" t="s">
        <v>353</v>
      </c>
      <c r="D1001" s="283"/>
      <c r="E1001" s="284"/>
      <c r="F1001" s="336">
        <f t="shared" si="879"/>
        <v>29026</v>
      </c>
      <c r="G1001" s="285">
        <v>28600</v>
      </c>
      <c r="H1001" s="285">
        <v>426</v>
      </c>
      <c r="I1001" s="355" t="str">
        <f>IFERROR(F1001/#REF!,"-")</f>
        <v>-</v>
      </c>
      <c r="J1001" s="336">
        <f t="shared" si="880"/>
        <v>300145</v>
      </c>
      <c r="K1001" s="281">
        <f t="shared" si="881"/>
        <v>294000</v>
      </c>
      <c r="L1001" s="439">
        <f t="shared" si="882"/>
        <v>6145</v>
      </c>
      <c r="M1001" s="340" t="str">
        <f t="shared" si="883"/>
        <v>-</v>
      </c>
      <c r="N1001" s="268">
        <f>IFERROR(L1001/J1001,"-")</f>
        <v>2.0473437838378118E-2</v>
      </c>
      <c r="O1001" s="513">
        <v>12.284700000000001</v>
      </c>
      <c r="P1001" s="407">
        <f t="shared" si="884"/>
        <v>351342.42000000004</v>
      </c>
      <c r="Q1001" s="452">
        <f t="shared" si="885"/>
        <v>3611701.8000000003</v>
      </c>
    </row>
    <row r="1002" spans="1:17" ht="24" thickBot="1" x14ac:dyDescent="0.35">
      <c r="A1002" s="277" t="s">
        <v>110</v>
      </c>
      <c r="B1002" s="454"/>
      <c r="C1002" s="278" t="s">
        <v>408</v>
      </c>
      <c r="D1002" s="283"/>
      <c r="E1002" s="284"/>
      <c r="F1002" s="337">
        <f t="shared" si="879"/>
        <v>0</v>
      </c>
      <c r="G1002" s="285"/>
      <c r="H1002" s="285"/>
      <c r="I1002" s="356" t="str">
        <f>IFERROR(F1002/#REF!,"-")</f>
        <v>-</v>
      </c>
      <c r="J1002" s="464">
        <f t="shared" si="880"/>
        <v>484372</v>
      </c>
      <c r="K1002" s="465">
        <f t="shared" si="881"/>
        <v>470250</v>
      </c>
      <c r="L1002" s="466">
        <f t="shared" si="882"/>
        <v>14122</v>
      </c>
      <c r="M1002" s="341" t="str">
        <f t="shared" si="883"/>
        <v>-</v>
      </c>
      <c r="N1002" s="347">
        <f t="shared" ref="N1002:N1014" si="886">IFERROR(L1002/J1002,"-")</f>
        <v>2.9155277348814547E-2</v>
      </c>
      <c r="O1002" s="824">
        <v>7.0612000000000004</v>
      </c>
      <c r="P1002" s="408">
        <f t="shared" si="884"/>
        <v>0</v>
      </c>
      <c r="Q1002" s="453">
        <f t="shared" si="885"/>
        <v>3320529.3000000003</v>
      </c>
    </row>
    <row r="1003" spans="1:17" ht="23.25" customHeight="1" thickBot="1" x14ac:dyDescent="0.35">
      <c r="A1003" s="277" t="s">
        <v>110</v>
      </c>
      <c r="B1003" s="1038" t="s">
        <v>21</v>
      </c>
      <c r="C1003" s="989"/>
      <c r="D1003" s="323">
        <f>SUM(D998:D1002)</f>
        <v>0</v>
      </c>
      <c r="E1003" s="288">
        <v>15000</v>
      </c>
      <c r="F1003" s="323">
        <f>SUM(F998:F1002)</f>
        <v>164376</v>
      </c>
      <c r="G1003" s="324">
        <f>SUM(G998:G1002)</f>
        <v>162600</v>
      </c>
      <c r="H1003" s="324">
        <f>SUM(H998:H1002)</f>
        <v>1776</v>
      </c>
      <c r="I1003" s="348" t="str">
        <f>IFERROR(F1003/#REF!,"-")</f>
        <v>-</v>
      </c>
      <c r="J1003" s="323">
        <f>SUM(J998:J1002)</f>
        <v>2722867</v>
      </c>
      <c r="K1003" s="324">
        <f>SUM(K998:K1002)</f>
        <v>2650970</v>
      </c>
      <c r="L1003" s="325">
        <f>SUM(L998:L1002)</f>
        <v>71897</v>
      </c>
      <c r="M1003" s="342" t="str">
        <f>IFERROR(J1003/D1003,"-")</f>
        <v>-</v>
      </c>
      <c r="N1003" s="348">
        <f t="shared" si="886"/>
        <v>2.6404888670654866E-2</v>
      </c>
      <c r="O1003" s="394"/>
      <c r="P1003" s="409">
        <f>SUM(P998:P1002)</f>
        <v>844154.22000000009</v>
      </c>
      <c r="Q1003" s="428">
        <f>SUM(Q998:Q1002)</f>
        <v>11979644.118000001</v>
      </c>
    </row>
    <row r="1004" spans="1:17" ht="23.4" x14ac:dyDescent="0.3">
      <c r="A1004" s="277" t="s">
        <v>110</v>
      </c>
      <c r="B1004" s="442"/>
      <c r="C1004" s="272" t="s">
        <v>264</v>
      </c>
      <c r="D1004" s="273"/>
      <c r="E1004" s="274"/>
      <c r="F1004" s="335">
        <f t="shared" ref="F1004:F1010" si="887">+G1004+H1004</f>
        <v>0</v>
      </c>
      <c r="G1004" s="275"/>
      <c r="H1004" s="275"/>
      <c r="I1004" s="354" t="str">
        <f>IFERROR(F1004/#REF!,"-")</f>
        <v>-</v>
      </c>
      <c r="J1004" s="461">
        <f t="shared" ref="J1004:J1010" si="888">+K1004+L1004</f>
        <v>34540</v>
      </c>
      <c r="K1004" s="462">
        <f t="shared" ref="K1004:K1010" si="889">+K942+G1004</f>
        <v>33840</v>
      </c>
      <c r="L1004" s="463">
        <f t="shared" ref="L1004:L1010" si="890">+L942+H1004</f>
        <v>700</v>
      </c>
      <c r="M1004" s="339" t="str">
        <f t="shared" ref="M1004:M1012" si="891">IFERROR(J1004/D1004,"-")</f>
        <v>-</v>
      </c>
      <c r="N1004" s="349">
        <f t="shared" si="886"/>
        <v>2.0266357845975681E-2</v>
      </c>
      <c r="O1004" s="511">
        <v>18.2316</v>
      </c>
      <c r="P1004" s="405">
        <f t="shared" ref="P1004:P1010" si="892">+O1004*G1004</f>
        <v>0</v>
      </c>
      <c r="Q1004" s="450">
        <f t="shared" ref="Q1004:Q1010" si="893">+O1004*K1004</f>
        <v>616957.34400000004</v>
      </c>
    </row>
    <row r="1005" spans="1:17" ht="23.4" x14ac:dyDescent="0.3">
      <c r="A1005" s="277" t="s">
        <v>110</v>
      </c>
      <c r="B1005" s="441"/>
      <c r="C1005" s="278" t="s">
        <v>92</v>
      </c>
      <c r="D1005" s="279"/>
      <c r="E1005" s="280"/>
      <c r="F1005" s="336">
        <f t="shared" si="887"/>
        <v>50000</v>
      </c>
      <c r="G1005" s="281">
        <v>50000</v>
      </c>
      <c r="H1005" s="281"/>
      <c r="I1005" s="355" t="str">
        <f>IFERROR(F1005/#REF!,"-")</f>
        <v>-</v>
      </c>
      <c r="J1005" s="336">
        <f t="shared" si="888"/>
        <v>350000</v>
      </c>
      <c r="K1005" s="281">
        <f t="shared" si="889"/>
        <v>350000</v>
      </c>
      <c r="L1005" s="439">
        <f t="shared" si="890"/>
        <v>0</v>
      </c>
      <c r="M1005" s="340" t="str">
        <f t="shared" si="891"/>
        <v>-</v>
      </c>
      <c r="N1005" s="264">
        <f t="shared" si="886"/>
        <v>0</v>
      </c>
      <c r="O1005" s="512">
        <v>1.2824</v>
      </c>
      <c r="P1005" s="407">
        <f t="shared" si="892"/>
        <v>64120</v>
      </c>
      <c r="Q1005" s="452">
        <f t="shared" si="893"/>
        <v>448840</v>
      </c>
    </row>
    <row r="1006" spans="1:17" ht="23.4" x14ac:dyDescent="0.3">
      <c r="A1006" s="277" t="s">
        <v>110</v>
      </c>
      <c r="B1006" s="441"/>
      <c r="C1006" s="278" t="s">
        <v>329</v>
      </c>
      <c r="D1006" s="279"/>
      <c r="E1006" s="280"/>
      <c r="F1006" s="336">
        <f t="shared" si="887"/>
        <v>0</v>
      </c>
      <c r="G1006" s="281"/>
      <c r="H1006" s="281"/>
      <c r="I1006" s="355" t="str">
        <f>IFERROR(F1006/#REF!,"-")</f>
        <v>-</v>
      </c>
      <c r="J1006" s="336">
        <f t="shared" si="888"/>
        <v>76800</v>
      </c>
      <c r="K1006" s="281">
        <f t="shared" si="889"/>
        <v>76800</v>
      </c>
      <c r="L1006" s="439">
        <f t="shared" si="890"/>
        <v>0</v>
      </c>
      <c r="M1006" s="340" t="str">
        <f t="shared" si="891"/>
        <v>-</v>
      </c>
      <c r="N1006" s="264">
        <f t="shared" si="886"/>
        <v>0</v>
      </c>
      <c r="O1006" s="772">
        <v>5.7342000000000004</v>
      </c>
      <c r="P1006" s="407">
        <f t="shared" si="892"/>
        <v>0</v>
      </c>
      <c r="Q1006" s="452">
        <f t="shared" si="893"/>
        <v>440386.56000000006</v>
      </c>
    </row>
    <row r="1007" spans="1:17" ht="23.4" x14ac:dyDescent="0.3">
      <c r="A1007" s="277" t="s">
        <v>110</v>
      </c>
      <c r="B1007" s="441"/>
      <c r="C1007" s="278" t="s">
        <v>346</v>
      </c>
      <c r="D1007" s="279"/>
      <c r="E1007" s="280"/>
      <c r="F1007" s="336">
        <f t="shared" si="887"/>
        <v>0</v>
      </c>
      <c r="G1007" s="281"/>
      <c r="H1007" s="281"/>
      <c r="I1007" s="355" t="str">
        <f>IFERROR(F1007/#REF!,"-")</f>
        <v>-</v>
      </c>
      <c r="J1007" s="336">
        <f t="shared" si="888"/>
        <v>0</v>
      </c>
      <c r="K1007" s="281">
        <f t="shared" si="889"/>
        <v>0</v>
      </c>
      <c r="L1007" s="439">
        <f t="shared" si="890"/>
        <v>0</v>
      </c>
      <c r="M1007" s="340" t="str">
        <f t="shared" si="891"/>
        <v>-</v>
      </c>
      <c r="N1007" s="264" t="str">
        <f t="shared" si="886"/>
        <v>-</v>
      </c>
      <c r="O1007" s="512"/>
      <c r="P1007" s="407">
        <f t="shared" si="892"/>
        <v>0</v>
      </c>
      <c r="Q1007" s="452">
        <f t="shared" si="893"/>
        <v>0</v>
      </c>
    </row>
    <row r="1008" spans="1:17" ht="23.4" x14ac:dyDescent="0.3">
      <c r="A1008" s="277" t="s">
        <v>110</v>
      </c>
      <c r="B1008" s="441"/>
      <c r="C1008" s="278" t="s">
        <v>354</v>
      </c>
      <c r="D1008" s="279"/>
      <c r="E1008" s="280"/>
      <c r="F1008" s="336">
        <f t="shared" si="887"/>
        <v>0</v>
      </c>
      <c r="G1008" s="281"/>
      <c r="H1008" s="281"/>
      <c r="I1008" s="355" t="str">
        <f>IFERROR(F1008/#REF!,"-")</f>
        <v>-</v>
      </c>
      <c r="J1008" s="336">
        <f t="shared" si="888"/>
        <v>186520</v>
      </c>
      <c r="K1008" s="281">
        <f t="shared" si="889"/>
        <v>185200</v>
      </c>
      <c r="L1008" s="439">
        <f t="shared" si="890"/>
        <v>1320</v>
      </c>
      <c r="M1008" s="340" t="str">
        <f t="shared" si="891"/>
        <v>-</v>
      </c>
      <c r="N1008" s="264">
        <f t="shared" si="886"/>
        <v>7.0769890628350849E-3</v>
      </c>
      <c r="O1008" s="512">
        <v>12.029500000000001</v>
      </c>
      <c r="P1008" s="407">
        <f t="shared" si="892"/>
        <v>0</v>
      </c>
      <c r="Q1008" s="452">
        <f t="shared" si="893"/>
        <v>2227863.4</v>
      </c>
    </row>
    <row r="1009" spans="1:17" ht="23.4" x14ac:dyDescent="0.3">
      <c r="A1009" s="277" t="s">
        <v>110</v>
      </c>
      <c r="B1009" s="441"/>
      <c r="C1009" s="278"/>
      <c r="D1009" s="279"/>
      <c r="E1009" s="280"/>
      <c r="F1009" s="336">
        <f t="shared" si="887"/>
        <v>0</v>
      </c>
      <c r="G1009" s="281"/>
      <c r="H1009" s="281"/>
      <c r="I1009" s="355" t="str">
        <f>IFERROR(F1009/#REF!,"-")</f>
        <v>-</v>
      </c>
      <c r="J1009" s="336">
        <f t="shared" si="888"/>
        <v>0</v>
      </c>
      <c r="K1009" s="281">
        <f t="shared" si="889"/>
        <v>0</v>
      </c>
      <c r="L1009" s="439">
        <f t="shared" si="890"/>
        <v>0</v>
      </c>
      <c r="M1009" s="340" t="str">
        <f t="shared" si="891"/>
        <v>-</v>
      </c>
      <c r="N1009" s="264" t="str">
        <f t="shared" si="886"/>
        <v>-</v>
      </c>
      <c r="O1009" s="512"/>
      <c r="P1009" s="407">
        <f t="shared" si="892"/>
        <v>0</v>
      </c>
      <c r="Q1009" s="452">
        <f t="shared" si="893"/>
        <v>0</v>
      </c>
    </row>
    <row r="1010" spans="1:17" ht="24" thickBot="1" x14ac:dyDescent="0.35">
      <c r="A1010" s="277" t="s">
        <v>110</v>
      </c>
      <c r="B1010" s="454"/>
      <c r="C1010" s="282"/>
      <c r="D1010" s="283">
        <v>0</v>
      </c>
      <c r="E1010" s="284"/>
      <c r="F1010" s="337">
        <f t="shared" si="887"/>
        <v>0</v>
      </c>
      <c r="G1010" s="285"/>
      <c r="H1010" s="285"/>
      <c r="I1010" s="356" t="str">
        <f>IFERROR(F1010/#REF!,"-")</f>
        <v>-</v>
      </c>
      <c r="J1010" s="464">
        <f t="shared" si="888"/>
        <v>0</v>
      </c>
      <c r="K1010" s="465">
        <f t="shared" si="889"/>
        <v>0</v>
      </c>
      <c r="L1010" s="466">
        <f t="shared" si="890"/>
        <v>0</v>
      </c>
      <c r="M1010" s="341" t="str">
        <f t="shared" si="891"/>
        <v>-</v>
      </c>
      <c r="N1010" s="350" t="str">
        <f t="shared" si="886"/>
        <v>-</v>
      </c>
      <c r="O1010" s="513"/>
      <c r="P1010" s="408">
        <f t="shared" si="892"/>
        <v>0</v>
      </c>
      <c r="Q1010" s="453">
        <f t="shared" si="893"/>
        <v>0</v>
      </c>
    </row>
    <row r="1011" spans="1:17" ht="23.25" customHeight="1" thickBot="1" x14ac:dyDescent="0.35">
      <c r="A1011" s="277" t="s">
        <v>110</v>
      </c>
      <c r="B1011" s="1038" t="s">
        <v>25</v>
      </c>
      <c r="C1011" s="989"/>
      <c r="D1011" s="323">
        <f t="shared" ref="D1011" si="894">SUM(D1004:D1010)</f>
        <v>0</v>
      </c>
      <c r="E1011" s="288">
        <v>100000</v>
      </c>
      <c r="F1011" s="323">
        <f>SUM(F1004:F1010)</f>
        <v>50000</v>
      </c>
      <c r="G1011" s="324">
        <f t="shared" ref="G1011:H1011" si="895">SUM(G1004:G1010)</f>
        <v>50000</v>
      </c>
      <c r="H1011" s="324">
        <f t="shared" si="895"/>
        <v>0</v>
      </c>
      <c r="I1011" s="348" t="str">
        <f>IFERROR(F1011/#REF!,"-")</f>
        <v>-</v>
      </c>
      <c r="J1011" s="323">
        <f t="shared" ref="J1011:L1011" si="896">SUM(J1004:J1010)</f>
        <v>647860</v>
      </c>
      <c r="K1011" s="324">
        <f t="shared" si="896"/>
        <v>645840</v>
      </c>
      <c r="L1011" s="325">
        <f t="shared" si="896"/>
        <v>2020</v>
      </c>
      <c r="M1011" s="342" t="str">
        <f t="shared" si="891"/>
        <v>-</v>
      </c>
      <c r="N1011" s="348">
        <f t="shared" si="886"/>
        <v>3.1179575834285184E-3</v>
      </c>
      <c r="O1011" s="394"/>
      <c r="P1011" s="409">
        <f t="shared" ref="P1011:Q1011" si="897">SUM(P1004:P1010)</f>
        <v>64120</v>
      </c>
      <c r="Q1011" s="428">
        <f t="shared" si="897"/>
        <v>3734047.304</v>
      </c>
    </row>
    <row r="1012" spans="1:17" ht="23.25" customHeight="1" thickBot="1" x14ac:dyDescent="0.35">
      <c r="A1012" s="277" t="s">
        <v>110</v>
      </c>
      <c r="B1012" s="1039" t="s">
        <v>180</v>
      </c>
      <c r="C1012" s="1040"/>
      <c r="D1012" s="329">
        <f>+D1003+D1011</f>
        <v>0</v>
      </c>
      <c r="E1012" s="330">
        <f t="shared" ref="E1012:H1012" si="898">+E1003+E1011</f>
        <v>115000</v>
      </c>
      <c r="F1012" s="329">
        <f t="shared" si="898"/>
        <v>214376</v>
      </c>
      <c r="G1012" s="327">
        <f t="shared" si="898"/>
        <v>212600</v>
      </c>
      <c r="H1012" s="327">
        <f t="shared" si="898"/>
        <v>1776</v>
      </c>
      <c r="I1012" s="352" t="str">
        <f>IFERROR(F1012/#REF!,"-")</f>
        <v>-</v>
      </c>
      <c r="J1012" s="329">
        <f t="shared" ref="J1012:L1012" si="899">+J1003+J1011</f>
        <v>3370727</v>
      </c>
      <c r="K1012" s="327">
        <f t="shared" si="899"/>
        <v>3296810</v>
      </c>
      <c r="L1012" s="328">
        <f t="shared" si="899"/>
        <v>73917</v>
      </c>
      <c r="M1012" s="344" t="str">
        <f t="shared" si="891"/>
        <v>-</v>
      </c>
      <c r="N1012" s="352">
        <f t="shared" si="886"/>
        <v>2.1929097194759471E-2</v>
      </c>
      <c r="O1012" s="397"/>
      <c r="P1012" s="413">
        <f t="shared" ref="P1012:Q1012" si="900">+P1003+P1011</f>
        <v>908274.22000000009</v>
      </c>
      <c r="Q1012" s="431">
        <f t="shared" si="900"/>
        <v>15713691.422</v>
      </c>
    </row>
    <row r="1013" spans="1:17" ht="23.4" x14ac:dyDescent="0.3">
      <c r="A1013" s="244" t="s">
        <v>108</v>
      </c>
      <c r="B1013" s="591"/>
      <c r="C1013" s="592" t="s">
        <v>306</v>
      </c>
      <c r="D1013" s="532"/>
      <c r="E1013" s="463"/>
      <c r="F1013" s="461">
        <f>+G1013+H1013</f>
        <v>0</v>
      </c>
      <c r="G1013" s="462"/>
      <c r="H1013" s="462"/>
      <c r="I1013" s="536" t="str">
        <f>IFERROR(F1013/#REF!,"-")</f>
        <v>-</v>
      </c>
      <c r="J1013" s="461">
        <f>+K1013+L1013</f>
        <v>0</v>
      </c>
      <c r="K1013" s="462">
        <f t="shared" ref="K1013:K1019" si="901">+K951+G1013</f>
        <v>0</v>
      </c>
      <c r="L1013" s="463">
        <f t="shared" ref="L1013:L1019" si="902">+L951+H1013</f>
        <v>0</v>
      </c>
      <c r="M1013" s="596" t="str">
        <f>IFERROR(J1013/D1013,"-")</f>
        <v>-</v>
      </c>
      <c r="N1013" s="538" t="str">
        <f t="shared" si="886"/>
        <v>-</v>
      </c>
      <c r="O1013" s="638">
        <v>4.8285999999999998</v>
      </c>
      <c r="P1013" s="539">
        <f t="shared" ref="P1013:P1019" si="903">+O1013*G1013</f>
        <v>0</v>
      </c>
      <c r="Q1013" s="540">
        <f t="shared" ref="Q1013:Q1019" si="904">+O1013*K1013</f>
        <v>0</v>
      </c>
    </row>
    <row r="1014" spans="1:17" ht="23.4" x14ac:dyDescent="0.3">
      <c r="A1014" s="248" t="s">
        <v>108</v>
      </c>
      <c r="B1014" s="593"/>
      <c r="C1014" s="278" t="s">
        <v>307</v>
      </c>
      <c r="D1014" s="279"/>
      <c r="E1014" s="439"/>
      <c r="F1014" s="336">
        <f t="shared" ref="F1014:F1019" si="905">+G1014+H1014</f>
        <v>0</v>
      </c>
      <c r="G1014" s="281"/>
      <c r="H1014" s="281"/>
      <c r="I1014" s="355" t="str">
        <f>IFERROR(F1014/#REF!,"-")</f>
        <v>-</v>
      </c>
      <c r="J1014" s="336">
        <f t="shared" ref="J1014:J1019" si="906">+K1014+L1014</f>
        <v>0</v>
      </c>
      <c r="K1014" s="281">
        <f t="shared" si="901"/>
        <v>0</v>
      </c>
      <c r="L1014" s="439">
        <f t="shared" si="902"/>
        <v>0</v>
      </c>
      <c r="M1014" s="340" t="str">
        <f t="shared" ref="M1014:M1016" si="907">IFERROR(J1014/D1014,"-")</f>
        <v>-</v>
      </c>
      <c r="N1014" s="268" t="str">
        <f t="shared" si="886"/>
        <v>-</v>
      </c>
      <c r="O1014" s="639">
        <v>1.4086000000000001</v>
      </c>
      <c r="P1014" s="407">
        <f t="shared" si="903"/>
        <v>0</v>
      </c>
      <c r="Q1014" s="452">
        <f t="shared" si="904"/>
        <v>0</v>
      </c>
    </row>
    <row r="1015" spans="1:17" ht="23.4" x14ac:dyDescent="0.3">
      <c r="A1015" s="248" t="s">
        <v>108</v>
      </c>
      <c r="B1015" s="593"/>
      <c r="C1015" s="278" t="s">
        <v>348</v>
      </c>
      <c r="D1015" s="279"/>
      <c r="E1015" s="439"/>
      <c r="F1015" s="336">
        <f t="shared" si="905"/>
        <v>0</v>
      </c>
      <c r="G1015" s="281"/>
      <c r="H1015" s="281"/>
      <c r="I1015" s="355" t="str">
        <f>IFERROR(F1015/#REF!,"-")</f>
        <v>-</v>
      </c>
      <c r="J1015" s="336">
        <f t="shared" si="906"/>
        <v>0</v>
      </c>
      <c r="K1015" s="281">
        <f t="shared" si="901"/>
        <v>0</v>
      </c>
      <c r="L1015" s="439">
        <f t="shared" si="902"/>
        <v>0</v>
      </c>
      <c r="M1015" s="340" t="str">
        <f t="shared" si="907"/>
        <v>-</v>
      </c>
      <c r="N1015" s="268" t="str">
        <f>IFERROR(L1015/J1015,"-")</f>
        <v>-</v>
      </c>
      <c r="O1015" s="639">
        <v>2.2141000000000002</v>
      </c>
      <c r="P1015" s="407">
        <f t="shared" si="903"/>
        <v>0</v>
      </c>
      <c r="Q1015" s="452">
        <f t="shared" si="904"/>
        <v>0</v>
      </c>
    </row>
    <row r="1016" spans="1:17" ht="23.4" x14ac:dyDescent="0.3">
      <c r="A1016" s="248" t="s">
        <v>108</v>
      </c>
      <c r="B1016" s="594"/>
      <c r="C1016" s="278" t="s">
        <v>460</v>
      </c>
      <c r="D1016" s="283"/>
      <c r="E1016" s="533"/>
      <c r="F1016" s="337">
        <f t="shared" si="905"/>
        <v>0</v>
      </c>
      <c r="G1016" s="285"/>
      <c r="H1016" s="285"/>
      <c r="I1016" s="356" t="str">
        <f>IFERROR(F1016/#REF!,"-")</f>
        <v>-</v>
      </c>
      <c r="J1016" s="336">
        <f t="shared" si="906"/>
        <v>392598</v>
      </c>
      <c r="K1016" s="281">
        <f t="shared" si="901"/>
        <v>386500</v>
      </c>
      <c r="L1016" s="439">
        <f t="shared" si="902"/>
        <v>6098</v>
      </c>
      <c r="M1016" s="341" t="str">
        <f t="shared" si="907"/>
        <v>-</v>
      </c>
      <c r="N1016" s="347">
        <f t="shared" ref="N1016:N1023" si="908">IFERROR(L1016/J1016,"-")</f>
        <v>1.5532427572224006E-2</v>
      </c>
      <c r="O1016" s="639">
        <v>2.2141000000000002</v>
      </c>
      <c r="P1016" s="408">
        <f t="shared" si="903"/>
        <v>0</v>
      </c>
      <c r="Q1016" s="453">
        <f t="shared" si="904"/>
        <v>855749.65</v>
      </c>
    </row>
    <row r="1017" spans="1:17" ht="23.4" x14ac:dyDescent="0.3">
      <c r="A1017" s="248" t="s">
        <v>108</v>
      </c>
      <c r="B1017" s="443"/>
      <c r="C1017" s="637" t="s">
        <v>393</v>
      </c>
      <c r="D1017" s="514"/>
      <c r="E1017" s="534"/>
      <c r="F1017" s="336">
        <f t="shared" si="905"/>
        <v>0</v>
      </c>
      <c r="G1017" s="553"/>
      <c r="H1017" s="553"/>
      <c r="I1017" s="355" t="str">
        <f>IFERROR(F1017/#REF!,"-")</f>
        <v>-</v>
      </c>
      <c r="J1017" s="336">
        <f t="shared" si="906"/>
        <v>0</v>
      </c>
      <c r="K1017" s="281">
        <f t="shared" si="901"/>
        <v>0</v>
      </c>
      <c r="L1017" s="439">
        <f t="shared" si="902"/>
        <v>0</v>
      </c>
      <c r="M1017" s="725"/>
      <c r="N1017" s="268" t="str">
        <f t="shared" si="908"/>
        <v>-</v>
      </c>
      <c r="O1017" s="545">
        <v>4.8285999999999998</v>
      </c>
      <c r="P1017" s="407">
        <f t="shared" si="903"/>
        <v>0</v>
      </c>
      <c r="Q1017" s="452">
        <f t="shared" si="904"/>
        <v>0</v>
      </c>
    </row>
    <row r="1018" spans="1:17" ht="23.4" x14ac:dyDescent="0.3">
      <c r="A1018" s="248" t="s">
        <v>108</v>
      </c>
      <c r="B1018" s="595"/>
      <c r="C1018" s="637" t="s">
        <v>389</v>
      </c>
      <c r="D1018" s="273"/>
      <c r="E1018" s="438"/>
      <c r="F1018" s="335">
        <f t="shared" si="905"/>
        <v>0</v>
      </c>
      <c r="G1018" s="275"/>
      <c r="H1018" s="275"/>
      <c r="I1018" s="354" t="str">
        <f>IFERROR(F1018/#REF!,"-")</f>
        <v>-</v>
      </c>
      <c r="J1018" s="336">
        <f t="shared" si="906"/>
        <v>0</v>
      </c>
      <c r="K1018" s="281">
        <f t="shared" si="901"/>
        <v>0</v>
      </c>
      <c r="L1018" s="439">
        <f t="shared" si="902"/>
        <v>0</v>
      </c>
      <c r="M1018" s="339" t="str">
        <f t="shared" ref="M1018:M1019" si="909">IFERROR(J1018/D1018,"-")</f>
        <v>-</v>
      </c>
      <c r="N1018" s="349" t="str">
        <f t="shared" si="908"/>
        <v>-</v>
      </c>
      <c r="O1018" s="511">
        <v>4.1712999999999996</v>
      </c>
      <c r="P1018" s="405">
        <f t="shared" si="903"/>
        <v>0</v>
      </c>
      <c r="Q1018" s="450">
        <f t="shared" si="904"/>
        <v>0</v>
      </c>
    </row>
    <row r="1019" spans="1:17" ht="24" thickBot="1" x14ac:dyDescent="0.35">
      <c r="A1019" s="248" t="s">
        <v>108</v>
      </c>
      <c r="B1019" s="593"/>
      <c r="C1019" s="278"/>
      <c r="D1019" s="279"/>
      <c r="E1019" s="439"/>
      <c r="F1019" s="336">
        <f t="shared" si="905"/>
        <v>0</v>
      </c>
      <c r="G1019" s="281"/>
      <c r="H1019" s="281"/>
      <c r="I1019" s="355" t="str">
        <f>IFERROR(F1019/#REF!,"-")</f>
        <v>-</v>
      </c>
      <c r="J1019" s="464">
        <f t="shared" si="906"/>
        <v>0</v>
      </c>
      <c r="K1019" s="465">
        <f t="shared" si="901"/>
        <v>0</v>
      </c>
      <c r="L1019" s="466">
        <f t="shared" si="902"/>
        <v>0</v>
      </c>
      <c r="M1019" s="340" t="str">
        <f t="shared" si="909"/>
        <v>-</v>
      </c>
      <c r="N1019" s="264" t="str">
        <f t="shared" si="908"/>
        <v>-</v>
      </c>
      <c r="O1019" s="451"/>
      <c r="P1019" s="407">
        <f t="shared" si="903"/>
        <v>0</v>
      </c>
      <c r="Q1019" s="452">
        <f t="shared" si="904"/>
        <v>0</v>
      </c>
    </row>
    <row r="1020" spans="1:17" ht="23.25" customHeight="1" thickBot="1" x14ac:dyDescent="0.35">
      <c r="A1020" s="277" t="s">
        <v>108</v>
      </c>
      <c r="B1020" s="1038" t="s">
        <v>21</v>
      </c>
      <c r="C1020" s="989"/>
      <c r="D1020" s="323">
        <v>0</v>
      </c>
      <c r="E1020" s="288">
        <v>15000</v>
      </c>
      <c r="F1020" s="323">
        <f>SUM(F1013:F1019)</f>
        <v>0</v>
      </c>
      <c r="G1020" s="324">
        <f t="shared" ref="G1020:H1020" si="910">SUM(G1013:G1019)</f>
        <v>0</v>
      </c>
      <c r="H1020" s="324">
        <f t="shared" si="910"/>
        <v>0</v>
      </c>
      <c r="I1020" s="348" t="str">
        <f>IFERROR(F1020/#REF!,"-")</f>
        <v>-</v>
      </c>
      <c r="J1020" s="518">
        <f t="shared" ref="J1020" si="911">SUM(J1013:J1019)</f>
        <v>392598</v>
      </c>
      <c r="K1020" s="524">
        <f>SUM(K1013:K1019)</f>
        <v>386500</v>
      </c>
      <c r="L1020" s="524">
        <f>SUM(L1013:L1019)</f>
        <v>6098</v>
      </c>
      <c r="M1020" s="342" t="str">
        <f>IFERROR(J1020/D1020,"-")</f>
        <v>-</v>
      </c>
      <c r="N1020" s="348">
        <f t="shared" si="908"/>
        <v>1.5532427572224006E-2</v>
      </c>
      <c r="O1020" s="394"/>
      <c r="P1020" s="409">
        <f>SUM(P1013:P1019)</f>
        <v>0</v>
      </c>
      <c r="Q1020" s="428">
        <f>SUM(Q1013:Q1019)</f>
        <v>855749.65</v>
      </c>
    </row>
    <row r="1021" spans="1:17" ht="23.25" customHeight="1" thickBot="1" x14ac:dyDescent="0.35">
      <c r="A1021" s="277" t="s">
        <v>108</v>
      </c>
      <c r="B1021" s="1039" t="s">
        <v>268</v>
      </c>
      <c r="C1021" s="1040"/>
      <c r="D1021" s="517">
        <f>+D1017+D1020</f>
        <v>0</v>
      </c>
      <c r="E1021" s="530">
        <f>+E1017+E1020</f>
        <v>15000</v>
      </c>
      <c r="F1021" s="517">
        <f>+F1017+F1020</f>
        <v>0</v>
      </c>
      <c r="G1021" s="519">
        <f>+G1017+G1020</f>
        <v>0</v>
      </c>
      <c r="H1021" s="519">
        <f>+H1017+H1020</f>
        <v>0</v>
      </c>
      <c r="I1021" s="520" t="str">
        <f>IFERROR(F1021/#REF!,"-")</f>
        <v>-</v>
      </c>
      <c r="J1021" s="517">
        <f>+J1017+J1020</f>
        <v>392598</v>
      </c>
      <c r="K1021" s="519">
        <f>+K1020</f>
        <v>386500</v>
      </c>
      <c r="L1021" s="519">
        <f>+L1020</f>
        <v>6098</v>
      </c>
      <c r="M1021" s="521" t="str">
        <f t="shared" ref="M1021" si="912">IFERROR(J1021/D1021,"-")</f>
        <v>-</v>
      </c>
      <c r="N1021" s="520">
        <f t="shared" si="908"/>
        <v>1.5532427572224006E-2</v>
      </c>
      <c r="O1021" s="522"/>
      <c r="P1021" s="523">
        <f>+P1020</f>
        <v>0</v>
      </c>
      <c r="Q1021" s="523">
        <f>+Q1020</f>
        <v>855749.65</v>
      </c>
    </row>
    <row r="1022" spans="1:17" ht="23.4" x14ac:dyDescent="0.4">
      <c r="A1022" s="244" t="s">
        <v>108</v>
      </c>
      <c r="B1022" s="1035" t="s">
        <v>270</v>
      </c>
      <c r="C1022" s="547" t="s">
        <v>74</v>
      </c>
      <c r="D1022" s="532"/>
      <c r="E1022" s="463"/>
      <c r="F1022" s="461">
        <f>+G1022+H1022</f>
        <v>11326</v>
      </c>
      <c r="G1022" s="462">
        <f>6300+2500+2250</f>
        <v>11050</v>
      </c>
      <c r="H1022" s="462">
        <f>65+126+85</f>
        <v>276</v>
      </c>
      <c r="I1022" s="536" t="str">
        <f>IFERROR(F1022/#REF!,"-")</f>
        <v>-</v>
      </c>
      <c r="J1022" s="461">
        <f>+K1022+L1022</f>
        <v>70766</v>
      </c>
      <c r="K1022" s="462">
        <f t="shared" ref="K1022:K1053" si="913">+K960+G1022</f>
        <v>70050</v>
      </c>
      <c r="L1022" s="463">
        <f t="shared" ref="L1022:L1053" si="914">+L960+H1022</f>
        <v>716</v>
      </c>
      <c r="M1022" s="596" t="str">
        <f>IFERROR(J1022/D1022,"-")</f>
        <v>-</v>
      </c>
      <c r="N1022" s="538">
        <f t="shared" si="908"/>
        <v>1.0117853206342028E-2</v>
      </c>
      <c r="O1022" s="543">
        <v>32.946300000000001</v>
      </c>
      <c r="P1022" s="539">
        <f t="shared" ref="P1022:P1053" si="915">+O1022*G1022</f>
        <v>364056.61499999999</v>
      </c>
      <c r="Q1022" s="540">
        <f t="shared" ref="Q1022:Q1053" si="916">+O1022*K1022</f>
        <v>2307888.3149999999</v>
      </c>
    </row>
    <row r="1023" spans="1:17" ht="23.4" x14ac:dyDescent="0.4">
      <c r="A1023" s="248" t="s">
        <v>108</v>
      </c>
      <c r="B1023" s="1036"/>
      <c r="C1023" s="548" t="s">
        <v>75</v>
      </c>
      <c r="D1023" s="516"/>
      <c r="E1023" s="439"/>
      <c r="F1023" s="336">
        <f t="shared" ref="F1023:F1053" si="917">+G1023+H1023</f>
        <v>0</v>
      </c>
      <c r="G1023" s="281"/>
      <c r="H1023" s="281"/>
      <c r="I1023" s="355" t="str">
        <f>IFERROR(F1023/#REF!,"-")</f>
        <v>-</v>
      </c>
      <c r="J1023" s="336">
        <f t="shared" ref="J1023:J1053" si="918">+K1023+L1023</f>
        <v>15076</v>
      </c>
      <c r="K1023" s="281">
        <f t="shared" si="913"/>
        <v>15000</v>
      </c>
      <c r="L1023" s="439">
        <f t="shared" si="914"/>
        <v>76</v>
      </c>
      <c r="M1023" s="340" t="str">
        <f t="shared" ref="M1023:M1025" si="919">IFERROR(J1023/D1023,"-")</f>
        <v>-</v>
      </c>
      <c r="N1023" s="268">
        <f t="shared" si="908"/>
        <v>5.0411249668347044E-3</v>
      </c>
      <c r="O1023" s="512">
        <v>35.398400000000002</v>
      </c>
      <c r="P1023" s="407">
        <f t="shared" si="915"/>
        <v>0</v>
      </c>
      <c r="Q1023" s="452">
        <f t="shared" si="916"/>
        <v>530976</v>
      </c>
    </row>
    <row r="1024" spans="1:17" ht="24" thickBot="1" x14ac:dyDescent="0.45">
      <c r="A1024" s="248" t="s">
        <v>108</v>
      </c>
      <c r="B1024" s="1037"/>
      <c r="C1024" s="548" t="s">
        <v>76</v>
      </c>
      <c r="D1024" s="279"/>
      <c r="E1024" s="439"/>
      <c r="F1024" s="336">
        <f t="shared" si="917"/>
        <v>0</v>
      </c>
      <c r="G1024" s="281"/>
      <c r="H1024" s="281"/>
      <c r="I1024" s="355" t="str">
        <f>IFERROR(F1024/#REF!,"-")</f>
        <v>-</v>
      </c>
      <c r="J1024" s="336">
        <f t="shared" si="918"/>
        <v>0</v>
      </c>
      <c r="K1024" s="281">
        <f t="shared" si="913"/>
        <v>0</v>
      </c>
      <c r="L1024" s="439">
        <f t="shared" si="914"/>
        <v>0</v>
      </c>
      <c r="M1024" s="340" t="str">
        <f t="shared" si="919"/>
        <v>-</v>
      </c>
      <c r="N1024" s="268" t="str">
        <f>IFERROR(L1024/J1024,"-")</f>
        <v>-</v>
      </c>
      <c r="O1024" s="512">
        <v>32.946300000000001</v>
      </c>
      <c r="P1024" s="407">
        <f t="shared" si="915"/>
        <v>0</v>
      </c>
      <c r="Q1024" s="452">
        <f t="shared" si="916"/>
        <v>0</v>
      </c>
    </row>
    <row r="1025" spans="1:17" ht="23.4" x14ac:dyDescent="0.4">
      <c r="A1025" s="248" t="s">
        <v>108</v>
      </c>
      <c r="B1025" s="1035" t="s">
        <v>271</v>
      </c>
      <c r="C1025" s="550" t="s">
        <v>78</v>
      </c>
      <c r="D1025" s="279"/>
      <c r="E1025" s="533"/>
      <c r="F1025" s="337">
        <f t="shared" si="917"/>
        <v>445</v>
      </c>
      <c r="G1025" s="281">
        <v>440</v>
      </c>
      <c r="H1025" s="281">
        <v>5</v>
      </c>
      <c r="I1025" s="355" t="str">
        <f>IFERROR(F1025/#REF!,"-")</f>
        <v>-</v>
      </c>
      <c r="J1025" s="336">
        <f t="shared" si="918"/>
        <v>62300</v>
      </c>
      <c r="K1025" s="281">
        <f t="shared" si="913"/>
        <v>60338</v>
      </c>
      <c r="L1025" s="439">
        <f t="shared" si="914"/>
        <v>1962</v>
      </c>
      <c r="M1025" s="340" t="str">
        <f t="shared" si="919"/>
        <v>-</v>
      </c>
      <c r="N1025" s="268">
        <f t="shared" ref="N1025" si="920">IFERROR(L1025/J1025,"-")</f>
        <v>3.1492776886035315E-2</v>
      </c>
      <c r="O1025" s="512">
        <v>55.4758</v>
      </c>
      <c r="P1025" s="407">
        <f t="shared" si="915"/>
        <v>24409.351999999999</v>
      </c>
      <c r="Q1025" s="452">
        <f t="shared" si="916"/>
        <v>3347298.8204000001</v>
      </c>
    </row>
    <row r="1026" spans="1:17" ht="23.4" x14ac:dyDescent="0.4">
      <c r="A1026" s="248" t="s">
        <v>108</v>
      </c>
      <c r="B1026" s="1036"/>
      <c r="C1026" s="550" t="s">
        <v>75</v>
      </c>
      <c r="D1026" s="279"/>
      <c r="E1026" s="534"/>
      <c r="F1026" s="337">
        <f t="shared" si="917"/>
        <v>0</v>
      </c>
      <c r="G1026" s="281"/>
      <c r="H1026" s="281"/>
      <c r="I1026" s="355" t="str">
        <f>IFERROR(F1026/#REF!,"-")</f>
        <v>-</v>
      </c>
      <c r="J1026" s="336">
        <f t="shared" si="918"/>
        <v>8448</v>
      </c>
      <c r="K1026" s="281">
        <f t="shared" si="913"/>
        <v>6800</v>
      </c>
      <c r="L1026" s="439">
        <f t="shared" si="914"/>
        <v>1648</v>
      </c>
      <c r="M1026" s="725"/>
      <c r="N1026" s="375"/>
      <c r="O1026" s="545">
        <v>58.836300000000001</v>
      </c>
      <c r="P1026" s="407">
        <f t="shared" si="915"/>
        <v>0</v>
      </c>
      <c r="Q1026" s="452">
        <f t="shared" si="916"/>
        <v>400086.84</v>
      </c>
    </row>
    <row r="1027" spans="1:17" ht="23.4" x14ac:dyDescent="0.4">
      <c r="A1027" s="248" t="s">
        <v>108</v>
      </c>
      <c r="B1027" s="1036"/>
      <c r="C1027" s="550" t="s">
        <v>386</v>
      </c>
      <c r="D1027" s="279"/>
      <c r="E1027" s="438"/>
      <c r="F1027" s="337">
        <f t="shared" si="917"/>
        <v>0</v>
      </c>
      <c r="G1027" s="281"/>
      <c r="H1027" s="281"/>
      <c r="I1027" s="355" t="str">
        <f>IFERROR(F1027/#REF!,"-")</f>
        <v>-</v>
      </c>
      <c r="J1027" s="336">
        <f t="shared" si="918"/>
        <v>3290</v>
      </c>
      <c r="K1027" s="281">
        <f t="shared" si="913"/>
        <v>2800</v>
      </c>
      <c r="L1027" s="439">
        <f t="shared" si="914"/>
        <v>490</v>
      </c>
      <c r="M1027" s="340" t="str">
        <f t="shared" ref="M1027" si="921">IFERROR(J1027/D1027,"-")</f>
        <v>-</v>
      </c>
      <c r="N1027" s="264">
        <f t="shared" ref="N1027" si="922">IFERROR(L1027/J1027,"-")</f>
        <v>0.14893617021276595</v>
      </c>
      <c r="O1027" s="512">
        <v>55.4758</v>
      </c>
      <c r="P1027" s="407">
        <f t="shared" si="915"/>
        <v>0</v>
      </c>
      <c r="Q1027" s="452">
        <f t="shared" si="916"/>
        <v>155332.24</v>
      </c>
    </row>
    <row r="1028" spans="1:17" ht="24" thickBot="1" x14ac:dyDescent="0.45">
      <c r="A1028" s="248"/>
      <c r="B1028" s="1037"/>
      <c r="C1028" s="550" t="s">
        <v>404</v>
      </c>
      <c r="D1028" s="279"/>
      <c r="E1028" s="438"/>
      <c r="F1028" s="337">
        <f t="shared" si="917"/>
        <v>0</v>
      </c>
      <c r="G1028" s="281"/>
      <c r="H1028" s="281"/>
      <c r="I1028" s="355"/>
      <c r="J1028" s="336">
        <f t="shared" si="918"/>
        <v>2220</v>
      </c>
      <c r="K1028" s="281">
        <f t="shared" si="913"/>
        <v>2064</v>
      </c>
      <c r="L1028" s="439">
        <f t="shared" si="914"/>
        <v>156</v>
      </c>
      <c r="M1028" s="340"/>
      <c r="N1028" s="264">
        <f>IFERROR(L1028/J1028,"-")</f>
        <v>7.0270270270270274E-2</v>
      </c>
      <c r="O1028" s="512">
        <v>55.4758</v>
      </c>
      <c r="P1028" s="407">
        <f t="shared" si="915"/>
        <v>0</v>
      </c>
      <c r="Q1028" s="452">
        <f t="shared" si="916"/>
        <v>114502.0512</v>
      </c>
    </row>
    <row r="1029" spans="1:17" ht="23.4" x14ac:dyDescent="0.4">
      <c r="A1029" s="248" t="s">
        <v>108</v>
      </c>
      <c r="B1029" s="1035" t="s">
        <v>490</v>
      </c>
      <c r="C1029" s="548" t="s">
        <v>80</v>
      </c>
      <c r="D1029" s="279"/>
      <c r="E1029" s="439"/>
      <c r="F1029" s="336">
        <f t="shared" si="917"/>
        <v>6182</v>
      </c>
      <c r="G1029" s="281">
        <f>3000+3150</f>
        <v>6150</v>
      </c>
      <c r="H1029" s="281">
        <f>12+20</f>
        <v>32</v>
      </c>
      <c r="I1029" s="355" t="str">
        <f>IFERROR(F1029/#REF!,"-")</f>
        <v>-</v>
      </c>
      <c r="J1029" s="336">
        <f t="shared" si="918"/>
        <v>16082</v>
      </c>
      <c r="K1029" s="730">
        <f t="shared" si="913"/>
        <v>15950</v>
      </c>
      <c r="L1029" s="731">
        <f t="shared" si="914"/>
        <v>132</v>
      </c>
      <c r="M1029" s="340" t="str">
        <f t="shared" ref="M1029:M1056" si="923">IFERROR(J1029/D1029,"-")</f>
        <v>-</v>
      </c>
      <c r="N1029" s="264">
        <f t="shared" ref="N1029:N1055" si="924">IFERROR(L1029/J1029,"-")</f>
        <v>8.2079343365253077E-3</v>
      </c>
      <c r="O1029" s="512">
        <v>25.687200000000001</v>
      </c>
      <c r="P1029" s="407">
        <f t="shared" si="915"/>
        <v>157976.28</v>
      </c>
      <c r="Q1029" s="452">
        <f t="shared" si="916"/>
        <v>409710.84</v>
      </c>
    </row>
    <row r="1030" spans="1:17" ht="24" thickBot="1" x14ac:dyDescent="0.45">
      <c r="A1030" s="248" t="s">
        <v>108</v>
      </c>
      <c r="B1030" s="1037"/>
      <c r="C1030" s="548" t="s">
        <v>124</v>
      </c>
      <c r="D1030" s="279"/>
      <c r="E1030" s="439"/>
      <c r="F1030" s="336">
        <f t="shared" si="917"/>
        <v>0</v>
      </c>
      <c r="G1030" s="281"/>
      <c r="H1030" s="281"/>
      <c r="I1030" s="355" t="str">
        <f>IFERROR(F1030/#REF!,"-")</f>
        <v>-</v>
      </c>
      <c r="J1030" s="336">
        <f t="shared" si="918"/>
        <v>0</v>
      </c>
      <c r="K1030" s="281">
        <f t="shared" si="913"/>
        <v>0</v>
      </c>
      <c r="L1030" s="439">
        <f t="shared" si="914"/>
        <v>0</v>
      </c>
      <c r="M1030" s="340" t="str">
        <f t="shared" si="923"/>
        <v>-</v>
      </c>
      <c r="N1030" s="264" t="str">
        <f t="shared" si="924"/>
        <v>-</v>
      </c>
      <c r="O1030" s="512">
        <v>25.033899999999999</v>
      </c>
      <c r="P1030" s="407">
        <f t="shared" si="915"/>
        <v>0</v>
      </c>
      <c r="Q1030" s="452">
        <f t="shared" si="916"/>
        <v>0</v>
      </c>
    </row>
    <row r="1031" spans="1:17" ht="23.4" x14ac:dyDescent="0.4">
      <c r="A1031" s="248"/>
      <c r="B1031" s="1035" t="s">
        <v>491</v>
      </c>
      <c r="C1031" s="548" t="s">
        <v>82</v>
      </c>
      <c r="D1031" s="279"/>
      <c r="E1031" s="439"/>
      <c r="F1031" s="336">
        <f t="shared" si="917"/>
        <v>6199</v>
      </c>
      <c r="G1031" s="281">
        <f>2800+3340</f>
        <v>6140</v>
      </c>
      <c r="H1031" s="281">
        <f>21+38</f>
        <v>59</v>
      </c>
      <c r="I1031" s="355" t="str">
        <f>IFERROR(F1031/#REF!,"-")</f>
        <v>-</v>
      </c>
      <c r="J1031" s="336">
        <f t="shared" si="918"/>
        <v>14036</v>
      </c>
      <c r="K1031" s="281">
        <f t="shared" si="913"/>
        <v>13940</v>
      </c>
      <c r="L1031" s="439">
        <f t="shared" si="914"/>
        <v>96</v>
      </c>
      <c r="M1031" s="340" t="str">
        <f t="shared" si="923"/>
        <v>-</v>
      </c>
      <c r="N1031" s="264">
        <f t="shared" si="924"/>
        <v>6.8395554288971216E-3</v>
      </c>
      <c r="O1031" s="512">
        <v>41.992699999999999</v>
      </c>
      <c r="P1031" s="407">
        <f t="shared" si="915"/>
        <v>257835.17799999999</v>
      </c>
      <c r="Q1031" s="452">
        <f t="shared" si="916"/>
        <v>585378.23800000001</v>
      </c>
    </row>
    <row r="1032" spans="1:17" ht="23.4" x14ac:dyDescent="0.4">
      <c r="A1032" s="248"/>
      <c r="B1032" s="1036"/>
      <c r="C1032" s="548" t="s">
        <v>75</v>
      </c>
      <c r="D1032" s="279"/>
      <c r="E1032" s="439"/>
      <c r="F1032" s="336">
        <f t="shared" si="917"/>
        <v>0</v>
      </c>
      <c r="G1032" s="281"/>
      <c r="H1032" s="281"/>
      <c r="I1032" s="355" t="str">
        <f>IFERROR(F1032/#REF!,"-")</f>
        <v>-</v>
      </c>
      <c r="J1032" s="336">
        <f t="shared" si="918"/>
        <v>45</v>
      </c>
      <c r="K1032" s="281">
        <f t="shared" si="913"/>
        <v>45</v>
      </c>
      <c r="L1032" s="439">
        <f t="shared" si="914"/>
        <v>0</v>
      </c>
      <c r="M1032" s="340" t="str">
        <f t="shared" si="923"/>
        <v>-</v>
      </c>
      <c r="N1032" s="264">
        <f t="shared" si="924"/>
        <v>0</v>
      </c>
      <c r="O1032" s="512">
        <v>42.283799999999999</v>
      </c>
      <c r="P1032" s="407">
        <f t="shared" si="915"/>
        <v>0</v>
      </c>
      <c r="Q1032" s="452">
        <f t="shared" si="916"/>
        <v>1902.771</v>
      </c>
    </row>
    <row r="1033" spans="1:17" ht="23.4" x14ac:dyDescent="0.4">
      <c r="A1033" s="248"/>
      <c r="B1033" s="1036"/>
      <c r="C1033" s="548" t="s">
        <v>450</v>
      </c>
      <c r="D1033" s="279"/>
      <c r="E1033" s="439"/>
      <c r="F1033" s="336">
        <f t="shared" si="917"/>
        <v>0</v>
      </c>
      <c r="G1033" s="281"/>
      <c r="H1033" s="281"/>
      <c r="I1033" s="355" t="str">
        <f>IFERROR(F1033/#REF!,"-")</f>
        <v>-</v>
      </c>
      <c r="J1033" s="336">
        <f t="shared" si="918"/>
        <v>1140</v>
      </c>
      <c r="K1033" s="281">
        <f t="shared" si="913"/>
        <v>1140</v>
      </c>
      <c r="L1033" s="439">
        <f t="shared" si="914"/>
        <v>0</v>
      </c>
      <c r="M1033" s="340" t="str">
        <f t="shared" si="923"/>
        <v>-</v>
      </c>
      <c r="N1033" s="264">
        <f t="shared" si="924"/>
        <v>0</v>
      </c>
      <c r="O1033" s="772">
        <v>41.992699999999999</v>
      </c>
      <c r="P1033" s="407">
        <f t="shared" si="915"/>
        <v>0</v>
      </c>
      <c r="Q1033" s="452">
        <f t="shared" si="916"/>
        <v>47871.678</v>
      </c>
    </row>
    <row r="1034" spans="1:17" ht="24" thickBot="1" x14ac:dyDescent="0.45">
      <c r="A1034" s="248"/>
      <c r="B1034" s="1037"/>
      <c r="C1034" s="548" t="s">
        <v>451</v>
      </c>
      <c r="D1034" s="279"/>
      <c r="E1034" s="439"/>
      <c r="F1034" s="336">
        <f t="shared" si="917"/>
        <v>0</v>
      </c>
      <c r="G1034" s="281"/>
      <c r="H1034" s="281"/>
      <c r="I1034" s="355" t="str">
        <f>IFERROR(F1034/#REF!,"-")</f>
        <v>-</v>
      </c>
      <c r="J1034" s="336">
        <f t="shared" si="918"/>
        <v>712</v>
      </c>
      <c r="K1034" s="281">
        <f t="shared" si="913"/>
        <v>660</v>
      </c>
      <c r="L1034" s="439">
        <f t="shared" si="914"/>
        <v>52</v>
      </c>
      <c r="M1034" s="340" t="str">
        <f t="shared" si="923"/>
        <v>-</v>
      </c>
      <c r="N1034" s="264">
        <f t="shared" si="924"/>
        <v>7.3033707865168537E-2</v>
      </c>
      <c r="O1034" s="772">
        <v>42.283799999999999</v>
      </c>
      <c r="P1034" s="407">
        <f t="shared" si="915"/>
        <v>0</v>
      </c>
      <c r="Q1034" s="452">
        <f t="shared" si="916"/>
        <v>27907.308000000001</v>
      </c>
    </row>
    <row r="1035" spans="1:17" ht="24" thickBot="1" x14ac:dyDescent="0.45">
      <c r="A1035" s="248"/>
      <c r="B1035" s="815" t="s">
        <v>83</v>
      </c>
      <c r="C1035" s="548" t="s">
        <v>84</v>
      </c>
      <c r="D1035" s="279"/>
      <c r="E1035" s="439"/>
      <c r="F1035" s="336">
        <f t="shared" si="917"/>
        <v>2865</v>
      </c>
      <c r="G1035" s="281">
        <v>2740</v>
      </c>
      <c r="H1035" s="281">
        <v>125</v>
      </c>
      <c r="I1035" s="355" t="str">
        <f>IFERROR(F1035/#REF!,"-")</f>
        <v>-</v>
      </c>
      <c r="J1035" s="336">
        <f t="shared" si="918"/>
        <v>2865</v>
      </c>
      <c r="K1035" s="281">
        <f t="shared" si="913"/>
        <v>2740</v>
      </c>
      <c r="L1035" s="439">
        <f t="shared" si="914"/>
        <v>125</v>
      </c>
      <c r="M1035" s="340" t="str">
        <f t="shared" si="923"/>
        <v>-</v>
      </c>
      <c r="N1035" s="264">
        <f t="shared" si="924"/>
        <v>4.3630017452006981E-2</v>
      </c>
      <c r="O1035" s="512">
        <v>4.3535000000000004</v>
      </c>
      <c r="P1035" s="407">
        <f t="shared" si="915"/>
        <v>11928.59</v>
      </c>
      <c r="Q1035" s="452">
        <f t="shared" si="916"/>
        <v>11928.59</v>
      </c>
    </row>
    <row r="1036" spans="1:17" ht="23.4" x14ac:dyDescent="0.4">
      <c r="A1036" s="248"/>
      <c r="B1036" s="1035" t="s">
        <v>273</v>
      </c>
      <c r="C1036" s="548" t="s">
        <v>80</v>
      </c>
      <c r="D1036" s="279"/>
      <c r="E1036" s="439"/>
      <c r="F1036" s="336">
        <f t="shared" si="917"/>
        <v>73489</v>
      </c>
      <c r="G1036" s="281">
        <f>31900+19800+20900</f>
        <v>72600</v>
      </c>
      <c r="H1036" s="281">
        <f>440+320+129</f>
        <v>889</v>
      </c>
      <c r="I1036" s="355" t="str">
        <f>IFERROR(F1036/#REF!,"-")</f>
        <v>-</v>
      </c>
      <c r="J1036" s="336">
        <f t="shared" si="918"/>
        <v>325713</v>
      </c>
      <c r="K1036" s="281">
        <f t="shared" si="913"/>
        <v>322300</v>
      </c>
      <c r="L1036" s="439">
        <f t="shared" si="914"/>
        <v>3413</v>
      </c>
      <c r="M1036" s="340" t="str">
        <f t="shared" si="923"/>
        <v>-</v>
      </c>
      <c r="N1036" s="264">
        <f t="shared" si="924"/>
        <v>1.0478550134627724E-2</v>
      </c>
      <c r="O1036" s="512">
        <v>4.6184000000000003</v>
      </c>
      <c r="P1036" s="407">
        <f t="shared" si="915"/>
        <v>335295.84000000003</v>
      </c>
      <c r="Q1036" s="452">
        <f t="shared" si="916"/>
        <v>1488510.32</v>
      </c>
    </row>
    <row r="1037" spans="1:17" ht="23.4" x14ac:dyDescent="0.4">
      <c r="A1037" s="248"/>
      <c r="B1037" s="1036"/>
      <c r="C1037" s="548" t="s">
        <v>378</v>
      </c>
      <c r="D1037" s="279"/>
      <c r="E1037" s="439"/>
      <c r="F1037" s="336">
        <f t="shared" si="917"/>
        <v>0</v>
      </c>
      <c r="G1037" s="281"/>
      <c r="H1037" s="281"/>
      <c r="I1037" s="355" t="str">
        <f>IFERROR(F1037/#REF!,"-")</f>
        <v>-</v>
      </c>
      <c r="J1037" s="336">
        <f t="shared" si="918"/>
        <v>0</v>
      </c>
      <c r="K1037" s="281">
        <f t="shared" si="913"/>
        <v>0</v>
      </c>
      <c r="L1037" s="439">
        <f t="shared" si="914"/>
        <v>0</v>
      </c>
      <c r="M1037" s="340" t="str">
        <f t="shared" si="923"/>
        <v>-</v>
      </c>
      <c r="N1037" s="264" t="str">
        <f t="shared" si="924"/>
        <v>-</v>
      </c>
      <c r="O1037" s="512">
        <v>4.6184000000000003</v>
      </c>
      <c r="P1037" s="407">
        <f t="shared" si="915"/>
        <v>0</v>
      </c>
      <c r="Q1037" s="452">
        <f t="shared" si="916"/>
        <v>0</v>
      </c>
    </row>
    <row r="1038" spans="1:17" ht="23.4" x14ac:dyDescent="0.4">
      <c r="A1038" s="248"/>
      <c r="B1038" s="1036"/>
      <c r="C1038" s="548" t="s">
        <v>272</v>
      </c>
      <c r="D1038" s="279"/>
      <c r="E1038" s="439"/>
      <c r="F1038" s="336">
        <f t="shared" si="917"/>
        <v>0</v>
      </c>
      <c r="G1038" s="281"/>
      <c r="H1038" s="281"/>
      <c r="I1038" s="355" t="str">
        <f>IFERROR(F1038/#REF!,"-")</f>
        <v>-</v>
      </c>
      <c r="J1038" s="336">
        <f t="shared" si="918"/>
        <v>0</v>
      </c>
      <c r="K1038" s="281">
        <f t="shared" si="913"/>
        <v>0</v>
      </c>
      <c r="L1038" s="439">
        <f t="shared" si="914"/>
        <v>0</v>
      </c>
      <c r="M1038" s="340" t="str">
        <f t="shared" si="923"/>
        <v>-</v>
      </c>
      <c r="N1038" s="264" t="str">
        <f t="shared" si="924"/>
        <v>-</v>
      </c>
      <c r="O1038" s="512">
        <v>4.6184000000000003</v>
      </c>
      <c r="P1038" s="407">
        <f t="shared" si="915"/>
        <v>0</v>
      </c>
      <c r="Q1038" s="452">
        <f t="shared" si="916"/>
        <v>0</v>
      </c>
    </row>
    <row r="1039" spans="1:17" ht="23.4" x14ac:dyDescent="0.4">
      <c r="A1039" s="248"/>
      <c r="B1039" s="1036"/>
      <c r="C1039" s="548" t="s">
        <v>390</v>
      </c>
      <c r="D1039" s="279"/>
      <c r="E1039" s="439"/>
      <c r="F1039" s="336">
        <f t="shared" si="917"/>
        <v>0</v>
      </c>
      <c r="G1039" s="281"/>
      <c r="H1039" s="281"/>
      <c r="I1039" s="355" t="str">
        <f>IFERROR(F1039/#REF!,"-")</f>
        <v>-</v>
      </c>
      <c r="J1039" s="336">
        <f t="shared" si="918"/>
        <v>511962</v>
      </c>
      <c r="K1039" s="730">
        <f t="shared" si="913"/>
        <v>508200</v>
      </c>
      <c r="L1039" s="731">
        <f t="shared" si="914"/>
        <v>3762</v>
      </c>
      <c r="M1039" s="340" t="str">
        <f t="shared" si="923"/>
        <v>-</v>
      </c>
      <c r="N1039" s="264">
        <f t="shared" si="924"/>
        <v>7.3482016243393063E-3</v>
      </c>
      <c r="O1039" s="512">
        <v>4.7636000000000003</v>
      </c>
      <c r="P1039" s="407">
        <f t="shared" si="915"/>
        <v>0</v>
      </c>
      <c r="Q1039" s="452">
        <f t="shared" si="916"/>
        <v>2420861.52</v>
      </c>
    </row>
    <row r="1040" spans="1:17" ht="24" thickBot="1" x14ac:dyDescent="0.45">
      <c r="A1040" s="248"/>
      <c r="B1040" s="1037"/>
      <c r="C1040" s="548" t="s">
        <v>384</v>
      </c>
      <c r="D1040" s="279"/>
      <c r="E1040" s="439"/>
      <c r="F1040" s="336">
        <f t="shared" si="917"/>
        <v>0</v>
      </c>
      <c r="G1040" s="281"/>
      <c r="H1040" s="281"/>
      <c r="I1040" s="355" t="str">
        <f>IFERROR(F1040/#REF!,"-")</f>
        <v>-</v>
      </c>
      <c r="J1040" s="336">
        <f t="shared" si="918"/>
        <v>0</v>
      </c>
      <c r="K1040" s="281">
        <f t="shared" si="913"/>
        <v>0</v>
      </c>
      <c r="L1040" s="439">
        <f t="shared" si="914"/>
        <v>0</v>
      </c>
      <c r="M1040" s="340" t="str">
        <f t="shared" si="923"/>
        <v>-</v>
      </c>
      <c r="N1040" s="264" t="str">
        <f t="shared" si="924"/>
        <v>-</v>
      </c>
      <c r="O1040" s="512">
        <v>4.8738000000000001</v>
      </c>
      <c r="P1040" s="407">
        <f t="shared" si="915"/>
        <v>0</v>
      </c>
      <c r="Q1040" s="452">
        <f t="shared" si="916"/>
        <v>0</v>
      </c>
    </row>
    <row r="1041" spans="1:17" ht="24" thickBot="1" x14ac:dyDescent="0.45">
      <c r="A1041" s="248"/>
      <c r="B1041" s="815" t="s">
        <v>274</v>
      </c>
      <c r="C1041" s="548" t="s">
        <v>131</v>
      </c>
      <c r="D1041" s="279"/>
      <c r="E1041" s="439"/>
      <c r="F1041" s="336">
        <f t="shared" si="917"/>
        <v>0</v>
      </c>
      <c r="G1041" s="281"/>
      <c r="H1041" s="281"/>
      <c r="I1041" s="355" t="str">
        <f>IFERROR(F1041/#REF!,"-")</f>
        <v>-</v>
      </c>
      <c r="J1041" s="336">
        <f t="shared" si="918"/>
        <v>0</v>
      </c>
      <c r="K1041" s="281">
        <f t="shared" si="913"/>
        <v>0</v>
      </c>
      <c r="L1041" s="439">
        <f t="shared" si="914"/>
        <v>0</v>
      </c>
      <c r="M1041" s="340" t="str">
        <f t="shared" si="923"/>
        <v>-</v>
      </c>
      <c r="N1041" s="264" t="str">
        <f t="shared" si="924"/>
        <v>-</v>
      </c>
      <c r="O1041" s="512">
        <v>4.8738000000000001</v>
      </c>
      <c r="P1041" s="407">
        <f t="shared" si="915"/>
        <v>0</v>
      </c>
      <c r="Q1041" s="452">
        <f t="shared" si="916"/>
        <v>0</v>
      </c>
    </row>
    <row r="1042" spans="1:17" ht="23.4" x14ac:dyDescent="0.4">
      <c r="A1042" s="248"/>
      <c r="B1042" s="1035" t="s">
        <v>276</v>
      </c>
      <c r="C1042" s="548" t="s">
        <v>80</v>
      </c>
      <c r="D1042" s="279"/>
      <c r="E1042" s="439"/>
      <c r="F1042" s="336">
        <f t="shared" si="917"/>
        <v>76272</v>
      </c>
      <c r="G1042" s="281">
        <f>49725+11950+13168</f>
        <v>74843</v>
      </c>
      <c r="H1042" s="281">
        <f>640+580+209</f>
        <v>1429</v>
      </c>
      <c r="I1042" s="355" t="str">
        <f>IFERROR(F1042/#REF!,"-")</f>
        <v>-</v>
      </c>
      <c r="J1042" s="336">
        <f t="shared" si="918"/>
        <v>519895</v>
      </c>
      <c r="K1042" s="730">
        <f t="shared" si="913"/>
        <v>509293</v>
      </c>
      <c r="L1042" s="731">
        <f t="shared" si="914"/>
        <v>10602</v>
      </c>
      <c r="M1042" s="340" t="str">
        <f t="shared" si="923"/>
        <v>-</v>
      </c>
      <c r="N1042" s="264">
        <f t="shared" si="924"/>
        <v>2.0392579270814299E-2</v>
      </c>
      <c r="O1042" s="512">
        <v>4.9344999999999999</v>
      </c>
      <c r="P1042" s="407">
        <f t="shared" si="915"/>
        <v>369312.78350000002</v>
      </c>
      <c r="Q1042" s="452">
        <f t="shared" si="916"/>
        <v>2513106.3084999998</v>
      </c>
    </row>
    <row r="1043" spans="1:17" ht="23.4" x14ac:dyDescent="0.4">
      <c r="A1043" s="248"/>
      <c r="B1043" s="1036"/>
      <c r="C1043" s="548" t="s">
        <v>142</v>
      </c>
      <c r="D1043" s="279"/>
      <c r="E1043" s="439"/>
      <c r="F1043" s="336">
        <f t="shared" si="917"/>
        <v>0</v>
      </c>
      <c r="G1043" s="281"/>
      <c r="H1043" s="281"/>
      <c r="I1043" s="355" t="str">
        <f>IFERROR(F1043/#REF!,"-")</f>
        <v>-</v>
      </c>
      <c r="J1043" s="336">
        <f t="shared" si="918"/>
        <v>0</v>
      </c>
      <c r="K1043" s="281">
        <f t="shared" si="913"/>
        <v>0</v>
      </c>
      <c r="L1043" s="439">
        <f t="shared" si="914"/>
        <v>0</v>
      </c>
      <c r="M1043" s="340" t="str">
        <f t="shared" si="923"/>
        <v>-</v>
      </c>
      <c r="N1043" s="264" t="str">
        <f t="shared" si="924"/>
        <v>-</v>
      </c>
      <c r="O1043" s="512">
        <v>4.9344999999999999</v>
      </c>
      <c r="P1043" s="407">
        <f t="shared" si="915"/>
        <v>0</v>
      </c>
      <c r="Q1043" s="452">
        <f t="shared" si="916"/>
        <v>0</v>
      </c>
    </row>
    <row r="1044" spans="1:17" ht="23.4" x14ac:dyDescent="0.4">
      <c r="A1044" s="248"/>
      <c r="B1044" s="1036"/>
      <c r="C1044" s="548" t="s">
        <v>136</v>
      </c>
      <c r="D1044" s="279"/>
      <c r="E1044" s="439"/>
      <c r="F1044" s="336">
        <f t="shared" si="917"/>
        <v>0</v>
      </c>
      <c r="G1044" s="281"/>
      <c r="H1044" s="281"/>
      <c r="I1044" s="355" t="str">
        <f>IFERROR(F1044/#REF!,"-")</f>
        <v>-</v>
      </c>
      <c r="J1044" s="336">
        <f t="shared" si="918"/>
        <v>0</v>
      </c>
      <c r="K1044" s="281">
        <f t="shared" si="913"/>
        <v>0</v>
      </c>
      <c r="L1044" s="439">
        <f t="shared" si="914"/>
        <v>0</v>
      </c>
      <c r="M1044" s="340" t="str">
        <f t="shared" si="923"/>
        <v>-</v>
      </c>
      <c r="N1044" s="264" t="str">
        <f t="shared" si="924"/>
        <v>-</v>
      </c>
      <c r="O1044" s="512">
        <v>4.9344999999999999</v>
      </c>
      <c r="P1044" s="407">
        <f t="shared" si="915"/>
        <v>0</v>
      </c>
      <c r="Q1044" s="452">
        <f t="shared" si="916"/>
        <v>0</v>
      </c>
    </row>
    <row r="1045" spans="1:17" ht="24" thickBot="1" x14ac:dyDescent="0.45">
      <c r="A1045" s="248"/>
      <c r="B1045" s="1037"/>
      <c r="C1045" s="548" t="s">
        <v>275</v>
      </c>
      <c r="D1045" s="279"/>
      <c r="E1045" s="439"/>
      <c r="F1045" s="336">
        <f t="shared" si="917"/>
        <v>0</v>
      </c>
      <c r="G1045" s="281"/>
      <c r="H1045" s="281"/>
      <c r="I1045" s="355" t="str">
        <f>IFERROR(F1045/#REF!,"-")</f>
        <v>-</v>
      </c>
      <c r="J1045" s="336">
        <f t="shared" si="918"/>
        <v>0</v>
      </c>
      <c r="K1045" s="281">
        <f t="shared" si="913"/>
        <v>0</v>
      </c>
      <c r="L1045" s="439">
        <f t="shared" si="914"/>
        <v>0</v>
      </c>
      <c r="M1045" s="340" t="str">
        <f t="shared" si="923"/>
        <v>-</v>
      </c>
      <c r="N1045" s="264" t="str">
        <f t="shared" si="924"/>
        <v>-</v>
      </c>
      <c r="O1045" s="512">
        <v>5.5069999999999997</v>
      </c>
      <c r="P1045" s="407">
        <f t="shared" si="915"/>
        <v>0</v>
      </c>
      <c r="Q1045" s="452">
        <f t="shared" si="916"/>
        <v>0</v>
      </c>
    </row>
    <row r="1046" spans="1:17" ht="23.4" x14ac:dyDescent="0.4">
      <c r="A1046" s="248"/>
      <c r="B1046" s="1035" t="s">
        <v>281</v>
      </c>
      <c r="C1046" s="548" t="s">
        <v>277</v>
      </c>
      <c r="D1046" s="279"/>
      <c r="E1046" s="439"/>
      <c r="F1046" s="336">
        <f t="shared" si="917"/>
        <v>71759</v>
      </c>
      <c r="G1046" s="281">
        <f>39200+14800+15300</f>
        <v>69300</v>
      </c>
      <c r="H1046" s="281">
        <f>880+895+684</f>
        <v>2459</v>
      </c>
      <c r="I1046" s="355" t="str">
        <f>IFERROR(F1046/#REF!,"-")</f>
        <v>-</v>
      </c>
      <c r="J1046" s="336">
        <f t="shared" si="918"/>
        <v>474067</v>
      </c>
      <c r="K1046" s="281">
        <f t="shared" si="913"/>
        <v>463650</v>
      </c>
      <c r="L1046" s="439">
        <f t="shared" si="914"/>
        <v>10417</v>
      </c>
      <c r="M1046" s="340" t="str">
        <f t="shared" si="923"/>
        <v>-</v>
      </c>
      <c r="N1046" s="264">
        <f t="shared" si="924"/>
        <v>2.1973687263614636E-2</v>
      </c>
      <c r="O1046" s="772">
        <v>5.5069999999999997</v>
      </c>
      <c r="P1046" s="407">
        <f t="shared" si="915"/>
        <v>381635.1</v>
      </c>
      <c r="Q1046" s="452">
        <f t="shared" si="916"/>
        <v>2553320.5499999998</v>
      </c>
    </row>
    <row r="1047" spans="1:17" ht="23.4" x14ac:dyDescent="0.4">
      <c r="A1047" s="248"/>
      <c r="B1047" s="1036"/>
      <c r="C1047" s="548" t="s">
        <v>278</v>
      </c>
      <c r="D1047" s="279"/>
      <c r="E1047" s="439"/>
      <c r="F1047" s="336">
        <f t="shared" si="917"/>
        <v>0</v>
      </c>
      <c r="G1047" s="281"/>
      <c r="H1047" s="281"/>
      <c r="I1047" s="355" t="str">
        <f>IFERROR(F1047/#REF!,"-")</f>
        <v>-</v>
      </c>
      <c r="J1047" s="336">
        <f t="shared" si="918"/>
        <v>0</v>
      </c>
      <c r="K1047" s="281">
        <f t="shared" si="913"/>
        <v>0</v>
      </c>
      <c r="L1047" s="439">
        <f t="shared" si="914"/>
        <v>0</v>
      </c>
      <c r="M1047" s="340" t="str">
        <f t="shared" si="923"/>
        <v>-</v>
      </c>
      <c r="N1047" s="264" t="str">
        <f t="shared" si="924"/>
        <v>-</v>
      </c>
      <c r="O1047" s="512">
        <v>5.6550000000000002</v>
      </c>
      <c r="P1047" s="407">
        <f t="shared" si="915"/>
        <v>0</v>
      </c>
      <c r="Q1047" s="452">
        <f t="shared" si="916"/>
        <v>0</v>
      </c>
    </row>
    <row r="1048" spans="1:17" ht="23.4" x14ac:dyDescent="0.4">
      <c r="A1048" s="248"/>
      <c r="B1048" s="1036"/>
      <c r="C1048" s="548" t="s">
        <v>355</v>
      </c>
      <c r="D1048" s="279"/>
      <c r="E1048" s="439"/>
      <c r="F1048" s="336">
        <f t="shared" si="917"/>
        <v>0</v>
      </c>
      <c r="G1048" s="281"/>
      <c r="H1048" s="281"/>
      <c r="I1048" s="355" t="str">
        <f>IFERROR(F1048/#REF!,"-")</f>
        <v>-</v>
      </c>
      <c r="J1048" s="336">
        <f t="shared" si="918"/>
        <v>321630</v>
      </c>
      <c r="K1048" s="730">
        <f t="shared" si="913"/>
        <v>310550</v>
      </c>
      <c r="L1048" s="731">
        <f t="shared" si="914"/>
        <v>11080</v>
      </c>
      <c r="M1048" s="340" t="str">
        <f t="shared" si="923"/>
        <v>-</v>
      </c>
      <c r="N1048" s="264">
        <f t="shared" si="924"/>
        <v>3.4449522743525168E-2</v>
      </c>
      <c r="O1048" s="512">
        <v>5.6550000000000002</v>
      </c>
      <c r="P1048" s="407">
        <f t="shared" si="915"/>
        <v>0</v>
      </c>
      <c r="Q1048" s="452">
        <f t="shared" si="916"/>
        <v>1756160.25</v>
      </c>
    </row>
    <row r="1049" spans="1:17" ht="23.4" x14ac:dyDescent="0.4">
      <c r="A1049" s="248"/>
      <c r="B1049" s="1036"/>
      <c r="C1049" s="548" t="s">
        <v>279</v>
      </c>
      <c r="D1049" s="279"/>
      <c r="E1049" s="439"/>
      <c r="F1049" s="336">
        <f t="shared" si="917"/>
        <v>0</v>
      </c>
      <c r="G1049" s="281"/>
      <c r="H1049" s="281"/>
      <c r="I1049" s="355" t="str">
        <f>IFERROR(F1049/#REF!,"-")</f>
        <v>-</v>
      </c>
      <c r="J1049" s="336">
        <f t="shared" si="918"/>
        <v>0</v>
      </c>
      <c r="K1049" s="281">
        <f t="shared" si="913"/>
        <v>0</v>
      </c>
      <c r="L1049" s="439">
        <f t="shared" si="914"/>
        <v>0</v>
      </c>
      <c r="M1049" s="340" t="str">
        <f t="shared" si="923"/>
        <v>-</v>
      </c>
      <c r="N1049" s="264" t="str">
        <f t="shared" si="924"/>
        <v>-</v>
      </c>
      <c r="O1049" s="512">
        <v>5.6550000000000002</v>
      </c>
      <c r="P1049" s="407">
        <f t="shared" si="915"/>
        <v>0</v>
      </c>
      <c r="Q1049" s="452">
        <f t="shared" si="916"/>
        <v>0</v>
      </c>
    </row>
    <row r="1050" spans="1:17" ht="23.4" x14ac:dyDescent="0.4">
      <c r="A1050" s="248" t="s">
        <v>108</v>
      </c>
      <c r="B1050" s="1036"/>
      <c r="C1050" s="548" t="s">
        <v>280</v>
      </c>
      <c r="D1050" s="279"/>
      <c r="E1050" s="439"/>
      <c r="F1050" s="336">
        <f t="shared" si="917"/>
        <v>0</v>
      </c>
      <c r="G1050" s="281"/>
      <c r="H1050" s="281"/>
      <c r="I1050" s="355" t="str">
        <f>IFERROR(F1050/#REF!,"-")</f>
        <v>-</v>
      </c>
      <c r="J1050" s="336">
        <f t="shared" si="918"/>
        <v>0</v>
      </c>
      <c r="K1050" s="281">
        <f t="shared" si="913"/>
        <v>0</v>
      </c>
      <c r="L1050" s="439">
        <f t="shared" si="914"/>
        <v>0</v>
      </c>
      <c r="M1050" s="340" t="str">
        <f t="shared" si="923"/>
        <v>-</v>
      </c>
      <c r="N1050" s="264" t="str">
        <f t="shared" si="924"/>
        <v>-</v>
      </c>
      <c r="O1050" s="512">
        <v>3.2963</v>
      </c>
      <c r="P1050" s="407">
        <f t="shared" si="915"/>
        <v>0</v>
      </c>
      <c r="Q1050" s="452">
        <f t="shared" si="916"/>
        <v>0</v>
      </c>
    </row>
    <row r="1051" spans="1:17" ht="24" thickBot="1" x14ac:dyDescent="0.45">
      <c r="A1051" s="248" t="s">
        <v>108</v>
      </c>
      <c r="B1051" s="1037"/>
      <c r="C1051" s="548" t="s">
        <v>275</v>
      </c>
      <c r="D1051" s="279"/>
      <c r="E1051" s="439"/>
      <c r="F1051" s="336">
        <f t="shared" si="917"/>
        <v>0</v>
      </c>
      <c r="G1051" s="281"/>
      <c r="H1051" s="281"/>
      <c r="I1051" s="355" t="str">
        <f>IFERROR(F1051/#REF!,"-")</f>
        <v>-</v>
      </c>
      <c r="J1051" s="336">
        <f t="shared" si="918"/>
        <v>0</v>
      </c>
      <c r="K1051" s="281">
        <f t="shared" si="913"/>
        <v>0</v>
      </c>
      <c r="L1051" s="439">
        <f t="shared" si="914"/>
        <v>0</v>
      </c>
      <c r="M1051" s="340" t="str">
        <f t="shared" si="923"/>
        <v>-</v>
      </c>
      <c r="N1051" s="264" t="str">
        <f t="shared" si="924"/>
        <v>-</v>
      </c>
      <c r="O1051" s="512">
        <v>3.2963</v>
      </c>
      <c r="P1051" s="407">
        <f t="shared" si="915"/>
        <v>0</v>
      </c>
      <c r="Q1051" s="452">
        <f t="shared" si="916"/>
        <v>0</v>
      </c>
    </row>
    <row r="1052" spans="1:17" ht="23.4" x14ac:dyDescent="0.4">
      <c r="A1052" s="248" t="s">
        <v>108</v>
      </c>
      <c r="B1052" s="552"/>
      <c r="C1052" s="549" t="s">
        <v>92</v>
      </c>
      <c r="D1052" s="516"/>
      <c r="E1052" s="439"/>
      <c r="F1052" s="336">
        <f t="shared" si="917"/>
        <v>81258</v>
      </c>
      <c r="G1052" s="281">
        <v>81000</v>
      </c>
      <c r="H1052" s="281">
        <v>258</v>
      </c>
      <c r="I1052" s="355" t="str">
        <f>IFERROR(F1052/#REF!,"-")</f>
        <v>-</v>
      </c>
      <c r="J1052" s="336">
        <f t="shared" si="918"/>
        <v>225097</v>
      </c>
      <c r="K1052" s="281">
        <f t="shared" si="913"/>
        <v>223655</v>
      </c>
      <c r="L1052" s="439">
        <f t="shared" si="914"/>
        <v>1442</v>
      </c>
      <c r="M1052" s="340" t="str">
        <f t="shared" si="923"/>
        <v>-</v>
      </c>
      <c r="N1052" s="264">
        <f t="shared" si="924"/>
        <v>6.4061271363012387E-3</v>
      </c>
      <c r="O1052" s="512">
        <v>2.3201000000000001</v>
      </c>
      <c r="P1052" s="407">
        <f t="shared" si="915"/>
        <v>187928.1</v>
      </c>
      <c r="Q1052" s="452">
        <f t="shared" si="916"/>
        <v>518901.96549999999</v>
      </c>
    </row>
    <row r="1053" spans="1:17" ht="24" thickBot="1" x14ac:dyDescent="0.35">
      <c r="A1053" s="248" t="s">
        <v>108</v>
      </c>
      <c r="B1053" s="529"/>
      <c r="C1053" s="546"/>
      <c r="D1053" s="535"/>
      <c r="E1053" s="466"/>
      <c r="F1053" s="464">
        <f t="shared" si="917"/>
        <v>0</v>
      </c>
      <c r="G1053" s="465"/>
      <c r="H1053" s="465"/>
      <c r="I1053" s="537" t="str">
        <f>IFERROR(F1053/#REF!,"-")</f>
        <v>-</v>
      </c>
      <c r="J1053" s="464">
        <f t="shared" si="918"/>
        <v>0</v>
      </c>
      <c r="K1053" s="465">
        <f t="shared" si="913"/>
        <v>0</v>
      </c>
      <c r="L1053" s="466">
        <f t="shared" si="914"/>
        <v>0</v>
      </c>
      <c r="M1053" s="726" t="str">
        <f t="shared" si="923"/>
        <v>-</v>
      </c>
      <c r="N1053" s="266" t="str">
        <f t="shared" si="924"/>
        <v>-</v>
      </c>
      <c r="O1053" s="544"/>
      <c r="P1053" s="541">
        <f t="shared" si="915"/>
        <v>0</v>
      </c>
      <c r="Q1053" s="542">
        <f t="shared" si="916"/>
        <v>0</v>
      </c>
    </row>
    <row r="1054" spans="1:17" ht="23.25" customHeight="1" thickBot="1" x14ac:dyDescent="0.35">
      <c r="A1054" s="277" t="s">
        <v>108</v>
      </c>
      <c r="B1054" s="1038" t="s">
        <v>25</v>
      </c>
      <c r="C1054" s="989"/>
      <c r="D1054" s="518">
        <f>SUM(D1027:D1053)</f>
        <v>0</v>
      </c>
      <c r="E1054" s="531">
        <v>100000</v>
      </c>
      <c r="F1054" s="524">
        <f>SUM(F1022:F1053)</f>
        <v>329795</v>
      </c>
      <c r="G1054" s="524">
        <f>SUM(G1022:G1053)</f>
        <v>324263</v>
      </c>
      <c r="H1054" s="524">
        <f>SUM(H1022:H1053)</f>
        <v>5532</v>
      </c>
      <c r="I1054" s="525" t="str">
        <f>IFERROR(F1054/#REF!,"-")</f>
        <v>-</v>
      </c>
      <c r="J1054" s="518">
        <f>SUM(J1022:J1053)</f>
        <v>2575344</v>
      </c>
      <c r="K1054" s="518">
        <f t="shared" ref="K1054:L1054" si="925">SUM(K1022:K1053)</f>
        <v>2529175</v>
      </c>
      <c r="L1054" s="518">
        <f t="shared" si="925"/>
        <v>46169</v>
      </c>
      <c r="M1054" s="526" t="str">
        <f t="shared" si="923"/>
        <v>-</v>
      </c>
      <c r="N1054" s="525">
        <f t="shared" si="924"/>
        <v>1.7927313787983276E-2</v>
      </c>
      <c r="O1054" s="527"/>
      <c r="P1054" s="528">
        <f>SUM(P1022:P1053)</f>
        <v>2090377.8385000001</v>
      </c>
      <c r="Q1054" s="528">
        <f>SUM(Q1022:Q1053)</f>
        <v>19191644.605599999</v>
      </c>
    </row>
    <row r="1055" spans="1:17" ht="23.25" customHeight="1" thickBot="1" x14ac:dyDescent="0.35">
      <c r="A1055" s="321" t="s">
        <v>108</v>
      </c>
      <c r="B1055" s="1039" t="s">
        <v>269</v>
      </c>
      <c r="C1055" s="1040"/>
      <c r="D1055" s="329">
        <f>+D1026+D1054</f>
        <v>0</v>
      </c>
      <c r="E1055" s="330">
        <f>+E1026+E1054</f>
        <v>100000</v>
      </c>
      <c r="F1055" s="329">
        <f>+F1054</f>
        <v>329795</v>
      </c>
      <c r="G1055" s="329">
        <f t="shared" ref="G1055:H1055" si="926">+G1054</f>
        <v>324263</v>
      </c>
      <c r="H1055" s="329">
        <f t="shared" si="926"/>
        <v>5532</v>
      </c>
      <c r="I1055" s="352" t="str">
        <f>IFERROR(F1055/#REF!,"-")</f>
        <v>-</v>
      </c>
      <c r="J1055" s="329">
        <f>+J1054</f>
        <v>2575344</v>
      </c>
      <c r="K1055" s="329">
        <f t="shared" ref="K1055:L1055" si="927">+K1054</f>
        <v>2529175</v>
      </c>
      <c r="L1055" s="329">
        <f t="shared" si="927"/>
        <v>46169</v>
      </c>
      <c r="M1055" s="344" t="str">
        <f t="shared" si="923"/>
        <v>-</v>
      </c>
      <c r="N1055" s="352">
        <f t="shared" si="924"/>
        <v>1.7927313787983276E-2</v>
      </c>
      <c r="O1055" s="397"/>
      <c r="P1055" s="413">
        <f>+P1054</f>
        <v>2090377.8385000001</v>
      </c>
      <c r="Q1055" s="431">
        <f>Q1054</f>
        <v>19191644.605599999</v>
      </c>
    </row>
    <row r="1056" spans="1:17" ht="24.6" thickBot="1" x14ac:dyDescent="0.35">
      <c r="A1056" s="322"/>
      <c r="B1056" s="1041" t="s">
        <v>182</v>
      </c>
      <c r="C1056" s="1042"/>
      <c r="D1056" s="377">
        <f>+D1055+D1021+D1012</f>
        <v>0</v>
      </c>
      <c r="E1056" s="377">
        <f>+E1055+E1021+E1012</f>
        <v>230000</v>
      </c>
      <c r="F1056" s="377">
        <f>+F1055+F1021+F1012</f>
        <v>544171</v>
      </c>
      <c r="G1056" s="377">
        <f>+G1055+G1021+G1012</f>
        <v>536863</v>
      </c>
      <c r="H1056" s="377">
        <f>+H1055+H1021+H1012</f>
        <v>7308</v>
      </c>
      <c r="I1056" s="378" t="str">
        <f>IFERROR(F1056/#REF!,"-")</f>
        <v>-</v>
      </c>
      <c r="J1056" s="377">
        <f>+J1055+J1021+J1012</f>
        <v>6338669</v>
      </c>
      <c r="K1056" s="377">
        <f>+K1055+K1021+K1012</f>
        <v>6212485</v>
      </c>
      <c r="L1056" s="377">
        <f>+L1055+L1021+L1012</f>
        <v>126184</v>
      </c>
      <c r="M1056" s="378" t="str">
        <f t="shared" si="923"/>
        <v>-</v>
      </c>
      <c r="N1056" s="378">
        <f>IFERROR(L1056/J1056,"-")</f>
        <v>1.9907018334606209E-2</v>
      </c>
      <c r="O1056" s="404"/>
      <c r="P1056" s="421">
        <f>+P1055+P1021+P1012</f>
        <v>2998652.0585000003</v>
      </c>
      <c r="Q1056" s="421">
        <f>+Q1055+Q1021+Q1012</f>
        <v>35761085.677599996</v>
      </c>
    </row>
    <row r="1057" spans="1:17" ht="22.5" customHeight="1" x14ac:dyDescent="0.3">
      <c r="A1057" s="1043" t="s">
        <v>1</v>
      </c>
      <c r="B1057" s="1046" t="s">
        <v>2</v>
      </c>
      <c r="C1057" s="1049" t="s">
        <v>477</v>
      </c>
      <c r="D1057" s="1000" t="s">
        <v>4</v>
      </c>
      <c r="E1057" s="1001"/>
      <c r="F1057" s="1001"/>
      <c r="G1057" s="1001"/>
      <c r="H1057" s="1001"/>
      <c r="I1057" s="1001"/>
      <c r="J1057" s="1001"/>
      <c r="K1057" s="1001"/>
      <c r="L1057" s="1001"/>
      <c r="M1057" s="1001"/>
      <c r="N1057" s="1002"/>
      <c r="O1057" s="1021" t="s">
        <v>175</v>
      </c>
      <c r="P1057" s="1022"/>
      <c r="Q1057" s="1052"/>
    </row>
    <row r="1058" spans="1:17" ht="22.5" customHeight="1" x14ac:dyDescent="0.3">
      <c r="A1058" s="1044"/>
      <c r="B1058" s="1047"/>
      <c r="C1058" s="1050"/>
      <c r="D1058" s="1003" t="s">
        <v>7</v>
      </c>
      <c r="E1058" s="1005" t="s">
        <v>115</v>
      </c>
      <c r="F1058" s="1053" t="s">
        <v>571</v>
      </c>
      <c r="G1058" s="1008"/>
      <c r="H1058" s="1008"/>
      <c r="I1058" s="1009"/>
      <c r="J1058" s="1010" t="s">
        <v>8</v>
      </c>
      <c r="K1058" s="1011"/>
      <c r="L1058" s="1012"/>
      <c r="M1058" s="1013" t="s">
        <v>173</v>
      </c>
      <c r="N1058" s="1015" t="s">
        <v>172</v>
      </c>
      <c r="O1058" s="1054" t="s">
        <v>177</v>
      </c>
      <c r="P1058" s="1055"/>
      <c r="Q1058" s="1056"/>
    </row>
    <row r="1059" spans="1:17" ht="47.4" thickBot="1" x14ac:dyDescent="0.35">
      <c r="A1059" s="1045"/>
      <c r="B1059" s="1048"/>
      <c r="C1059" s="1051"/>
      <c r="D1059" s="1004"/>
      <c r="E1059" s="1006"/>
      <c r="F1059" s="455" t="s">
        <v>13</v>
      </c>
      <c r="G1059" s="456" t="s">
        <v>14</v>
      </c>
      <c r="H1059" s="456" t="s">
        <v>15</v>
      </c>
      <c r="I1059" s="457" t="s">
        <v>174</v>
      </c>
      <c r="J1059" s="712" t="s">
        <v>13</v>
      </c>
      <c r="K1059" s="710" t="s">
        <v>14</v>
      </c>
      <c r="L1059" s="711" t="s">
        <v>15</v>
      </c>
      <c r="M1059" s="1014"/>
      <c r="N1059" s="1016"/>
      <c r="O1059" s="447" t="s">
        <v>178</v>
      </c>
      <c r="P1059" s="448" t="s">
        <v>11</v>
      </c>
      <c r="Q1059" s="449" t="s">
        <v>12</v>
      </c>
    </row>
    <row r="1060" spans="1:17" ht="23.4" x14ac:dyDescent="0.3">
      <c r="A1060" s="271" t="s">
        <v>110</v>
      </c>
      <c r="B1060" s="442"/>
      <c r="C1060" s="272" t="s">
        <v>266</v>
      </c>
      <c r="D1060" s="273"/>
      <c r="E1060" s="274"/>
      <c r="F1060" s="335">
        <f>+G1060+H1060</f>
        <v>0</v>
      </c>
      <c r="G1060" s="275"/>
      <c r="H1060" s="275"/>
      <c r="I1060" s="354" t="str">
        <f>IFERROR(F1060/#REF!,"-")</f>
        <v>-</v>
      </c>
      <c r="J1060" s="461">
        <f>+K1060+L1060</f>
        <v>337292</v>
      </c>
      <c r="K1060" s="462">
        <f>+K998+G1060</f>
        <v>321720</v>
      </c>
      <c r="L1060" s="463">
        <f>+L998+H1060</f>
        <v>15572</v>
      </c>
      <c r="M1060" s="339" t="str">
        <f>IFERROR(J1060/D1060,"-")</f>
        <v>-</v>
      </c>
      <c r="N1060" s="346">
        <f t="shared" ref="N1060:N1061" si="928">IFERROR(L1060/J1060,"-")</f>
        <v>4.6167712249326989E-2</v>
      </c>
      <c r="O1060" s="511">
        <v>1.5669</v>
      </c>
      <c r="P1060" s="405">
        <f>+O1060*G1060</f>
        <v>0</v>
      </c>
      <c r="Q1060" s="450">
        <f>+O1060*K1060</f>
        <v>504103.06799999997</v>
      </c>
    </row>
    <row r="1061" spans="1:17" ht="23.4" x14ac:dyDescent="0.3">
      <c r="A1061" s="277" t="s">
        <v>110</v>
      </c>
      <c r="B1061" s="441"/>
      <c r="C1061" s="278" t="s">
        <v>265</v>
      </c>
      <c r="D1061" s="279"/>
      <c r="E1061" s="280"/>
      <c r="F1061" s="336">
        <f t="shared" ref="F1061:F1064" si="929">+G1061+H1061</f>
        <v>0</v>
      </c>
      <c r="G1061" s="833"/>
      <c r="H1061" s="833"/>
      <c r="I1061" s="355" t="str">
        <f>IFERROR(F1061/#REF!,"-")</f>
        <v>-</v>
      </c>
      <c r="J1061" s="336">
        <f t="shared" ref="J1061:J1064" si="930">+K1061+L1061</f>
        <v>960348</v>
      </c>
      <c r="K1061" s="281">
        <f t="shared" ref="K1061:K1064" si="931">+K999+G1061</f>
        <v>947250</v>
      </c>
      <c r="L1061" s="439">
        <f t="shared" ref="L1061:L1064" si="932">+L999+H1061</f>
        <v>13098</v>
      </c>
      <c r="M1061" s="340" t="str">
        <f t="shared" ref="M1061:M1064" si="933">IFERROR(J1061/D1061,"-")</f>
        <v>-</v>
      </c>
      <c r="N1061" s="268">
        <f t="shared" si="928"/>
        <v>1.3638805932849342E-2</v>
      </c>
      <c r="O1061" s="512">
        <v>2.3978999999999999</v>
      </c>
      <c r="P1061" s="407">
        <f>+O1061*G1061</f>
        <v>0</v>
      </c>
      <c r="Q1061" s="452">
        <f>+O1061*K1061</f>
        <v>2271410.7749999999</v>
      </c>
    </row>
    <row r="1062" spans="1:17" ht="23.4" x14ac:dyDescent="0.3">
      <c r="A1062" s="277" t="s">
        <v>110</v>
      </c>
      <c r="B1062" s="441"/>
      <c r="C1062" s="278" t="s">
        <v>476</v>
      </c>
      <c r="D1062" s="279"/>
      <c r="E1062" s="280"/>
      <c r="F1062" s="336">
        <f t="shared" si="929"/>
        <v>205048</v>
      </c>
      <c r="G1062" s="281">
        <v>202500</v>
      </c>
      <c r="H1062" s="833">
        <v>2548</v>
      </c>
      <c r="I1062" s="355" t="str">
        <f>IFERROR(F1062/#REF!,"-")</f>
        <v>-</v>
      </c>
      <c r="J1062" s="336">
        <f t="shared" si="930"/>
        <v>845758</v>
      </c>
      <c r="K1062" s="281">
        <f t="shared" si="931"/>
        <v>820250</v>
      </c>
      <c r="L1062" s="439">
        <f t="shared" si="932"/>
        <v>25508</v>
      </c>
      <c r="M1062" s="340" t="str">
        <f t="shared" si="933"/>
        <v>-</v>
      </c>
      <c r="N1062" s="806">
        <f>IFERROR(L1062/J1062,"-")</f>
        <v>3.0159927544285717E-2</v>
      </c>
      <c r="O1062" s="824">
        <v>3.6777000000000002</v>
      </c>
      <c r="P1062" s="407">
        <f t="shared" ref="P1062:P1064" si="934">+O1062*G1062</f>
        <v>744734.25</v>
      </c>
      <c r="Q1062" s="452">
        <f t="shared" ref="Q1062:Q1064" si="935">+O1062*K1062</f>
        <v>3016633.4250000003</v>
      </c>
    </row>
    <row r="1063" spans="1:17" ht="23.4" x14ac:dyDescent="0.3">
      <c r="A1063" s="277"/>
      <c r="B1063" s="454"/>
      <c r="C1063" s="278" t="s">
        <v>353</v>
      </c>
      <c r="D1063" s="283"/>
      <c r="E1063" s="284"/>
      <c r="F1063" s="336">
        <f t="shared" si="929"/>
        <v>11084</v>
      </c>
      <c r="G1063" s="285">
        <v>11000</v>
      </c>
      <c r="H1063" s="285">
        <v>84</v>
      </c>
      <c r="I1063" s="355" t="str">
        <f>IFERROR(F1063/#REF!,"-")</f>
        <v>-</v>
      </c>
      <c r="J1063" s="336">
        <f t="shared" si="930"/>
        <v>311229</v>
      </c>
      <c r="K1063" s="281">
        <f t="shared" si="931"/>
        <v>305000</v>
      </c>
      <c r="L1063" s="439">
        <f t="shared" si="932"/>
        <v>6229</v>
      </c>
      <c r="M1063" s="340" t="str">
        <f t="shared" si="933"/>
        <v>-</v>
      </c>
      <c r="N1063" s="268">
        <f>IFERROR(L1063/J1063,"-")</f>
        <v>2.0014201761403984E-2</v>
      </c>
      <c r="O1063" s="513">
        <v>12.284700000000001</v>
      </c>
      <c r="P1063" s="407">
        <f t="shared" si="934"/>
        <v>135131.70000000001</v>
      </c>
      <c r="Q1063" s="452">
        <f t="shared" si="935"/>
        <v>3746833.5000000005</v>
      </c>
    </row>
    <row r="1064" spans="1:17" ht="24" thickBot="1" x14ac:dyDescent="0.35">
      <c r="A1064" s="277" t="s">
        <v>110</v>
      </c>
      <c r="B1064" s="454"/>
      <c r="C1064" s="278" t="s">
        <v>408</v>
      </c>
      <c r="D1064" s="283"/>
      <c r="E1064" s="284"/>
      <c r="F1064" s="337">
        <f t="shared" si="929"/>
        <v>0</v>
      </c>
      <c r="G1064" s="285"/>
      <c r="H1064" s="285"/>
      <c r="I1064" s="356" t="str">
        <f>IFERROR(F1064/#REF!,"-")</f>
        <v>-</v>
      </c>
      <c r="J1064" s="464">
        <f t="shared" si="930"/>
        <v>484372</v>
      </c>
      <c r="K1064" s="465">
        <f t="shared" si="931"/>
        <v>470250</v>
      </c>
      <c r="L1064" s="466">
        <f t="shared" si="932"/>
        <v>14122</v>
      </c>
      <c r="M1064" s="341" t="str">
        <f t="shared" si="933"/>
        <v>-</v>
      </c>
      <c r="N1064" s="347">
        <f t="shared" ref="N1064:N1076" si="936">IFERROR(L1064/J1064,"-")</f>
        <v>2.9155277348814547E-2</v>
      </c>
      <c r="O1064" s="824">
        <v>7.0612000000000004</v>
      </c>
      <c r="P1064" s="408">
        <f t="shared" si="934"/>
        <v>0</v>
      </c>
      <c r="Q1064" s="453">
        <f t="shared" si="935"/>
        <v>3320529.3000000003</v>
      </c>
    </row>
    <row r="1065" spans="1:17" ht="23.25" customHeight="1" thickBot="1" x14ac:dyDescent="0.35">
      <c r="A1065" s="277" t="s">
        <v>110</v>
      </c>
      <c r="B1065" s="1038" t="s">
        <v>21</v>
      </c>
      <c r="C1065" s="989"/>
      <c r="D1065" s="323">
        <f>SUM(D1060:D1064)</f>
        <v>0</v>
      </c>
      <c r="E1065" s="288">
        <v>15000</v>
      </c>
      <c r="F1065" s="323">
        <f>SUM(F1060:F1064)</f>
        <v>216132</v>
      </c>
      <c r="G1065" s="324">
        <f>SUM(G1060:G1064)</f>
        <v>213500</v>
      </c>
      <c r="H1065" s="324">
        <f>SUM(H1060:H1064)</f>
        <v>2632</v>
      </c>
      <c r="I1065" s="348" t="str">
        <f>IFERROR(F1065/#REF!,"-")</f>
        <v>-</v>
      </c>
      <c r="J1065" s="323">
        <f>SUM(J1060:J1064)</f>
        <v>2938999</v>
      </c>
      <c r="K1065" s="324">
        <f>SUM(K1060:K1064)</f>
        <v>2864470</v>
      </c>
      <c r="L1065" s="325">
        <f>SUM(L1060:L1064)</f>
        <v>74529</v>
      </c>
      <c r="M1065" s="342" t="str">
        <f>IFERROR(J1065/D1065,"-")</f>
        <v>-</v>
      </c>
      <c r="N1065" s="348">
        <f t="shared" si="936"/>
        <v>2.5358634011103779E-2</v>
      </c>
      <c r="O1065" s="394"/>
      <c r="P1065" s="409">
        <f>SUM(P1060:P1064)</f>
        <v>879865.95</v>
      </c>
      <c r="Q1065" s="428">
        <f>SUM(Q1060:Q1064)</f>
        <v>12859510.068000002</v>
      </c>
    </row>
    <row r="1066" spans="1:17" ht="23.4" x14ac:dyDescent="0.3">
      <c r="A1066" s="277" t="s">
        <v>110</v>
      </c>
      <c r="B1066" s="442"/>
      <c r="C1066" s="272" t="s">
        <v>264</v>
      </c>
      <c r="D1066" s="273"/>
      <c r="E1066" s="274"/>
      <c r="F1066" s="335">
        <f t="shared" ref="F1066:F1072" si="937">+G1066+H1066</f>
        <v>0</v>
      </c>
      <c r="G1066" s="275"/>
      <c r="H1066" s="275"/>
      <c r="I1066" s="354" t="str">
        <f>IFERROR(F1066/#REF!,"-")</f>
        <v>-</v>
      </c>
      <c r="J1066" s="461">
        <f t="shared" ref="J1066:J1072" si="938">+K1066+L1066</f>
        <v>34540</v>
      </c>
      <c r="K1066" s="462">
        <f t="shared" ref="K1066:K1072" si="939">+K1004+G1066</f>
        <v>33840</v>
      </c>
      <c r="L1066" s="463">
        <f t="shared" ref="L1066:L1072" si="940">+L1004+H1066</f>
        <v>700</v>
      </c>
      <c r="M1066" s="339" t="str">
        <f t="shared" ref="M1066:M1074" si="941">IFERROR(J1066/D1066,"-")</f>
        <v>-</v>
      </c>
      <c r="N1066" s="349">
        <f t="shared" si="936"/>
        <v>2.0266357845975681E-2</v>
      </c>
      <c r="O1066" s="511">
        <v>18.2316</v>
      </c>
      <c r="P1066" s="405">
        <f t="shared" ref="P1066:P1072" si="942">+O1066*G1066</f>
        <v>0</v>
      </c>
      <c r="Q1066" s="450">
        <f t="shared" ref="Q1066:Q1072" si="943">+O1066*K1066</f>
        <v>616957.34400000004</v>
      </c>
    </row>
    <row r="1067" spans="1:17" ht="23.4" x14ac:dyDescent="0.3">
      <c r="A1067" s="277" t="s">
        <v>110</v>
      </c>
      <c r="B1067" s="441"/>
      <c r="C1067" s="278" t="s">
        <v>92</v>
      </c>
      <c r="D1067" s="279"/>
      <c r="E1067" s="280"/>
      <c r="F1067" s="336">
        <f t="shared" si="937"/>
        <v>0</v>
      </c>
      <c r="G1067" s="281"/>
      <c r="H1067" s="281"/>
      <c r="I1067" s="355" t="str">
        <f>IFERROR(F1067/#REF!,"-")</f>
        <v>-</v>
      </c>
      <c r="J1067" s="336">
        <f t="shared" si="938"/>
        <v>350000</v>
      </c>
      <c r="K1067" s="281">
        <f t="shared" si="939"/>
        <v>350000</v>
      </c>
      <c r="L1067" s="439">
        <f t="shared" si="940"/>
        <v>0</v>
      </c>
      <c r="M1067" s="340" t="str">
        <f t="shared" si="941"/>
        <v>-</v>
      </c>
      <c r="N1067" s="264">
        <f t="shared" si="936"/>
        <v>0</v>
      </c>
      <c r="O1067" s="512">
        <v>1.2824</v>
      </c>
      <c r="P1067" s="407">
        <f t="shared" si="942"/>
        <v>0</v>
      </c>
      <c r="Q1067" s="452">
        <f t="shared" si="943"/>
        <v>448840</v>
      </c>
    </row>
    <row r="1068" spans="1:17" ht="23.4" x14ac:dyDescent="0.3">
      <c r="A1068" s="277" t="s">
        <v>110</v>
      </c>
      <c r="B1068" s="441"/>
      <c r="C1068" s="278" t="s">
        <v>329</v>
      </c>
      <c r="D1068" s="279"/>
      <c r="E1068" s="280"/>
      <c r="F1068" s="336">
        <f t="shared" si="937"/>
        <v>31634</v>
      </c>
      <c r="G1068" s="281">
        <v>31200</v>
      </c>
      <c r="H1068" s="281">
        <v>434</v>
      </c>
      <c r="I1068" s="355" t="str">
        <f>IFERROR(F1068/#REF!,"-")</f>
        <v>-</v>
      </c>
      <c r="J1068" s="336">
        <f t="shared" si="938"/>
        <v>108434</v>
      </c>
      <c r="K1068" s="281">
        <f t="shared" si="939"/>
        <v>108000</v>
      </c>
      <c r="L1068" s="439">
        <f t="shared" si="940"/>
        <v>434</v>
      </c>
      <c r="M1068" s="340" t="str">
        <f t="shared" si="941"/>
        <v>-</v>
      </c>
      <c r="N1068" s="264">
        <f t="shared" si="936"/>
        <v>4.0024346607152742E-3</v>
      </c>
      <c r="O1068" s="772">
        <v>5.7342000000000004</v>
      </c>
      <c r="P1068" s="407">
        <f t="shared" si="942"/>
        <v>178907.04</v>
      </c>
      <c r="Q1068" s="452">
        <f t="shared" si="943"/>
        <v>619293.60000000009</v>
      </c>
    </row>
    <row r="1069" spans="1:17" ht="23.4" x14ac:dyDescent="0.3">
      <c r="A1069" s="277" t="s">
        <v>110</v>
      </c>
      <c r="B1069" s="441"/>
      <c r="C1069" s="278" t="s">
        <v>346</v>
      </c>
      <c r="D1069" s="279"/>
      <c r="E1069" s="280"/>
      <c r="F1069" s="336">
        <f t="shared" si="937"/>
        <v>0</v>
      </c>
      <c r="G1069" s="281"/>
      <c r="H1069" s="281"/>
      <c r="I1069" s="355" t="str">
        <f>IFERROR(F1069/#REF!,"-")</f>
        <v>-</v>
      </c>
      <c r="J1069" s="336">
        <f t="shared" si="938"/>
        <v>0</v>
      </c>
      <c r="K1069" s="281">
        <f t="shared" si="939"/>
        <v>0</v>
      </c>
      <c r="L1069" s="439">
        <f t="shared" si="940"/>
        <v>0</v>
      </c>
      <c r="M1069" s="340" t="str">
        <f t="shared" si="941"/>
        <v>-</v>
      </c>
      <c r="N1069" s="264" t="str">
        <f t="shared" si="936"/>
        <v>-</v>
      </c>
      <c r="O1069" s="512"/>
      <c r="P1069" s="407">
        <f t="shared" si="942"/>
        <v>0</v>
      </c>
      <c r="Q1069" s="452">
        <f t="shared" si="943"/>
        <v>0</v>
      </c>
    </row>
    <row r="1070" spans="1:17" ht="23.4" x14ac:dyDescent="0.3">
      <c r="A1070" s="277" t="s">
        <v>110</v>
      </c>
      <c r="B1070" s="441"/>
      <c r="C1070" s="278" t="s">
        <v>354</v>
      </c>
      <c r="D1070" s="279"/>
      <c r="E1070" s="280"/>
      <c r="F1070" s="336">
        <f t="shared" si="937"/>
        <v>0</v>
      </c>
      <c r="G1070" s="281"/>
      <c r="H1070" s="281"/>
      <c r="I1070" s="355" t="str">
        <f>IFERROR(F1070/#REF!,"-")</f>
        <v>-</v>
      </c>
      <c r="J1070" s="336">
        <f t="shared" si="938"/>
        <v>186520</v>
      </c>
      <c r="K1070" s="281">
        <f t="shared" si="939"/>
        <v>185200</v>
      </c>
      <c r="L1070" s="439">
        <f t="shared" si="940"/>
        <v>1320</v>
      </c>
      <c r="M1070" s="340" t="str">
        <f t="shared" si="941"/>
        <v>-</v>
      </c>
      <c r="N1070" s="264">
        <f t="shared" si="936"/>
        <v>7.0769890628350849E-3</v>
      </c>
      <c r="O1070" s="512">
        <v>12.029500000000001</v>
      </c>
      <c r="P1070" s="407">
        <f t="shared" si="942"/>
        <v>0</v>
      </c>
      <c r="Q1070" s="452">
        <f t="shared" si="943"/>
        <v>2227863.4</v>
      </c>
    </row>
    <row r="1071" spans="1:17" ht="23.4" x14ac:dyDescent="0.3">
      <c r="A1071" s="277" t="s">
        <v>110</v>
      </c>
      <c r="B1071" s="441"/>
      <c r="C1071" s="278"/>
      <c r="D1071" s="279"/>
      <c r="E1071" s="280"/>
      <c r="F1071" s="336">
        <f t="shared" si="937"/>
        <v>0</v>
      </c>
      <c r="G1071" s="281"/>
      <c r="H1071" s="281"/>
      <c r="I1071" s="355" t="str">
        <f>IFERROR(F1071/#REF!,"-")</f>
        <v>-</v>
      </c>
      <c r="J1071" s="336">
        <f t="shared" si="938"/>
        <v>0</v>
      </c>
      <c r="K1071" s="281">
        <f t="shared" si="939"/>
        <v>0</v>
      </c>
      <c r="L1071" s="439">
        <f t="shared" si="940"/>
        <v>0</v>
      </c>
      <c r="M1071" s="340" t="str">
        <f t="shared" si="941"/>
        <v>-</v>
      </c>
      <c r="N1071" s="264" t="str">
        <f t="shared" si="936"/>
        <v>-</v>
      </c>
      <c r="O1071" s="512"/>
      <c r="P1071" s="407">
        <f t="shared" si="942"/>
        <v>0</v>
      </c>
      <c r="Q1071" s="452">
        <f t="shared" si="943"/>
        <v>0</v>
      </c>
    </row>
    <row r="1072" spans="1:17" ht="24" thickBot="1" x14ac:dyDescent="0.35">
      <c r="A1072" s="277" t="s">
        <v>110</v>
      </c>
      <c r="B1072" s="454"/>
      <c r="C1072" s="282"/>
      <c r="D1072" s="283">
        <v>0</v>
      </c>
      <c r="E1072" s="284"/>
      <c r="F1072" s="337">
        <f t="shared" si="937"/>
        <v>0</v>
      </c>
      <c r="G1072" s="285"/>
      <c r="H1072" s="285"/>
      <c r="I1072" s="356" t="str">
        <f>IFERROR(F1072/#REF!,"-")</f>
        <v>-</v>
      </c>
      <c r="J1072" s="464">
        <f t="shared" si="938"/>
        <v>0</v>
      </c>
      <c r="K1072" s="465">
        <f t="shared" si="939"/>
        <v>0</v>
      </c>
      <c r="L1072" s="466">
        <f t="shared" si="940"/>
        <v>0</v>
      </c>
      <c r="M1072" s="341" t="str">
        <f t="shared" si="941"/>
        <v>-</v>
      </c>
      <c r="N1072" s="350" t="str">
        <f t="shared" si="936"/>
        <v>-</v>
      </c>
      <c r="O1072" s="513"/>
      <c r="P1072" s="408">
        <f t="shared" si="942"/>
        <v>0</v>
      </c>
      <c r="Q1072" s="453">
        <f t="shared" si="943"/>
        <v>0</v>
      </c>
    </row>
    <row r="1073" spans="1:17" ht="23.25" customHeight="1" thickBot="1" x14ac:dyDescent="0.35">
      <c r="A1073" s="277" t="s">
        <v>110</v>
      </c>
      <c r="B1073" s="1038" t="s">
        <v>25</v>
      </c>
      <c r="C1073" s="989"/>
      <c r="D1073" s="323">
        <f t="shared" ref="D1073" si="944">SUM(D1066:D1072)</f>
        <v>0</v>
      </c>
      <c r="E1073" s="288">
        <v>100000</v>
      </c>
      <c r="F1073" s="323">
        <f>SUM(F1066:F1072)</f>
        <v>31634</v>
      </c>
      <c r="G1073" s="324">
        <f t="shared" ref="G1073:H1073" si="945">SUM(G1066:G1072)</f>
        <v>31200</v>
      </c>
      <c r="H1073" s="324">
        <f t="shared" si="945"/>
        <v>434</v>
      </c>
      <c r="I1073" s="348" t="str">
        <f>IFERROR(F1073/#REF!,"-")</f>
        <v>-</v>
      </c>
      <c r="J1073" s="323">
        <f t="shared" ref="J1073:L1073" si="946">SUM(J1066:J1072)</f>
        <v>679494</v>
      </c>
      <c r="K1073" s="324">
        <f t="shared" si="946"/>
        <v>677040</v>
      </c>
      <c r="L1073" s="325">
        <f t="shared" si="946"/>
        <v>2454</v>
      </c>
      <c r="M1073" s="342" t="str">
        <f t="shared" si="941"/>
        <v>-</v>
      </c>
      <c r="N1073" s="348">
        <f t="shared" si="936"/>
        <v>3.6115109184187057E-3</v>
      </c>
      <c r="O1073" s="394"/>
      <c r="P1073" s="409">
        <f t="shared" ref="P1073:Q1073" si="947">SUM(P1066:P1072)</f>
        <v>178907.04</v>
      </c>
      <c r="Q1073" s="428">
        <f t="shared" si="947"/>
        <v>3912954.344</v>
      </c>
    </row>
    <row r="1074" spans="1:17" ht="23.25" customHeight="1" thickBot="1" x14ac:dyDescent="0.35">
      <c r="A1074" s="277" t="s">
        <v>110</v>
      </c>
      <c r="B1074" s="1039" t="s">
        <v>180</v>
      </c>
      <c r="C1074" s="1040"/>
      <c r="D1074" s="329">
        <f>+D1065+D1073</f>
        <v>0</v>
      </c>
      <c r="E1074" s="330">
        <f t="shared" ref="E1074:H1074" si="948">+E1065+E1073</f>
        <v>115000</v>
      </c>
      <c r="F1074" s="329">
        <f t="shared" si="948"/>
        <v>247766</v>
      </c>
      <c r="G1074" s="327">
        <f t="shared" si="948"/>
        <v>244700</v>
      </c>
      <c r="H1074" s="327">
        <f t="shared" si="948"/>
        <v>3066</v>
      </c>
      <c r="I1074" s="352" t="str">
        <f>IFERROR(F1074/#REF!,"-")</f>
        <v>-</v>
      </c>
      <c r="J1074" s="329">
        <f t="shared" ref="J1074:L1074" si="949">+J1065+J1073</f>
        <v>3618493</v>
      </c>
      <c r="K1074" s="327">
        <f t="shared" si="949"/>
        <v>3541510</v>
      </c>
      <c r="L1074" s="328">
        <f t="shared" si="949"/>
        <v>76983</v>
      </c>
      <c r="M1074" s="344" t="str">
        <f t="shared" si="941"/>
        <v>-</v>
      </c>
      <c r="N1074" s="352">
        <f t="shared" si="936"/>
        <v>2.1274878796228153E-2</v>
      </c>
      <c r="O1074" s="397"/>
      <c r="P1074" s="413">
        <f t="shared" ref="P1074:Q1074" si="950">+P1065+P1073</f>
        <v>1058772.99</v>
      </c>
      <c r="Q1074" s="431">
        <f t="shared" si="950"/>
        <v>16772464.412000002</v>
      </c>
    </row>
    <row r="1075" spans="1:17" ht="23.4" x14ac:dyDescent="0.3">
      <c r="A1075" s="244" t="s">
        <v>108</v>
      </c>
      <c r="B1075" s="591"/>
      <c r="C1075" s="592" t="s">
        <v>306</v>
      </c>
      <c r="D1075" s="532"/>
      <c r="E1075" s="463"/>
      <c r="F1075" s="461">
        <f>+G1075+H1075</f>
        <v>0</v>
      </c>
      <c r="G1075" s="462"/>
      <c r="H1075" s="462"/>
      <c r="I1075" s="536" t="str">
        <f>IFERROR(F1075/#REF!,"-")</f>
        <v>-</v>
      </c>
      <c r="J1075" s="461">
        <f>+K1075+L1075</f>
        <v>0</v>
      </c>
      <c r="K1075" s="462">
        <f t="shared" ref="K1075:K1081" si="951">+K1013+G1075</f>
        <v>0</v>
      </c>
      <c r="L1075" s="463">
        <f t="shared" ref="L1075:L1081" si="952">+L1013+H1075</f>
        <v>0</v>
      </c>
      <c r="M1075" s="596" t="str">
        <f>IFERROR(J1075/D1075,"-")</f>
        <v>-</v>
      </c>
      <c r="N1075" s="538" t="str">
        <f t="shared" si="936"/>
        <v>-</v>
      </c>
      <c r="O1075" s="638">
        <v>4.8285999999999998</v>
      </c>
      <c r="P1075" s="539">
        <f t="shared" ref="P1075:P1081" si="953">+O1075*G1075</f>
        <v>0</v>
      </c>
      <c r="Q1075" s="540">
        <f t="shared" ref="Q1075:Q1081" si="954">+O1075*K1075</f>
        <v>0</v>
      </c>
    </row>
    <row r="1076" spans="1:17" ht="23.4" x14ac:dyDescent="0.3">
      <c r="A1076" s="248" t="s">
        <v>108</v>
      </c>
      <c r="B1076" s="593"/>
      <c r="C1076" s="278" t="s">
        <v>307</v>
      </c>
      <c r="D1076" s="279"/>
      <c r="E1076" s="439"/>
      <c r="F1076" s="336">
        <f t="shared" ref="F1076:F1081" si="955">+G1076+H1076</f>
        <v>0</v>
      </c>
      <c r="G1076" s="281"/>
      <c r="H1076" s="281"/>
      <c r="I1076" s="355" t="str">
        <f>IFERROR(F1076/#REF!,"-")</f>
        <v>-</v>
      </c>
      <c r="J1076" s="336">
        <f t="shared" ref="J1076:J1081" si="956">+K1076+L1076</f>
        <v>0</v>
      </c>
      <c r="K1076" s="281">
        <f t="shared" si="951"/>
        <v>0</v>
      </c>
      <c r="L1076" s="439">
        <f t="shared" si="952"/>
        <v>0</v>
      </c>
      <c r="M1076" s="340" t="str">
        <f t="shared" ref="M1076:M1078" si="957">IFERROR(J1076/D1076,"-")</f>
        <v>-</v>
      </c>
      <c r="N1076" s="268" t="str">
        <f t="shared" si="936"/>
        <v>-</v>
      </c>
      <c r="O1076" s="639">
        <v>1.4086000000000001</v>
      </c>
      <c r="P1076" s="407">
        <f t="shared" si="953"/>
        <v>0</v>
      </c>
      <c r="Q1076" s="452">
        <f t="shared" si="954"/>
        <v>0</v>
      </c>
    </row>
    <row r="1077" spans="1:17" ht="23.4" x14ac:dyDescent="0.3">
      <c r="A1077" s="248" t="s">
        <v>108</v>
      </c>
      <c r="B1077" s="593"/>
      <c r="C1077" s="278" t="s">
        <v>348</v>
      </c>
      <c r="D1077" s="279"/>
      <c r="E1077" s="439"/>
      <c r="F1077" s="336">
        <f t="shared" si="955"/>
        <v>0</v>
      </c>
      <c r="G1077" s="281"/>
      <c r="H1077" s="281"/>
      <c r="I1077" s="355" t="str">
        <f>IFERROR(F1077/#REF!,"-")</f>
        <v>-</v>
      </c>
      <c r="J1077" s="336">
        <f t="shared" si="956"/>
        <v>0</v>
      </c>
      <c r="K1077" s="281">
        <f t="shared" si="951"/>
        <v>0</v>
      </c>
      <c r="L1077" s="439">
        <f t="shared" si="952"/>
        <v>0</v>
      </c>
      <c r="M1077" s="340" t="str">
        <f t="shared" si="957"/>
        <v>-</v>
      </c>
      <c r="N1077" s="268" t="str">
        <f>IFERROR(L1077/J1077,"-")</f>
        <v>-</v>
      </c>
      <c r="O1077" s="639">
        <v>2.2141000000000002</v>
      </c>
      <c r="P1077" s="407">
        <f t="shared" si="953"/>
        <v>0</v>
      </c>
      <c r="Q1077" s="452">
        <f t="shared" si="954"/>
        <v>0</v>
      </c>
    </row>
    <row r="1078" spans="1:17" ht="23.4" x14ac:dyDescent="0.3">
      <c r="A1078" s="248" t="s">
        <v>108</v>
      </c>
      <c r="B1078" s="594"/>
      <c r="C1078" s="278" t="s">
        <v>583</v>
      </c>
      <c r="D1078" s="283"/>
      <c r="E1078" s="533"/>
      <c r="F1078" s="337">
        <f t="shared" si="955"/>
        <v>35272</v>
      </c>
      <c r="G1078" s="285">
        <v>34250</v>
      </c>
      <c r="H1078" s="285">
        <v>1022</v>
      </c>
      <c r="I1078" s="356" t="str">
        <f>IFERROR(F1078/#REF!,"-")</f>
        <v>-</v>
      </c>
      <c r="J1078" s="336">
        <f t="shared" si="956"/>
        <v>427870</v>
      </c>
      <c r="K1078" s="281">
        <f t="shared" si="951"/>
        <v>420750</v>
      </c>
      <c r="L1078" s="439">
        <f t="shared" si="952"/>
        <v>7120</v>
      </c>
      <c r="M1078" s="341" t="str">
        <f t="shared" si="957"/>
        <v>-</v>
      </c>
      <c r="N1078" s="347">
        <f t="shared" ref="N1078:N1085" si="958">IFERROR(L1078/J1078,"-")</f>
        <v>1.6640568396942997E-2</v>
      </c>
      <c r="O1078" s="639">
        <v>2.2141000000000002</v>
      </c>
      <c r="P1078" s="408">
        <f t="shared" si="953"/>
        <v>75832.925000000003</v>
      </c>
      <c r="Q1078" s="453">
        <f t="shared" si="954"/>
        <v>931582.57500000007</v>
      </c>
    </row>
    <row r="1079" spans="1:17" ht="23.4" x14ac:dyDescent="0.3">
      <c r="A1079" s="248" t="s">
        <v>108</v>
      </c>
      <c r="B1079" s="443"/>
      <c r="C1079" s="637" t="s">
        <v>393</v>
      </c>
      <c r="D1079" s="514"/>
      <c r="E1079" s="534"/>
      <c r="F1079" s="336">
        <f t="shared" si="955"/>
        <v>0</v>
      </c>
      <c r="G1079" s="553"/>
      <c r="H1079" s="553"/>
      <c r="I1079" s="355" t="str">
        <f>IFERROR(F1079/#REF!,"-")</f>
        <v>-</v>
      </c>
      <c r="J1079" s="336">
        <f t="shared" si="956"/>
        <v>0</v>
      </c>
      <c r="K1079" s="281">
        <f t="shared" si="951"/>
        <v>0</v>
      </c>
      <c r="L1079" s="439">
        <f t="shared" si="952"/>
        <v>0</v>
      </c>
      <c r="M1079" s="725"/>
      <c r="N1079" s="268" t="str">
        <f t="shared" si="958"/>
        <v>-</v>
      </c>
      <c r="O1079" s="545">
        <v>4.8285999999999998</v>
      </c>
      <c r="P1079" s="407">
        <f t="shared" si="953"/>
        <v>0</v>
      </c>
      <c r="Q1079" s="452">
        <f t="shared" si="954"/>
        <v>0</v>
      </c>
    </row>
    <row r="1080" spans="1:17" ht="23.4" x14ac:dyDescent="0.3">
      <c r="A1080" s="248" t="s">
        <v>108</v>
      </c>
      <c r="B1080" s="595"/>
      <c r="C1080" s="637" t="s">
        <v>389</v>
      </c>
      <c r="D1080" s="273"/>
      <c r="E1080" s="438"/>
      <c r="F1080" s="335">
        <f t="shared" si="955"/>
        <v>0</v>
      </c>
      <c r="G1080" s="275"/>
      <c r="H1080" s="275"/>
      <c r="I1080" s="354" t="str">
        <f>IFERROR(F1080/#REF!,"-")</f>
        <v>-</v>
      </c>
      <c r="J1080" s="336">
        <f t="shared" si="956"/>
        <v>0</v>
      </c>
      <c r="K1080" s="281">
        <f t="shared" si="951"/>
        <v>0</v>
      </c>
      <c r="L1080" s="439">
        <f t="shared" si="952"/>
        <v>0</v>
      </c>
      <c r="M1080" s="339" t="str">
        <f t="shared" ref="M1080:M1081" si="959">IFERROR(J1080/D1080,"-")</f>
        <v>-</v>
      </c>
      <c r="N1080" s="349" t="str">
        <f t="shared" si="958"/>
        <v>-</v>
      </c>
      <c r="O1080" s="511">
        <v>4.1712999999999996</v>
      </c>
      <c r="P1080" s="405">
        <f t="shared" si="953"/>
        <v>0</v>
      </c>
      <c r="Q1080" s="450">
        <f t="shared" si="954"/>
        <v>0</v>
      </c>
    </row>
    <row r="1081" spans="1:17" ht="24" thickBot="1" x14ac:dyDescent="0.35">
      <c r="A1081" s="248" t="s">
        <v>108</v>
      </c>
      <c r="B1081" s="593"/>
      <c r="C1081" s="278"/>
      <c r="D1081" s="279"/>
      <c r="E1081" s="439"/>
      <c r="F1081" s="336">
        <f t="shared" si="955"/>
        <v>0</v>
      </c>
      <c r="G1081" s="281"/>
      <c r="H1081" s="281"/>
      <c r="I1081" s="355" t="str">
        <f>IFERROR(F1081/#REF!,"-")</f>
        <v>-</v>
      </c>
      <c r="J1081" s="464">
        <f t="shared" si="956"/>
        <v>0</v>
      </c>
      <c r="K1081" s="465">
        <f t="shared" si="951"/>
        <v>0</v>
      </c>
      <c r="L1081" s="466">
        <f t="shared" si="952"/>
        <v>0</v>
      </c>
      <c r="M1081" s="340" t="str">
        <f t="shared" si="959"/>
        <v>-</v>
      </c>
      <c r="N1081" s="264" t="str">
        <f t="shared" si="958"/>
        <v>-</v>
      </c>
      <c r="O1081" s="451"/>
      <c r="P1081" s="407">
        <f t="shared" si="953"/>
        <v>0</v>
      </c>
      <c r="Q1081" s="452">
        <f t="shared" si="954"/>
        <v>0</v>
      </c>
    </row>
    <row r="1082" spans="1:17" ht="23.25" customHeight="1" thickBot="1" x14ac:dyDescent="0.35">
      <c r="A1082" s="277" t="s">
        <v>108</v>
      </c>
      <c r="B1082" s="1038" t="s">
        <v>21</v>
      </c>
      <c r="C1082" s="989"/>
      <c r="D1082" s="323">
        <v>0</v>
      </c>
      <c r="E1082" s="288">
        <v>15000</v>
      </c>
      <c r="F1082" s="323">
        <f>SUM(F1075:F1081)</f>
        <v>35272</v>
      </c>
      <c r="G1082" s="324">
        <f t="shared" ref="G1082:H1082" si="960">SUM(G1075:G1081)</f>
        <v>34250</v>
      </c>
      <c r="H1082" s="324">
        <f t="shared" si="960"/>
        <v>1022</v>
      </c>
      <c r="I1082" s="348" t="str">
        <f>IFERROR(F1082/#REF!,"-")</f>
        <v>-</v>
      </c>
      <c r="J1082" s="518">
        <f t="shared" ref="J1082" si="961">SUM(J1075:J1081)</f>
        <v>427870</v>
      </c>
      <c r="K1082" s="524">
        <f>SUM(K1075:K1081)</f>
        <v>420750</v>
      </c>
      <c r="L1082" s="524">
        <f>SUM(L1075:L1081)</f>
        <v>7120</v>
      </c>
      <c r="M1082" s="342" t="str">
        <f>IFERROR(J1082/D1082,"-")</f>
        <v>-</v>
      </c>
      <c r="N1082" s="348">
        <f t="shared" si="958"/>
        <v>1.6640568396942997E-2</v>
      </c>
      <c r="O1082" s="394"/>
      <c r="P1082" s="409">
        <f>SUM(P1075:P1081)</f>
        <v>75832.925000000003</v>
      </c>
      <c r="Q1082" s="428">
        <f>SUM(Q1075:Q1081)</f>
        <v>931582.57500000007</v>
      </c>
    </row>
    <row r="1083" spans="1:17" ht="23.25" customHeight="1" thickBot="1" x14ac:dyDescent="0.35">
      <c r="A1083" s="277" t="s">
        <v>108</v>
      </c>
      <c r="B1083" s="1039" t="s">
        <v>268</v>
      </c>
      <c r="C1083" s="1040"/>
      <c r="D1083" s="517">
        <f>+D1079+D1082</f>
        <v>0</v>
      </c>
      <c r="E1083" s="530">
        <f>+E1079+E1082</f>
        <v>15000</v>
      </c>
      <c r="F1083" s="517">
        <f>+F1079+F1082</f>
        <v>35272</v>
      </c>
      <c r="G1083" s="519">
        <f>+G1079+G1082</f>
        <v>34250</v>
      </c>
      <c r="H1083" s="519">
        <f>+H1079+H1082</f>
        <v>1022</v>
      </c>
      <c r="I1083" s="520" t="str">
        <f>IFERROR(F1083/#REF!,"-")</f>
        <v>-</v>
      </c>
      <c r="J1083" s="517">
        <f>+J1079+J1082</f>
        <v>427870</v>
      </c>
      <c r="K1083" s="519">
        <f>+K1082</f>
        <v>420750</v>
      </c>
      <c r="L1083" s="519">
        <f>+L1082</f>
        <v>7120</v>
      </c>
      <c r="M1083" s="521" t="str">
        <f t="shared" ref="M1083" si="962">IFERROR(J1083/D1083,"-")</f>
        <v>-</v>
      </c>
      <c r="N1083" s="520">
        <f t="shared" si="958"/>
        <v>1.6640568396942997E-2</v>
      </c>
      <c r="O1083" s="522"/>
      <c r="P1083" s="523">
        <f>+P1082</f>
        <v>75832.925000000003</v>
      </c>
      <c r="Q1083" s="523">
        <f>+Q1082</f>
        <v>931582.57500000007</v>
      </c>
    </row>
    <row r="1084" spans="1:17" ht="23.4" x14ac:dyDescent="0.4">
      <c r="A1084" s="244" t="s">
        <v>108</v>
      </c>
      <c r="B1084" s="1035" t="s">
        <v>270</v>
      </c>
      <c r="C1084" s="547" t="s">
        <v>74</v>
      </c>
      <c r="D1084" s="532"/>
      <c r="E1084" s="463"/>
      <c r="F1084" s="461">
        <f>+G1084+H1084</f>
        <v>10165</v>
      </c>
      <c r="G1084" s="462">
        <v>10100</v>
      </c>
      <c r="H1084" s="462">
        <v>65</v>
      </c>
      <c r="I1084" s="536" t="str">
        <f>IFERROR(F1084/#REF!,"-")</f>
        <v>-</v>
      </c>
      <c r="J1084" s="461">
        <f>+K1084+L1084</f>
        <v>80931</v>
      </c>
      <c r="K1084" s="462">
        <f t="shared" ref="K1084:K1115" si="963">+K1022+G1084</f>
        <v>80150</v>
      </c>
      <c r="L1084" s="463">
        <f t="shared" ref="L1084:L1115" si="964">+L1022+H1084</f>
        <v>781</v>
      </c>
      <c r="M1084" s="596" t="str">
        <f>IFERROR(J1084/D1084,"-")</f>
        <v>-</v>
      </c>
      <c r="N1084" s="538">
        <f t="shared" si="958"/>
        <v>9.6501958458439906E-3</v>
      </c>
      <c r="O1084" s="543">
        <v>32.946300000000001</v>
      </c>
      <c r="P1084" s="539">
        <f t="shared" ref="P1084:P1115" si="965">+O1084*G1084</f>
        <v>332757.63</v>
      </c>
      <c r="Q1084" s="540">
        <f t="shared" ref="Q1084:Q1115" si="966">+O1084*K1084</f>
        <v>2640645.9449999998</v>
      </c>
    </row>
    <row r="1085" spans="1:17" ht="23.4" x14ac:dyDescent="0.4">
      <c r="A1085" s="248" t="s">
        <v>108</v>
      </c>
      <c r="B1085" s="1036"/>
      <c r="C1085" s="548" t="s">
        <v>75</v>
      </c>
      <c r="D1085" s="516"/>
      <c r="E1085" s="439"/>
      <c r="F1085" s="336">
        <f t="shared" ref="F1085:F1115" si="967">+G1085+H1085</f>
        <v>0</v>
      </c>
      <c r="G1085" s="281"/>
      <c r="H1085" s="281"/>
      <c r="I1085" s="355" t="str">
        <f>IFERROR(F1085/#REF!,"-")</f>
        <v>-</v>
      </c>
      <c r="J1085" s="336">
        <f t="shared" ref="J1085:J1115" si="968">+K1085+L1085</f>
        <v>15076</v>
      </c>
      <c r="K1085" s="281">
        <f t="shared" si="963"/>
        <v>15000</v>
      </c>
      <c r="L1085" s="439">
        <f t="shared" si="964"/>
        <v>76</v>
      </c>
      <c r="M1085" s="340" t="str">
        <f t="shared" ref="M1085:M1087" si="969">IFERROR(J1085/D1085,"-")</f>
        <v>-</v>
      </c>
      <c r="N1085" s="268">
        <f t="shared" si="958"/>
        <v>5.0411249668347044E-3</v>
      </c>
      <c r="O1085" s="512">
        <v>35.398400000000002</v>
      </c>
      <c r="P1085" s="407">
        <f t="shared" si="965"/>
        <v>0</v>
      </c>
      <c r="Q1085" s="452">
        <f t="shared" si="966"/>
        <v>530976</v>
      </c>
    </row>
    <row r="1086" spans="1:17" ht="24" thickBot="1" x14ac:dyDescent="0.45">
      <c r="A1086" s="248" t="s">
        <v>108</v>
      </c>
      <c r="B1086" s="1037"/>
      <c r="C1086" s="548" t="s">
        <v>76</v>
      </c>
      <c r="D1086" s="279"/>
      <c r="E1086" s="439"/>
      <c r="F1086" s="336">
        <f t="shared" si="967"/>
        <v>0</v>
      </c>
      <c r="G1086" s="281"/>
      <c r="H1086" s="281"/>
      <c r="I1086" s="355" t="str">
        <f>IFERROR(F1086/#REF!,"-")</f>
        <v>-</v>
      </c>
      <c r="J1086" s="336">
        <f t="shared" si="968"/>
        <v>0</v>
      </c>
      <c r="K1086" s="281">
        <f t="shared" si="963"/>
        <v>0</v>
      </c>
      <c r="L1086" s="439">
        <f t="shared" si="964"/>
        <v>0</v>
      </c>
      <c r="M1086" s="340" t="str">
        <f t="shared" si="969"/>
        <v>-</v>
      </c>
      <c r="N1086" s="268" t="str">
        <f>IFERROR(L1086/J1086,"-")</f>
        <v>-</v>
      </c>
      <c r="O1086" s="512">
        <v>32.946300000000001</v>
      </c>
      <c r="P1086" s="407">
        <f t="shared" si="965"/>
        <v>0</v>
      </c>
      <c r="Q1086" s="452">
        <f t="shared" si="966"/>
        <v>0</v>
      </c>
    </row>
    <row r="1087" spans="1:17" ht="23.4" x14ac:dyDescent="0.4">
      <c r="A1087" s="248" t="s">
        <v>108</v>
      </c>
      <c r="B1087" s="1035" t="s">
        <v>271</v>
      </c>
      <c r="C1087" s="550" t="s">
        <v>78</v>
      </c>
      <c r="D1087" s="279"/>
      <c r="E1087" s="533"/>
      <c r="F1087" s="337">
        <f t="shared" si="967"/>
        <v>3209</v>
      </c>
      <c r="G1087" s="281">
        <v>3000</v>
      </c>
      <c r="H1087" s="281">
        <v>209</v>
      </c>
      <c r="I1087" s="355" t="str">
        <f>IFERROR(F1087/#REF!,"-")</f>
        <v>-</v>
      </c>
      <c r="J1087" s="336">
        <f t="shared" si="968"/>
        <v>65509</v>
      </c>
      <c r="K1087" s="281">
        <f t="shared" si="963"/>
        <v>63338</v>
      </c>
      <c r="L1087" s="439">
        <f t="shared" si="964"/>
        <v>2171</v>
      </c>
      <c r="M1087" s="340" t="str">
        <f t="shared" si="969"/>
        <v>-</v>
      </c>
      <c r="N1087" s="268">
        <f t="shared" ref="N1087" si="970">IFERROR(L1087/J1087,"-")</f>
        <v>3.3140484513578289E-2</v>
      </c>
      <c r="O1087" s="512">
        <v>55.4758</v>
      </c>
      <c r="P1087" s="407">
        <f t="shared" si="965"/>
        <v>166427.4</v>
      </c>
      <c r="Q1087" s="452">
        <f t="shared" si="966"/>
        <v>3513726.2204</v>
      </c>
    </row>
    <row r="1088" spans="1:17" ht="23.4" x14ac:dyDescent="0.4">
      <c r="A1088" s="248" t="s">
        <v>108</v>
      </c>
      <c r="B1088" s="1036"/>
      <c r="C1088" s="550" t="s">
        <v>75</v>
      </c>
      <c r="D1088" s="279"/>
      <c r="E1088" s="534"/>
      <c r="F1088" s="337">
        <f t="shared" si="967"/>
        <v>0</v>
      </c>
      <c r="G1088" s="281"/>
      <c r="H1088" s="281"/>
      <c r="I1088" s="355" t="str">
        <f>IFERROR(F1088/#REF!,"-")</f>
        <v>-</v>
      </c>
      <c r="J1088" s="336">
        <f t="shared" si="968"/>
        <v>8448</v>
      </c>
      <c r="K1088" s="281">
        <f t="shared" si="963"/>
        <v>6800</v>
      </c>
      <c r="L1088" s="439">
        <f t="shared" si="964"/>
        <v>1648</v>
      </c>
      <c r="M1088" s="725"/>
      <c r="N1088" s="375"/>
      <c r="O1088" s="545">
        <v>58.836300000000001</v>
      </c>
      <c r="P1088" s="407">
        <f t="shared" si="965"/>
        <v>0</v>
      </c>
      <c r="Q1088" s="452">
        <f t="shared" si="966"/>
        <v>400086.84</v>
      </c>
    </row>
    <row r="1089" spans="1:17" ht="23.4" x14ac:dyDescent="0.4">
      <c r="A1089" s="248" t="s">
        <v>108</v>
      </c>
      <c r="B1089" s="1036"/>
      <c r="C1089" s="550" t="s">
        <v>386</v>
      </c>
      <c r="D1089" s="279"/>
      <c r="E1089" s="438"/>
      <c r="F1089" s="337">
        <f t="shared" si="967"/>
        <v>2991</v>
      </c>
      <c r="G1089" s="281">
        <v>2231</v>
      </c>
      <c r="H1089" s="281">
        <v>760</v>
      </c>
      <c r="I1089" s="355" t="str">
        <f>IFERROR(F1089/#REF!,"-")</f>
        <v>-</v>
      </c>
      <c r="J1089" s="336">
        <f t="shared" si="968"/>
        <v>6281</v>
      </c>
      <c r="K1089" s="281">
        <f t="shared" si="963"/>
        <v>5031</v>
      </c>
      <c r="L1089" s="439">
        <f t="shared" si="964"/>
        <v>1250</v>
      </c>
      <c r="M1089" s="340" t="str">
        <f t="shared" ref="M1089" si="971">IFERROR(J1089/D1089,"-")</f>
        <v>-</v>
      </c>
      <c r="N1089" s="264">
        <f t="shared" ref="N1089" si="972">IFERROR(L1089/J1089,"-")</f>
        <v>0.19901289603566311</v>
      </c>
      <c r="O1089" s="772">
        <v>58.836300000000001</v>
      </c>
      <c r="P1089" s="407">
        <f t="shared" si="965"/>
        <v>131263.78529999999</v>
      </c>
      <c r="Q1089" s="452">
        <f t="shared" si="966"/>
        <v>296005.4253</v>
      </c>
    </row>
    <row r="1090" spans="1:17" ht="24" thickBot="1" x14ac:dyDescent="0.45">
      <c r="A1090" s="248"/>
      <c r="B1090" s="1037"/>
      <c r="C1090" s="550" t="s">
        <v>404</v>
      </c>
      <c r="D1090" s="279"/>
      <c r="E1090" s="438"/>
      <c r="F1090" s="337">
        <f t="shared" si="967"/>
        <v>0</v>
      </c>
      <c r="G1090" s="281"/>
      <c r="H1090" s="281"/>
      <c r="I1090" s="355"/>
      <c r="J1090" s="336">
        <f t="shared" si="968"/>
        <v>2220</v>
      </c>
      <c r="K1090" s="281">
        <f t="shared" si="963"/>
        <v>2064</v>
      </c>
      <c r="L1090" s="439">
        <f t="shared" si="964"/>
        <v>156</v>
      </c>
      <c r="M1090" s="340"/>
      <c r="N1090" s="264">
        <f>IFERROR(L1090/J1090,"-")</f>
        <v>7.0270270270270274E-2</v>
      </c>
      <c r="O1090" s="512">
        <v>55.4758</v>
      </c>
      <c r="P1090" s="407">
        <f t="shared" si="965"/>
        <v>0</v>
      </c>
      <c r="Q1090" s="452">
        <f t="shared" si="966"/>
        <v>114502.0512</v>
      </c>
    </row>
    <row r="1091" spans="1:17" ht="23.4" x14ac:dyDescent="0.4">
      <c r="A1091" s="248" t="s">
        <v>108</v>
      </c>
      <c r="B1091" s="1035" t="s">
        <v>490</v>
      </c>
      <c r="C1091" s="548" t="s">
        <v>80</v>
      </c>
      <c r="D1091" s="279"/>
      <c r="E1091" s="439"/>
      <c r="F1091" s="336">
        <f t="shared" si="967"/>
        <v>0</v>
      </c>
      <c r="G1091" s="281"/>
      <c r="H1091" s="281"/>
      <c r="I1091" s="355" t="str">
        <f>IFERROR(F1091/#REF!,"-")</f>
        <v>-</v>
      </c>
      <c r="J1091" s="336">
        <f t="shared" si="968"/>
        <v>16082</v>
      </c>
      <c r="K1091" s="730">
        <f t="shared" si="963"/>
        <v>15950</v>
      </c>
      <c r="L1091" s="731">
        <f t="shared" si="964"/>
        <v>132</v>
      </c>
      <c r="M1091" s="340" t="str">
        <f t="shared" ref="M1091:M1118" si="973">IFERROR(J1091/D1091,"-")</f>
        <v>-</v>
      </c>
      <c r="N1091" s="264">
        <f t="shared" ref="N1091:N1117" si="974">IFERROR(L1091/J1091,"-")</f>
        <v>8.2079343365253077E-3</v>
      </c>
      <c r="O1091" s="512">
        <v>25.687200000000001</v>
      </c>
      <c r="P1091" s="407">
        <f t="shared" si="965"/>
        <v>0</v>
      </c>
      <c r="Q1091" s="452">
        <f t="shared" si="966"/>
        <v>409710.84</v>
      </c>
    </row>
    <row r="1092" spans="1:17" ht="24" thickBot="1" x14ac:dyDescent="0.45">
      <c r="A1092" s="248" t="s">
        <v>108</v>
      </c>
      <c r="B1092" s="1037"/>
      <c r="C1092" s="548" t="s">
        <v>124</v>
      </c>
      <c r="D1092" s="279"/>
      <c r="E1092" s="439"/>
      <c r="F1092" s="336">
        <f t="shared" si="967"/>
        <v>0</v>
      </c>
      <c r="G1092" s="281"/>
      <c r="H1092" s="281"/>
      <c r="I1092" s="355" t="str">
        <f>IFERROR(F1092/#REF!,"-")</f>
        <v>-</v>
      </c>
      <c r="J1092" s="336">
        <f t="shared" si="968"/>
        <v>0</v>
      </c>
      <c r="K1092" s="281">
        <f t="shared" si="963"/>
        <v>0</v>
      </c>
      <c r="L1092" s="439">
        <f t="shared" si="964"/>
        <v>0</v>
      </c>
      <c r="M1092" s="340" t="str">
        <f t="shared" si="973"/>
        <v>-</v>
      </c>
      <c r="N1092" s="264" t="str">
        <f t="shared" si="974"/>
        <v>-</v>
      </c>
      <c r="O1092" s="512">
        <v>25.033899999999999</v>
      </c>
      <c r="P1092" s="407">
        <f t="shared" si="965"/>
        <v>0</v>
      </c>
      <c r="Q1092" s="452">
        <f t="shared" si="966"/>
        <v>0</v>
      </c>
    </row>
    <row r="1093" spans="1:17" ht="23.4" x14ac:dyDescent="0.4">
      <c r="A1093" s="248"/>
      <c r="B1093" s="1035" t="s">
        <v>491</v>
      </c>
      <c r="C1093" s="548" t="s">
        <v>82</v>
      </c>
      <c r="D1093" s="279"/>
      <c r="E1093" s="439"/>
      <c r="F1093" s="336">
        <f t="shared" si="967"/>
        <v>0</v>
      </c>
      <c r="G1093" s="281"/>
      <c r="H1093" s="281"/>
      <c r="I1093" s="355" t="str">
        <f>IFERROR(F1093/#REF!,"-")</f>
        <v>-</v>
      </c>
      <c r="J1093" s="336">
        <f t="shared" si="968"/>
        <v>14036</v>
      </c>
      <c r="K1093" s="281">
        <f t="shared" si="963"/>
        <v>13940</v>
      </c>
      <c r="L1093" s="439">
        <f t="shared" si="964"/>
        <v>96</v>
      </c>
      <c r="M1093" s="340" t="str">
        <f t="shared" si="973"/>
        <v>-</v>
      </c>
      <c r="N1093" s="264">
        <f t="shared" si="974"/>
        <v>6.8395554288971216E-3</v>
      </c>
      <c r="O1093" s="512">
        <v>41.992699999999999</v>
      </c>
      <c r="P1093" s="407">
        <f t="shared" si="965"/>
        <v>0</v>
      </c>
      <c r="Q1093" s="452">
        <f t="shared" si="966"/>
        <v>585378.23800000001</v>
      </c>
    </row>
    <row r="1094" spans="1:17" ht="23.4" x14ac:dyDescent="0.4">
      <c r="A1094" s="248"/>
      <c r="B1094" s="1036"/>
      <c r="C1094" s="548" t="s">
        <v>75</v>
      </c>
      <c r="D1094" s="279"/>
      <c r="E1094" s="439"/>
      <c r="F1094" s="336">
        <f t="shared" si="967"/>
        <v>0</v>
      </c>
      <c r="G1094" s="281"/>
      <c r="H1094" s="281"/>
      <c r="I1094" s="355" t="str">
        <f>IFERROR(F1094/#REF!,"-")</f>
        <v>-</v>
      </c>
      <c r="J1094" s="336">
        <f t="shared" si="968"/>
        <v>45</v>
      </c>
      <c r="K1094" s="281">
        <f t="shared" si="963"/>
        <v>45</v>
      </c>
      <c r="L1094" s="439">
        <f t="shared" si="964"/>
        <v>0</v>
      </c>
      <c r="M1094" s="340" t="str">
        <f t="shared" si="973"/>
        <v>-</v>
      </c>
      <c r="N1094" s="264">
        <f t="shared" si="974"/>
        <v>0</v>
      </c>
      <c r="O1094" s="512">
        <v>42.283799999999999</v>
      </c>
      <c r="P1094" s="407">
        <f t="shared" si="965"/>
        <v>0</v>
      </c>
      <c r="Q1094" s="452">
        <f t="shared" si="966"/>
        <v>1902.771</v>
      </c>
    </row>
    <row r="1095" spans="1:17" ht="23.4" x14ac:dyDescent="0.4">
      <c r="A1095" s="248"/>
      <c r="B1095" s="1036"/>
      <c r="C1095" s="548" t="s">
        <v>450</v>
      </c>
      <c r="D1095" s="279"/>
      <c r="E1095" s="439"/>
      <c r="F1095" s="336">
        <f t="shared" si="967"/>
        <v>0</v>
      </c>
      <c r="G1095" s="281"/>
      <c r="H1095" s="281"/>
      <c r="I1095" s="355" t="str">
        <f>IFERROR(F1095/#REF!,"-")</f>
        <v>-</v>
      </c>
      <c r="J1095" s="336">
        <f t="shared" si="968"/>
        <v>1140</v>
      </c>
      <c r="K1095" s="281">
        <f t="shared" si="963"/>
        <v>1140</v>
      </c>
      <c r="L1095" s="439">
        <f t="shared" si="964"/>
        <v>0</v>
      </c>
      <c r="M1095" s="340" t="str">
        <f t="shared" si="973"/>
        <v>-</v>
      </c>
      <c r="N1095" s="264">
        <f t="shared" si="974"/>
        <v>0</v>
      </c>
      <c r="O1095" s="772">
        <v>41.992699999999999</v>
      </c>
      <c r="P1095" s="407">
        <f t="shared" si="965"/>
        <v>0</v>
      </c>
      <c r="Q1095" s="452">
        <f t="shared" si="966"/>
        <v>47871.678</v>
      </c>
    </row>
    <row r="1096" spans="1:17" ht="24" thickBot="1" x14ac:dyDescent="0.45">
      <c r="A1096" s="248"/>
      <c r="B1096" s="1037"/>
      <c r="C1096" s="548" t="s">
        <v>451</v>
      </c>
      <c r="D1096" s="279"/>
      <c r="E1096" s="439"/>
      <c r="F1096" s="336">
        <f t="shared" si="967"/>
        <v>0</v>
      </c>
      <c r="G1096" s="281"/>
      <c r="H1096" s="281"/>
      <c r="I1096" s="355" t="str">
        <f>IFERROR(F1096/#REF!,"-")</f>
        <v>-</v>
      </c>
      <c r="J1096" s="336">
        <f t="shared" si="968"/>
        <v>712</v>
      </c>
      <c r="K1096" s="281">
        <f t="shared" si="963"/>
        <v>660</v>
      </c>
      <c r="L1096" s="439">
        <f t="shared" si="964"/>
        <v>52</v>
      </c>
      <c r="M1096" s="340" t="str">
        <f t="shared" si="973"/>
        <v>-</v>
      </c>
      <c r="N1096" s="264">
        <f t="shared" si="974"/>
        <v>7.3033707865168537E-2</v>
      </c>
      <c r="O1096" s="772">
        <v>42.283799999999999</v>
      </c>
      <c r="P1096" s="407">
        <f t="shared" si="965"/>
        <v>0</v>
      </c>
      <c r="Q1096" s="452">
        <f t="shared" si="966"/>
        <v>27907.308000000001</v>
      </c>
    </row>
    <row r="1097" spans="1:17" ht="24" thickBot="1" x14ac:dyDescent="0.45">
      <c r="A1097" s="248"/>
      <c r="B1097" s="815" t="s">
        <v>83</v>
      </c>
      <c r="C1097" s="548" t="s">
        <v>84</v>
      </c>
      <c r="D1097" s="279"/>
      <c r="E1097" s="439"/>
      <c r="F1097" s="336">
        <f t="shared" si="967"/>
        <v>1550</v>
      </c>
      <c r="G1097" s="281">
        <v>1400</v>
      </c>
      <c r="H1097" s="281">
        <v>150</v>
      </c>
      <c r="I1097" s="355" t="str">
        <f>IFERROR(F1097/#REF!,"-")</f>
        <v>-</v>
      </c>
      <c r="J1097" s="336">
        <f t="shared" si="968"/>
        <v>4415</v>
      </c>
      <c r="K1097" s="281">
        <f t="shared" si="963"/>
        <v>4140</v>
      </c>
      <c r="L1097" s="439">
        <f t="shared" si="964"/>
        <v>275</v>
      </c>
      <c r="M1097" s="340" t="str">
        <f t="shared" si="973"/>
        <v>-</v>
      </c>
      <c r="N1097" s="264">
        <f t="shared" si="974"/>
        <v>6.2287655719139301E-2</v>
      </c>
      <c r="O1097" s="512">
        <v>4.3535000000000004</v>
      </c>
      <c r="P1097" s="407">
        <f t="shared" si="965"/>
        <v>6094.9000000000005</v>
      </c>
      <c r="Q1097" s="452">
        <f t="shared" si="966"/>
        <v>18023.490000000002</v>
      </c>
    </row>
    <row r="1098" spans="1:17" ht="23.4" x14ac:dyDescent="0.4">
      <c r="A1098" s="248"/>
      <c r="B1098" s="1035" t="s">
        <v>273</v>
      </c>
      <c r="C1098" s="548" t="s">
        <v>80</v>
      </c>
      <c r="D1098" s="279"/>
      <c r="E1098" s="439"/>
      <c r="F1098" s="336">
        <f t="shared" si="967"/>
        <v>40896</v>
      </c>
      <c r="G1098" s="281">
        <v>40700</v>
      </c>
      <c r="H1098" s="281">
        <v>196</v>
      </c>
      <c r="I1098" s="355" t="str">
        <f>IFERROR(F1098/#REF!,"-")</f>
        <v>-</v>
      </c>
      <c r="J1098" s="336">
        <f t="shared" si="968"/>
        <v>366609</v>
      </c>
      <c r="K1098" s="281">
        <f t="shared" si="963"/>
        <v>363000</v>
      </c>
      <c r="L1098" s="439">
        <f t="shared" si="964"/>
        <v>3609</v>
      </c>
      <c r="M1098" s="340" t="str">
        <f t="shared" si="973"/>
        <v>-</v>
      </c>
      <c r="N1098" s="264">
        <f t="shared" si="974"/>
        <v>9.8442755087845626E-3</v>
      </c>
      <c r="O1098" s="512">
        <v>4.6184000000000003</v>
      </c>
      <c r="P1098" s="407">
        <f t="shared" si="965"/>
        <v>187968.88</v>
      </c>
      <c r="Q1098" s="452">
        <f t="shared" si="966"/>
        <v>1676479.2000000002</v>
      </c>
    </row>
    <row r="1099" spans="1:17" ht="23.4" x14ac:dyDescent="0.4">
      <c r="A1099" s="248"/>
      <c r="B1099" s="1036"/>
      <c r="C1099" s="548" t="s">
        <v>378</v>
      </c>
      <c r="D1099" s="279"/>
      <c r="E1099" s="439"/>
      <c r="F1099" s="336">
        <f t="shared" si="967"/>
        <v>0</v>
      </c>
      <c r="G1099" s="281"/>
      <c r="H1099" s="281"/>
      <c r="I1099" s="355" t="str">
        <f>IFERROR(F1099/#REF!,"-")</f>
        <v>-</v>
      </c>
      <c r="J1099" s="336">
        <f t="shared" si="968"/>
        <v>0</v>
      </c>
      <c r="K1099" s="281">
        <f t="shared" si="963"/>
        <v>0</v>
      </c>
      <c r="L1099" s="439">
        <f t="shared" si="964"/>
        <v>0</v>
      </c>
      <c r="M1099" s="340" t="str">
        <f t="shared" si="973"/>
        <v>-</v>
      </c>
      <c r="N1099" s="264" t="str">
        <f t="shared" si="974"/>
        <v>-</v>
      </c>
      <c r="O1099" s="512">
        <v>4.6184000000000003</v>
      </c>
      <c r="P1099" s="407">
        <f t="shared" si="965"/>
        <v>0</v>
      </c>
      <c r="Q1099" s="452">
        <f t="shared" si="966"/>
        <v>0</v>
      </c>
    </row>
    <row r="1100" spans="1:17" ht="23.4" x14ac:dyDescent="0.4">
      <c r="A1100" s="248"/>
      <c r="B1100" s="1036"/>
      <c r="C1100" s="548" t="s">
        <v>272</v>
      </c>
      <c r="D1100" s="279"/>
      <c r="E1100" s="439"/>
      <c r="F1100" s="336">
        <f t="shared" si="967"/>
        <v>0</v>
      </c>
      <c r="G1100" s="281"/>
      <c r="H1100" s="281"/>
      <c r="I1100" s="355" t="str">
        <f>IFERROR(F1100/#REF!,"-")</f>
        <v>-</v>
      </c>
      <c r="J1100" s="336">
        <f t="shared" si="968"/>
        <v>0</v>
      </c>
      <c r="K1100" s="281">
        <f t="shared" si="963"/>
        <v>0</v>
      </c>
      <c r="L1100" s="439">
        <f t="shared" si="964"/>
        <v>0</v>
      </c>
      <c r="M1100" s="340" t="str">
        <f t="shared" si="973"/>
        <v>-</v>
      </c>
      <c r="N1100" s="264" t="str">
        <f t="shared" si="974"/>
        <v>-</v>
      </c>
      <c r="O1100" s="512">
        <v>4.6184000000000003</v>
      </c>
      <c r="P1100" s="407">
        <f t="shared" si="965"/>
        <v>0</v>
      </c>
      <c r="Q1100" s="452">
        <f t="shared" si="966"/>
        <v>0</v>
      </c>
    </row>
    <row r="1101" spans="1:17" ht="23.4" x14ac:dyDescent="0.4">
      <c r="A1101" s="248"/>
      <c r="B1101" s="1036"/>
      <c r="C1101" s="548" t="s">
        <v>390</v>
      </c>
      <c r="D1101" s="279"/>
      <c r="E1101" s="439"/>
      <c r="F1101" s="336">
        <f t="shared" si="967"/>
        <v>0</v>
      </c>
      <c r="G1101" s="281"/>
      <c r="H1101" s="281"/>
      <c r="I1101" s="355" t="str">
        <f>IFERROR(F1101/#REF!,"-")</f>
        <v>-</v>
      </c>
      <c r="J1101" s="336">
        <f t="shared" si="968"/>
        <v>511962</v>
      </c>
      <c r="K1101" s="730">
        <f t="shared" si="963"/>
        <v>508200</v>
      </c>
      <c r="L1101" s="731">
        <f t="shared" si="964"/>
        <v>3762</v>
      </c>
      <c r="M1101" s="340" t="str">
        <f t="shared" si="973"/>
        <v>-</v>
      </c>
      <c r="N1101" s="264">
        <f t="shared" si="974"/>
        <v>7.3482016243393063E-3</v>
      </c>
      <c r="O1101" s="512">
        <v>4.7636000000000003</v>
      </c>
      <c r="P1101" s="407">
        <f t="shared" si="965"/>
        <v>0</v>
      </c>
      <c r="Q1101" s="452">
        <f t="shared" si="966"/>
        <v>2420861.52</v>
      </c>
    </row>
    <row r="1102" spans="1:17" ht="24" thickBot="1" x14ac:dyDescent="0.45">
      <c r="A1102" s="248"/>
      <c r="B1102" s="1037"/>
      <c r="C1102" s="548" t="s">
        <v>384</v>
      </c>
      <c r="D1102" s="279"/>
      <c r="E1102" s="439"/>
      <c r="F1102" s="336">
        <f t="shared" si="967"/>
        <v>0</v>
      </c>
      <c r="G1102" s="281"/>
      <c r="H1102" s="281"/>
      <c r="I1102" s="355" t="str">
        <f>IFERROR(F1102/#REF!,"-")</f>
        <v>-</v>
      </c>
      <c r="J1102" s="336">
        <f t="shared" si="968"/>
        <v>0</v>
      </c>
      <c r="K1102" s="281">
        <f t="shared" si="963"/>
        <v>0</v>
      </c>
      <c r="L1102" s="439">
        <f t="shared" si="964"/>
        <v>0</v>
      </c>
      <c r="M1102" s="340" t="str">
        <f t="shared" si="973"/>
        <v>-</v>
      </c>
      <c r="N1102" s="264" t="str">
        <f t="shared" si="974"/>
        <v>-</v>
      </c>
      <c r="O1102" s="512">
        <v>4.8738000000000001</v>
      </c>
      <c r="P1102" s="407">
        <f t="shared" si="965"/>
        <v>0</v>
      </c>
      <c r="Q1102" s="452">
        <f t="shared" si="966"/>
        <v>0</v>
      </c>
    </row>
    <row r="1103" spans="1:17" ht="24" thickBot="1" x14ac:dyDescent="0.45">
      <c r="A1103" s="248"/>
      <c r="B1103" s="815" t="s">
        <v>274</v>
      </c>
      <c r="C1103" s="548" t="s">
        <v>131</v>
      </c>
      <c r="D1103" s="279"/>
      <c r="E1103" s="439"/>
      <c r="F1103" s="336">
        <f t="shared" si="967"/>
        <v>0</v>
      </c>
      <c r="G1103" s="281"/>
      <c r="H1103" s="281"/>
      <c r="I1103" s="355" t="str">
        <f>IFERROR(F1103/#REF!,"-")</f>
        <v>-</v>
      </c>
      <c r="J1103" s="336">
        <f t="shared" si="968"/>
        <v>0</v>
      </c>
      <c r="K1103" s="281">
        <f t="shared" si="963"/>
        <v>0</v>
      </c>
      <c r="L1103" s="439">
        <f t="shared" si="964"/>
        <v>0</v>
      </c>
      <c r="M1103" s="340" t="str">
        <f t="shared" si="973"/>
        <v>-</v>
      </c>
      <c r="N1103" s="264" t="str">
        <f t="shared" si="974"/>
        <v>-</v>
      </c>
      <c r="O1103" s="512">
        <v>4.8738000000000001</v>
      </c>
      <c r="P1103" s="407">
        <f t="shared" si="965"/>
        <v>0</v>
      </c>
      <c r="Q1103" s="452">
        <f t="shared" si="966"/>
        <v>0</v>
      </c>
    </row>
    <row r="1104" spans="1:17" ht="23.4" x14ac:dyDescent="0.4">
      <c r="A1104" s="248"/>
      <c r="B1104" s="1035" t="s">
        <v>276</v>
      </c>
      <c r="C1104" s="548" t="s">
        <v>80</v>
      </c>
      <c r="D1104" s="279"/>
      <c r="E1104" s="439"/>
      <c r="F1104" s="336">
        <f t="shared" si="967"/>
        <v>12607</v>
      </c>
      <c r="G1104" s="281">
        <v>12562</v>
      </c>
      <c r="H1104" s="281">
        <v>45</v>
      </c>
      <c r="I1104" s="355" t="str">
        <f>IFERROR(F1104/#REF!,"-")</f>
        <v>-</v>
      </c>
      <c r="J1104" s="336">
        <f t="shared" si="968"/>
        <v>532502</v>
      </c>
      <c r="K1104" s="730">
        <f t="shared" si="963"/>
        <v>521855</v>
      </c>
      <c r="L1104" s="731">
        <f t="shared" si="964"/>
        <v>10647</v>
      </c>
      <c r="M1104" s="340" t="str">
        <f t="shared" si="973"/>
        <v>-</v>
      </c>
      <c r="N1104" s="264">
        <f t="shared" si="974"/>
        <v>1.9994291101254079E-2</v>
      </c>
      <c r="O1104" s="512">
        <v>4.9344999999999999</v>
      </c>
      <c r="P1104" s="407">
        <f t="shared" si="965"/>
        <v>61987.188999999998</v>
      </c>
      <c r="Q1104" s="452">
        <f t="shared" si="966"/>
        <v>2575093.4975000001</v>
      </c>
    </row>
    <row r="1105" spans="1:17" ht="23.4" x14ac:dyDescent="0.4">
      <c r="A1105" s="248"/>
      <c r="B1105" s="1036"/>
      <c r="C1105" s="548" t="s">
        <v>142</v>
      </c>
      <c r="D1105" s="279"/>
      <c r="E1105" s="439"/>
      <c r="F1105" s="336">
        <f t="shared" si="967"/>
        <v>0</v>
      </c>
      <c r="G1105" s="281"/>
      <c r="H1105" s="281"/>
      <c r="I1105" s="355" t="str">
        <f>IFERROR(F1105/#REF!,"-")</f>
        <v>-</v>
      </c>
      <c r="J1105" s="336">
        <f t="shared" si="968"/>
        <v>0</v>
      </c>
      <c r="K1105" s="281">
        <f t="shared" si="963"/>
        <v>0</v>
      </c>
      <c r="L1105" s="439">
        <f t="shared" si="964"/>
        <v>0</v>
      </c>
      <c r="M1105" s="340" t="str">
        <f t="shared" si="973"/>
        <v>-</v>
      </c>
      <c r="N1105" s="264" t="str">
        <f t="shared" si="974"/>
        <v>-</v>
      </c>
      <c r="O1105" s="512">
        <v>4.9344999999999999</v>
      </c>
      <c r="P1105" s="407">
        <f t="shared" si="965"/>
        <v>0</v>
      </c>
      <c r="Q1105" s="452">
        <f t="shared" si="966"/>
        <v>0</v>
      </c>
    </row>
    <row r="1106" spans="1:17" ht="23.4" x14ac:dyDescent="0.4">
      <c r="A1106" s="248"/>
      <c r="B1106" s="1036"/>
      <c r="C1106" s="548" t="s">
        <v>136</v>
      </c>
      <c r="D1106" s="279"/>
      <c r="E1106" s="439"/>
      <c r="F1106" s="336">
        <f t="shared" si="967"/>
        <v>0</v>
      </c>
      <c r="G1106" s="281"/>
      <c r="H1106" s="281"/>
      <c r="I1106" s="355" t="str">
        <f>IFERROR(F1106/#REF!,"-")</f>
        <v>-</v>
      </c>
      <c r="J1106" s="336">
        <f t="shared" si="968"/>
        <v>0</v>
      </c>
      <c r="K1106" s="281">
        <f t="shared" si="963"/>
        <v>0</v>
      </c>
      <c r="L1106" s="439">
        <f t="shared" si="964"/>
        <v>0</v>
      </c>
      <c r="M1106" s="340" t="str">
        <f t="shared" si="973"/>
        <v>-</v>
      </c>
      <c r="N1106" s="264" t="str">
        <f t="shared" si="974"/>
        <v>-</v>
      </c>
      <c r="O1106" s="512">
        <v>4.9344999999999999</v>
      </c>
      <c r="P1106" s="407">
        <f t="shared" si="965"/>
        <v>0</v>
      </c>
      <c r="Q1106" s="452">
        <f t="shared" si="966"/>
        <v>0</v>
      </c>
    </row>
    <row r="1107" spans="1:17" ht="24" thickBot="1" x14ac:dyDescent="0.45">
      <c r="A1107" s="248"/>
      <c r="B1107" s="1037"/>
      <c r="C1107" s="548" t="s">
        <v>275</v>
      </c>
      <c r="D1107" s="279"/>
      <c r="E1107" s="439"/>
      <c r="F1107" s="336">
        <f t="shared" si="967"/>
        <v>0</v>
      </c>
      <c r="G1107" s="281"/>
      <c r="H1107" s="281"/>
      <c r="I1107" s="355" t="str">
        <f>IFERROR(F1107/#REF!,"-")</f>
        <v>-</v>
      </c>
      <c r="J1107" s="336">
        <f t="shared" si="968"/>
        <v>0</v>
      </c>
      <c r="K1107" s="281">
        <f t="shared" si="963"/>
        <v>0</v>
      </c>
      <c r="L1107" s="439">
        <f t="shared" si="964"/>
        <v>0</v>
      </c>
      <c r="M1107" s="340" t="str">
        <f t="shared" si="973"/>
        <v>-</v>
      </c>
      <c r="N1107" s="264" t="str">
        <f t="shared" si="974"/>
        <v>-</v>
      </c>
      <c r="O1107" s="512">
        <v>5.5069999999999997</v>
      </c>
      <c r="P1107" s="407">
        <f t="shared" si="965"/>
        <v>0</v>
      </c>
      <c r="Q1107" s="452">
        <f t="shared" si="966"/>
        <v>0</v>
      </c>
    </row>
    <row r="1108" spans="1:17" ht="23.4" x14ac:dyDescent="0.4">
      <c r="A1108" s="248"/>
      <c r="B1108" s="1035" t="s">
        <v>281</v>
      </c>
      <c r="C1108" s="548" t="s">
        <v>277</v>
      </c>
      <c r="D1108" s="279"/>
      <c r="E1108" s="439"/>
      <c r="F1108" s="336">
        <f t="shared" si="967"/>
        <v>39688</v>
      </c>
      <c r="G1108" s="281">
        <v>39200</v>
      </c>
      <c r="H1108" s="281">
        <v>488</v>
      </c>
      <c r="I1108" s="355" t="str">
        <f>IFERROR(F1108/#REF!,"-")</f>
        <v>-</v>
      </c>
      <c r="J1108" s="336">
        <f t="shared" si="968"/>
        <v>513755</v>
      </c>
      <c r="K1108" s="281">
        <f t="shared" si="963"/>
        <v>502850</v>
      </c>
      <c r="L1108" s="439">
        <f t="shared" si="964"/>
        <v>10905</v>
      </c>
      <c r="M1108" s="340" t="str">
        <f t="shared" si="973"/>
        <v>-</v>
      </c>
      <c r="N1108" s="264">
        <f t="shared" si="974"/>
        <v>2.1226070792498369E-2</v>
      </c>
      <c r="O1108" s="772">
        <v>5.5069999999999997</v>
      </c>
      <c r="P1108" s="407">
        <f t="shared" si="965"/>
        <v>215874.4</v>
      </c>
      <c r="Q1108" s="452">
        <f t="shared" si="966"/>
        <v>2769194.9499999997</v>
      </c>
    </row>
    <row r="1109" spans="1:17" ht="23.4" x14ac:dyDescent="0.4">
      <c r="A1109" s="248"/>
      <c r="B1109" s="1036"/>
      <c r="C1109" s="548" t="s">
        <v>278</v>
      </c>
      <c r="D1109" s="279"/>
      <c r="E1109" s="439"/>
      <c r="F1109" s="336">
        <f t="shared" si="967"/>
        <v>0</v>
      </c>
      <c r="G1109" s="281"/>
      <c r="H1109" s="281"/>
      <c r="I1109" s="355" t="str">
        <f>IFERROR(F1109/#REF!,"-")</f>
        <v>-</v>
      </c>
      <c r="J1109" s="336">
        <f t="shared" si="968"/>
        <v>0</v>
      </c>
      <c r="K1109" s="281">
        <f t="shared" si="963"/>
        <v>0</v>
      </c>
      <c r="L1109" s="439">
        <f t="shared" si="964"/>
        <v>0</v>
      </c>
      <c r="M1109" s="340" t="str">
        <f t="shared" si="973"/>
        <v>-</v>
      </c>
      <c r="N1109" s="264" t="str">
        <f t="shared" si="974"/>
        <v>-</v>
      </c>
      <c r="O1109" s="512">
        <v>5.6550000000000002</v>
      </c>
      <c r="P1109" s="407">
        <f t="shared" si="965"/>
        <v>0</v>
      </c>
      <c r="Q1109" s="452">
        <f t="shared" si="966"/>
        <v>0</v>
      </c>
    </row>
    <row r="1110" spans="1:17" ht="23.4" x14ac:dyDescent="0.4">
      <c r="A1110" s="248"/>
      <c r="B1110" s="1036"/>
      <c r="C1110" s="548" t="s">
        <v>355</v>
      </c>
      <c r="D1110" s="279"/>
      <c r="E1110" s="439"/>
      <c r="F1110" s="336">
        <f t="shared" si="967"/>
        <v>0</v>
      </c>
      <c r="G1110" s="281"/>
      <c r="H1110" s="281"/>
      <c r="I1110" s="355" t="str">
        <f>IFERROR(F1110/#REF!,"-")</f>
        <v>-</v>
      </c>
      <c r="J1110" s="336">
        <f t="shared" si="968"/>
        <v>321630</v>
      </c>
      <c r="K1110" s="730">
        <f t="shared" si="963"/>
        <v>310550</v>
      </c>
      <c r="L1110" s="731">
        <f t="shared" si="964"/>
        <v>11080</v>
      </c>
      <c r="M1110" s="340" t="str">
        <f t="shared" si="973"/>
        <v>-</v>
      </c>
      <c r="N1110" s="264">
        <f t="shared" si="974"/>
        <v>3.4449522743525168E-2</v>
      </c>
      <c r="O1110" s="512">
        <v>5.6550000000000002</v>
      </c>
      <c r="P1110" s="407">
        <f t="shared" si="965"/>
        <v>0</v>
      </c>
      <c r="Q1110" s="452">
        <f t="shared" si="966"/>
        <v>1756160.25</v>
      </c>
    </row>
    <row r="1111" spans="1:17" ht="23.4" x14ac:dyDescent="0.4">
      <c r="A1111" s="248"/>
      <c r="B1111" s="1036"/>
      <c r="C1111" s="548" t="s">
        <v>279</v>
      </c>
      <c r="D1111" s="279"/>
      <c r="E1111" s="439"/>
      <c r="F1111" s="336">
        <f t="shared" si="967"/>
        <v>0</v>
      </c>
      <c r="G1111" s="281"/>
      <c r="H1111" s="281"/>
      <c r="I1111" s="355" t="str">
        <f>IFERROR(F1111/#REF!,"-")</f>
        <v>-</v>
      </c>
      <c r="J1111" s="336">
        <f t="shared" si="968"/>
        <v>0</v>
      </c>
      <c r="K1111" s="281">
        <f t="shared" si="963"/>
        <v>0</v>
      </c>
      <c r="L1111" s="439">
        <f t="shared" si="964"/>
        <v>0</v>
      </c>
      <c r="M1111" s="340" t="str">
        <f t="shared" si="973"/>
        <v>-</v>
      </c>
      <c r="N1111" s="264" t="str">
        <f t="shared" si="974"/>
        <v>-</v>
      </c>
      <c r="O1111" s="512">
        <v>5.6550000000000002</v>
      </c>
      <c r="P1111" s="407">
        <f t="shared" si="965"/>
        <v>0</v>
      </c>
      <c r="Q1111" s="452">
        <f t="shared" si="966"/>
        <v>0</v>
      </c>
    </row>
    <row r="1112" spans="1:17" ht="23.4" x14ac:dyDescent="0.4">
      <c r="A1112" s="248" t="s">
        <v>108</v>
      </c>
      <c r="B1112" s="1036"/>
      <c r="C1112" s="548" t="s">
        <v>280</v>
      </c>
      <c r="D1112" s="279"/>
      <c r="E1112" s="439"/>
      <c r="F1112" s="336">
        <f t="shared" si="967"/>
        <v>0</v>
      </c>
      <c r="G1112" s="281"/>
      <c r="H1112" s="281"/>
      <c r="I1112" s="355" t="str">
        <f>IFERROR(F1112/#REF!,"-")</f>
        <v>-</v>
      </c>
      <c r="J1112" s="336">
        <f t="shared" si="968"/>
        <v>0</v>
      </c>
      <c r="K1112" s="281">
        <f t="shared" si="963"/>
        <v>0</v>
      </c>
      <c r="L1112" s="439">
        <f t="shared" si="964"/>
        <v>0</v>
      </c>
      <c r="M1112" s="340" t="str">
        <f t="shared" si="973"/>
        <v>-</v>
      </c>
      <c r="N1112" s="264" t="str">
        <f t="shared" si="974"/>
        <v>-</v>
      </c>
      <c r="O1112" s="512">
        <v>3.2963</v>
      </c>
      <c r="P1112" s="407">
        <f t="shared" si="965"/>
        <v>0</v>
      </c>
      <c r="Q1112" s="452">
        <f t="shared" si="966"/>
        <v>0</v>
      </c>
    </row>
    <row r="1113" spans="1:17" ht="24" thickBot="1" x14ac:dyDescent="0.45">
      <c r="A1113" s="248" t="s">
        <v>108</v>
      </c>
      <c r="B1113" s="1037"/>
      <c r="C1113" s="548" t="s">
        <v>275</v>
      </c>
      <c r="D1113" s="279"/>
      <c r="E1113" s="439"/>
      <c r="F1113" s="336">
        <f t="shared" si="967"/>
        <v>0</v>
      </c>
      <c r="G1113" s="281"/>
      <c r="H1113" s="281"/>
      <c r="I1113" s="355" t="str">
        <f>IFERROR(F1113/#REF!,"-")</f>
        <v>-</v>
      </c>
      <c r="J1113" s="336">
        <f t="shared" si="968"/>
        <v>0</v>
      </c>
      <c r="K1113" s="281">
        <f t="shared" si="963"/>
        <v>0</v>
      </c>
      <c r="L1113" s="439">
        <f t="shared" si="964"/>
        <v>0</v>
      </c>
      <c r="M1113" s="340" t="str">
        <f t="shared" si="973"/>
        <v>-</v>
      </c>
      <c r="N1113" s="264" t="str">
        <f t="shared" si="974"/>
        <v>-</v>
      </c>
      <c r="O1113" s="512">
        <v>3.2963</v>
      </c>
      <c r="P1113" s="407">
        <f t="shared" si="965"/>
        <v>0</v>
      </c>
      <c r="Q1113" s="452">
        <f t="shared" si="966"/>
        <v>0</v>
      </c>
    </row>
    <row r="1114" spans="1:17" ht="23.4" x14ac:dyDescent="0.4">
      <c r="A1114" s="248" t="s">
        <v>108</v>
      </c>
      <c r="B1114" s="552"/>
      <c r="C1114" s="549" t="s">
        <v>92</v>
      </c>
      <c r="D1114" s="516"/>
      <c r="E1114" s="439"/>
      <c r="F1114" s="336">
        <f t="shared" si="967"/>
        <v>0</v>
      </c>
      <c r="G1114" s="281"/>
      <c r="H1114" s="281"/>
      <c r="I1114" s="355" t="str">
        <f>IFERROR(F1114/#REF!,"-")</f>
        <v>-</v>
      </c>
      <c r="J1114" s="336">
        <f t="shared" si="968"/>
        <v>225097</v>
      </c>
      <c r="K1114" s="281">
        <f t="shared" si="963"/>
        <v>223655</v>
      </c>
      <c r="L1114" s="439">
        <f t="shared" si="964"/>
        <v>1442</v>
      </c>
      <c r="M1114" s="340" t="str">
        <f t="shared" si="973"/>
        <v>-</v>
      </c>
      <c r="N1114" s="264">
        <f t="shared" si="974"/>
        <v>6.4061271363012387E-3</v>
      </c>
      <c r="O1114" s="512">
        <v>2.3201000000000001</v>
      </c>
      <c r="P1114" s="407">
        <f t="shared" si="965"/>
        <v>0</v>
      </c>
      <c r="Q1114" s="452">
        <f t="shared" si="966"/>
        <v>518901.96549999999</v>
      </c>
    </row>
    <row r="1115" spans="1:17" ht="24" thickBot="1" x14ac:dyDescent="0.35">
      <c r="A1115" s="248" t="s">
        <v>108</v>
      </c>
      <c r="B1115" s="529"/>
      <c r="C1115" s="546"/>
      <c r="D1115" s="535"/>
      <c r="E1115" s="466"/>
      <c r="F1115" s="464">
        <f t="shared" si="967"/>
        <v>0</v>
      </c>
      <c r="G1115" s="465"/>
      <c r="H1115" s="465"/>
      <c r="I1115" s="537" t="str">
        <f>IFERROR(F1115/#REF!,"-")</f>
        <v>-</v>
      </c>
      <c r="J1115" s="464">
        <f t="shared" si="968"/>
        <v>0</v>
      </c>
      <c r="K1115" s="465">
        <f t="shared" si="963"/>
        <v>0</v>
      </c>
      <c r="L1115" s="466">
        <f t="shared" si="964"/>
        <v>0</v>
      </c>
      <c r="M1115" s="726" t="str">
        <f t="shared" si="973"/>
        <v>-</v>
      </c>
      <c r="N1115" s="266" t="str">
        <f t="shared" si="974"/>
        <v>-</v>
      </c>
      <c r="O1115" s="544"/>
      <c r="P1115" s="541">
        <f t="shared" si="965"/>
        <v>0</v>
      </c>
      <c r="Q1115" s="542">
        <f t="shared" si="966"/>
        <v>0</v>
      </c>
    </row>
    <row r="1116" spans="1:17" ht="23.25" customHeight="1" thickBot="1" x14ac:dyDescent="0.35">
      <c r="A1116" s="277" t="s">
        <v>108</v>
      </c>
      <c r="B1116" s="1038" t="s">
        <v>25</v>
      </c>
      <c r="C1116" s="989"/>
      <c r="D1116" s="518">
        <f>SUM(D1089:D1115)</f>
        <v>0</v>
      </c>
      <c r="E1116" s="531">
        <v>100000</v>
      </c>
      <c r="F1116" s="524">
        <f>SUM(F1084:F1115)</f>
        <v>111106</v>
      </c>
      <c r="G1116" s="524">
        <f>SUM(G1084:G1115)</f>
        <v>109193</v>
      </c>
      <c r="H1116" s="524">
        <f>SUM(H1084:H1115)</f>
        <v>1913</v>
      </c>
      <c r="I1116" s="525" t="str">
        <f>IFERROR(F1116/#REF!,"-")</f>
        <v>-</v>
      </c>
      <c r="J1116" s="518">
        <f>SUM(J1084:J1115)</f>
        <v>2686450</v>
      </c>
      <c r="K1116" s="518">
        <f t="shared" ref="K1116:L1116" si="975">SUM(K1084:K1115)</f>
        <v>2638368</v>
      </c>
      <c r="L1116" s="518">
        <f t="shared" si="975"/>
        <v>48082</v>
      </c>
      <c r="M1116" s="526" t="str">
        <f t="shared" si="973"/>
        <v>-</v>
      </c>
      <c r="N1116" s="525">
        <f t="shared" si="974"/>
        <v>1.7897969439222765E-2</v>
      </c>
      <c r="O1116" s="527"/>
      <c r="P1116" s="528">
        <f>SUM(P1084:P1115)</f>
        <v>1102374.1843000001</v>
      </c>
      <c r="Q1116" s="528">
        <f>SUM(Q1084:Q1115)</f>
        <v>20303428.189900003</v>
      </c>
    </row>
    <row r="1117" spans="1:17" ht="23.25" customHeight="1" thickBot="1" x14ac:dyDescent="0.35">
      <c r="A1117" s="321" t="s">
        <v>108</v>
      </c>
      <c r="B1117" s="1039" t="s">
        <v>269</v>
      </c>
      <c r="C1117" s="1040"/>
      <c r="D1117" s="329">
        <f>+D1088+D1116</f>
        <v>0</v>
      </c>
      <c r="E1117" s="330">
        <f>+E1088+E1116</f>
        <v>100000</v>
      </c>
      <c r="F1117" s="329">
        <f>+F1116</f>
        <v>111106</v>
      </c>
      <c r="G1117" s="329">
        <f t="shared" ref="G1117:H1117" si="976">+G1116</f>
        <v>109193</v>
      </c>
      <c r="H1117" s="329">
        <f t="shared" si="976"/>
        <v>1913</v>
      </c>
      <c r="I1117" s="352" t="str">
        <f>IFERROR(F1117/#REF!,"-")</f>
        <v>-</v>
      </c>
      <c r="J1117" s="329">
        <f>+J1116</f>
        <v>2686450</v>
      </c>
      <c r="K1117" s="329">
        <f t="shared" ref="K1117:L1117" si="977">+K1116</f>
        <v>2638368</v>
      </c>
      <c r="L1117" s="329">
        <f t="shared" si="977"/>
        <v>48082</v>
      </c>
      <c r="M1117" s="344" t="str">
        <f t="shared" si="973"/>
        <v>-</v>
      </c>
      <c r="N1117" s="352">
        <f t="shared" si="974"/>
        <v>1.7897969439222765E-2</v>
      </c>
      <c r="O1117" s="397"/>
      <c r="P1117" s="413">
        <f>+P1116</f>
        <v>1102374.1843000001</v>
      </c>
      <c r="Q1117" s="431">
        <f>Q1116</f>
        <v>20303428.189900003</v>
      </c>
    </row>
    <row r="1118" spans="1:17" ht="24.6" thickBot="1" x14ac:dyDescent="0.35">
      <c r="A1118" s="322"/>
      <c r="B1118" s="1041" t="s">
        <v>182</v>
      </c>
      <c r="C1118" s="1042"/>
      <c r="D1118" s="377">
        <f>+D1117+D1083+D1074</f>
        <v>0</v>
      </c>
      <c r="E1118" s="377">
        <f>+E1117+E1083+E1074</f>
        <v>230000</v>
      </c>
      <c r="F1118" s="377">
        <f>+F1117+F1083+F1074</f>
        <v>394144</v>
      </c>
      <c r="G1118" s="377">
        <f>+G1117+G1083+G1074</f>
        <v>388143</v>
      </c>
      <c r="H1118" s="377">
        <f>+H1117+H1083+H1074</f>
        <v>6001</v>
      </c>
      <c r="I1118" s="378" t="str">
        <f>IFERROR(F1118/#REF!,"-")</f>
        <v>-</v>
      </c>
      <c r="J1118" s="377">
        <f>+J1117+J1083+J1074</f>
        <v>6732813</v>
      </c>
      <c r="K1118" s="377">
        <f>+K1117+K1083+K1074</f>
        <v>6600628</v>
      </c>
      <c r="L1118" s="377">
        <f>+L1117+L1083+L1074</f>
        <v>132185</v>
      </c>
      <c r="M1118" s="378" t="str">
        <f t="shared" si="973"/>
        <v>-</v>
      </c>
      <c r="N1118" s="378">
        <f>IFERROR(L1118/J1118,"-")</f>
        <v>1.9632952823730586E-2</v>
      </c>
      <c r="O1118" s="404"/>
      <c r="P1118" s="421">
        <f>+P1117+P1083+P1074</f>
        <v>2236980.0992999999</v>
      </c>
      <c r="Q1118" s="421">
        <f>+Q1117+Q1083+Q1074</f>
        <v>38007475.176900007</v>
      </c>
    </row>
    <row r="1119" spans="1:17" ht="22.5" customHeight="1" x14ac:dyDescent="0.3">
      <c r="A1119" s="1043" t="s">
        <v>1</v>
      </c>
      <c r="B1119" s="1046" t="s">
        <v>2</v>
      </c>
      <c r="C1119" s="1049" t="s">
        <v>477</v>
      </c>
      <c r="D1119" s="1000" t="s">
        <v>4</v>
      </c>
      <c r="E1119" s="1001"/>
      <c r="F1119" s="1001"/>
      <c r="G1119" s="1001"/>
      <c r="H1119" s="1001"/>
      <c r="I1119" s="1001"/>
      <c r="J1119" s="1001"/>
      <c r="K1119" s="1001"/>
      <c r="L1119" s="1001"/>
      <c r="M1119" s="1001"/>
      <c r="N1119" s="1002"/>
      <c r="O1119" s="1021" t="s">
        <v>175</v>
      </c>
      <c r="P1119" s="1022"/>
      <c r="Q1119" s="1052"/>
    </row>
    <row r="1120" spans="1:17" ht="22.5" customHeight="1" x14ac:dyDescent="0.3">
      <c r="A1120" s="1044"/>
      <c r="B1120" s="1047"/>
      <c r="C1120" s="1050"/>
      <c r="D1120" s="1003" t="s">
        <v>7</v>
      </c>
      <c r="E1120" s="1005" t="s">
        <v>115</v>
      </c>
      <c r="F1120" s="1053" t="s">
        <v>578</v>
      </c>
      <c r="G1120" s="1008"/>
      <c r="H1120" s="1008"/>
      <c r="I1120" s="1009"/>
      <c r="J1120" s="1010" t="s">
        <v>8</v>
      </c>
      <c r="K1120" s="1011"/>
      <c r="L1120" s="1012"/>
      <c r="M1120" s="1013" t="s">
        <v>173</v>
      </c>
      <c r="N1120" s="1015" t="s">
        <v>172</v>
      </c>
      <c r="O1120" s="1054" t="s">
        <v>177</v>
      </c>
      <c r="P1120" s="1055"/>
      <c r="Q1120" s="1056"/>
    </row>
    <row r="1121" spans="1:17" ht="47.4" thickBot="1" x14ac:dyDescent="0.35">
      <c r="A1121" s="1045"/>
      <c r="B1121" s="1048"/>
      <c r="C1121" s="1051"/>
      <c r="D1121" s="1004"/>
      <c r="E1121" s="1006"/>
      <c r="F1121" s="455" t="s">
        <v>13</v>
      </c>
      <c r="G1121" s="456" t="s">
        <v>14</v>
      </c>
      <c r="H1121" s="456" t="s">
        <v>15</v>
      </c>
      <c r="I1121" s="457" t="s">
        <v>174</v>
      </c>
      <c r="J1121" s="712" t="s">
        <v>13</v>
      </c>
      <c r="K1121" s="710" t="s">
        <v>14</v>
      </c>
      <c r="L1121" s="711" t="s">
        <v>15</v>
      </c>
      <c r="M1121" s="1014"/>
      <c r="N1121" s="1016"/>
      <c r="O1121" s="447" t="s">
        <v>178</v>
      </c>
      <c r="P1121" s="448" t="s">
        <v>11</v>
      </c>
      <c r="Q1121" s="449" t="s">
        <v>12</v>
      </c>
    </row>
    <row r="1122" spans="1:17" ht="23.4" x14ac:dyDescent="0.3">
      <c r="A1122" s="271" t="s">
        <v>110</v>
      </c>
      <c r="B1122" s="442"/>
      <c r="C1122" s="272" t="s">
        <v>266</v>
      </c>
      <c r="D1122" s="273"/>
      <c r="E1122" s="274"/>
      <c r="F1122" s="335">
        <f>+G1122+H1122</f>
        <v>0</v>
      </c>
      <c r="G1122" s="275"/>
      <c r="H1122" s="275"/>
      <c r="I1122" s="354" t="str">
        <f>IFERROR(F1122/#REF!,"-")</f>
        <v>-</v>
      </c>
      <c r="J1122" s="461">
        <f>+K1122+L1122</f>
        <v>337292</v>
      </c>
      <c r="K1122" s="462">
        <f>+K1060+G1122</f>
        <v>321720</v>
      </c>
      <c r="L1122" s="463">
        <f>+L1060+H1122</f>
        <v>15572</v>
      </c>
      <c r="M1122" s="339" t="str">
        <f>IFERROR(J1122/D1122,"-")</f>
        <v>-</v>
      </c>
      <c r="N1122" s="346">
        <f t="shared" ref="N1122:N1123" si="978">IFERROR(L1122/J1122,"-")</f>
        <v>4.6167712249326989E-2</v>
      </c>
      <c r="O1122" s="511">
        <v>1.5669</v>
      </c>
      <c r="P1122" s="405">
        <f>+O1122*G1122</f>
        <v>0</v>
      </c>
      <c r="Q1122" s="450">
        <f>+O1122*K1122</f>
        <v>504103.06799999997</v>
      </c>
    </row>
    <row r="1123" spans="1:17" ht="23.4" x14ac:dyDescent="0.3">
      <c r="A1123" s="277" t="s">
        <v>110</v>
      </c>
      <c r="B1123" s="441"/>
      <c r="C1123" s="278" t="s">
        <v>265</v>
      </c>
      <c r="D1123" s="279"/>
      <c r="E1123" s="280"/>
      <c r="F1123" s="336">
        <f t="shared" ref="F1123:F1126" si="979">+G1123+H1123</f>
        <v>0</v>
      </c>
      <c r="G1123" s="833"/>
      <c r="H1123" s="833"/>
      <c r="I1123" s="355" t="str">
        <f>IFERROR(F1123/#REF!,"-")</f>
        <v>-</v>
      </c>
      <c r="J1123" s="336">
        <f t="shared" ref="J1123:J1126" si="980">+K1123+L1123</f>
        <v>960348</v>
      </c>
      <c r="K1123" s="281">
        <f t="shared" ref="K1123:K1126" si="981">+K1061+G1123</f>
        <v>947250</v>
      </c>
      <c r="L1123" s="439">
        <f t="shared" ref="L1123:L1126" si="982">+L1061+H1123</f>
        <v>13098</v>
      </c>
      <c r="M1123" s="340" t="str">
        <f t="shared" ref="M1123:M1126" si="983">IFERROR(J1123/D1123,"-")</f>
        <v>-</v>
      </c>
      <c r="N1123" s="268">
        <f t="shared" si="978"/>
        <v>1.3638805932849342E-2</v>
      </c>
      <c r="O1123" s="512">
        <v>2.3978999999999999</v>
      </c>
      <c r="P1123" s="407">
        <f>+O1123*G1123</f>
        <v>0</v>
      </c>
      <c r="Q1123" s="452">
        <f>+O1123*K1123</f>
        <v>2271410.7749999999</v>
      </c>
    </row>
    <row r="1124" spans="1:17" ht="23.4" x14ac:dyDescent="0.3">
      <c r="A1124" s="277" t="s">
        <v>110</v>
      </c>
      <c r="B1124" s="441"/>
      <c r="C1124" s="278" t="s">
        <v>476</v>
      </c>
      <c r="D1124" s="279"/>
      <c r="E1124" s="280"/>
      <c r="F1124" s="336">
        <f t="shared" si="979"/>
        <v>167175</v>
      </c>
      <c r="G1124" s="281">
        <v>164250</v>
      </c>
      <c r="H1124" s="833">
        <v>2925</v>
      </c>
      <c r="I1124" s="355" t="str">
        <f>IFERROR(F1124/#REF!,"-")</f>
        <v>-</v>
      </c>
      <c r="J1124" s="336">
        <f t="shared" si="980"/>
        <v>1012933</v>
      </c>
      <c r="K1124" s="281">
        <f t="shared" si="981"/>
        <v>984500</v>
      </c>
      <c r="L1124" s="439">
        <f t="shared" si="982"/>
        <v>28433</v>
      </c>
      <c r="M1124" s="340" t="str">
        <f t="shared" si="983"/>
        <v>-</v>
      </c>
      <c r="N1124" s="806">
        <f>IFERROR(L1124/J1124,"-")</f>
        <v>2.8069971064226359E-2</v>
      </c>
      <c r="O1124" s="824">
        <v>3.6777000000000002</v>
      </c>
      <c r="P1124" s="407">
        <f t="shared" ref="P1124:P1126" si="984">+O1124*G1124</f>
        <v>604062.22499999998</v>
      </c>
      <c r="Q1124" s="452">
        <f t="shared" ref="Q1124:Q1126" si="985">+O1124*K1124</f>
        <v>3620695.6500000004</v>
      </c>
    </row>
    <row r="1125" spans="1:17" ht="23.4" x14ac:dyDescent="0.3">
      <c r="A1125" s="277"/>
      <c r="B1125" s="454"/>
      <c r="C1125" s="278" t="s">
        <v>353</v>
      </c>
      <c r="D1125" s="283"/>
      <c r="E1125" s="284"/>
      <c r="F1125" s="336">
        <f t="shared" si="979"/>
        <v>30334</v>
      </c>
      <c r="G1125" s="285">
        <v>30200</v>
      </c>
      <c r="H1125" s="285">
        <v>134</v>
      </c>
      <c r="I1125" s="355" t="str">
        <f>IFERROR(F1125/#REF!,"-")</f>
        <v>-</v>
      </c>
      <c r="J1125" s="336">
        <f t="shared" si="980"/>
        <v>341563</v>
      </c>
      <c r="K1125" s="281">
        <f t="shared" si="981"/>
        <v>335200</v>
      </c>
      <c r="L1125" s="439">
        <f t="shared" si="982"/>
        <v>6363</v>
      </c>
      <c r="M1125" s="340" t="str">
        <f t="shared" si="983"/>
        <v>-</v>
      </c>
      <c r="N1125" s="268">
        <f>IFERROR(L1125/J1125,"-")</f>
        <v>1.8629066965684223E-2</v>
      </c>
      <c r="O1125" s="513">
        <v>12.284700000000001</v>
      </c>
      <c r="P1125" s="407">
        <f t="shared" si="984"/>
        <v>370997.94</v>
      </c>
      <c r="Q1125" s="452">
        <f t="shared" si="985"/>
        <v>4117831.4400000004</v>
      </c>
    </row>
    <row r="1126" spans="1:17" ht="24" thickBot="1" x14ac:dyDescent="0.35">
      <c r="A1126" s="277" t="s">
        <v>110</v>
      </c>
      <c r="B1126" s="454"/>
      <c r="C1126" s="278" t="s">
        <v>408</v>
      </c>
      <c r="D1126" s="283"/>
      <c r="E1126" s="284"/>
      <c r="F1126" s="337">
        <f t="shared" si="979"/>
        <v>0</v>
      </c>
      <c r="G1126" s="285"/>
      <c r="H1126" s="285"/>
      <c r="I1126" s="356" t="str">
        <f>IFERROR(F1126/#REF!,"-")</f>
        <v>-</v>
      </c>
      <c r="J1126" s="464">
        <f t="shared" si="980"/>
        <v>484372</v>
      </c>
      <c r="K1126" s="465">
        <f t="shared" si="981"/>
        <v>470250</v>
      </c>
      <c r="L1126" s="466">
        <f t="shared" si="982"/>
        <v>14122</v>
      </c>
      <c r="M1126" s="341" t="str">
        <f t="shared" si="983"/>
        <v>-</v>
      </c>
      <c r="N1126" s="347">
        <f t="shared" ref="N1126:N1138" si="986">IFERROR(L1126/J1126,"-")</f>
        <v>2.9155277348814547E-2</v>
      </c>
      <c r="O1126" s="824">
        <v>7.0612000000000004</v>
      </c>
      <c r="P1126" s="408">
        <f t="shared" si="984"/>
        <v>0</v>
      </c>
      <c r="Q1126" s="453">
        <f t="shared" si="985"/>
        <v>3320529.3000000003</v>
      </c>
    </row>
    <row r="1127" spans="1:17" ht="23.25" customHeight="1" thickBot="1" x14ac:dyDescent="0.35">
      <c r="A1127" s="277" t="s">
        <v>110</v>
      </c>
      <c r="B1127" s="1038" t="s">
        <v>21</v>
      </c>
      <c r="C1127" s="989"/>
      <c r="D1127" s="323">
        <f>SUM(D1122:D1126)</f>
        <v>0</v>
      </c>
      <c r="E1127" s="288">
        <v>15000</v>
      </c>
      <c r="F1127" s="323">
        <f>SUM(F1122:F1126)</f>
        <v>197509</v>
      </c>
      <c r="G1127" s="324">
        <f>SUM(G1122:G1126)</f>
        <v>194450</v>
      </c>
      <c r="H1127" s="324">
        <f>SUM(H1122:H1126)</f>
        <v>3059</v>
      </c>
      <c r="I1127" s="348" t="str">
        <f>IFERROR(F1127/#REF!,"-")</f>
        <v>-</v>
      </c>
      <c r="J1127" s="323">
        <f>SUM(J1122:J1126)</f>
        <v>3136508</v>
      </c>
      <c r="K1127" s="324">
        <f>SUM(K1122:K1126)</f>
        <v>3058920</v>
      </c>
      <c r="L1127" s="325">
        <f>SUM(L1122:L1126)</f>
        <v>77588</v>
      </c>
      <c r="M1127" s="342" t="str">
        <f>IFERROR(J1127/D1127,"-")</f>
        <v>-</v>
      </c>
      <c r="N1127" s="348">
        <f t="shared" si="986"/>
        <v>2.4737064276577646E-2</v>
      </c>
      <c r="O1127" s="394"/>
      <c r="P1127" s="409">
        <f>SUM(P1122:P1126)</f>
        <v>975060.16500000004</v>
      </c>
      <c r="Q1127" s="428">
        <f>SUM(Q1122:Q1126)</f>
        <v>13834570.233000003</v>
      </c>
    </row>
    <row r="1128" spans="1:17" ht="23.4" x14ac:dyDescent="0.3">
      <c r="A1128" s="277" t="s">
        <v>110</v>
      </c>
      <c r="B1128" s="442"/>
      <c r="C1128" s="272" t="s">
        <v>264</v>
      </c>
      <c r="D1128" s="273"/>
      <c r="E1128" s="274"/>
      <c r="F1128" s="335">
        <f t="shared" ref="F1128:F1134" si="987">+G1128+H1128</f>
        <v>0</v>
      </c>
      <c r="G1128" s="275"/>
      <c r="H1128" s="275"/>
      <c r="I1128" s="354" t="str">
        <f>IFERROR(F1128/#REF!,"-")</f>
        <v>-</v>
      </c>
      <c r="J1128" s="461">
        <f t="shared" ref="J1128:J1134" si="988">+K1128+L1128</f>
        <v>34540</v>
      </c>
      <c r="K1128" s="462">
        <f t="shared" ref="K1128:K1134" si="989">+K1066+G1128</f>
        <v>33840</v>
      </c>
      <c r="L1128" s="463">
        <f t="shared" ref="L1128:L1134" si="990">+L1066+H1128</f>
        <v>700</v>
      </c>
      <c r="M1128" s="339" t="str">
        <f t="shared" ref="M1128:M1136" si="991">IFERROR(J1128/D1128,"-")</f>
        <v>-</v>
      </c>
      <c r="N1128" s="349">
        <f t="shared" si="986"/>
        <v>2.0266357845975681E-2</v>
      </c>
      <c r="O1128" s="511">
        <v>18.2316</v>
      </c>
      <c r="P1128" s="405">
        <f t="shared" ref="P1128:P1134" si="992">+O1128*G1128</f>
        <v>0</v>
      </c>
      <c r="Q1128" s="450">
        <f t="shared" ref="Q1128:Q1134" si="993">+O1128*K1128</f>
        <v>616957.34400000004</v>
      </c>
    </row>
    <row r="1129" spans="1:17" ht="23.4" x14ac:dyDescent="0.3">
      <c r="A1129" s="277" t="s">
        <v>110</v>
      </c>
      <c r="B1129" s="441"/>
      <c r="C1129" s="278" t="s">
        <v>92</v>
      </c>
      <c r="D1129" s="279"/>
      <c r="E1129" s="280"/>
      <c r="F1129" s="336">
        <f t="shared" si="987"/>
        <v>0</v>
      </c>
      <c r="G1129" s="281"/>
      <c r="H1129" s="281"/>
      <c r="I1129" s="355" t="str">
        <f>IFERROR(F1129/#REF!,"-")</f>
        <v>-</v>
      </c>
      <c r="J1129" s="336">
        <f t="shared" si="988"/>
        <v>350000</v>
      </c>
      <c r="K1129" s="281">
        <f t="shared" si="989"/>
        <v>350000</v>
      </c>
      <c r="L1129" s="439">
        <f t="shared" si="990"/>
        <v>0</v>
      </c>
      <c r="M1129" s="340" t="str">
        <f t="shared" si="991"/>
        <v>-</v>
      </c>
      <c r="N1129" s="264">
        <f t="shared" si="986"/>
        <v>0</v>
      </c>
      <c r="O1129" s="512">
        <v>1.2824</v>
      </c>
      <c r="P1129" s="407">
        <f t="shared" si="992"/>
        <v>0</v>
      </c>
      <c r="Q1129" s="452">
        <f t="shared" si="993"/>
        <v>448840</v>
      </c>
    </row>
    <row r="1130" spans="1:17" ht="23.4" x14ac:dyDescent="0.3">
      <c r="A1130" s="277" t="s">
        <v>110</v>
      </c>
      <c r="B1130" s="441"/>
      <c r="C1130" s="278" t="s">
        <v>329</v>
      </c>
      <c r="D1130" s="279"/>
      <c r="E1130" s="280"/>
      <c r="F1130" s="336">
        <f t="shared" si="987"/>
        <v>0</v>
      </c>
      <c r="G1130" s="281"/>
      <c r="H1130" s="281"/>
      <c r="I1130" s="355" t="str">
        <f>IFERROR(F1130/#REF!,"-")</f>
        <v>-</v>
      </c>
      <c r="J1130" s="336">
        <f t="shared" si="988"/>
        <v>108434</v>
      </c>
      <c r="K1130" s="281">
        <f t="shared" si="989"/>
        <v>108000</v>
      </c>
      <c r="L1130" s="439">
        <f t="shared" si="990"/>
        <v>434</v>
      </c>
      <c r="M1130" s="340" t="str">
        <f t="shared" si="991"/>
        <v>-</v>
      </c>
      <c r="N1130" s="264">
        <f t="shared" si="986"/>
        <v>4.0024346607152742E-3</v>
      </c>
      <c r="O1130" s="772">
        <v>5.7342000000000004</v>
      </c>
      <c r="P1130" s="407">
        <f t="shared" si="992"/>
        <v>0</v>
      </c>
      <c r="Q1130" s="452">
        <f t="shared" si="993"/>
        <v>619293.60000000009</v>
      </c>
    </row>
    <row r="1131" spans="1:17" ht="23.4" x14ac:dyDescent="0.3">
      <c r="A1131" s="277" t="s">
        <v>110</v>
      </c>
      <c r="B1131" s="441"/>
      <c r="C1131" s="278" t="s">
        <v>346</v>
      </c>
      <c r="D1131" s="279"/>
      <c r="E1131" s="280"/>
      <c r="F1131" s="336">
        <f t="shared" si="987"/>
        <v>0</v>
      </c>
      <c r="G1131" s="281"/>
      <c r="H1131" s="281"/>
      <c r="I1131" s="355" t="str">
        <f>IFERROR(F1131/#REF!,"-")</f>
        <v>-</v>
      </c>
      <c r="J1131" s="336">
        <f t="shared" si="988"/>
        <v>0</v>
      </c>
      <c r="K1131" s="281">
        <f t="shared" si="989"/>
        <v>0</v>
      </c>
      <c r="L1131" s="439">
        <f t="shared" si="990"/>
        <v>0</v>
      </c>
      <c r="M1131" s="340" t="str">
        <f t="shared" si="991"/>
        <v>-</v>
      </c>
      <c r="N1131" s="264" t="str">
        <f t="shared" si="986"/>
        <v>-</v>
      </c>
      <c r="O1131" s="512"/>
      <c r="P1131" s="407">
        <f t="shared" si="992"/>
        <v>0</v>
      </c>
      <c r="Q1131" s="452">
        <f t="shared" si="993"/>
        <v>0</v>
      </c>
    </row>
    <row r="1132" spans="1:17" ht="23.4" x14ac:dyDescent="0.3">
      <c r="A1132" s="277" t="s">
        <v>110</v>
      </c>
      <c r="B1132" s="441"/>
      <c r="C1132" s="278" t="s">
        <v>354</v>
      </c>
      <c r="D1132" s="279"/>
      <c r="E1132" s="280"/>
      <c r="F1132" s="336">
        <f t="shared" si="987"/>
        <v>18050</v>
      </c>
      <c r="G1132" s="281">
        <v>18000</v>
      </c>
      <c r="H1132" s="281">
        <v>50</v>
      </c>
      <c r="I1132" s="355" t="str">
        <f>IFERROR(F1132/#REF!,"-")</f>
        <v>-</v>
      </c>
      <c r="J1132" s="336">
        <f t="shared" si="988"/>
        <v>204570</v>
      </c>
      <c r="K1132" s="281">
        <f t="shared" si="989"/>
        <v>203200</v>
      </c>
      <c r="L1132" s="439">
        <f t="shared" si="990"/>
        <v>1370</v>
      </c>
      <c r="M1132" s="340" t="str">
        <f t="shared" si="991"/>
        <v>-</v>
      </c>
      <c r="N1132" s="264">
        <f t="shared" si="986"/>
        <v>6.6969741408808717E-3</v>
      </c>
      <c r="O1132" s="512">
        <v>12.029500000000001</v>
      </c>
      <c r="P1132" s="407">
        <f t="shared" si="992"/>
        <v>216531</v>
      </c>
      <c r="Q1132" s="452">
        <f t="shared" si="993"/>
        <v>2444394.4</v>
      </c>
    </row>
    <row r="1133" spans="1:17" ht="23.4" x14ac:dyDescent="0.3">
      <c r="A1133" s="277" t="s">
        <v>110</v>
      </c>
      <c r="B1133" s="441"/>
      <c r="C1133" s="278"/>
      <c r="D1133" s="279"/>
      <c r="E1133" s="280"/>
      <c r="F1133" s="336">
        <f t="shared" si="987"/>
        <v>0</v>
      </c>
      <c r="G1133" s="281"/>
      <c r="H1133" s="281"/>
      <c r="I1133" s="355" t="str">
        <f>IFERROR(F1133/#REF!,"-")</f>
        <v>-</v>
      </c>
      <c r="J1133" s="336">
        <f t="shared" si="988"/>
        <v>0</v>
      </c>
      <c r="K1133" s="281">
        <f t="shared" si="989"/>
        <v>0</v>
      </c>
      <c r="L1133" s="439">
        <f t="shared" si="990"/>
        <v>0</v>
      </c>
      <c r="M1133" s="340" t="str">
        <f t="shared" si="991"/>
        <v>-</v>
      </c>
      <c r="N1133" s="264" t="str">
        <f t="shared" si="986"/>
        <v>-</v>
      </c>
      <c r="O1133" s="512"/>
      <c r="P1133" s="407">
        <f t="shared" si="992"/>
        <v>0</v>
      </c>
      <c r="Q1133" s="452">
        <f t="shared" si="993"/>
        <v>0</v>
      </c>
    </row>
    <row r="1134" spans="1:17" ht="24" thickBot="1" x14ac:dyDescent="0.35">
      <c r="A1134" s="277" t="s">
        <v>110</v>
      </c>
      <c r="B1134" s="454"/>
      <c r="C1134" s="282"/>
      <c r="D1134" s="283">
        <v>0</v>
      </c>
      <c r="E1134" s="284"/>
      <c r="F1134" s="337">
        <f t="shared" si="987"/>
        <v>0</v>
      </c>
      <c r="G1134" s="285"/>
      <c r="H1134" s="285"/>
      <c r="I1134" s="356" t="str">
        <f>IFERROR(F1134/#REF!,"-")</f>
        <v>-</v>
      </c>
      <c r="J1134" s="464">
        <f t="shared" si="988"/>
        <v>0</v>
      </c>
      <c r="K1134" s="465">
        <f t="shared" si="989"/>
        <v>0</v>
      </c>
      <c r="L1134" s="466">
        <f t="shared" si="990"/>
        <v>0</v>
      </c>
      <c r="M1134" s="341" t="str">
        <f t="shared" si="991"/>
        <v>-</v>
      </c>
      <c r="N1134" s="350" t="str">
        <f t="shared" si="986"/>
        <v>-</v>
      </c>
      <c r="O1134" s="513"/>
      <c r="P1134" s="408">
        <f t="shared" si="992"/>
        <v>0</v>
      </c>
      <c r="Q1134" s="453">
        <f t="shared" si="993"/>
        <v>0</v>
      </c>
    </row>
    <row r="1135" spans="1:17" ht="23.25" customHeight="1" thickBot="1" x14ac:dyDescent="0.35">
      <c r="A1135" s="277" t="s">
        <v>110</v>
      </c>
      <c r="B1135" s="1038" t="s">
        <v>25</v>
      </c>
      <c r="C1135" s="989"/>
      <c r="D1135" s="323">
        <f t="shared" ref="D1135" si="994">SUM(D1128:D1134)</f>
        <v>0</v>
      </c>
      <c r="E1135" s="288">
        <v>100000</v>
      </c>
      <c r="F1135" s="323">
        <f>SUM(F1128:F1134)</f>
        <v>18050</v>
      </c>
      <c r="G1135" s="324">
        <f t="shared" ref="G1135:H1135" si="995">SUM(G1128:G1134)</f>
        <v>18000</v>
      </c>
      <c r="H1135" s="324">
        <f t="shared" si="995"/>
        <v>50</v>
      </c>
      <c r="I1135" s="348" t="str">
        <f>IFERROR(F1135/#REF!,"-")</f>
        <v>-</v>
      </c>
      <c r="J1135" s="323">
        <f t="shared" ref="J1135:L1135" si="996">SUM(J1128:J1134)</f>
        <v>697544</v>
      </c>
      <c r="K1135" s="324">
        <f t="shared" si="996"/>
        <v>695040</v>
      </c>
      <c r="L1135" s="325">
        <f t="shared" si="996"/>
        <v>2504</v>
      </c>
      <c r="M1135" s="342" t="str">
        <f t="shared" si="991"/>
        <v>-</v>
      </c>
      <c r="N1135" s="348">
        <f t="shared" si="986"/>
        <v>3.5897377083022718E-3</v>
      </c>
      <c r="O1135" s="394"/>
      <c r="P1135" s="409">
        <f t="shared" ref="P1135:Q1135" si="997">SUM(P1128:P1134)</f>
        <v>216531</v>
      </c>
      <c r="Q1135" s="428">
        <f t="shared" si="997"/>
        <v>4129485.344</v>
      </c>
    </row>
    <row r="1136" spans="1:17" ht="23.25" customHeight="1" thickBot="1" x14ac:dyDescent="0.35">
      <c r="A1136" s="277" t="s">
        <v>110</v>
      </c>
      <c r="B1136" s="1039" t="s">
        <v>180</v>
      </c>
      <c r="C1136" s="1040"/>
      <c r="D1136" s="329">
        <f>+D1127+D1135</f>
        <v>0</v>
      </c>
      <c r="E1136" s="330">
        <f t="shared" ref="E1136:H1136" si="998">+E1127+E1135</f>
        <v>115000</v>
      </c>
      <c r="F1136" s="329">
        <f t="shared" si="998"/>
        <v>215559</v>
      </c>
      <c r="G1136" s="327">
        <f t="shared" si="998"/>
        <v>212450</v>
      </c>
      <c r="H1136" s="327">
        <f t="shared" si="998"/>
        <v>3109</v>
      </c>
      <c r="I1136" s="352" t="str">
        <f>IFERROR(F1136/#REF!,"-")</f>
        <v>-</v>
      </c>
      <c r="J1136" s="329">
        <f t="shared" ref="J1136:L1136" si="999">+J1127+J1135</f>
        <v>3834052</v>
      </c>
      <c r="K1136" s="327">
        <f t="shared" si="999"/>
        <v>3753960</v>
      </c>
      <c r="L1136" s="328">
        <f t="shared" si="999"/>
        <v>80092</v>
      </c>
      <c r="M1136" s="344" t="str">
        <f t="shared" si="991"/>
        <v>-</v>
      </c>
      <c r="N1136" s="352">
        <f t="shared" si="986"/>
        <v>2.0889648862352415E-2</v>
      </c>
      <c r="O1136" s="397"/>
      <c r="P1136" s="413">
        <f t="shared" ref="P1136:Q1136" si="1000">+P1127+P1135</f>
        <v>1191591.165</v>
      </c>
      <c r="Q1136" s="431">
        <f t="shared" si="1000"/>
        <v>17964055.577000003</v>
      </c>
    </row>
    <row r="1137" spans="1:17" ht="23.4" x14ac:dyDescent="0.3">
      <c r="A1137" s="244" t="s">
        <v>108</v>
      </c>
      <c r="B1137" s="591"/>
      <c r="C1137" s="592" t="s">
        <v>306</v>
      </c>
      <c r="D1137" s="532"/>
      <c r="E1137" s="463"/>
      <c r="F1137" s="461">
        <f>+G1137+H1137</f>
        <v>0</v>
      </c>
      <c r="G1137" s="462"/>
      <c r="H1137" s="462"/>
      <c r="I1137" s="536" t="str">
        <f>IFERROR(F1137/#REF!,"-")</f>
        <v>-</v>
      </c>
      <c r="J1137" s="461">
        <f>+K1137+L1137</f>
        <v>0</v>
      </c>
      <c r="K1137" s="462">
        <f t="shared" ref="K1137:K1143" si="1001">+K1075+G1137</f>
        <v>0</v>
      </c>
      <c r="L1137" s="463">
        <f t="shared" ref="L1137:L1143" si="1002">+L1075+H1137</f>
        <v>0</v>
      </c>
      <c r="M1137" s="596" t="str">
        <f>IFERROR(J1137/D1137,"-")</f>
        <v>-</v>
      </c>
      <c r="N1137" s="538" t="str">
        <f t="shared" si="986"/>
        <v>-</v>
      </c>
      <c r="O1137" s="638">
        <v>4.8285999999999998</v>
      </c>
      <c r="P1137" s="539">
        <f t="shared" ref="P1137:P1143" si="1003">+O1137*G1137</f>
        <v>0</v>
      </c>
      <c r="Q1137" s="540">
        <f t="shared" ref="Q1137:Q1143" si="1004">+O1137*K1137</f>
        <v>0</v>
      </c>
    </row>
    <row r="1138" spans="1:17" ht="23.4" x14ac:dyDescent="0.3">
      <c r="A1138" s="248" t="s">
        <v>108</v>
      </c>
      <c r="B1138" s="593"/>
      <c r="C1138" s="278" t="s">
        <v>307</v>
      </c>
      <c r="D1138" s="279"/>
      <c r="E1138" s="439"/>
      <c r="F1138" s="336">
        <f t="shared" ref="F1138:F1143" si="1005">+G1138+H1138</f>
        <v>0</v>
      </c>
      <c r="G1138" s="281"/>
      <c r="H1138" s="281"/>
      <c r="I1138" s="355" t="str">
        <f>IFERROR(F1138/#REF!,"-")</f>
        <v>-</v>
      </c>
      <c r="J1138" s="336">
        <f t="shared" ref="J1138:J1143" si="1006">+K1138+L1138</f>
        <v>0</v>
      </c>
      <c r="K1138" s="281">
        <f t="shared" si="1001"/>
        <v>0</v>
      </c>
      <c r="L1138" s="439">
        <f t="shared" si="1002"/>
        <v>0</v>
      </c>
      <c r="M1138" s="340" t="str">
        <f t="shared" ref="M1138:M1140" si="1007">IFERROR(J1138/D1138,"-")</f>
        <v>-</v>
      </c>
      <c r="N1138" s="268" t="str">
        <f t="shared" si="986"/>
        <v>-</v>
      </c>
      <c r="O1138" s="639">
        <v>1.4086000000000001</v>
      </c>
      <c r="P1138" s="407">
        <f t="shared" si="1003"/>
        <v>0</v>
      </c>
      <c r="Q1138" s="452">
        <f t="shared" si="1004"/>
        <v>0</v>
      </c>
    </row>
    <row r="1139" spans="1:17" ht="23.4" x14ac:dyDescent="0.3">
      <c r="A1139" s="248" t="s">
        <v>108</v>
      </c>
      <c r="B1139" s="593"/>
      <c r="C1139" s="278" t="s">
        <v>348</v>
      </c>
      <c r="D1139" s="279"/>
      <c r="E1139" s="439"/>
      <c r="F1139" s="336">
        <f t="shared" si="1005"/>
        <v>0</v>
      </c>
      <c r="G1139" s="281"/>
      <c r="H1139" s="281"/>
      <c r="I1139" s="355" t="str">
        <f>IFERROR(F1139/#REF!,"-")</f>
        <v>-</v>
      </c>
      <c r="J1139" s="336">
        <f t="shared" si="1006"/>
        <v>0</v>
      </c>
      <c r="K1139" s="281">
        <f t="shared" si="1001"/>
        <v>0</v>
      </c>
      <c r="L1139" s="439">
        <f t="shared" si="1002"/>
        <v>0</v>
      </c>
      <c r="M1139" s="340" t="str">
        <f t="shared" si="1007"/>
        <v>-</v>
      </c>
      <c r="N1139" s="268" t="str">
        <f>IFERROR(L1139/J1139,"-")</f>
        <v>-</v>
      </c>
      <c r="O1139" s="639">
        <v>2.2141000000000002</v>
      </c>
      <c r="P1139" s="407">
        <f t="shared" si="1003"/>
        <v>0</v>
      </c>
      <c r="Q1139" s="452">
        <f t="shared" si="1004"/>
        <v>0</v>
      </c>
    </row>
    <row r="1140" spans="1:17" ht="23.4" x14ac:dyDescent="0.3">
      <c r="A1140" s="248" t="s">
        <v>108</v>
      </c>
      <c r="B1140" s="594"/>
      <c r="C1140" s="278" t="s">
        <v>583</v>
      </c>
      <c r="D1140" s="283"/>
      <c r="E1140" s="533"/>
      <c r="F1140" s="337">
        <f t="shared" si="1005"/>
        <v>31542</v>
      </c>
      <c r="G1140" s="285">
        <v>30500</v>
      </c>
      <c r="H1140" s="285">
        <v>1042</v>
      </c>
      <c r="I1140" s="356" t="str">
        <f>IFERROR(F1140/#REF!,"-")</f>
        <v>-</v>
      </c>
      <c r="J1140" s="336">
        <f t="shared" si="1006"/>
        <v>459412</v>
      </c>
      <c r="K1140" s="281">
        <f t="shared" si="1001"/>
        <v>451250</v>
      </c>
      <c r="L1140" s="439">
        <f t="shared" si="1002"/>
        <v>8162</v>
      </c>
      <c r="M1140" s="341" t="str">
        <f t="shared" si="1007"/>
        <v>-</v>
      </c>
      <c r="N1140" s="347">
        <f t="shared" ref="N1140:N1147" si="1008">IFERROR(L1140/J1140,"-")</f>
        <v>1.776618808389855E-2</v>
      </c>
      <c r="O1140" s="639">
        <v>2.2141000000000002</v>
      </c>
      <c r="P1140" s="408">
        <f t="shared" si="1003"/>
        <v>67530.05</v>
      </c>
      <c r="Q1140" s="453">
        <f t="shared" si="1004"/>
        <v>999112.62500000012</v>
      </c>
    </row>
    <row r="1141" spans="1:17" ht="23.4" x14ac:dyDescent="0.3">
      <c r="A1141" s="248" t="s">
        <v>108</v>
      </c>
      <c r="B1141" s="443"/>
      <c r="C1141" s="637" t="s">
        <v>393</v>
      </c>
      <c r="D1141" s="514"/>
      <c r="E1141" s="534"/>
      <c r="F1141" s="336">
        <f t="shared" si="1005"/>
        <v>0</v>
      </c>
      <c r="G1141" s="553"/>
      <c r="H1141" s="553"/>
      <c r="I1141" s="355" t="str">
        <f>IFERROR(F1141/#REF!,"-")</f>
        <v>-</v>
      </c>
      <c r="J1141" s="336">
        <f t="shared" si="1006"/>
        <v>0</v>
      </c>
      <c r="K1141" s="281">
        <f t="shared" si="1001"/>
        <v>0</v>
      </c>
      <c r="L1141" s="439">
        <f t="shared" si="1002"/>
        <v>0</v>
      </c>
      <c r="M1141" s="725"/>
      <c r="N1141" s="268" t="str">
        <f t="shared" si="1008"/>
        <v>-</v>
      </c>
      <c r="O1141" s="545">
        <v>4.8285999999999998</v>
      </c>
      <c r="P1141" s="407">
        <f t="shared" si="1003"/>
        <v>0</v>
      </c>
      <c r="Q1141" s="452">
        <f t="shared" si="1004"/>
        <v>0</v>
      </c>
    </row>
    <row r="1142" spans="1:17" ht="23.4" x14ac:dyDescent="0.3">
      <c r="A1142" s="248" t="s">
        <v>108</v>
      </c>
      <c r="B1142" s="595"/>
      <c r="C1142" s="637" t="s">
        <v>389</v>
      </c>
      <c r="D1142" s="273"/>
      <c r="E1142" s="438"/>
      <c r="F1142" s="335">
        <f t="shared" si="1005"/>
        <v>0</v>
      </c>
      <c r="G1142" s="275"/>
      <c r="H1142" s="275"/>
      <c r="I1142" s="354" t="str">
        <f>IFERROR(F1142/#REF!,"-")</f>
        <v>-</v>
      </c>
      <c r="J1142" s="336">
        <f t="shared" si="1006"/>
        <v>0</v>
      </c>
      <c r="K1142" s="281">
        <f t="shared" si="1001"/>
        <v>0</v>
      </c>
      <c r="L1142" s="439">
        <f t="shared" si="1002"/>
        <v>0</v>
      </c>
      <c r="M1142" s="339" t="str">
        <f t="shared" ref="M1142:M1143" si="1009">IFERROR(J1142/D1142,"-")</f>
        <v>-</v>
      </c>
      <c r="N1142" s="349" t="str">
        <f t="shared" si="1008"/>
        <v>-</v>
      </c>
      <c r="O1142" s="511">
        <v>4.1712999999999996</v>
      </c>
      <c r="P1142" s="405">
        <f t="shared" si="1003"/>
        <v>0</v>
      </c>
      <c r="Q1142" s="450">
        <f t="shared" si="1004"/>
        <v>0</v>
      </c>
    </row>
    <row r="1143" spans="1:17" ht="24" thickBot="1" x14ac:dyDescent="0.35">
      <c r="A1143" s="248" t="s">
        <v>108</v>
      </c>
      <c r="B1143" s="593"/>
      <c r="C1143" s="278"/>
      <c r="D1143" s="279"/>
      <c r="E1143" s="439"/>
      <c r="F1143" s="336">
        <f t="shared" si="1005"/>
        <v>0</v>
      </c>
      <c r="G1143" s="281"/>
      <c r="H1143" s="281"/>
      <c r="I1143" s="355" t="str">
        <f>IFERROR(F1143/#REF!,"-")</f>
        <v>-</v>
      </c>
      <c r="J1143" s="464">
        <f t="shared" si="1006"/>
        <v>0</v>
      </c>
      <c r="K1143" s="465">
        <f t="shared" si="1001"/>
        <v>0</v>
      </c>
      <c r="L1143" s="466">
        <f t="shared" si="1002"/>
        <v>0</v>
      </c>
      <c r="M1143" s="340" t="str">
        <f t="shared" si="1009"/>
        <v>-</v>
      </c>
      <c r="N1143" s="264" t="str">
        <f t="shared" si="1008"/>
        <v>-</v>
      </c>
      <c r="O1143" s="451"/>
      <c r="P1143" s="407">
        <f t="shared" si="1003"/>
        <v>0</v>
      </c>
      <c r="Q1143" s="452">
        <f t="shared" si="1004"/>
        <v>0</v>
      </c>
    </row>
    <row r="1144" spans="1:17" ht="23.25" customHeight="1" thickBot="1" x14ac:dyDescent="0.35">
      <c r="A1144" s="277" t="s">
        <v>108</v>
      </c>
      <c r="B1144" s="1038" t="s">
        <v>21</v>
      </c>
      <c r="C1144" s="989"/>
      <c r="D1144" s="323">
        <v>0</v>
      </c>
      <c r="E1144" s="288">
        <v>15000</v>
      </c>
      <c r="F1144" s="323">
        <f>SUM(F1137:F1143)</f>
        <v>31542</v>
      </c>
      <c r="G1144" s="324">
        <f t="shared" ref="G1144:H1144" si="1010">SUM(G1137:G1143)</f>
        <v>30500</v>
      </c>
      <c r="H1144" s="324">
        <f t="shared" si="1010"/>
        <v>1042</v>
      </c>
      <c r="I1144" s="348" t="str">
        <f>IFERROR(F1144/#REF!,"-")</f>
        <v>-</v>
      </c>
      <c r="J1144" s="518">
        <f t="shared" ref="J1144" si="1011">SUM(J1137:J1143)</f>
        <v>459412</v>
      </c>
      <c r="K1144" s="524">
        <f>SUM(K1137:K1143)</f>
        <v>451250</v>
      </c>
      <c r="L1144" s="524">
        <f>SUM(L1137:L1143)</f>
        <v>8162</v>
      </c>
      <c r="M1144" s="342" t="str">
        <f>IFERROR(J1144/D1144,"-")</f>
        <v>-</v>
      </c>
      <c r="N1144" s="348">
        <f t="shared" si="1008"/>
        <v>1.776618808389855E-2</v>
      </c>
      <c r="O1144" s="394"/>
      <c r="P1144" s="409">
        <f>SUM(P1137:P1143)</f>
        <v>67530.05</v>
      </c>
      <c r="Q1144" s="428">
        <f>SUM(Q1137:Q1143)</f>
        <v>999112.62500000012</v>
      </c>
    </row>
    <row r="1145" spans="1:17" ht="23.25" customHeight="1" thickBot="1" x14ac:dyDescent="0.35">
      <c r="A1145" s="277" t="s">
        <v>108</v>
      </c>
      <c r="B1145" s="1039" t="s">
        <v>268</v>
      </c>
      <c r="C1145" s="1040"/>
      <c r="D1145" s="517">
        <f>+D1141+D1144</f>
        <v>0</v>
      </c>
      <c r="E1145" s="530">
        <f>+E1141+E1144</f>
        <v>15000</v>
      </c>
      <c r="F1145" s="517">
        <f>+F1141+F1144</f>
        <v>31542</v>
      </c>
      <c r="G1145" s="519">
        <f>+G1141+G1144</f>
        <v>30500</v>
      </c>
      <c r="H1145" s="519">
        <f>+H1141+H1144</f>
        <v>1042</v>
      </c>
      <c r="I1145" s="520" t="str">
        <f>IFERROR(F1145/#REF!,"-")</f>
        <v>-</v>
      </c>
      <c r="J1145" s="517">
        <f>+J1141+J1144</f>
        <v>459412</v>
      </c>
      <c r="K1145" s="519">
        <f>+K1144</f>
        <v>451250</v>
      </c>
      <c r="L1145" s="519">
        <f>+L1144</f>
        <v>8162</v>
      </c>
      <c r="M1145" s="521" t="str">
        <f t="shared" ref="M1145" si="1012">IFERROR(J1145/D1145,"-")</f>
        <v>-</v>
      </c>
      <c r="N1145" s="520">
        <f t="shared" si="1008"/>
        <v>1.776618808389855E-2</v>
      </c>
      <c r="O1145" s="522"/>
      <c r="P1145" s="523">
        <f>+P1144</f>
        <v>67530.05</v>
      </c>
      <c r="Q1145" s="523">
        <f>+Q1144</f>
        <v>999112.62500000012</v>
      </c>
    </row>
    <row r="1146" spans="1:17" ht="23.4" x14ac:dyDescent="0.4">
      <c r="A1146" s="244" t="s">
        <v>108</v>
      </c>
      <c r="B1146" s="1035" t="s">
        <v>270</v>
      </c>
      <c r="C1146" s="547" t="s">
        <v>74</v>
      </c>
      <c r="D1146" s="532"/>
      <c r="E1146" s="463"/>
      <c r="F1146" s="461">
        <f>+G1146+H1146</f>
        <v>0</v>
      </c>
      <c r="G1146" s="462"/>
      <c r="H1146" s="462"/>
      <c r="I1146" s="536" t="str">
        <f>IFERROR(F1146/#REF!,"-")</f>
        <v>-</v>
      </c>
      <c r="J1146" s="461">
        <f>+K1146+L1146</f>
        <v>80931</v>
      </c>
      <c r="K1146" s="462">
        <f t="shared" ref="K1146:K1177" si="1013">+K1084+G1146</f>
        <v>80150</v>
      </c>
      <c r="L1146" s="463">
        <f t="shared" ref="L1146:L1177" si="1014">+L1084+H1146</f>
        <v>781</v>
      </c>
      <c r="M1146" s="596" t="str">
        <f>IFERROR(J1146/D1146,"-")</f>
        <v>-</v>
      </c>
      <c r="N1146" s="538">
        <f t="shared" si="1008"/>
        <v>9.6501958458439906E-3</v>
      </c>
      <c r="O1146" s="543">
        <v>32.946300000000001</v>
      </c>
      <c r="P1146" s="539">
        <f t="shared" ref="P1146:P1177" si="1015">+O1146*G1146</f>
        <v>0</v>
      </c>
      <c r="Q1146" s="540">
        <f t="shared" ref="Q1146:Q1177" si="1016">+O1146*K1146</f>
        <v>2640645.9449999998</v>
      </c>
    </row>
    <row r="1147" spans="1:17" ht="23.4" x14ac:dyDescent="0.4">
      <c r="A1147" s="248" t="s">
        <v>108</v>
      </c>
      <c r="B1147" s="1036"/>
      <c r="C1147" s="548" t="s">
        <v>75</v>
      </c>
      <c r="D1147" s="516"/>
      <c r="E1147" s="439"/>
      <c r="F1147" s="336">
        <f t="shared" ref="F1147:F1177" si="1017">+G1147+H1147</f>
        <v>0</v>
      </c>
      <c r="G1147" s="281"/>
      <c r="H1147" s="281"/>
      <c r="I1147" s="355" t="str">
        <f>IFERROR(F1147/#REF!,"-")</f>
        <v>-</v>
      </c>
      <c r="J1147" s="336">
        <f t="shared" ref="J1147:J1177" si="1018">+K1147+L1147</f>
        <v>15076</v>
      </c>
      <c r="K1147" s="281">
        <f t="shared" si="1013"/>
        <v>15000</v>
      </c>
      <c r="L1147" s="439">
        <f t="shared" si="1014"/>
        <v>76</v>
      </c>
      <c r="M1147" s="340" t="str">
        <f t="shared" ref="M1147:M1149" si="1019">IFERROR(J1147/D1147,"-")</f>
        <v>-</v>
      </c>
      <c r="N1147" s="268">
        <f t="shared" si="1008"/>
        <v>5.0411249668347044E-3</v>
      </c>
      <c r="O1147" s="512">
        <v>35.398400000000002</v>
      </c>
      <c r="P1147" s="407">
        <f t="shared" si="1015"/>
        <v>0</v>
      </c>
      <c r="Q1147" s="452">
        <f t="shared" si="1016"/>
        <v>530976</v>
      </c>
    </row>
    <row r="1148" spans="1:17" ht="24" thickBot="1" x14ac:dyDescent="0.45">
      <c r="A1148" s="248" t="s">
        <v>108</v>
      </c>
      <c r="B1148" s="1037"/>
      <c r="C1148" s="548" t="s">
        <v>76</v>
      </c>
      <c r="D1148" s="279"/>
      <c r="E1148" s="439"/>
      <c r="F1148" s="336">
        <f t="shared" si="1017"/>
        <v>0</v>
      </c>
      <c r="G1148" s="281"/>
      <c r="H1148" s="281"/>
      <c r="I1148" s="355" t="str">
        <f>IFERROR(F1148/#REF!,"-")</f>
        <v>-</v>
      </c>
      <c r="J1148" s="336">
        <f t="shared" si="1018"/>
        <v>0</v>
      </c>
      <c r="K1148" s="281">
        <f t="shared" si="1013"/>
        <v>0</v>
      </c>
      <c r="L1148" s="439">
        <f t="shared" si="1014"/>
        <v>0</v>
      </c>
      <c r="M1148" s="340" t="str">
        <f t="shared" si="1019"/>
        <v>-</v>
      </c>
      <c r="N1148" s="268" t="str">
        <f>IFERROR(L1148/J1148,"-")</f>
        <v>-</v>
      </c>
      <c r="O1148" s="512">
        <v>32.946300000000001</v>
      </c>
      <c r="P1148" s="407">
        <f t="shared" si="1015"/>
        <v>0</v>
      </c>
      <c r="Q1148" s="452">
        <f t="shared" si="1016"/>
        <v>0</v>
      </c>
    </row>
    <row r="1149" spans="1:17" ht="23.4" x14ac:dyDescent="0.4">
      <c r="A1149" s="248" t="s">
        <v>108</v>
      </c>
      <c r="B1149" s="1035" t="s">
        <v>271</v>
      </c>
      <c r="C1149" s="550" t="s">
        <v>78</v>
      </c>
      <c r="D1149" s="279"/>
      <c r="E1149" s="533"/>
      <c r="F1149" s="337">
        <f t="shared" si="1017"/>
        <v>4989</v>
      </c>
      <c r="G1149" s="281">
        <v>4800</v>
      </c>
      <c r="H1149" s="281">
        <v>189</v>
      </c>
      <c r="I1149" s="355" t="str">
        <f>IFERROR(F1149/#REF!,"-")</f>
        <v>-</v>
      </c>
      <c r="J1149" s="336">
        <f t="shared" si="1018"/>
        <v>70498</v>
      </c>
      <c r="K1149" s="281">
        <f t="shared" si="1013"/>
        <v>68138</v>
      </c>
      <c r="L1149" s="439">
        <f t="shared" si="1014"/>
        <v>2360</v>
      </c>
      <c r="M1149" s="340" t="str">
        <f t="shared" si="1019"/>
        <v>-</v>
      </c>
      <c r="N1149" s="268">
        <f t="shared" ref="N1149" si="1020">IFERROR(L1149/J1149,"-")</f>
        <v>3.3476126982325737E-2</v>
      </c>
      <c r="O1149" s="512">
        <v>55.4758</v>
      </c>
      <c r="P1149" s="407">
        <f t="shared" si="1015"/>
        <v>266283.84000000003</v>
      </c>
      <c r="Q1149" s="452">
        <f t="shared" si="1016"/>
        <v>3780010.0603999998</v>
      </c>
    </row>
    <row r="1150" spans="1:17" ht="23.4" x14ac:dyDescent="0.4">
      <c r="A1150" s="248" t="s">
        <v>108</v>
      </c>
      <c r="B1150" s="1036"/>
      <c r="C1150" s="550" t="s">
        <v>75</v>
      </c>
      <c r="D1150" s="279"/>
      <c r="E1150" s="534"/>
      <c r="F1150" s="337">
        <f t="shared" si="1017"/>
        <v>0</v>
      </c>
      <c r="G1150" s="281"/>
      <c r="H1150" s="281"/>
      <c r="I1150" s="355" t="str">
        <f>IFERROR(F1150/#REF!,"-")</f>
        <v>-</v>
      </c>
      <c r="J1150" s="336">
        <f t="shared" si="1018"/>
        <v>8448</v>
      </c>
      <c r="K1150" s="281">
        <f t="shared" si="1013"/>
        <v>6800</v>
      </c>
      <c r="L1150" s="439">
        <f t="shared" si="1014"/>
        <v>1648</v>
      </c>
      <c r="M1150" s="725"/>
      <c r="N1150" s="375"/>
      <c r="O1150" s="545">
        <v>58.836300000000001</v>
      </c>
      <c r="P1150" s="407">
        <f t="shared" si="1015"/>
        <v>0</v>
      </c>
      <c r="Q1150" s="452">
        <f t="shared" si="1016"/>
        <v>400086.84</v>
      </c>
    </row>
    <row r="1151" spans="1:17" ht="23.4" x14ac:dyDescent="0.4">
      <c r="A1151" s="248" t="s">
        <v>108</v>
      </c>
      <c r="B1151" s="1036"/>
      <c r="C1151" s="550" t="s">
        <v>386</v>
      </c>
      <c r="D1151" s="279"/>
      <c r="E1151" s="438"/>
      <c r="F1151" s="337">
        <f t="shared" si="1017"/>
        <v>0</v>
      </c>
      <c r="G1151" s="281"/>
      <c r="H1151" s="281"/>
      <c r="I1151" s="355" t="str">
        <f>IFERROR(F1151/#REF!,"-")</f>
        <v>-</v>
      </c>
      <c r="J1151" s="336">
        <f t="shared" si="1018"/>
        <v>6281</v>
      </c>
      <c r="K1151" s="281">
        <f t="shared" si="1013"/>
        <v>5031</v>
      </c>
      <c r="L1151" s="439">
        <f t="shared" si="1014"/>
        <v>1250</v>
      </c>
      <c r="M1151" s="340" t="str">
        <f t="shared" ref="M1151" si="1021">IFERROR(J1151/D1151,"-")</f>
        <v>-</v>
      </c>
      <c r="N1151" s="264">
        <f t="shared" ref="N1151" si="1022">IFERROR(L1151/J1151,"-")</f>
        <v>0.19901289603566311</v>
      </c>
      <c r="O1151" s="772">
        <v>58.836300000000001</v>
      </c>
      <c r="P1151" s="407">
        <f t="shared" si="1015"/>
        <v>0</v>
      </c>
      <c r="Q1151" s="452">
        <f t="shared" si="1016"/>
        <v>296005.4253</v>
      </c>
    </row>
    <row r="1152" spans="1:17" ht="24" thickBot="1" x14ac:dyDescent="0.45">
      <c r="A1152" s="248"/>
      <c r="B1152" s="1037"/>
      <c r="C1152" s="550" t="s">
        <v>404</v>
      </c>
      <c r="D1152" s="279"/>
      <c r="E1152" s="438"/>
      <c r="F1152" s="337">
        <f t="shared" si="1017"/>
        <v>0</v>
      </c>
      <c r="G1152" s="281"/>
      <c r="H1152" s="281"/>
      <c r="I1152" s="355"/>
      <c r="J1152" s="336">
        <f t="shared" si="1018"/>
        <v>2220</v>
      </c>
      <c r="K1152" s="281">
        <f t="shared" si="1013"/>
        <v>2064</v>
      </c>
      <c r="L1152" s="439">
        <f t="shared" si="1014"/>
        <v>156</v>
      </c>
      <c r="M1152" s="340"/>
      <c r="N1152" s="264">
        <f>IFERROR(L1152/J1152,"-")</f>
        <v>7.0270270270270274E-2</v>
      </c>
      <c r="O1152" s="512">
        <v>55.4758</v>
      </c>
      <c r="P1152" s="407">
        <f t="shared" si="1015"/>
        <v>0</v>
      </c>
      <c r="Q1152" s="452">
        <f t="shared" si="1016"/>
        <v>114502.0512</v>
      </c>
    </row>
    <row r="1153" spans="1:17" ht="23.4" x14ac:dyDescent="0.4">
      <c r="A1153" s="248" t="s">
        <v>108</v>
      </c>
      <c r="B1153" s="1035" t="s">
        <v>490</v>
      </c>
      <c r="C1153" s="548" t="s">
        <v>80</v>
      </c>
      <c r="D1153" s="279"/>
      <c r="E1153" s="439"/>
      <c r="F1153" s="336">
        <f t="shared" si="1017"/>
        <v>0</v>
      </c>
      <c r="G1153" s="281"/>
      <c r="H1153" s="281"/>
      <c r="I1153" s="355" t="str">
        <f>IFERROR(F1153/#REF!,"-")</f>
        <v>-</v>
      </c>
      <c r="J1153" s="336">
        <f t="shared" si="1018"/>
        <v>16082</v>
      </c>
      <c r="K1153" s="730">
        <f t="shared" si="1013"/>
        <v>15950</v>
      </c>
      <c r="L1153" s="731">
        <f t="shared" si="1014"/>
        <v>132</v>
      </c>
      <c r="M1153" s="340" t="str">
        <f t="shared" ref="M1153:M1180" si="1023">IFERROR(J1153/D1153,"-")</f>
        <v>-</v>
      </c>
      <c r="N1153" s="264">
        <f t="shared" ref="N1153:N1179" si="1024">IFERROR(L1153/J1153,"-")</f>
        <v>8.2079343365253077E-3</v>
      </c>
      <c r="O1153" s="512">
        <v>25.687200000000001</v>
      </c>
      <c r="P1153" s="407">
        <f t="shared" si="1015"/>
        <v>0</v>
      </c>
      <c r="Q1153" s="452">
        <f t="shared" si="1016"/>
        <v>409710.84</v>
      </c>
    </row>
    <row r="1154" spans="1:17" ht="24" thickBot="1" x14ac:dyDescent="0.45">
      <c r="A1154" s="248" t="s">
        <v>108</v>
      </c>
      <c r="B1154" s="1037"/>
      <c r="C1154" s="548" t="s">
        <v>124</v>
      </c>
      <c r="D1154" s="279"/>
      <c r="E1154" s="439"/>
      <c r="F1154" s="336">
        <f t="shared" si="1017"/>
        <v>0</v>
      </c>
      <c r="G1154" s="281"/>
      <c r="H1154" s="281"/>
      <c r="I1154" s="355" t="str">
        <f>IFERROR(F1154/#REF!,"-")</f>
        <v>-</v>
      </c>
      <c r="J1154" s="336">
        <f t="shared" si="1018"/>
        <v>0</v>
      </c>
      <c r="K1154" s="281">
        <f t="shared" si="1013"/>
        <v>0</v>
      </c>
      <c r="L1154" s="439">
        <f t="shared" si="1014"/>
        <v>0</v>
      </c>
      <c r="M1154" s="340" t="str">
        <f t="shared" si="1023"/>
        <v>-</v>
      </c>
      <c r="N1154" s="264" t="str">
        <f t="shared" si="1024"/>
        <v>-</v>
      </c>
      <c r="O1154" s="512">
        <v>25.033899999999999</v>
      </c>
      <c r="P1154" s="407">
        <f t="shared" si="1015"/>
        <v>0</v>
      </c>
      <c r="Q1154" s="452">
        <f t="shared" si="1016"/>
        <v>0</v>
      </c>
    </row>
    <row r="1155" spans="1:17" ht="23.4" x14ac:dyDescent="0.4">
      <c r="A1155" s="248"/>
      <c r="B1155" s="1035" t="s">
        <v>491</v>
      </c>
      <c r="C1155" s="548" t="s">
        <v>82</v>
      </c>
      <c r="D1155" s="279"/>
      <c r="E1155" s="439"/>
      <c r="F1155" s="336">
        <f t="shared" si="1017"/>
        <v>0</v>
      </c>
      <c r="G1155" s="281"/>
      <c r="H1155" s="281"/>
      <c r="I1155" s="355" t="str">
        <f>IFERROR(F1155/#REF!,"-")</f>
        <v>-</v>
      </c>
      <c r="J1155" s="336">
        <f t="shared" si="1018"/>
        <v>14036</v>
      </c>
      <c r="K1155" s="281">
        <f t="shared" si="1013"/>
        <v>13940</v>
      </c>
      <c r="L1155" s="439">
        <f t="shared" si="1014"/>
        <v>96</v>
      </c>
      <c r="M1155" s="340" t="str">
        <f t="shared" si="1023"/>
        <v>-</v>
      </c>
      <c r="N1155" s="264">
        <f t="shared" si="1024"/>
        <v>6.8395554288971216E-3</v>
      </c>
      <c r="O1155" s="512">
        <v>41.992699999999999</v>
      </c>
      <c r="P1155" s="407">
        <f t="shared" si="1015"/>
        <v>0</v>
      </c>
      <c r="Q1155" s="452">
        <f t="shared" si="1016"/>
        <v>585378.23800000001</v>
      </c>
    </row>
    <row r="1156" spans="1:17" ht="23.4" x14ac:dyDescent="0.4">
      <c r="A1156" s="248"/>
      <c r="B1156" s="1036"/>
      <c r="C1156" s="548" t="s">
        <v>75</v>
      </c>
      <c r="D1156" s="279"/>
      <c r="E1156" s="439"/>
      <c r="F1156" s="336">
        <f t="shared" si="1017"/>
        <v>0</v>
      </c>
      <c r="G1156" s="281"/>
      <c r="H1156" s="281"/>
      <c r="I1156" s="355" t="str">
        <f>IFERROR(F1156/#REF!,"-")</f>
        <v>-</v>
      </c>
      <c r="J1156" s="336">
        <f t="shared" si="1018"/>
        <v>45</v>
      </c>
      <c r="K1156" s="281">
        <f t="shared" si="1013"/>
        <v>45</v>
      </c>
      <c r="L1156" s="439">
        <f t="shared" si="1014"/>
        <v>0</v>
      </c>
      <c r="M1156" s="340" t="str">
        <f t="shared" si="1023"/>
        <v>-</v>
      </c>
      <c r="N1156" s="264">
        <f t="shared" si="1024"/>
        <v>0</v>
      </c>
      <c r="O1156" s="512">
        <v>42.283799999999999</v>
      </c>
      <c r="P1156" s="407">
        <f t="shared" si="1015"/>
        <v>0</v>
      </c>
      <c r="Q1156" s="452">
        <f t="shared" si="1016"/>
        <v>1902.771</v>
      </c>
    </row>
    <row r="1157" spans="1:17" ht="23.4" x14ac:dyDescent="0.4">
      <c r="A1157" s="248"/>
      <c r="B1157" s="1036"/>
      <c r="C1157" s="548" t="s">
        <v>450</v>
      </c>
      <c r="D1157" s="279"/>
      <c r="E1157" s="439"/>
      <c r="F1157" s="336">
        <f t="shared" si="1017"/>
        <v>0</v>
      </c>
      <c r="G1157" s="281"/>
      <c r="H1157" s="281"/>
      <c r="I1157" s="355" t="str">
        <f>IFERROR(F1157/#REF!,"-")</f>
        <v>-</v>
      </c>
      <c r="J1157" s="336">
        <f t="shared" si="1018"/>
        <v>1140</v>
      </c>
      <c r="K1157" s="281">
        <f t="shared" si="1013"/>
        <v>1140</v>
      </c>
      <c r="L1157" s="439">
        <f t="shared" si="1014"/>
        <v>0</v>
      </c>
      <c r="M1157" s="340" t="str">
        <f t="shared" si="1023"/>
        <v>-</v>
      </c>
      <c r="N1157" s="264">
        <f t="shared" si="1024"/>
        <v>0</v>
      </c>
      <c r="O1157" s="772">
        <v>41.992699999999999</v>
      </c>
      <c r="P1157" s="407">
        <f t="shared" si="1015"/>
        <v>0</v>
      </c>
      <c r="Q1157" s="452">
        <f t="shared" si="1016"/>
        <v>47871.678</v>
      </c>
    </row>
    <row r="1158" spans="1:17" ht="24" thickBot="1" x14ac:dyDescent="0.45">
      <c r="A1158" s="248"/>
      <c r="B1158" s="1037"/>
      <c r="C1158" s="548" t="s">
        <v>451</v>
      </c>
      <c r="D1158" s="279"/>
      <c r="E1158" s="439"/>
      <c r="F1158" s="336">
        <f t="shared" si="1017"/>
        <v>0</v>
      </c>
      <c r="G1158" s="281"/>
      <c r="H1158" s="281"/>
      <c r="I1158" s="355" t="str">
        <f>IFERROR(F1158/#REF!,"-")</f>
        <v>-</v>
      </c>
      <c r="J1158" s="336">
        <f t="shared" si="1018"/>
        <v>712</v>
      </c>
      <c r="K1158" s="281">
        <f t="shared" si="1013"/>
        <v>660</v>
      </c>
      <c r="L1158" s="439">
        <f t="shared" si="1014"/>
        <v>52</v>
      </c>
      <c r="M1158" s="340" t="str">
        <f t="shared" si="1023"/>
        <v>-</v>
      </c>
      <c r="N1158" s="264">
        <f t="shared" si="1024"/>
        <v>7.3033707865168537E-2</v>
      </c>
      <c r="O1158" s="772">
        <v>42.283799999999999</v>
      </c>
      <c r="P1158" s="407">
        <f t="shared" si="1015"/>
        <v>0</v>
      </c>
      <c r="Q1158" s="452">
        <f t="shared" si="1016"/>
        <v>27907.308000000001</v>
      </c>
    </row>
    <row r="1159" spans="1:17" ht="24" thickBot="1" x14ac:dyDescent="0.45">
      <c r="A1159" s="248"/>
      <c r="B1159" s="815" t="s">
        <v>83</v>
      </c>
      <c r="C1159" s="548" t="s">
        <v>84</v>
      </c>
      <c r="D1159" s="279"/>
      <c r="E1159" s="439"/>
      <c r="F1159" s="336">
        <f t="shared" si="1017"/>
        <v>1545</v>
      </c>
      <c r="G1159" s="281">
        <v>1400</v>
      </c>
      <c r="H1159" s="281">
        <v>145</v>
      </c>
      <c r="I1159" s="355" t="str">
        <f>IFERROR(F1159/#REF!,"-")</f>
        <v>-</v>
      </c>
      <c r="J1159" s="336">
        <f t="shared" si="1018"/>
        <v>5960</v>
      </c>
      <c r="K1159" s="281">
        <f t="shared" si="1013"/>
        <v>5540</v>
      </c>
      <c r="L1159" s="439">
        <f t="shared" si="1014"/>
        <v>420</v>
      </c>
      <c r="M1159" s="340" t="str">
        <f t="shared" si="1023"/>
        <v>-</v>
      </c>
      <c r="N1159" s="264">
        <f t="shared" si="1024"/>
        <v>7.0469798657718116E-2</v>
      </c>
      <c r="O1159" s="512">
        <v>4.3535000000000004</v>
      </c>
      <c r="P1159" s="407">
        <f t="shared" si="1015"/>
        <v>6094.9000000000005</v>
      </c>
      <c r="Q1159" s="452">
        <f t="shared" si="1016"/>
        <v>24118.390000000003</v>
      </c>
    </row>
    <row r="1160" spans="1:17" ht="23.4" x14ac:dyDescent="0.4">
      <c r="A1160" s="248"/>
      <c r="B1160" s="1035" t="s">
        <v>273</v>
      </c>
      <c r="C1160" s="548" t="s">
        <v>80</v>
      </c>
      <c r="D1160" s="279"/>
      <c r="E1160" s="439"/>
      <c r="F1160" s="336">
        <f t="shared" si="1017"/>
        <v>29943</v>
      </c>
      <c r="G1160" s="281">
        <v>29700</v>
      </c>
      <c r="H1160" s="281">
        <v>243</v>
      </c>
      <c r="I1160" s="355" t="str">
        <f>IFERROR(F1160/#REF!,"-")</f>
        <v>-</v>
      </c>
      <c r="J1160" s="336">
        <f t="shared" si="1018"/>
        <v>396552</v>
      </c>
      <c r="K1160" s="281">
        <f t="shared" si="1013"/>
        <v>392700</v>
      </c>
      <c r="L1160" s="439">
        <f t="shared" si="1014"/>
        <v>3852</v>
      </c>
      <c r="M1160" s="340" t="str">
        <f t="shared" si="1023"/>
        <v>-</v>
      </c>
      <c r="N1160" s="264">
        <f t="shared" si="1024"/>
        <v>9.71373237305574E-3</v>
      </c>
      <c r="O1160" s="512">
        <v>4.6184000000000003</v>
      </c>
      <c r="P1160" s="407">
        <f t="shared" si="1015"/>
        <v>137166.48000000001</v>
      </c>
      <c r="Q1160" s="452">
        <f t="shared" si="1016"/>
        <v>1813645.6800000002</v>
      </c>
    </row>
    <row r="1161" spans="1:17" ht="23.4" x14ac:dyDescent="0.4">
      <c r="A1161" s="248"/>
      <c r="B1161" s="1036"/>
      <c r="C1161" s="548" t="s">
        <v>378</v>
      </c>
      <c r="D1161" s="279"/>
      <c r="E1161" s="439"/>
      <c r="F1161" s="336">
        <f t="shared" si="1017"/>
        <v>0</v>
      </c>
      <c r="G1161" s="281"/>
      <c r="H1161" s="281"/>
      <c r="I1161" s="355" t="str">
        <f>IFERROR(F1161/#REF!,"-")</f>
        <v>-</v>
      </c>
      <c r="J1161" s="336">
        <f t="shared" si="1018"/>
        <v>0</v>
      </c>
      <c r="K1161" s="281">
        <f t="shared" si="1013"/>
        <v>0</v>
      </c>
      <c r="L1161" s="439">
        <f t="shared" si="1014"/>
        <v>0</v>
      </c>
      <c r="M1161" s="340" t="str">
        <f t="shared" si="1023"/>
        <v>-</v>
      </c>
      <c r="N1161" s="264" t="str">
        <f t="shared" si="1024"/>
        <v>-</v>
      </c>
      <c r="O1161" s="512">
        <v>4.6184000000000003</v>
      </c>
      <c r="P1161" s="407">
        <f t="shared" si="1015"/>
        <v>0</v>
      </c>
      <c r="Q1161" s="452">
        <f t="shared" si="1016"/>
        <v>0</v>
      </c>
    </row>
    <row r="1162" spans="1:17" ht="23.4" x14ac:dyDescent="0.4">
      <c r="A1162" s="248"/>
      <c r="B1162" s="1036"/>
      <c r="C1162" s="548" t="s">
        <v>272</v>
      </c>
      <c r="D1162" s="279"/>
      <c r="E1162" s="439"/>
      <c r="F1162" s="336">
        <f t="shared" si="1017"/>
        <v>0</v>
      </c>
      <c r="G1162" s="281"/>
      <c r="H1162" s="281"/>
      <c r="I1162" s="355" t="str">
        <f>IFERROR(F1162/#REF!,"-")</f>
        <v>-</v>
      </c>
      <c r="J1162" s="336">
        <f t="shared" si="1018"/>
        <v>0</v>
      </c>
      <c r="K1162" s="281">
        <f t="shared" si="1013"/>
        <v>0</v>
      </c>
      <c r="L1162" s="439">
        <f t="shared" si="1014"/>
        <v>0</v>
      </c>
      <c r="M1162" s="340" t="str">
        <f t="shared" si="1023"/>
        <v>-</v>
      </c>
      <c r="N1162" s="264" t="str">
        <f t="shared" si="1024"/>
        <v>-</v>
      </c>
      <c r="O1162" s="512">
        <v>4.6184000000000003</v>
      </c>
      <c r="P1162" s="407">
        <f t="shared" si="1015"/>
        <v>0</v>
      </c>
      <c r="Q1162" s="452">
        <f t="shared" si="1016"/>
        <v>0</v>
      </c>
    </row>
    <row r="1163" spans="1:17" ht="23.4" x14ac:dyDescent="0.4">
      <c r="A1163" s="248"/>
      <c r="B1163" s="1036"/>
      <c r="C1163" s="548" t="s">
        <v>390</v>
      </c>
      <c r="D1163" s="279"/>
      <c r="E1163" s="439"/>
      <c r="F1163" s="336">
        <f t="shared" si="1017"/>
        <v>0</v>
      </c>
      <c r="G1163" s="281"/>
      <c r="H1163" s="281"/>
      <c r="I1163" s="355" t="str">
        <f>IFERROR(F1163/#REF!,"-")</f>
        <v>-</v>
      </c>
      <c r="J1163" s="336">
        <f t="shared" si="1018"/>
        <v>511962</v>
      </c>
      <c r="K1163" s="730">
        <f t="shared" si="1013"/>
        <v>508200</v>
      </c>
      <c r="L1163" s="731">
        <f t="shared" si="1014"/>
        <v>3762</v>
      </c>
      <c r="M1163" s="340" t="str">
        <f t="shared" si="1023"/>
        <v>-</v>
      </c>
      <c r="N1163" s="264">
        <f t="shared" si="1024"/>
        <v>7.3482016243393063E-3</v>
      </c>
      <c r="O1163" s="512">
        <v>4.7636000000000003</v>
      </c>
      <c r="P1163" s="407">
        <f t="shared" si="1015"/>
        <v>0</v>
      </c>
      <c r="Q1163" s="452">
        <f t="shared" si="1016"/>
        <v>2420861.52</v>
      </c>
    </row>
    <row r="1164" spans="1:17" ht="24" thickBot="1" x14ac:dyDescent="0.45">
      <c r="A1164" s="248"/>
      <c r="B1164" s="1037"/>
      <c r="C1164" s="548" t="s">
        <v>384</v>
      </c>
      <c r="D1164" s="279"/>
      <c r="E1164" s="439"/>
      <c r="F1164" s="336">
        <f t="shared" si="1017"/>
        <v>0</v>
      </c>
      <c r="G1164" s="281"/>
      <c r="H1164" s="281"/>
      <c r="I1164" s="355" t="str">
        <f>IFERROR(F1164/#REF!,"-")</f>
        <v>-</v>
      </c>
      <c r="J1164" s="336">
        <f t="shared" si="1018"/>
        <v>0</v>
      </c>
      <c r="K1164" s="281">
        <f t="shared" si="1013"/>
        <v>0</v>
      </c>
      <c r="L1164" s="439">
        <f t="shared" si="1014"/>
        <v>0</v>
      </c>
      <c r="M1164" s="340" t="str">
        <f t="shared" si="1023"/>
        <v>-</v>
      </c>
      <c r="N1164" s="264" t="str">
        <f t="shared" si="1024"/>
        <v>-</v>
      </c>
      <c r="O1164" s="512">
        <v>4.8738000000000001</v>
      </c>
      <c r="P1164" s="407">
        <f t="shared" si="1015"/>
        <v>0</v>
      </c>
      <c r="Q1164" s="452">
        <f t="shared" si="1016"/>
        <v>0</v>
      </c>
    </row>
    <row r="1165" spans="1:17" ht="24" thickBot="1" x14ac:dyDescent="0.45">
      <c r="A1165" s="248"/>
      <c r="B1165" s="815" t="s">
        <v>274</v>
      </c>
      <c r="C1165" s="548" t="s">
        <v>131</v>
      </c>
      <c r="D1165" s="279"/>
      <c r="E1165" s="439"/>
      <c r="F1165" s="336">
        <f t="shared" si="1017"/>
        <v>0</v>
      </c>
      <c r="G1165" s="281"/>
      <c r="H1165" s="281"/>
      <c r="I1165" s="355" t="str">
        <f>IFERROR(F1165/#REF!,"-")</f>
        <v>-</v>
      </c>
      <c r="J1165" s="336">
        <f t="shared" si="1018"/>
        <v>0</v>
      </c>
      <c r="K1165" s="281">
        <f t="shared" si="1013"/>
        <v>0</v>
      </c>
      <c r="L1165" s="439">
        <f t="shared" si="1014"/>
        <v>0</v>
      </c>
      <c r="M1165" s="340" t="str">
        <f t="shared" si="1023"/>
        <v>-</v>
      </c>
      <c r="N1165" s="264" t="str">
        <f t="shared" si="1024"/>
        <v>-</v>
      </c>
      <c r="O1165" s="512">
        <v>4.8738000000000001</v>
      </c>
      <c r="P1165" s="407">
        <f t="shared" si="1015"/>
        <v>0</v>
      </c>
      <c r="Q1165" s="452">
        <f t="shared" si="1016"/>
        <v>0</v>
      </c>
    </row>
    <row r="1166" spans="1:17" ht="23.4" x14ac:dyDescent="0.4">
      <c r="A1166" s="248"/>
      <c r="B1166" s="1035" t="s">
        <v>276</v>
      </c>
      <c r="C1166" s="548" t="s">
        <v>80</v>
      </c>
      <c r="D1166" s="279"/>
      <c r="E1166" s="439"/>
      <c r="F1166" s="336">
        <f t="shared" si="1017"/>
        <v>53580</v>
      </c>
      <c r="G1166" s="281">
        <v>53412</v>
      </c>
      <c r="H1166" s="281">
        <v>168</v>
      </c>
      <c r="I1166" s="355" t="str">
        <f>IFERROR(F1166/#REF!,"-")</f>
        <v>-</v>
      </c>
      <c r="J1166" s="336">
        <f t="shared" si="1018"/>
        <v>586082</v>
      </c>
      <c r="K1166" s="730">
        <f t="shared" si="1013"/>
        <v>575267</v>
      </c>
      <c r="L1166" s="731">
        <f t="shared" si="1014"/>
        <v>10815</v>
      </c>
      <c r="M1166" s="340" t="str">
        <f t="shared" si="1023"/>
        <v>-</v>
      </c>
      <c r="N1166" s="264">
        <f t="shared" si="1024"/>
        <v>1.8453049232018726E-2</v>
      </c>
      <c r="O1166" s="512">
        <v>4.9344999999999999</v>
      </c>
      <c r="P1166" s="407">
        <f t="shared" si="1015"/>
        <v>263561.51399999997</v>
      </c>
      <c r="Q1166" s="452">
        <f t="shared" si="1016"/>
        <v>2838655.0115</v>
      </c>
    </row>
    <row r="1167" spans="1:17" ht="23.4" x14ac:dyDescent="0.4">
      <c r="A1167" s="248"/>
      <c r="B1167" s="1036"/>
      <c r="C1167" s="548" t="s">
        <v>142</v>
      </c>
      <c r="D1167" s="279"/>
      <c r="E1167" s="439"/>
      <c r="F1167" s="336">
        <f t="shared" si="1017"/>
        <v>0</v>
      </c>
      <c r="G1167" s="281"/>
      <c r="H1167" s="281"/>
      <c r="I1167" s="355" t="str">
        <f>IFERROR(F1167/#REF!,"-")</f>
        <v>-</v>
      </c>
      <c r="J1167" s="336">
        <f t="shared" si="1018"/>
        <v>0</v>
      </c>
      <c r="K1167" s="281">
        <f t="shared" si="1013"/>
        <v>0</v>
      </c>
      <c r="L1167" s="439">
        <f t="shared" si="1014"/>
        <v>0</v>
      </c>
      <c r="M1167" s="340" t="str">
        <f t="shared" si="1023"/>
        <v>-</v>
      </c>
      <c r="N1167" s="264" t="str">
        <f t="shared" si="1024"/>
        <v>-</v>
      </c>
      <c r="O1167" s="512">
        <v>4.9344999999999999</v>
      </c>
      <c r="P1167" s="407">
        <f t="shared" si="1015"/>
        <v>0</v>
      </c>
      <c r="Q1167" s="452">
        <f t="shared" si="1016"/>
        <v>0</v>
      </c>
    </row>
    <row r="1168" spans="1:17" ht="23.4" x14ac:dyDescent="0.4">
      <c r="A1168" s="248"/>
      <c r="B1168" s="1036"/>
      <c r="C1168" s="548" t="s">
        <v>136</v>
      </c>
      <c r="D1168" s="279"/>
      <c r="E1168" s="439"/>
      <c r="F1168" s="336">
        <f t="shared" si="1017"/>
        <v>0</v>
      </c>
      <c r="G1168" s="281"/>
      <c r="H1168" s="281"/>
      <c r="I1168" s="355" t="str">
        <f>IFERROR(F1168/#REF!,"-")</f>
        <v>-</v>
      </c>
      <c r="J1168" s="336">
        <f t="shared" si="1018"/>
        <v>0</v>
      </c>
      <c r="K1168" s="281">
        <f t="shared" si="1013"/>
        <v>0</v>
      </c>
      <c r="L1168" s="439">
        <f t="shared" si="1014"/>
        <v>0</v>
      </c>
      <c r="M1168" s="340" t="str">
        <f t="shared" si="1023"/>
        <v>-</v>
      </c>
      <c r="N1168" s="264" t="str">
        <f t="shared" si="1024"/>
        <v>-</v>
      </c>
      <c r="O1168" s="512">
        <v>4.9344999999999999</v>
      </c>
      <c r="P1168" s="407">
        <f t="shared" si="1015"/>
        <v>0</v>
      </c>
      <c r="Q1168" s="452">
        <f t="shared" si="1016"/>
        <v>0</v>
      </c>
    </row>
    <row r="1169" spans="1:17" ht="24" thickBot="1" x14ac:dyDescent="0.45">
      <c r="A1169" s="248"/>
      <c r="B1169" s="1037"/>
      <c r="C1169" s="548" t="s">
        <v>275</v>
      </c>
      <c r="D1169" s="279"/>
      <c r="E1169" s="439"/>
      <c r="F1169" s="336">
        <f t="shared" si="1017"/>
        <v>0</v>
      </c>
      <c r="G1169" s="281"/>
      <c r="H1169" s="281"/>
      <c r="I1169" s="355" t="str">
        <f>IFERROR(F1169/#REF!,"-")</f>
        <v>-</v>
      </c>
      <c r="J1169" s="336">
        <f t="shared" si="1018"/>
        <v>0</v>
      </c>
      <c r="K1169" s="281">
        <f t="shared" si="1013"/>
        <v>0</v>
      </c>
      <c r="L1169" s="439">
        <f t="shared" si="1014"/>
        <v>0</v>
      </c>
      <c r="M1169" s="340" t="str">
        <f t="shared" si="1023"/>
        <v>-</v>
      </c>
      <c r="N1169" s="264" t="str">
        <f t="shared" si="1024"/>
        <v>-</v>
      </c>
      <c r="O1169" s="512">
        <v>5.5069999999999997</v>
      </c>
      <c r="P1169" s="407">
        <f t="shared" si="1015"/>
        <v>0</v>
      </c>
      <c r="Q1169" s="452">
        <f t="shared" si="1016"/>
        <v>0</v>
      </c>
    </row>
    <row r="1170" spans="1:17" ht="23.4" x14ac:dyDescent="0.4">
      <c r="A1170" s="248"/>
      <c r="B1170" s="1035" t="s">
        <v>281</v>
      </c>
      <c r="C1170" s="548" t="s">
        <v>277</v>
      </c>
      <c r="D1170" s="279"/>
      <c r="E1170" s="439"/>
      <c r="F1170" s="336">
        <f t="shared" si="1017"/>
        <v>40181</v>
      </c>
      <c r="G1170" s="281">
        <v>40000</v>
      </c>
      <c r="H1170" s="281">
        <v>181</v>
      </c>
      <c r="I1170" s="355" t="str">
        <f>IFERROR(F1170/#REF!,"-")</f>
        <v>-</v>
      </c>
      <c r="J1170" s="336">
        <f t="shared" si="1018"/>
        <v>553936</v>
      </c>
      <c r="K1170" s="281">
        <f t="shared" si="1013"/>
        <v>542850</v>
      </c>
      <c r="L1170" s="439">
        <f t="shared" si="1014"/>
        <v>11086</v>
      </c>
      <c r="M1170" s="340" t="str">
        <f t="shared" si="1023"/>
        <v>-</v>
      </c>
      <c r="N1170" s="264">
        <f t="shared" si="1024"/>
        <v>2.0013142312469312E-2</v>
      </c>
      <c r="O1170" s="772">
        <v>5.5069999999999997</v>
      </c>
      <c r="P1170" s="407">
        <f t="shared" si="1015"/>
        <v>220280</v>
      </c>
      <c r="Q1170" s="452">
        <f t="shared" si="1016"/>
        <v>2989474.9499999997</v>
      </c>
    </row>
    <row r="1171" spans="1:17" ht="23.4" x14ac:dyDescent="0.4">
      <c r="A1171" s="248"/>
      <c r="B1171" s="1036"/>
      <c r="C1171" s="548" t="s">
        <v>278</v>
      </c>
      <c r="D1171" s="279"/>
      <c r="E1171" s="439"/>
      <c r="F1171" s="336">
        <f t="shared" si="1017"/>
        <v>0</v>
      </c>
      <c r="G1171" s="281"/>
      <c r="H1171" s="281"/>
      <c r="I1171" s="355" t="str">
        <f>IFERROR(F1171/#REF!,"-")</f>
        <v>-</v>
      </c>
      <c r="J1171" s="336">
        <f t="shared" si="1018"/>
        <v>0</v>
      </c>
      <c r="K1171" s="281">
        <f t="shared" si="1013"/>
        <v>0</v>
      </c>
      <c r="L1171" s="439">
        <f t="shared" si="1014"/>
        <v>0</v>
      </c>
      <c r="M1171" s="340" t="str">
        <f t="shared" si="1023"/>
        <v>-</v>
      </c>
      <c r="N1171" s="264" t="str">
        <f t="shared" si="1024"/>
        <v>-</v>
      </c>
      <c r="O1171" s="512">
        <v>5.6550000000000002</v>
      </c>
      <c r="P1171" s="407">
        <f t="shared" si="1015"/>
        <v>0</v>
      </c>
      <c r="Q1171" s="452">
        <f t="shared" si="1016"/>
        <v>0</v>
      </c>
    </row>
    <row r="1172" spans="1:17" ht="23.4" x14ac:dyDescent="0.4">
      <c r="A1172" s="248"/>
      <c r="B1172" s="1036"/>
      <c r="C1172" s="548" t="s">
        <v>355</v>
      </c>
      <c r="D1172" s="279"/>
      <c r="E1172" s="439"/>
      <c r="F1172" s="336">
        <f t="shared" si="1017"/>
        <v>0</v>
      </c>
      <c r="G1172" s="281"/>
      <c r="H1172" s="281"/>
      <c r="I1172" s="355" t="str">
        <f>IFERROR(F1172/#REF!,"-")</f>
        <v>-</v>
      </c>
      <c r="J1172" s="336">
        <f t="shared" si="1018"/>
        <v>321630</v>
      </c>
      <c r="K1172" s="730">
        <f t="shared" si="1013"/>
        <v>310550</v>
      </c>
      <c r="L1172" s="731">
        <f t="shared" si="1014"/>
        <v>11080</v>
      </c>
      <c r="M1172" s="340" t="str">
        <f t="shared" si="1023"/>
        <v>-</v>
      </c>
      <c r="N1172" s="264">
        <f t="shared" si="1024"/>
        <v>3.4449522743525168E-2</v>
      </c>
      <c r="O1172" s="512">
        <v>5.6550000000000002</v>
      </c>
      <c r="P1172" s="407">
        <f t="shared" si="1015"/>
        <v>0</v>
      </c>
      <c r="Q1172" s="452">
        <f t="shared" si="1016"/>
        <v>1756160.25</v>
      </c>
    </row>
    <row r="1173" spans="1:17" ht="23.4" x14ac:dyDescent="0.4">
      <c r="A1173" s="248"/>
      <c r="B1173" s="1036"/>
      <c r="C1173" s="548" t="s">
        <v>279</v>
      </c>
      <c r="D1173" s="279"/>
      <c r="E1173" s="439"/>
      <c r="F1173" s="336">
        <f t="shared" si="1017"/>
        <v>0</v>
      </c>
      <c r="G1173" s="281"/>
      <c r="H1173" s="281"/>
      <c r="I1173" s="355" t="str">
        <f>IFERROR(F1173/#REF!,"-")</f>
        <v>-</v>
      </c>
      <c r="J1173" s="336">
        <f t="shared" si="1018"/>
        <v>0</v>
      </c>
      <c r="K1173" s="281">
        <f t="shared" si="1013"/>
        <v>0</v>
      </c>
      <c r="L1173" s="439">
        <f t="shared" si="1014"/>
        <v>0</v>
      </c>
      <c r="M1173" s="340" t="str">
        <f t="shared" si="1023"/>
        <v>-</v>
      </c>
      <c r="N1173" s="264" t="str">
        <f t="shared" si="1024"/>
        <v>-</v>
      </c>
      <c r="O1173" s="512">
        <v>5.6550000000000002</v>
      </c>
      <c r="P1173" s="407">
        <f t="shared" si="1015"/>
        <v>0</v>
      </c>
      <c r="Q1173" s="452">
        <f t="shared" si="1016"/>
        <v>0</v>
      </c>
    </row>
    <row r="1174" spans="1:17" ht="23.4" x14ac:dyDescent="0.4">
      <c r="A1174" s="248" t="s">
        <v>108</v>
      </c>
      <c r="B1174" s="1036"/>
      <c r="C1174" s="548" t="s">
        <v>280</v>
      </c>
      <c r="D1174" s="279"/>
      <c r="E1174" s="439"/>
      <c r="F1174" s="336">
        <f t="shared" si="1017"/>
        <v>0</v>
      </c>
      <c r="G1174" s="281"/>
      <c r="H1174" s="281"/>
      <c r="I1174" s="355" t="str">
        <f>IFERROR(F1174/#REF!,"-")</f>
        <v>-</v>
      </c>
      <c r="J1174" s="336">
        <f t="shared" si="1018"/>
        <v>0</v>
      </c>
      <c r="K1174" s="281">
        <f t="shared" si="1013"/>
        <v>0</v>
      </c>
      <c r="L1174" s="439">
        <f t="shared" si="1014"/>
        <v>0</v>
      </c>
      <c r="M1174" s="340" t="str">
        <f t="shared" si="1023"/>
        <v>-</v>
      </c>
      <c r="N1174" s="264" t="str">
        <f t="shared" si="1024"/>
        <v>-</v>
      </c>
      <c r="O1174" s="512">
        <v>3.2963</v>
      </c>
      <c r="P1174" s="407">
        <f t="shared" si="1015"/>
        <v>0</v>
      </c>
      <c r="Q1174" s="452">
        <f t="shared" si="1016"/>
        <v>0</v>
      </c>
    </row>
    <row r="1175" spans="1:17" ht="24" thickBot="1" x14ac:dyDescent="0.45">
      <c r="A1175" s="248" t="s">
        <v>108</v>
      </c>
      <c r="B1175" s="1037"/>
      <c r="C1175" s="548" t="s">
        <v>275</v>
      </c>
      <c r="D1175" s="279"/>
      <c r="E1175" s="439"/>
      <c r="F1175" s="336">
        <f t="shared" si="1017"/>
        <v>0</v>
      </c>
      <c r="G1175" s="281"/>
      <c r="H1175" s="281"/>
      <c r="I1175" s="355" t="str">
        <f>IFERROR(F1175/#REF!,"-")</f>
        <v>-</v>
      </c>
      <c r="J1175" s="336">
        <f t="shared" si="1018"/>
        <v>0</v>
      </c>
      <c r="K1175" s="281">
        <f t="shared" si="1013"/>
        <v>0</v>
      </c>
      <c r="L1175" s="439">
        <f t="shared" si="1014"/>
        <v>0</v>
      </c>
      <c r="M1175" s="340" t="str">
        <f t="shared" si="1023"/>
        <v>-</v>
      </c>
      <c r="N1175" s="264" t="str">
        <f t="shared" si="1024"/>
        <v>-</v>
      </c>
      <c r="O1175" s="512">
        <v>3.2963</v>
      </c>
      <c r="P1175" s="407">
        <f t="shared" si="1015"/>
        <v>0</v>
      </c>
      <c r="Q1175" s="452">
        <f t="shared" si="1016"/>
        <v>0</v>
      </c>
    </row>
    <row r="1176" spans="1:17" ht="23.4" x14ac:dyDescent="0.4">
      <c r="A1176" s="248" t="s">
        <v>108</v>
      </c>
      <c r="B1176" s="552"/>
      <c r="C1176" s="549" t="s">
        <v>92</v>
      </c>
      <c r="D1176" s="516"/>
      <c r="E1176" s="439"/>
      <c r="F1176" s="336">
        <f t="shared" si="1017"/>
        <v>0</v>
      </c>
      <c r="G1176" s="281"/>
      <c r="H1176" s="281"/>
      <c r="I1176" s="355" t="str">
        <f>IFERROR(F1176/#REF!,"-")</f>
        <v>-</v>
      </c>
      <c r="J1176" s="336">
        <f t="shared" si="1018"/>
        <v>225097</v>
      </c>
      <c r="K1176" s="281">
        <f t="shared" si="1013"/>
        <v>223655</v>
      </c>
      <c r="L1176" s="439">
        <f t="shared" si="1014"/>
        <v>1442</v>
      </c>
      <c r="M1176" s="340" t="str">
        <f t="shared" si="1023"/>
        <v>-</v>
      </c>
      <c r="N1176" s="264">
        <f t="shared" si="1024"/>
        <v>6.4061271363012387E-3</v>
      </c>
      <c r="O1176" s="512">
        <v>2.3201000000000001</v>
      </c>
      <c r="P1176" s="407">
        <f t="shared" si="1015"/>
        <v>0</v>
      </c>
      <c r="Q1176" s="452">
        <f t="shared" si="1016"/>
        <v>518901.96549999999</v>
      </c>
    </row>
    <row r="1177" spans="1:17" ht="24" thickBot="1" x14ac:dyDescent="0.35">
      <c r="A1177" s="248" t="s">
        <v>108</v>
      </c>
      <c r="B1177" s="529"/>
      <c r="C1177" s="546"/>
      <c r="D1177" s="535"/>
      <c r="E1177" s="466"/>
      <c r="F1177" s="464">
        <f t="shared" si="1017"/>
        <v>0</v>
      </c>
      <c r="G1177" s="465"/>
      <c r="H1177" s="465"/>
      <c r="I1177" s="537" t="str">
        <f>IFERROR(F1177/#REF!,"-")</f>
        <v>-</v>
      </c>
      <c r="J1177" s="464">
        <f t="shared" si="1018"/>
        <v>0</v>
      </c>
      <c r="K1177" s="465">
        <f t="shared" si="1013"/>
        <v>0</v>
      </c>
      <c r="L1177" s="466">
        <f t="shared" si="1014"/>
        <v>0</v>
      </c>
      <c r="M1177" s="726" t="str">
        <f t="shared" si="1023"/>
        <v>-</v>
      </c>
      <c r="N1177" s="266" t="str">
        <f t="shared" si="1024"/>
        <v>-</v>
      </c>
      <c r="O1177" s="544"/>
      <c r="P1177" s="541">
        <f t="shared" si="1015"/>
        <v>0</v>
      </c>
      <c r="Q1177" s="542">
        <f t="shared" si="1016"/>
        <v>0</v>
      </c>
    </row>
    <row r="1178" spans="1:17" ht="23.25" customHeight="1" thickBot="1" x14ac:dyDescent="0.35">
      <c r="A1178" s="277" t="s">
        <v>108</v>
      </c>
      <c r="B1178" s="1038" t="s">
        <v>25</v>
      </c>
      <c r="C1178" s="989"/>
      <c r="D1178" s="518">
        <f>SUM(D1151:D1177)</f>
        <v>0</v>
      </c>
      <c r="E1178" s="531">
        <v>100000</v>
      </c>
      <c r="F1178" s="524">
        <f>SUM(F1146:F1177)</f>
        <v>130238</v>
      </c>
      <c r="G1178" s="524">
        <f>SUM(G1146:G1177)</f>
        <v>129312</v>
      </c>
      <c r="H1178" s="524">
        <f>SUM(H1146:H1177)</f>
        <v>926</v>
      </c>
      <c r="I1178" s="525" t="str">
        <f>IFERROR(F1178/#REF!,"-")</f>
        <v>-</v>
      </c>
      <c r="J1178" s="518">
        <f>SUM(J1146:J1177)</f>
        <v>2816688</v>
      </c>
      <c r="K1178" s="518">
        <f t="shared" ref="K1178:L1178" si="1025">SUM(K1146:K1177)</f>
        <v>2767680</v>
      </c>
      <c r="L1178" s="518">
        <f t="shared" si="1025"/>
        <v>49008</v>
      </c>
      <c r="M1178" s="526" t="str">
        <f t="shared" si="1023"/>
        <v>-</v>
      </c>
      <c r="N1178" s="525">
        <f t="shared" si="1024"/>
        <v>1.7399158160222219E-2</v>
      </c>
      <c r="O1178" s="527"/>
      <c r="P1178" s="528">
        <f>SUM(P1146:P1177)</f>
        <v>893386.73400000005</v>
      </c>
      <c r="Q1178" s="528">
        <f>SUM(Q1146:Q1177)</f>
        <v>21196814.923900001</v>
      </c>
    </row>
    <row r="1179" spans="1:17" ht="23.25" customHeight="1" thickBot="1" x14ac:dyDescent="0.35">
      <c r="A1179" s="321" t="s">
        <v>108</v>
      </c>
      <c r="B1179" s="1039" t="s">
        <v>269</v>
      </c>
      <c r="C1179" s="1040"/>
      <c r="D1179" s="329">
        <f>+D1150+D1178</f>
        <v>0</v>
      </c>
      <c r="E1179" s="330">
        <f>+E1150+E1178</f>
        <v>100000</v>
      </c>
      <c r="F1179" s="329">
        <f>+F1178</f>
        <v>130238</v>
      </c>
      <c r="G1179" s="329">
        <f t="shared" ref="G1179:H1179" si="1026">+G1178</f>
        <v>129312</v>
      </c>
      <c r="H1179" s="329">
        <f t="shared" si="1026"/>
        <v>926</v>
      </c>
      <c r="I1179" s="352" t="str">
        <f>IFERROR(F1179/#REF!,"-")</f>
        <v>-</v>
      </c>
      <c r="J1179" s="329">
        <f>+J1178</f>
        <v>2816688</v>
      </c>
      <c r="K1179" s="329">
        <f t="shared" ref="K1179:L1179" si="1027">+K1178</f>
        <v>2767680</v>
      </c>
      <c r="L1179" s="329">
        <f t="shared" si="1027"/>
        <v>49008</v>
      </c>
      <c r="M1179" s="344" t="str">
        <f t="shared" si="1023"/>
        <v>-</v>
      </c>
      <c r="N1179" s="352">
        <f t="shared" si="1024"/>
        <v>1.7399158160222219E-2</v>
      </c>
      <c r="O1179" s="397"/>
      <c r="P1179" s="413">
        <f>+P1178</f>
        <v>893386.73400000005</v>
      </c>
      <c r="Q1179" s="431">
        <f>Q1178</f>
        <v>21196814.923900001</v>
      </c>
    </row>
    <row r="1180" spans="1:17" ht="24.6" thickBot="1" x14ac:dyDescent="0.35">
      <c r="A1180" s="322"/>
      <c r="B1180" s="1041" t="s">
        <v>182</v>
      </c>
      <c r="C1180" s="1042"/>
      <c r="D1180" s="377">
        <f>+D1179+D1145+D1136</f>
        <v>0</v>
      </c>
      <c r="E1180" s="377">
        <f>+E1179+E1145+E1136</f>
        <v>230000</v>
      </c>
      <c r="F1180" s="377">
        <f>+F1179+F1145+F1136</f>
        <v>377339</v>
      </c>
      <c r="G1180" s="377">
        <f>+G1179+G1145+G1136</f>
        <v>372262</v>
      </c>
      <c r="H1180" s="377">
        <f>+H1179+H1145+H1136</f>
        <v>5077</v>
      </c>
      <c r="I1180" s="378" t="str">
        <f>IFERROR(F1180/#REF!,"-")</f>
        <v>-</v>
      </c>
      <c r="J1180" s="377">
        <f>+J1179+J1145+J1136</f>
        <v>7110152</v>
      </c>
      <c r="K1180" s="377">
        <f>+K1179+K1145+K1136</f>
        <v>6972890</v>
      </c>
      <c r="L1180" s="377">
        <f>+L1179+L1145+L1136</f>
        <v>137262</v>
      </c>
      <c r="M1180" s="378" t="str">
        <f t="shared" si="1023"/>
        <v>-</v>
      </c>
      <c r="N1180" s="378">
        <f>IFERROR(L1180/J1180,"-")</f>
        <v>1.930507252165636E-2</v>
      </c>
      <c r="O1180" s="404"/>
      <c r="P1180" s="421">
        <f>+P1179+P1145+P1136</f>
        <v>2152507.949</v>
      </c>
      <c r="Q1180" s="421">
        <f>+Q1179+Q1145+Q1136</f>
        <v>40159983.1259</v>
      </c>
    </row>
    <row r="1181" spans="1:17" ht="22.5" customHeight="1" x14ac:dyDescent="0.3">
      <c r="A1181" s="1043" t="s">
        <v>1</v>
      </c>
      <c r="B1181" s="1046" t="s">
        <v>2</v>
      </c>
      <c r="C1181" s="1049" t="s">
        <v>477</v>
      </c>
      <c r="D1181" s="1000" t="s">
        <v>4</v>
      </c>
      <c r="E1181" s="1001"/>
      <c r="F1181" s="1001"/>
      <c r="G1181" s="1001"/>
      <c r="H1181" s="1001"/>
      <c r="I1181" s="1001"/>
      <c r="J1181" s="1001"/>
      <c r="K1181" s="1001"/>
      <c r="L1181" s="1001"/>
      <c r="M1181" s="1001"/>
      <c r="N1181" s="1002"/>
      <c r="O1181" s="1021" t="s">
        <v>175</v>
      </c>
      <c r="P1181" s="1022"/>
      <c r="Q1181" s="1052"/>
    </row>
    <row r="1182" spans="1:17" ht="22.5" customHeight="1" x14ac:dyDescent="0.3">
      <c r="A1182" s="1044"/>
      <c r="B1182" s="1047"/>
      <c r="C1182" s="1050"/>
      <c r="D1182" s="1003" t="s">
        <v>7</v>
      </c>
      <c r="E1182" s="1005" t="s">
        <v>115</v>
      </c>
      <c r="F1182" s="1053" t="s">
        <v>590</v>
      </c>
      <c r="G1182" s="1008"/>
      <c r="H1182" s="1008"/>
      <c r="I1182" s="1009"/>
      <c r="J1182" s="1010" t="s">
        <v>8</v>
      </c>
      <c r="K1182" s="1011"/>
      <c r="L1182" s="1012"/>
      <c r="M1182" s="1013" t="s">
        <v>173</v>
      </c>
      <c r="N1182" s="1015" t="s">
        <v>172</v>
      </c>
      <c r="O1182" s="1054" t="s">
        <v>177</v>
      </c>
      <c r="P1182" s="1055"/>
      <c r="Q1182" s="1056"/>
    </row>
    <row r="1183" spans="1:17" ht="47.4" thickBot="1" x14ac:dyDescent="0.35">
      <c r="A1183" s="1045"/>
      <c r="B1183" s="1048"/>
      <c r="C1183" s="1051"/>
      <c r="D1183" s="1004"/>
      <c r="E1183" s="1006"/>
      <c r="F1183" s="455" t="s">
        <v>13</v>
      </c>
      <c r="G1183" s="456" t="s">
        <v>14</v>
      </c>
      <c r="H1183" s="456" t="s">
        <v>15</v>
      </c>
      <c r="I1183" s="457" t="s">
        <v>174</v>
      </c>
      <c r="J1183" s="712" t="s">
        <v>13</v>
      </c>
      <c r="K1183" s="710" t="s">
        <v>14</v>
      </c>
      <c r="L1183" s="711" t="s">
        <v>15</v>
      </c>
      <c r="M1183" s="1014"/>
      <c r="N1183" s="1016"/>
      <c r="O1183" s="447" t="s">
        <v>178</v>
      </c>
      <c r="P1183" s="448" t="s">
        <v>11</v>
      </c>
      <c r="Q1183" s="449" t="s">
        <v>12</v>
      </c>
    </row>
    <row r="1184" spans="1:17" ht="23.4" x14ac:dyDescent="0.3">
      <c r="A1184" s="271" t="s">
        <v>110</v>
      </c>
      <c r="B1184" s="442"/>
      <c r="C1184" s="272" t="s">
        <v>266</v>
      </c>
      <c r="D1184" s="273"/>
      <c r="E1184" s="274"/>
      <c r="F1184" s="335">
        <f>+G1184+H1184</f>
        <v>0</v>
      </c>
      <c r="G1184" s="275"/>
      <c r="H1184" s="275"/>
      <c r="I1184" s="354" t="str">
        <f>IFERROR(F1184/#REF!,"-")</f>
        <v>-</v>
      </c>
      <c r="J1184" s="461">
        <f>+K1184+L1184</f>
        <v>337292</v>
      </c>
      <c r="K1184" s="462">
        <f>+K1122+G1184</f>
        <v>321720</v>
      </c>
      <c r="L1184" s="463">
        <f>+L1122+H1184</f>
        <v>15572</v>
      </c>
      <c r="M1184" s="339" t="str">
        <f>IFERROR(J1184/D1184,"-")</f>
        <v>-</v>
      </c>
      <c r="N1184" s="346">
        <f t="shared" ref="N1184:N1185" si="1028">IFERROR(L1184/J1184,"-")</f>
        <v>4.6167712249326989E-2</v>
      </c>
      <c r="O1184" s="511">
        <v>1.5669</v>
      </c>
      <c r="P1184" s="405">
        <f>+O1184*G1184</f>
        <v>0</v>
      </c>
      <c r="Q1184" s="450">
        <f>+O1184*K1184</f>
        <v>504103.06799999997</v>
      </c>
    </row>
    <row r="1185" spans="1:17" ht="23.4" x14ac:dyDescent="0.3">
      <c r="A1185" s="277" t="s">
        <v>110</v>
      </c>
      <c r="B1185" s="441"/>
      <c r="C1185" s="278" t="s">
        <v>265</v>
      </c>
      <c r="D1185" s="279"/>
      <c r="E1185" s="280"/>
      <c r="F1185" s="336">
        <f t="shared" ref="F1185:F1188" si="1029">+G1185+H1185</f>
        <v>0</v>
      </c>
      <c r="G1185" s="833"/>
      <c r="H1185" s="833"/>
      <c r="I1185" s="355" t="str">
        <f>IFERROR(F1185/#REF!,"-")</f>
        <v>-</v>
      </c>
      <c r="J1185" s="336">
        <f t="shared" ref="J1185:J1188" si="1030">+K1185+L1185</f>
        <v>960348</v>
      </c>
      <c r="K1185" s="281">
        <f t="shared" ref="K1185:K1188" si="1031">+K1123+G1185</f>
        <v>947250</v>
      </c>
      <c r="L1185" s="439">
        <f t="shared" ref="L1185:L1188" si="1032">+L1123+H1185</f>
        <v>13098</v>
      </c>
      <c r="M1185" s="340" t="str">
        <f t="shared" ref="M1185:M1188" si="1033">IFERROR(J1185/D1185,"-")</f>
        <v>-</v>
      </c>
      <c r="N1185" s="268">
        <f t="shared" si="1028"/>
        <v>1.3638805932849342E-2</v>
      </c>
      <c r="O1185" s="512">
        <v>2.3978999999999999</v>
      </c>
      <c r="P1185" s="407">
        <f>+O1185*G1185</f>
        <v>0</v>
      </c>
      <c r="Q1185" s="452">
        <f>+O1185*K1185</f>
        <v>2271410.7749999999</v>
      </c>
    </row>
    <row r="1186" spans="1:17" ht="23.4" x14ac:dyDescent="0.3">
      <c r="A1186" s="277" t="s">
        <v>110</v>
      </c>
      <c r="B1186" s="441"/>
      <c r="C1186" s="278" t="s">
        <v>476</v>
      </c>
      <c r="D1186" s="279"/>
      <c r="E1186" s="280"/>
      <c r="F1186" s="336">
        <f t="shared" si="1029"/>
        <v>116340</v>
      </c>
      <c r="G1186" s="281">
        <v>115000</v>
      </c>
      <c r="H1186" s="833">
        <v>1340</v>
      </c>
      <c r="I1186" s="355" t="str">
        <f>IFERROR(F1186/#REF!,"-")</f>
        <v>-</v>
      </c>
      <c r="J1186" s="336">
        <f t="shared" si="1030"/>
        <v>1129273</v>
      </c>
      <c r="K1186" s="281">
        <f t="shared" si="1031"/>
        <v>1099500</v>
      </c>
      <c r="L1186" s="439">
        <f t="shared" si="1032"/>
        <v>29773</v>
      </c>
      <c r="M1186" s="340" t="str">
        <f t="shared" si="1033"/>
        <v>-</v>
      </c>
      <c r="N1186" s="806">
        <f>IFERROR(L1186/J1186,"-")</f>
        <v>2.6364749710654552E-2</v>
      </c>
      <c r="O1186" s="824">
        <v>3.6777000000000002</v>
      </c>
      <c r="P1186" s="407">
        <f t="shared" ref="P1186:P1188" si="1034">+O1186*G1186</f>
        <v>422935.5</v>
      </c>
      <c r="Q1186" s="452">
        <f t="shared" ref="Q1186:Q1188" si="1035">+O1186*K1186</f>
        <v>4043631.1500000004</v>
      </c>
    </row>
    <row r="1187" spans="1:17" ht="23.4" x14ac:dyDescent="0.3">
      <c r="A1187" s="277"/>
      <c r="B1187" s="454"/>
      <c r="C1187" s="278" t="s">
        <v>353</v>
      </c>
      <c r="D1187" s="283"/>
      <c r="E1187" s="284"/>
      <c r="F1187" s="336">
        <f t="shared" si="1029"/>
        <v>40706</v>
      </c>
      <c r="G1187" s="285">
        <v>40400</v>
      </c>
      <c r="H1187" s="285">
        <v>306</v>
      </c>
      <c r="I1187" s="355" t="str">
        <f>IFERROR(F1187/#REF!,"-")</f>
        <v>-</v>
      </c>
      <c r="J1187" s="336">
        <f t="shared" si="1030"/>
        <v>382269</v>
      </c>
      <c r="K1187" s="281">
        <f t="shared" si="1031"/>
        <v>375600</v>
      </c>
      <c r="L1187" s="439">
        <f t="shared" si="1032"/>
        <v>6669</v>
      </c>
      <c r="M1187" s="340" t="str">
        <f t="shared" si="1033"/>
        <v>-</v>
      </c>
      <c r="N1187" s="268">
        <f>IFERROR(L1187/J1187,"-")</f>
        <v>1.7445830030685196E-2</v>
      </c>
      <c r="O1187" s="513">
        <v>12.284700000000001</v>
      </c>
      <c r="P1187" s="407">
        <f t="shared" si="1034"/>
        <v>496301.88000000006</v>
      </c>
      <c r="Q1187" s="452">
        <f t="shared" si="1035"/>
        <v>4614133.32</v>
      </c>
    </row>
    <row r="1188" spans="1:17" ht="24" thickBot="1" x14ac:dyDescent="0.35">
      <c r="A1188" s="277" t="s">
        <v>110</v>
      </c>
      <c r="B1188" s="454"/>
      <c r="C1188" s="278" t="s">
        <v>408</v>
      </c>
      <c r="D1188" s="283"/>
      <c r="E1188" s="284"/>
      <c r="F1188" s="337">
        <f t="shared" si="1029"/>
        <v>31230</v>
      </c>
      <c r="G1188" s="285">
        <v>30000</v>
      </c>
      <c r="H1188" s="285">
        <v>1230</v>
      </c>
      <c r="I1188" s="356" t="str">
        <f>IFERROR(F1188/#REF!,"-")</f>
        <v>-</v>
      </c>
      <c r="J1188" s="464">
        <f t="shared" si="1030"/>
        <v>515602</v>
      </c>
      <c r="K1188" s="465">
        <f t="shared" si="1031"/>
        <v>500250</v>
      </c>
      <c r="L1188" s="466">
        <f t="shared" si="1032"/>
        <v>15352</v>
      </c>
      <c r="M1188" s="341" t="str">
        <f t="shared" si="1033"/>
        <v>-</v>
      </c>
      <c r="N1188" s="347">
        <f t="shared" ref="N1188:N1200" si="1036">IFERROR(L1188/J1188,"-")</f>
        <v>2.9774903898743606E-2</v>
      </c>
      <c r="O1188" s="824">
        <v>7.0612000000000004</v>
      </c>
      <c r="P1188" s="408">
        <f t="shared" si="1034"/>
        <v>211836</v>
      </c>
      <c r="Q1188" s="453">
        <f t="shared" si="1035"/>
        <v>3532365.3000000003</v>
      </c>
    </row>
    <row r="1189" spans="1:17" ht="23.25" customHeight="1" thickBot="1" x14ac:dyDescent="0.35">
      <c r="A1189" s="277" t="s">
        <v>110</v>
      </c>
      <c r="B1189" s="1038" t="s">
        <v>21</v>
      </c>
      <c r="C1189" s="989"/>
      <c r="D1189" s="323">
        <f>SUM(D1184:D1188)</f>
        <v>0</v>
      </c>
      <c r="E1189" s="288">
        <v>15000</v>
      </c>
      <c r="F1189" s="323">
        <f>SUM(F1184:F1188)</f>
        <v>188276</v>
      </c>
      <c r="G1189" s="324">
        <f>SUM(G1184:G1188)</f>
        <v>185400</v>
      </c>
      <c r="H1189" s="324">
        <f>SUM(H1184:H1188)</f>
        <v>2876</v>
      </c>
      <c r="I1189" s="348" t="str">
        <f>IFERROR(F1189/#REF!,"-")</f>
        <v>-</v>
      </c>
      <c r="J1189" s="323">
        <f>SUM(J1184:J1188)</f>
        <v>3324784</v>
      </c>
      <c r="K1189" s="324">
        <f>SUM(K1184:K1188)</f>
        <v>3244320</v>
      </c>
      <c r="L1189" s="325">
        <f>SUM(L1184:L1188)</f>
        <v>80464</v>
      </c>
      <c r="M1189" s="342" t="str">
        <f>IFERROR(J1189/D1189,"-")</f>
        <v>-</v>
      </c>
      <c r="N1189" s="348">
        <f t="shared" si="1036"/>
        <v>2.4201271420940428E-2</v>
      </c>
      <c r="O1189" s="394"/>
      <c r="P1189" s="409">
        <f>SUM(P1184:P1188)</f>
        <v>1131073.3800000001</v>
      </c>
      <c r="Q1189" s="428">
        <f>SUM(Q1184:Q1188)</f>
        <v>14965643.613000002</v>
      </c>
    </row>
    <row r="1190" spans="1:17" ht="23.4" x14ac:dyDescent="0.3">
      <c r="A1190" s="277" t="s">
        <v>110</v>
      </c>
      <c r="B1190" s="442"/>
      <c r="C1190" s="272" t="s">
        <v>264</v>
      </c>
      <c r="D1190" s="273"/>
      <c r="E1190" s="274"/>
      <c r="F1190" s="335">
        <f t="shared" ref="F1190:F1196" si="1037">+G1190+H1190</f>
        <v>0</v>
      </c>
      <c r="G1190" s="275"/>
      <c r="H1190" s="275"/>
      <c r="I1190" s="354" t="str">
        <f>IFERROR(F1190/#REF!,"-")</f>
        <v>-</v>
      </c>
      <c r="J1190" s="461">
        <f t="shared" ref="J1190:J1196" si="1038">+K1190+L1190</f>
        <v>34540</v>
      </c>
      <c r="K1190" s="462">
        <f t="shared" ref="K1190:K1196" si="1039">+K1128+G1190</f>
        <v>33840</v>
      </c>
      <c r="L1190" s="463">
        <f t="shared" ref="L1190:L1196" si="1040">+L1128+H1190</f>
        <v>700</v>
      </c>
      <c r="M1190" s="339" t="str">
        <f t="shared" ref="M1190:M1198" si="1041">IFERROR(J1190/D1190,"-")</f>
        <v>-</v>
      </c>
      <c r="N1190" s="349">
        <f t="shared" si="1036"/>
        <v>2.0266357845975681E-2</v>
      </c>
      <c r="O1190" s="511">
        <v>18.2316</v>
      </c>
      <c r="P1190" s="405">
        <f t="shared" ref="P1190:P1196" si="1042">+O1190*G1190</f>
        <v>0</v>
      </c>
      <c r="Q1190" s="450">
        <f t="shared" ref="Q1190:Q1196" si="1043">+O1190*K1190</f>
        <v>616957.34400000004</v>
      </c>
    </row>
    <row r="1191" spans="1:17" ht="23.4" x14ac:dyDescent="0.3">
      <c r="A1191" s="277" t="s">
        <v>110</v>
      </c>
      <c r="B1191" s="441"/>
      <c r="C1191" s="278" t="s">
        <v>92</v>
      </c>
      <c r="D1191" s="279"/>
      <c r="E1191" s="280"/>
      <c r="F1191" s="336">
        <f t="shared" si="1037"/>
        <v>0</v>
      </c>
      <c r="G1191" s="281"/>
      <c r="H1191" s="281"/>
      <c r="I1191" s="355" t="str">
        <f>IFERROR(F1191/#REF!,"-")</f>
        <v>-</v>
      </c>
      <c r="J1191" s="336">
        <f t="shared" si="1038"/>
        <v>350000</v>
      </c>
      <c r="K1191" s="281">
        <f t="shared" si="1039"/>
        <v>350000</v>
      </c>
      <c r="L1191" s="439">
        <f t="shared" si="1040"/>
        <v>0</v>
      </c>
      <c r="M1191" s="340" t="str">
        <f t="shared" si="1041"/>
        <v>-</v>
      </c>
      <c r="N1191" s="264">
        <f t="shared" si="1036"/>
        <v>0</v>
      </c>
      <c r="O1191" s="512">
        <v>1.2824</v>
      </c>
      <c r="P1191" s="407">
        <f t="shared" si="1042"/>
        <v>0</v>
      </c>
      <c r="Q1191" s="452">
        <f t="shared" si="1043"/>
        <v>448840</v>
      </c>
    </row>
    <row r="1192" spans="1:17" ht="23.4" x14ac:dyDescent="0.3">
      <c r="A1192" s="277" t="s">
        <v>110</v>
      </c>
      <c r="B1192" s="441"/>
      <c r="C1192" s="278" t="s">
        <v>329</v>
      </c>
      <c r="D1192" s="279"/>
      <c r="E1192" s="280"/>
      <c r="F1192" s="336">
        <f t="shared" si="1037"/>
        <v>0</v>
      </c>
      <c r="G1192" s="281"/>
      <c r="H1192" s="281"/>
      <c r="I1192" s="355" t="str">
        <f>IFERROR(F1192/#REF!,"-")</f>
        <v>-</v>
      </c>
      <c r="J1192" s="336">
        <f t="shared" si="1038"/>
        <v>108434</v>
      </c>
      <c r="K1192" s="281">
        <f t="shared" si="1039"/>
        <v>108000</v>
      </c>
      <c r="L1192" s="439">
        <f t="shared" si="1040"/>
        <v>434</v>
      </c>
      <c r="M1192" s="340" t="str">
        <f t="shared" si="1041"/>
        <v>-</v>
      </c>
      <c r="N1192" s="264">
        <f t="shared" si="1036"/>
        <v>4.0024346607152742E-3</v>
      </c>
      <c r="O1192" s="772">
        <v>5.7342000000000004</v>
      </c>
      <c r="P1192" s="407">
        <f t="shared" si="1042"/>
        <v>0</v>
      </c>
      <c r="Q1192" s="452">
        <f t="shared" si="1043"/>
        <v>619293.60000000009</v>
      </c>
    </row>
    <row r="1193" spans="1:17" ht="23.4" x14ac:dyDescent="0.3">
      <c r="A1193" s="277" t="s">
        <v>110</v>
      </c>
      <c r="B1193" s="441"/>
      <c r="C1193" s="278" t="s">
        <v>346</v>
      </c>
      <c r="D1193" s="279"/>
      <c r="E1193" s="280"/>
      <c r="F1193" s="336">
        <f t="shared" si="1037"/>
        <v>0</v>
      </c>
      <c r="G1193" s="281"/>
      <c r="H1193" s="281"/>
      <c r="I1193" s="355" t="str">
        <f>IFERROR(F1193/#REF!,"-")</f>
        <v>-</v>
      </c>
      <c r="J1193" s="336">
        <f t="shared" si="1038"/>
        <v>0</v>
      </c>
      <c r="K1193" s="281">
        <f t="shared" si="1039"/>
        <v>0</v>
      </c>
      <c r="L1193" s="439">
        <f t="shared" si="1040"/>
        <v>0</v>
      </c>
      <c r="M1193" s="340" t="str">
        <f t="shared" si="1041"/>
        <v>-</v>
      </c>
      <c r="N1193" s="264" t="str">
        <f t="shared" si="1036"/>
        <v>-</v>
      </c>
      <c r="O1193" s="512"/>
      <c r="P1193" s="407">
        <f t="shared" si="1042"/>
        <v>0</v>
      </c>
      <c r="Q1193" s="452">
        <f t="shared" si="1043"/>
        <v>0</v>
      </c>
    </row>
    <row r="1194" spans="1:17" ht="23.4" x14ac:dyDescent="0.3">
      <c r="A1194" s="277" t="s">
        <v>110</v>
      </c>
      <c r="B1194" s="441"/>
      <c r="C1194" s="278" t="s">
        <v>354</v>
      </c>
      <c r="D1194" s="279"/>
      <c r="E1194" s="280"/>
      <c r="F1194" s="336">
        <f t="shared" si="1037"/>
        <v>19125</v>
      </c>
      <c r="G1194" s="281">
        <v>18000</v>
      </c>
      <c r="H1194" s="281">
        <v>1125</v>
      </c>
      <c r="I1194" s="355" t="str">
        <f>IFERROR(F1194/#REF!,"-")</f>
        <v>-</v>
      </c>
      <c r="J1194" s="336">
        <f t="shared" si="1038"/>
        <v>223695</v>
      </c>
      <c r="K1194" s="281">
        <f t="shared" si="1039"/>
        <v>221200</v>
      </c>
      <c r="L1194" s="439">
        <f t="shared" si="1040"/>
        <v>2495</v>
      </c>
      <c r="M1194" s="340" t="str">
        <f t="shared" si="1041"/>
        <v>-</v>
      </c>
      <c r="N1194" s="264">
        <f t="shared" si="1036"/>
        <v>1.11535796508639E-2</v>
      </c>
      <c r="O1194" s="512">
        <v>12.029500000000001</v>
      </c>
      <c r="P1194" s="407">
        <f t="shared" si="1042"/>
        <v>216531</v>
      </c>
      <c r="Q1194" s="452">
        <f t="shared" si="1043"/>
        <v>2660925.4</v>
      </c>
    </row>
    <row r="1195" spans="1:17" ht="23.4" x14ac:dyDescent="0.3">
      <c r="A1195" s="277" t="s">
        <v>110</v>
      </c>
      <c r="B1195" s="441"/>
      <c r="C1195" s="278"/>
      <c r="D1195" s="279"/>
      <c r="E1195" s="280"/>
      <c r="F1195" s="336">
        <f t="shared" si="1037"/>
        <v>0</v>
      </c>
      <c r="G1195" s="281"/>
      <c r="H1195" s="281"/>
      <c r="I1195" s="355" t="str">
        <f>IFERROR(F1195/#REF!,"-")</f>
        <v>-</v>
      </c>
      <c r="J1195" s="336">
        <f t="shared" si="1038"/>
        <v>0</v>
      </c>
      <c r="K1195" s="281">
        <f t="shared" si="1039"/>
        <v>0</v>
      </c>
      <c r="L1195" s="439">
        <f t="shared" si="1040"/>
        <v>0</v>
      </c>
      <c r="M1195" s="340" t="str">
        <f t="shared" si="1041"/>
        <v>-</v>
      </c>
      <c r="N1195" s="264" t="str">
        <f t="shared" si="1036"/>
        <v>-</v>
      </c>
      <c r="O1195" s="512"/>
      <c r="P1195" s="407">
        <f t="shared" si="1042"/>
        <v>0</v>
      </c>
      <c r="Q1195" s="452">
        <f t="shared" si="1043"/>
        <v>0</v>
      </c>
    </row>
    <row r="1196" spans="1:17" ht="24" thickBot="1" x14ac:dyDescent="0.35">
      <c r="A1196" s="277" t="s">
        <v>110</v>
      </c>
      <c r="B1196" s="454"/>
      <c r="C1196" s="282"/>
      <c r="D1196" s="283">
        <v>0</v>
      </c>
      <c r="E1196" s="284"/>
      <c r="F1196" s="337">
        <f t="shared" si="1037"/>
        <v>0</v>
      </c>
      <c r="G1196" s="285"/>
      <c r="H1196" s="285"/>
      <c r="I1196" s="356" t="str">
        <f>IFERROR(F1196/#REF!,"-")</f>
        <v>-</v>
      </c>
      <c r="J1196" s="464">
        <f t="shared" si="1038"/>
        <v>0</v>
      </c>
      <c r="K1196" s="465">
        <f t="shared" si="1039"/>
        <v>0</v>
      </c>
      <c r="L1196" s="466">
        <f t="shared" si="1040"/>
        <v>0</v>
      </c>
      <c r="M1196" s="341" t="str">
        <f t="shared" si="1041"/>
        <v>-</v>
      </c>
      <c r="N1196" s="350" t="str">
        <f t="shared" si="1036"/>
        <v>-</v>
      </c>
      <c r="O1196" s="513"/>
      <c r="P1196" s="408">
        <f t="shared" si="1042"/>
        <v>0</v>
      </c>
      <c r="Q1196" s="453">
        <f t="shared" si="1043"/>
        <v>0</v>
      </c>
    </row>
    <row r="1197" spans="1:17" ht="23.25" customHeight="1" thickBot="1" x14ac:dyDescent="0.35">
      <c r="A1197" s="277" t="s">
        <v>110</v>
      </c>
      <c r="B1197" s="1038" t="s">
        <v>25</v>
      </c>
      <c r="C1197" s="989"/>
      <c r="D1197" s="323">
        <f t="shared" ref="D1197" si="1044">SUM(D1190:D1196)</f>
        <v>0</v>
      </c>
      <c r="E1197" s="288">
        <v>100000</v>
      </c>
      <c r="F1197" s="323">
        <f>SUM(F1190:F1196)</f>
        <v>19125</v>
      </c>
      <c r="G1197" s="324">
        <f t="shared" ref="G1197:H1197" si="1045">SUM(G1190:G1196)</f>
        <v>18000</v>
      </c>
      <c r="H1197" s="324">
        <f t="shared" si="1045"/>
        <v>1125</v>
      </c>
      <c r="I1197" s="348" t="str">
        <f>IFERROR(F1197/#REF!,"-")</f>
        <v>-</v>
      </c>
      <c r="J1197" s="323">
        <f t="shared" ref="J1197:L1197" si="1046">SUM(J1190:J1196)</f>
        <v>716669</v>
      </c>
      <c r="K1197" s="324">
        <f t="shared" si="1046"/>
        <v>713040</v>
      </c>
      <c r="L1197" s="325">
        <f t="shared" si="1046"/>
        <v>3629</v>
      </c>
      <c r="M1197" s="342" t="str">
        <f t="shared" si="1041"/>
        <v>-</v>
      </c>
      <c r="N1197" s="348">
        <f t="shared" si="1036"/>
        <v>5.0637044437529741E-3</v>
      </c>
      <c r="O1197" s="394"/>
      <c r="P1197" s="409">
        <f t="shared" ref="P1197:Q1197" si="1047">SUM(P1190:P1196)</f>
        <v>216531</v>
      </c>
      <c r="Q1197" s="428">
        <f t="shared" si="1047"/>
        <v>4346016.3440000005</v>
      </c>
    </row>
    <row r="1198" spans="1:17" ht="23.25" customHeight="1" thickBot="1" x14ac:dyDescent="0.35">
      <c r="A1198" s="277" t="s">
        <v>110</v>
      </c>
      <c r="B1198" s="1039" t="s">
        <v>180</v>
      </c>
      <c r="C1198" s="1040"/>
      <c r="D1198" s="329">
        <f>+D1189+D1197</f>
        <v>0</v>
      </c>
      <c r="E1198" s="330">
        <f t="shared" ref="E1198:H1198" si="1048">+E1189+E1197</f>
        <v>115000</v>
      </c>
      <c r="F1198" s="329">
        <f t="shared" si="1048"/>
        <v>207401</v>
      </c>
      <c r="G1198" s="327">
        <f t="shared" si="1048"/>
        <v>203400</v>
      </c>
      <c r="H1198" s="327">
        <f t="shared" si="1048"/>
        <v>4001</v>
      </c>
      <c r="I1198" s="352" t="str">
        <f>IFERROR(F1198/#REF!,"-")</f>
        <v>-</v>
      </c>
      <c r="J1198" s="329">
        <f t="shared" ref="J1198:L1198" si="1049">+J1189+J1197</f>
        <v>4041453</v>
      </c>
      <c r="K1198" s="327">
        <f t="shared" si="1049"/>
        <v>3957360</v>
      </c>
      <c r="L1198" s="328">
        <f t="shared" si="1049"/>
        <v>84093</v>
      </c>
      <c r="M1198" s="344" t="str">
        <f t="shared" si="1041"/>
        <v>-</v>
      </c>
      <c r="N1198" s="352">
        <f t="shared" si="1036"/>
        <v>2.080761547888841E-2</v>
      </c>
      <c r="O1198" s="397"/>
      <c r="P1198" s="413">
        <f t="shared" ref="P1198:Q1198" si="1050">+P1189+P1197</f>
        <v>1347604.3800000001</v>
      </c>
      <c r="Q1198" s="431">
        <f t="shared" si="1050"/>
        <v>19311659.957000002</v>
      </c>
    </row>
    <row r="1199" spans="1:17" ht="23.4" x14ac:dyDescent="0.3">
      <c r="A1199" s="244" t="s">
        <v>108</v>
      </c>
      <c r="B1199" s="591"/>
      <c r="C1199" s="592" t="s">
        <v>306</v>
      </c>
      <c r="D1199" s="532"/>
      <c r="E1199" s="463"/>
      <c r="F1199" s="461">
        <f>+G1199+H1199</f>
        <v>0</v>
      </c>
      <c r="G1199" s="462"/>
      <c r="H1199" s="462"/>
      <c r="I1199" s="536" t="str">
        <f>IFERROR(F1199/#REF!,"-")</f>
        <v>-</v>
      </c>
      <c r="J1199" s="461">
        <f>+K1199+L1199</f>
        <v>0</v>
      </c>
      <c r="K1199" s="462">
        <f t="shared" ref="K1199:K1205" si="1051">+K1137+G1199</f>
        <v>0</v>
      </c>
      <c r="L1199" s="463">
        <f t="shared" ref="L1199:L1205" si="1052">+L1137+H1199</f>
        <v>0</v>
      </c>
      <c r="M1199" s="596" t="str">
        <f>IFERROR(J1199/D1199,"-")</f>
        <v>-</v>
      </c>
      <c r="N1199" s="538" t="str">
        <f t="shared" si="1036"/>
        <v>-</v>
      </c>
      <c r="O1199" s="638">
        <v>4.8285999999999998</v>
      </c>
      <c r="P1199" s="539">
        <f t="shared" ref="P1199:P1205" si="1053">+O1199*G1199</f>
        <v>0</v>
      </c>
      <c r="Q1199" s="540">
        <f t="shared" ref="Q1199:Q1205" si="1054">+O1199*K1199</f>
        <v>0</v>
      </c>
    </row>
    <row r="1200" spans="1:17" ht="23.4" x14ac:dyDescent="0.3">
      <c r="A1200" s="248" t="s">
        <v>108</v>
      </c>
      <c r="B1200" s="593"/>
      <c r="C1200" s="278" t="s">
        <v>307</v>
      </c>
      <c r="D1200" s="279"/>
      <c r="E1200" s="439"/>
      <c r="F1200" s="336">
        <f t="shared" ref="F1200:F1205" si="1055">+G1200+H1200</f>
        <v>0</v>
      </c>
      <c r="G1200" s="281"/>
      <c r="H1200" s="281"/>
      <c r="I1200" s="355" t="str">
        <f>IFERROR(F1200/#REF!,"-")</f>
        <v>-</v>
      </c>
      <c r="J1200" s="336">
        <f t="shared" ref="J1200:J1205" si="1056">+K1200+L1200</f>
        <v>0</v>
      </c>
      <c r="K1200" s="281">
        <f t="shared" si="1051"/>
        <v>0</v>
      </c>
      <c r="L1200" s="439">
        <f t="shared" si="1052"/>
        <v>0</v>
      </c>
      <c r="M1200" s="340" t="str">
        <f t="shared" ref="M1200:M1202" si="1057">IFERROR(J1200/D1200,"-")</f>
        <v>-</v>
      </c>
      <c r="N1200" s="268" t="str">
        <f t="shared" si="1036"/>
        <v>-</v>
      </c>
      <c r="O1200" s="639">
        <v>1.4086000000000001</v>
      </c>
      <c r="P1200" s="407">
        <f t="shared" si="1053"/>
        <v>0</v>
      </c>
      <c r="Q1200" s="452">
        <f t="shared" si="1054"/>
        <v>0</v>
      </c>
    </row>
    <row r="1201" spans="1:17" ht="23.4" x14ac:dyDescent="0.3">
      <c r="A1201" s="248" t="s">
        <v>108</v>
      </c>
      <c r="B1201" s="593"/>
      <c r="C1201" s="278" t="s">
        <v>348</v>
      </c>
      <c r="D1201" s="279"/>
      <c r="E1201" s="439"/>
      <c r="F1201" s="336">
        <f t="shared" si="1055"/>
        <v>0</v>
      </c>
      <c r="G1201" s="281"/>
      <c r="H1201" s="281"/>
      <c r="I1201" s="355" t="str">
        <f>IFERROR(F1201/#REF!,"-")</f>
        <v>-</v>
      </c>
      <c r="J1201" s="336">
        <f t="shared" si="1056"/>
        <v>0</v>
      </c>
      <c r="K1201" s="281">
        <f t="shared" si="1051"/>
        <v>0</v>
      </c>
      <c r="L1201" s="439">
        <f t="shared" si="1052"/>
        <v>0</v>
      </c>
      <c r="M1201" s="340" t="str">
        <f t="shared" si="1057"/>
        <v>-</v>
      </c>
      <c r="N1201" s="268" t="str">
        <f>IFERROR(L1201/J1201,"-")</f>
        <v>-</v>
      </c>
      <c r="O1201" s="639">
        <v>2.2141000000000002</v>
      </c>
      <c r="P1201" s="407">
        <f t="shared" si="1053"/>
        <v>0</v>
      </c>
      <c r="Q1201" s="452">
        <f t="shared" si="1054"/>
        <v>0</v>
      </c>
    </row>
    <row r="1202" spans="1:17" ht="23.4" x14ac:dyDescent="0.3">
      <c r="A1202" s="248" t="s">
        <v>108</v>
      </c>
      <c r="B1202" s="594"/>
      <c r="C1202" s="278" t="s">
        <v>583</v>
      </c>
      <c r="D1202" s="283"/>
      <c r="E1202" s="533"/>
      <c r="F1202" s="337">
        <f t="shared" si="1055"/>
        <v>0</v>
      </c>
      <c r="G1202" s="285"/>
      <c r="H1202" s="285"/>
      <c r="I1202" s="356" t="str">
        <f>IFERROR(F1202/#REF!,"-")</f>
        <v>-</v>
      </c>
      <c r="J1202" s="336">
        <f t="shared" si="1056"/>
        <v>459412</v>
      </c>
      <c r="K1202" s="281">
        <f t="shared" si="1051"/>
        <v>451250</v>
      </c>
      <c r="L1202" s="439">
        <f t="shared" si="1052"/>
        <v>8162</v>
      </c>
      <c r="M1202" s="341" t="str">
        <f t="shared" si="1057"/>
        <v>-</v>
      </c>
      <c r="N1202" s="347">
        <f t="shared" ref="N1202:N1209" si="1058">IFERROR(L1202/J1202,"-")</f>
        <v>1.776618808389855E-2</v>
      </c>
      <c r="O1202" s="639">
        <v>2.2141000000000002</v>
      </c>
      <c r="P1202" s="408">
        <f t="shared" si="1053"/>
        <v>0</v>
      </c>
      <c r="Q1202" s="453">
        <f t="shared" si="1054"/>
        <v>999112.62500000012</v>
      </c>
    </row>
    <row r="1203" spans="1:17" ht="23.4" x14ac:dyDescent="0.3">
      <c r="A1203" s="248" t="s">
        <v>108</v>
      </c>
      <c r="B1203" s="443"/>
      <c r="C1203" s="637" t="s">
        <v>393</v>
      </c>
      <c r="D1203" s="514"/>
      <c r="E1203" s="534"/>
      <c r="F1203" s="336">
        <f t="shared" si="1055"/>
        <v>0</v>
      </c>
      <c r="G1203" s="553"/>
      <c r="H1203" s="553"/>
      <c r="I1203" s="355" t="str">
        <f>IFERROR(F1203/#REF!,"-")</f>
        <v>-</v>
      </c>
      <c r="J1203" s="336">
        <f t="shared" si="1056"/>
        <v>0</v>
      </c>
      <c r="K1203" s="281">
        <f t="shared" si="1051"/>
        <v>0</v>
      </c>
      <c r="L1203" s="439">
        <f t="shared" si="1052"/>
        <v>0</v>
      </c>
      <c r="M1203" s="725"/>
      <c r="N1203" s="268" t="str">
        <f t="shared" si="1058"/>
        <v>-</v>
      </c>
      <c r="O1203" s="545">
        <v>4.8285999999999998</v>
      </c>
      <c r="P1203" s="407">
        <f t="shared" si="1053"/>
        <v>0</v>
      </c>
      <c r="Q1203" s="452">
        <f t="shared" si="1054"/>
        <v>0</v>
      </c>
    </row>
    <row r="1204" spans="1:17" ht="23.4" x14ac:dyDescent="0.3">
      <c r="A1204" s="248" t="s">
        <v>108</v>
      </c>
      <c r="B1204" s="595"/>
      <c r="C1204" s="637" t="s">
        <v>389</v>
      </c>
      <c r="D1204" s="273"/>
      <c r="E1204" s="438"/>
      <c r="F1204" s="335">
        <f t="shared" si="1055"/>
        <v>0</v>
      </c>
      <c r="G1204" s="275"/>
      <c r="H1204" s="275"/>
      <c r="I1204" s="354" t="str">
        <f>IFERROR(F1204/#REF!,"-")</f>
        <v>-</v>
      </c>
      <c r="J1204" s="336">
        <f t="shared" si="1056"/>
        <v>0</v>
      </c>
      <c r="K1204" s="281">
        <f t="shared" si="1051"/>
        <v>0</v>
      </c>
      <c r="L1204" s="439">
        <f t="shared" si="1052"/>
        <v>0</v>
      </c>
      <c r="M1204" s="339" t="str">
        <f t="shared" ref="M1204:M1205" si="1059">IFERROR(J1204/D1204,"-")</f>
        <v>-</v>
      </c>
      <c r="N1204" s="349" t="str">
        <f t="shared" si="1058"/>
        <v>-</v>
      </c>
      <c r="O1204" s="511">
        <v>4.1712999999999996</v>
      </c>
      <c r="P1204" s="405">
        <f t="shared" si="1053"/>
        <v>0</v>
      </c>
      <c r="Q1204" s="450">
        <f t="shared" si="1054"/>
        <v>0</v>
      </c>
    </row>
    <row r="1205" spans="1:17" ht="24" thickBot="1" x14ac:dyDescent="0.35">
      <c r="A1205" s="248" t="s">
        <v>108</v>
      </c>
      <c r="B1205" s="593"/>
      <c r="C1205" s="278"/>
      <c r="D1205" s="279"/>
      <c r="E1205" s="439"/>
      <c r="F1205" s="336">
        <f t="shared" si="1055"/>
        <v>0</v>
      </c>
      <c r="G1205" s="281"/>
      <c r="H1205" s="281"/>
      <c r="I1205" s="355" t="str">
        <f>IFERROR(F1205/#REF!,"-")</f>
        <v>-</v>
      </c>
      <c r="J1205" s="464">
        <f t="shared" si="1056"/>
        <v>0</v>
      </c>
      <c r="K1205" s="465">
        <f t="shared" si="1051"/>
        <v>0</v>
      </c>
      <c r="L1205" s="466">
        <f t="shared" si="1052"/>
        <v>0</v>
      </c>
      <c r="M1205" s="340" t="str">
        <f t="shared" si="1059"/>
        <v>-</v>
      </c>
      <c r="N1205" s="264" t="str">
        <f t="shared" si="1058"/>
        <v>-</v>
      </c>
      <c r="O1205" s="451"/>
      <c r="P1205" s="407">
        <f t="shared" si="1053"/>
        <v>0</v>
      </c>
      <c r="Q1205" s="452">
        <f t="shared" si="1054"/>
        <v>0</v>
      </c>
    </row>
    <row r="1206" spans="1:17" ht="23.25" customHeight="1" thickBot="1" x14ac:dyDescent="0.35">
      <c r="A1206" s="277" t="s">
        <v>108</v>
      </c>
      <c r="B1206" s="1038" t="s">
        <v>21</v>
      </c>
      <c r="C1206" s="989"/>
      <c r="D1206" s="323">
        <v>0</v>
      </c>
      <c r="E1206" s="288">
        <v>15000</v>
      </c>
      <c r="F1206" s="323">
        <f>SUM(F1199:F1205)</f>
        <v>0</v>
      </c>
      <c r="G1206" s="324">
        <f t="shared" ref="G1206:H1206" si="1060">SUM(G1199:G1205)</f>
        <v>0</v>
      </c>
      <c r="H1206" s="324">
        <f t="shared" si="1060"/>
        <v>0</v>
      </c>
      <c r="I1206" s="348" t="str">
        <f>IFERROR(F1206/#REF!,"-")</f>
        <v>-</v>
      </c>
      <c r="J1206" s="518">
        <f t="shared" ref="J1206" si="1061">SUM(J1199:J1205)</f>
        <v>459412</v>
      </c>
      <c r="K1206" s="524">
        <f>SUM(K1199:K1205)</f>
        <v>451250</v>
      </c>
      <c r="L1206" s="524">
        <f>SUM(L1199:L1205)</f>
        <v>8162</v>
      </c>
      <c r="M1206" s="342" t="str">
        <f>IFERROR(J1206/D1206,"-")</f>
        <v>-</v>
      </c>
      <c r="N1206" s="348">
        <f t="shared" si="1058"/>
        <v>1.776618808389855E-2</v>
      </c>
      <c r="O1206" s="394"/>
      <c r="P1206" s="409">
        <f>SUM(P1199:P1205)</f>
        <v>0</v>
      </c>
      <c r="Q1206" s="428">
        <f>SUM(Q1199:Q1205)</f>
        <v>999112.62500000012</v>
      </c>
    </row>
    <row r="1207" spans="1:17" ht="23.25" customHeight="1" thickBot="1" x14ac:dyDescent="0.35">
      <c r="A1207" s="277" t="s">
        <v>108</v>
      </c>
      <c r="B1207" s="1039" t="s">
        <v>268</v>
      </c>
      <c r="C1207" s="1040"/>
      <c r="D1207" s="517">
        <f>+D1203+D1206</f>
        <v>0</v>
      </c>
      <c r="E1207" s="530">
        <f>+E1203+E1206</f>
        <v>15000</v>
      </c>
      <c r="F1207" s="517">
        <f>+F1203+F1206</f>
        <v>0</v>
      </c>
      <c r="G1207" s="519">
        <f>+G1203+G1206</f>
        <v>0</v>
      </c>
      <c r="H1207" s="519">
        <f>+H1203+H1206</f>
        <v>0</v>
      </c>
      <c r="I1207" s="520" t="str">
        <f>IFERROR(F1207/#REF!,"-")</f>
        <v>-</v>
      </c>
      <c r="J1207" s="517">
        <f>+J1203+J1206</f>
        <v>459412</v>
      </c>
      <c r="K1207" s="519">
        <f>+K1206</f>
        <v>451250</v>
      </c>
      <c r="L1207" s="519">
        <f>+L1206</f>
        <v>8162</v>
      </c>
      <c r="M1207" s="521" t="str">
        <f t="shared" ref="M1207" si="1062">IFERROR(J1207/D1207,"-")</f>
        <v>-</v>
      </c>
      <c r="N1207" s="520">
        <f t="shared" si="1058"/>
        <v>1.776618808389855E-2</v>
      </c>
      <c r="O1207" s="522"/>
      <c r="P1207" s="523">
        <f>+P1206</f>
        <v>0</v>
      </c>
      <c r="Q1207" s="523">
        <f>+Q1206</f>
        <v>999112.62500000012</v>
      </c>
    </row>
    <row r="1208" spans="1:17" ht="23.4" x14ac:dyDescent="0.4">
      <c r="A1208" s="244" t="s">
        <v>108</v>
      </c>
      <c r="B1208" s="1035" t="s">
        <v>270</v>
      </c>
      <c r="C1208" s="547" t="s">
        <v>74</v>
      </c>
      <c r="D1208" s="532"/>
      <c r="E1208" s="463"/>
      <c r="F1208" s="461">
        <f>+G1208+H1208</f>
        <v>0</v>
      </c>
      <c r="G1208" s="462"/>
      <c r="H1208" s="462"/>
      <c r="I1208" s="536" t="str">
        <f>IFERROR(F1208/#REF!,"-")</f>
        <v>-</v>
      </c>
      <c r="J1208" s="461">
        <f>+K1208+L1208</f>
        <v>80931</v>
      </c>
      <c r="K1208" s="462">
        <f t="shared" ref="K1208:K1239" si="1063">+K1146+G1208</f>
        <v>80150</v>
      </c>
      <c r="L1208" s="463">
        <f t="shared" ref="L1208:L1239" si="1064">+L1146+H1208</f>
        <v>781</v>
      </c>
      <c r="M1208" s="596" t="str">
        <f>IFERROR(J1208/D1208,"-")</f>
        <v>-</v>
      </c>
      <c r="N1208" s="538">
        <f t="shared" si="1058"/>
        <v>9.6501958458439906E-3</v>
      </c>
      <c r="O1208" s="543">
        <v>32.946300000000001</v>
      </c>
      <c r="P1208" s="539">
        <f t="shared" ref="P1208:P1239" si="1065">+O1208*G1208</f>
        <v>0</v>
      </c>
      <c r="Q1208" s="540">
        <f t="shared" ref="Q1208:Q1239" si="1066">+O1208*K1208</f>
        <v>2640645.9449999998</v>
      </c>
    </row>
    <row r="1209" spans="1:17" ht="23.4" x14ac:dyDescent="0.4">
      <c r="A1209" s="248" t="s">
        <v>108</v>
      </c>
      <c r="B1209" s="1036"/>
      <c r="C1209" s="548" t="s">
        <v>75</v>
      </c>
      <c r="D1209" s="516"/>
      <c r="E1209" s="439"/>
      <c r="F1209" s="336">
        <f t="shared" ref="F1209:F1239" si="1067">+G1209+H1209</f>
        <v>2078</v>
      </c>
      <c r="G1209" s="281">
        <v>2000</v>
      </c>
      <c r="H1209" s="281">
        <v>78</v>
      </c>
      <c r="I1209" s="355" t="str">
        <f>IFERROR(F1209/#REF!,"-")</f>
        <v>-</v>
      </c>
      <c r="J1209" s="336">
        <f t="shared" ref="J1209:J1239" si="1068">+K1209+L1209</f>
        <v>17154</v>
      </c>
      <c r="K1209" s="281">
        <f t="shared" si="1063"/>
        <v>17000</v>
      </c>
      <c r="L1209" s="439">
        <f t="shared" si="1064"/>
        <v>154</v>
      </c>
      <c r="M1209" s="340" t="str">
        <f t="shared" ref="M1209:M1211" si="1069">IFERROR(J1209/D1209,"-")</f>
        <v>-</v>
      </c>
      <c r="N1209" s="268">
        <f t="shared" si="1058"/>
        <v>8.9774979596595542E-3</v>
      </c>
      <c r="O1209" s="512">
        <v>35.398400000000002</v>
      </c>
      <c r="P1209" s="407">
        <f t="shared" si="1065"/>
        <v>70796.800000000003</v>
      </c>
      <c r="Q1209" s="452">
        <f t="shared" si="1066"/>
        <v>601772.80000000005</v>
      </c>
    </row>
    <row r="1210" spans="1:17" ht="24" thickBot="1" x14ac:dyDescent="0.45">
      <c r="A1210" s="248" t="s">
        <v>108</v>
      </c>
      <c r="B1210" s="1037"/>
      <c r="C1210" s="548" t="s">
        <v>76</v>
      </c>
      <c r="D1210" s="279"/>
      <c r="E1210" s="439"/>
      <c r="F1210" s="336">
        <f t="shared" si="1067"/>
        <v>0</v>
      </c>
      <c r="G1210" s="281"/>
      <c r="H1210" s="281"/>
      <c r="I1210" s="355" t="str">
        <f>IFERROR(F1210/#REF!,"-")</f>
        <v>-</v>
      </c>
      <c r="J1210" s="336">
        <f t="shared" si="1068"/>
        <v>0</v>
      </c>
      <c r="K1210" s="281">
        <f t="shared" si="1063"/>
        <v>0</v>
      </c>
      <c r="L1210" s="439">
        <f t="shared" si="1064"/>
        <v>0</v>
      </c>
      <c r="M1210" s="340" t="str">
        <f t="shared" si="1069"/>
        <v>-</v>
      </c>
      <c r="N1210" s="268" t="str">
        <f>IFERROR(L1210/J1210,"-")</f>
        <v>-</v>
      </c>
      <c r="O1210" s="512">
        <v>32.946300000000001</v>
      </c>
      <c r="P1210" s="407">
        <f t="shared" si="1065"/>
        <v>0</v>
      </c>
      <c r="Q1210" s="452">
        <f t="shared" si="1066"/>
        <v>0</v>
      </c>
    </row>
    <row r="1211" spans="1:17" ht="23.4" x14ac:dyDescent="0.4">
      <c r="A1211" s="248" t="s">
        <v>108</v>
      </c>
      <c r="B1211" s="1035" t="s">
        <v>271</v>
      </c>
      <c r="C1211" s="550" t="s">
        <v>78</v>
      </c>
      <c r="D1211" s="279"/>
      <c r="E1211" s="533"/>
      <c r="F1211" s="337">
        <f t="shared" si="1067"/>
        <v>0</v>
      </c>
      <c r="G1211" s="281"/>
      <c r="H1211" s="281"/>
      <c r="I1211" s="355" t="str">
        <f>IFERROR(F1211/#REF!,"-")</f>
        <v>-</v>
      </c>
      <c r="J1211" s="336">
        <f t="shared" si="1068"/>
        <v>70498</v>
      </c>
      <c r="K1211" s="281">
        <f t="shared" si="1063"/>
        <v>68138</v>
      </c>
      <c r="L1211" s="439">
        <f t="shared" si="1064"/>
        <v>2360</v>
      </c>
      <c r="M1211" s="340" t="str">
        <f t="shared" si="1069"/>
        <v>-</v>
      </c>
      <c r="N1211" s="268">
        <f t="shared" ref="N1211" si="1070">IFERROR(L1211/J1211,"-")</f>
        <v>3.3476126982325737E-2</v>
      </c>
      <c r="O1211" s="512">
        <v>55.4758</v>
      </c>
      <c r="P1211" s="407">
        <f t="shared" si="1065"/>
        <v>0</v>
      </c>
      <c r="Q1211" s="452">
        <f t="shared" si="1066"/>
        <v>3780010.0603999998</v>
      </c>
    </row>
    <row r="1212" spans="1:17" ht="23.4" x14ac:dyDescent="0.4">
      <c r="A1212" s="248" t="s">
        <v>108</v>
      </c>
      <c r="B1212" s="1036"/>
      <c r="C1212" s="550" t="s">
        <v>75</v>
      </c>
      <c r="D1212" s="279"/>
      <c r="E1212" s="534"/>
      <c r="F1212" s="337">
        <f t="shared" si="1067"/>
        <v>0</v>
      </c>
      <c r="G1212" s="281"/>
      <c r="H1212" s="281"/>
      <c r="I1212" s="355" t="str">
        <f>IFERROR(F1212/#REF!,"-")</f>
        <v>-</v>
      </c>
      <c r="J1212" s="336">
        <f t="shared" si="1068"/>
        <v>8448</v>
      </c>
      <c r="K1212" s="281">
        <f t="shared" si="1063"/>
        <v>6800</v>
      </c>
      <c r="L1212" s="439">
        <f t="shared" si="1064"/>
        <v>1648</v>
      </c>
      <c r="M1212" s="725"/>
      <c r="N1212" s="375"/>
      <c r="O1212" s="545">
        <v>58.836300000000001</v>
      </c>
      <c r="P1212" s="407">
        <f t="shared" si="1065"/>
        <v>0</v>
      </c>
      <c r="Q1212" s="452">
        <f t="shared" si="1066"/>
        <v>400086.84</v>
      </c>
    </row>
    <row r="1213" spans="1:17" ht="23.4" x14ac:dyDescent="0.4">
      <c r="A1213" s="248" t="s">
        <v>108</v>
      </c>
      <c r="B1213" s="1036"/>
      <c r="C1213" s="550" t="s">
        <v>386</v>
      </c>
      <c r="D1213" s="279"/>
      <c r="E1213" s="438"/>
      <c r="F1213" s="337">
        <f t="shared" si="1067"/>
        <v>0</v>
      </c>
      <c r="G1213" s="281"/>
      <c r="H1213" s="281"/>
      <c r="I1213" s="355" t="str">
        <f>IFERROR(F1213/#REF!,"-")</f>
        <v>-</v>
      </c>
      <c r="J1213" s="336">
        <f t="shared" si="1068"/>
        <v>6281</v>
      </c>
      <c r="K1213" s="281">
        <f t="shared" si="1063"/>
        <v>5031</v>
      </c>
      <c r="L1213" s="439">
        <f t="shared" si="1064"/>
        <v>1250</v>
      </c>
      <c r="M1213" s="340" t="str">
        <f t="shared" ref="M1213" si="1071">IFERROR(J1213/D1213,"-")</f>
        <v>-</v>
      </c>
      <c r="N1213" s="264">
        <f t="shared" ref="N1213" si="1072">IFERROR(L1213/J1213,"-")</f>
        <v>0.19901289603566311</v>
      </c>
      <c r="O1213" s="772">
        <v>58.836300000000001</v>
      </c>
      <c r="P1213" s="407">
        <f t="shared" si="1065"/>
        <v>0</v>
      </c>
      <c r="Q1213" s="452">
        <f t="shared" si="1066"/>
        <v>296005.4253</v>
      </c>
    </row>
    <row r="1214" spans="1:17" ht="24" thickBot="1" x14ac:dyDescent="0.45">
      <c r="A1214" s="248"/>
      <c r="B1214" s="1037"/>
      <c r="C1214" s="550" t="s">
        <v>404</v>
      </c>
      <c r="D1214" s="279"/>
      <c r="E1214" s="438"/>
      <c r="F1214" s="337">
        <f t="shared" si="1067"/>
        <v>0</v>
      </c>
      <c r="G1214" s="281"/>
      <c r="H1214" s="281"/>
      <c r="I1214" s="355"/>
      <c r="J1214" s="336">
        <f t="shared" si="1068"/>
        <v>2220</v>
      </c>
      <c r="K1214" s="281">
        <f t="shared" si="1063"/>
        <v>2064</v>
      </c>
      <c r="L1214" s="439">
        <f t="shared" si="1064"/>
        <v>156</v>
      </c>
      <c r="M1214" s="340"/>
      <c r="N1214" s="264">
        <f>IFERROR(L1214/J1214,"-")</f>
        <v>7.0270270270270274E-2</v>
      </c>
      <c r="O1214" s="512">
        <v>55.4758</v>
      </c>
      <c r="P1214" s="407">
        <f t="shared" si="1065"/>
        <v>0</v>
      </c>
      <c r="Q1214" s="452">
        <f t="shared" si="1066"/>
        <v>114502.0512</v>
      </c>
    </row>
    <row r="1215" spans="1:17" ht="23.4" x14ac:dyDescent="0.4">
      <c r="A1215" s="248" t="s">
        <v>108</v>
      </c>
      <c r="B1215" s="1035" t="s">
        <v>490</v>
      </c>
      <c r="C1215" s="548" t="s">
        <v>80</v>
      </c>
      <c r="D1215" s="279"/>
      <c r="E1215" s="439"/>
      <c r="F1215" s="336">
        <f t="shared" si="1067"/>
        <v>4660</v>
      </c>
      <c r="G1215" s="281">
        <v>4500</v>
      </c>
      <c r="H1215" s="281">
        <v>160</v>
      </c>
      <c r="I1215" s="355" t="str">
        <f>IFERROR(F1215/#REF!,"-")</f>
        <v>-</v>
      </c>
      <c r="J1215" s="336">
        <f t="shared" si="1068"/>
        <v>20742</v>
      </c>
      <c r="K1215" s="730">
        <f t="shared" si="1063"/>
        <v>20450</v>
      </c>
      <c r="L1215" s="731">
        <f t="shared" si="1064"/>
        <v>292</v>
      </c>
      <c r="M1215" s="340" t="str">
        <f t="shared" ref="M1215:M1242" si="1073">IFERROR(J1215/D1215,"-")</f>
        <v>-</v>
      </c>
      <c r="N1215" s="264">
        <f t="shared" ref="N1215:N1241" si="1074">IFERROR(L1215/J1215,"-")</f>
        <v>1.4077716710056889E-2</v>
      </c>
      <c r="O1215" s="512">
        <v>25.687200000000001</v>
      </c>
      <c r="P1215" s="407">
        <f t="shared" si="1065"/>
        <v>115592.40000000001</v>
      </c>
      <c r="Q1215" s="452">
        <f t="shared" si="1066"/>
        <v>525303.24</v>
      </c>
    </row>
    <row r="1216" spans="1:17" ht="24" thickBot="1" x14ac:dyDescent="0.45">
      <c r="A1216" s="248" t="s">
        <v>108</v>
      </c>
      <c r="B1216" s="1037"/>
      <c r="C1216" s="548" t="s">
        <v>124</v>
      </c>
      <c r="D1216" s="279"/>
      <c r="E1216" s="439"/>
      <c r="F1216" s="336">
        <f t="shared" si="1067"/>
        <v>0</v>
      </c>
      <c r="G1216" s="281"/>
      <c r="H1216" s="281"/>
      <c r="I1216" s="355" t="str">
        <f>IFERROR(F1216/#REF!,"-")</f>
        <v>-</v>
      </c>
      <c r="J1216" s="336">
        <f t="shared" si="1068"/>
        <v>0</v>
      </c>
      <c r="K1216" s="281">
        <f t="shared" si="1063"/>
        <v>0</v>
      </c>
      <c r="L1216" s="439">
        <f t="shared" si="1064"/>
        <v>0</v>
      </c>
      <c r="M1216" s="340" t="str">
        <f t="shared" si="1073"/>
        <v>-</v>
      </c>
      <c r="N1216" s="264" t="str">
        <f t="shared" si="1074"/>
        <v>-</v>
      </c>
      <c r="O1216" s="512">
        <v>25.033899999999999</v>
      </c>
      <c r="P1216" s="407">
        <f t="shared" si="1065"/>
        <v>0</v>
      </c>
      <c r="Q1216" s="452">
        <f t="shared" si="1066"/>
        <v>0</v>
      </c>
    </row>
    <row r="1217" spans="1:17" ht="23.4" x14ac:dyDescent="0.4">
      <c r="A1217" s="248"/>
      <c r="B1217" s="1035" t="s">
        <v>491</v>
      </c>
      <c r="C1217" s="548" t="s">
        <v>82</v>
      </c>
      <c r="D1217" s="279"/>
      <c r="E1217" s="439"/>
      <c r="F1217" s="336">
        <f t="shared" si="1067"/>
        <v>0</v>
      </c>
      <c r="G1217" s="281"/>
      <c r="H1217" s="281"/>
      <c r="I1217" s="355" t="str">
        <f>IFERROR(F1217/#REF!,"-")</f>
        <v>-</v>
      </c>
      <c r="J1217" s="336">
        <f t="shared" si="1068"/>
        <v>14036</v>
      </c>
      <c r="K1217" s="281">
        <f t="shared" si="1063"/>
        <v>13940</v>
      </c>
      <c r="L1217" s="439">
        <f t="shared" si="1064"/>
        <v>96</v>
      </c>
      <c r="M1217" s="340" t="str">
        <f t="shared" si="1073"/>
        <v>-</v>
      </c>
      <c r="N1217" s="264">
        <f t="shared" si="1074"/>
        <v>6.8395554288971216E-3</v>
      </c>
      <c r="O1217" s="512">
        <v>41.992699999999999</v>
      </c>
      <c r="P1217" s="407">
        <f t="shared" si="1065"/>
        <v>0</v>
      </c>
      <c r="Q1217" s="452">
        <f t="shared" si="1066"/>
        <v>585378.23800000001</v>
      </c>
    </row>
    <row r="1218" spans="1:17" ht="23.4" x14ac:dyDescent="0.4">
      <c r="A1218" s="248"/>
      <c r="B1218" s="1036"/>
      <c r="C1218" s="548" t="s">
        <v>75</v>
      </c>
      <c r="D1218" s="279"/>
      <c r="E1218" s="439"/>
      <c r="F1218" s="336">
        <f t="shared" si="1067"/>
        <v>0</v>
      </c>
      <c r="G1218" s="281"/>
      <c r="H1218" s="281"/>
      <c r="I1218" s="355" t="str">
        <f>IFERROR(F1218/#REF!,"-")</f>
        <v>-</v>
      </c>
      <c r="J1218" s="336">
        <f t="shared" si="1068"/>
        <v>45</v>
      </c>
      <c r="K1218" s="281">
        <f t="shared" si="1063"/>
        <v>45</v>
      </c>
      <c r="L1218" s="439">
        <f t="shared" si="1064"/>
        <v>0</v>
      </c>
      <c r="M1218" s="340" t="str">
        <f t="shared" si="1073"/>
        <v>-</v>
      </c>
      <c r="N1218" s="264">
        <f t="shared" si="1074"/>
        <v>0</v>
      </c>
      <c r="O1218" s="512">
        <v>42.283799999999999</v>
      </c>
      <c r="P1218" s="407">
        <f t="shared" si="1065"/>
        <v>0</v>
      </c>
      <c r="Q1218" s="452">
        <f t="shared" si="1066"/>
        <v>1902.771</v>
      </c>
    </row>
    <row r="1219" spans="1:17" ht="23.4" x14ac:dyDescent="0.4">
      <c r="A1219" s="248"/>
      <c r="B1219" s="1036"/>
      <c r="C1219" s="548" t="s">
        <v>450</v>
      </c>
      <c r="D1219" s="279"/>
      <c r="E1219" s="439"/>
      <c r="F1219" s="336">
        <f t="shared" si="1067"/>
        <v>0</v>
      </c>
      <c r="G1219" s="281"/>
      <c r="H1219" s="281"/>
      <c r="I1219" s="355" t="str">
        <f>IFERROR(F1219/#REF!,"-")</f>
        <v>-</v>
      </c>
      <c r="J1219" s="336">
        <f t="shared" si="1068"/>
        <v>1140</v>
      </c>
      <c r="K1219" s="281">
        <f t="shared" si="1063"/>
        <v>1140</v>
      </c>
      <c r="L1219" s="439">
        <f t="shared" si="1064"/>
        <v>0</v>
      </c>
      <c r="M1219" s="340" t="str">
        <f t="shared" si="1073"/>
        <v>-</v>
      </c>
      <c r="N1219" s="264">
        <f t="shared" si="1074"/>
        <v>0</v>
      </c>
      <c r="O1219" s="772">
        <v>41.992699999999999</v>
      </c>
      <c r="P1219" s="407">
        <f t="shared" si="1065"/>
        <v>0</v>
      </c>
      <c r="Q1219" s="452">
        <f t="shared" si="1066"/>
        <v>47871.678</v>
      </c>
    </row>
    <row r="1220" spans="1:17" ht="24" thickBot="1" x14ac:dyDescent="0.45">
      <c r="A1220" s="248"/>
      <c r="B1220" s="1037"/>
      <c r="C1220" s="548" t="s">
        <v>451</v>
      </c>
      <c r="D1220" s="279"/>
      <c r="E1220" s="439"/>
      <c r="F1220" s="336">
        <f t="shared" si="1067"/>
        <v>0</v>
      </c>
      <c r="G1220" s="281"/>
      <c r="H1220" s="281"/>
      <c r="I1220" s="355" t="str">
        <f>IFERROR(F1220/#REF!,"-")</f>
        <v>-</v>
      </c>
      <c r="J1220" s="336">
        <f t="shared" si="1068"/>
        <v>712</v>
      </c>
      <c r="K1220" s="281">
        <f t="shared" si="1063"/>
        <v>660</v>
      </c>
      <c r="L1220" s="439">
        <f t="shared" si="1064"/>
        <v>52</v>
      </c>
      <c r="M1220" s="340" t="str">
        <f t="shared" si="1073"/>
        <v>-</v>
      </c>
      <c r="N1220" s="264">
        <f t="shared" si="1074"/>
        <v>7.3033707865168537E-2</v>
      </c>
      <c r="O1220" s="772">
        <v>42.283799999999999</v>
      </c>
      <c r="P1220" s="407">
        <f t="shared" si="1065"/>
        <v>0</v>
      </c>
      <c r="Q1220" s="452">
        <f t="shared" si="1066"/>
        <v>27907.308000000001</v>
      </c>
    </row>
    <row r="1221" spans="1:17" ht="24" thickBot="1" x14ac:dyDescent="0.45">
      <c r="A1221" s="248"/>
      <c r="B1221" s="815" t="s">
        <v>83</v>
      </c>
      <c r="C1221" s="548" t="s">
        <v>84</v>
      </c>
      <c r="D1221" s="279"/>
      <c r="E1221" s="439"/>
      <c r="F1221" s="336">
        <f t="shared" si="1067"/>
        <v>1930</v>
      </c>
      <c r="G1221" s="281">
        <v>1800</v>
      </c>
      <c r="H1221" s="281">
        <v>130</v>
      </c>
      <c r="I1221" s="355" t="str">
        <f>IFERROR(F1221/#REF!,"-")</f>
        <v>-</v>
      </c>
      <c r="J1221" s="336">
        <f t="shared" si="1068"/>
        <v>7890</v>
      </c>
      <c r="K1221" s="281">
        <f t="shared" si="1063"/>
        <v>7340</v>
      </c>
      <c r="L1221" s="439">
        <f t="shared" si="1064"/>
        <v>550</v>
      </c>
      <c r="M1221" s="340" t="str">
        <f t="shared" si="1073"/>
        <v>-</v>
      </c>
      <c r="N1221" s="264">
        <f t="shared" si="1074"/>
        <v>6.9708491761723695E-2</v>
      </c>
      <c r="O1221" s="512">
        <v>4.3535000000000004</v>
      </c>
      <c r="P1221" s="407">
        <f t="shared" si="1065"/>
        <v>7836.3000000000011</v>
      </c>
      <c r="Q1221" s="452">
        <f t="shared" si="1066"/>
        <v>31954.690000000002</v>
      </c>
    </row>
    <row r="1222" spans="1:17" ht="23.4" x14ac:dyDescent="0.4">
      <c r="A1222" s="248"/>
      <c r="B1222" s="1035" t="s">
        <v>273</v>
      </c>
      <c r="C1222" s="548" t="s">
        <v>80</v>
      </c>
      <c r="D1222" s="279"/>
      <c r="E1222" s="439"/>
      <c r="F1222" s="336">
        <f t="shared" si="1067"/>
        <v>18798</v>
      </c>
      <c r="G1222" s="281">
        <v>18700</v>
      </c>
      <c r="H1222" s="281">
        <v>98</v>
      </c>
      <c r="I1222" s="355" t="str">
        <f>IFERROR(F1222/#REF!,"-")</f>
        <v>-</v>
      </c>
      <c r="J1222" s="336">
        <f t="shared" si="1068"/>
        <v>415350</v>
      </c>
      <c r="K1222" s="281">
        <f t="shared" si="1063"/>
        <v>411400</v>
      </c>
      <c r="L1222" s="439">
        <f t="shared" si="1064"/>
        <v>3950</v>
      </c>
      <c r="M1222" s="340" t="str">
        <f t="shared" si="1073"/>
        <v>-</v>
      </c>
      <c r="N1222" s="264">
        <f t="shared" si="1074"/>
        <v>9.5100517635728909E-3</v>
      </c>
      <c r="O1222" s="512">
        <v>4.6184000000000003</v>
      </c>
      <c r="P1222" s="407">
        <f t="shared" si="1065"/>
        <v>86364.08</v>
      </c>
      <c r="Q1222" s="452">
        <f t="shared" si="1066"/>
        <v>1900009.76</v>
      </c>
    </row>
    <row r="1223" spans="1:17" ht="23.4" x14ac:dyDescent="0.4">
      <c r="A1223" s="248"/>
      <c r="B1223" s="1036"/>
      <c r="C1223" s="548" t="s">
        <v>378</v>
      </c>
      <c r="D1223" s="279"/>
      <c r="E1223" s="439"/>
      <c r="F1223" s="336">
        <f t="shared" si="1067"/>
        <v>0</v>
      </c>
      <c r="G1223" s="281"/>
      <c r="H1223" s="281"/>
      <c r="I1223" s="355" t="str">
        <f>IFERROR(F1223/#REF!,"-")</f>
        <v>-</v>
      </c>
      <c r="J1223" s="336">
        <f t="shared" si="1068"/>
        <v>0</v>
      </c>
      <c r="K1223" s="281">
        <f t="shared" si="1063"/>
        <v>0</v>
      </c>
      <c r="L1223" s="439">
        <f t="shared" si="1064"/>
        <v>0</v>
      </c>
      <c r="M1223" s="340" t="str">
        <f t="shared" si="1073"/>
        <v>-</v>
      </c>
      <c r="N1223" s="264" t="str">
        <f t="shared" si="1074"/>
        <v>-</v>
      </c>
      <c r="O1223" s="512">
        <v>4.6184000000000003</v>
      </c>
      <c r="P1223" s="407">
        <f t="shared" si="1065"/>
        <v>0</v>
      </c>
      <c r="Q1223" s="452">
        <f t="shared" si="1066"/>
        <v>0</v>
      </c>
    </row>
    <row r="1224" spans="1:17" ht="23.4" x14ac:dyDescent="0.4">
      <c r="A1224" s="248"/>
      <c r="B1224" s="1036"/>
      <c r="C1224" s="548" t="s">
        <v>272</v>
      </c>
      <c r="D1224" s="279"/>
      <c r="E1224" s="439"/>
      <c r="F1224" s="336">
        <f t="shared" si="1067"/>
        <v>0</v>
      </c>
      <c r="G1224" s="281"/>
      <c r="H1224" s="281"/>
      <c r="I1224" s="355" t="str">
        <f>IFERROR(F1224/#REF!,"-")</f>
        <v>-</v>
      </c>
      <c r="J1224" s="336">
        <f t="shared" si="1068"/>
        <v>0</v>
      </c>
      <c r="K1224" s="281">
        <f t="shared" si="1063"/>
        <v>0</v>
      </c>
      <c r="L1224" s="439">
        <f t="shared" si="1064"/>
        <v>0</v>
      </c>
      <c r="M1224" s="340" t="str">
        <f t="shared" si="1073"/>
        <v>-</v>
      </c>
      <c r="N1224" s="264" t="str">
        <f t="shared" si="1074"/>
        <v>-</v>
      </c>
      <c r="O1224" s="512">
        <v>4.6184000000000003</v>
      </c>
      <c r="P1224" s="407">
        <f t="shared" si="1065"/>
        <v>0</v>
      </c>
      <c r="Q1224" s="452">
        <f t="shared" si="1066"/>
        <v>0</v>
      </c>
    </row>
    <row r="1225" spans="1:17" ht="23.4" x14ac:dyDescent="0.4">
      <c r="A1225" s="248"/>
      <c r="B1225" s="1036"/>
      <c r="C1225" s="548" t="s">
        <v>390</v>
      </c>
      <c r="D1225" s="279"/>
      <c r="E1225" s="439"/>
      <c r="F1225" s="336">
        <f t="shared" si="1067"/>
        <v>0</v>
      </c>
      <c r="G1225" s="281"/>
      <c r="H1225" s="281"/>
      <c r="I1225" s="355" t="str">
        <f>IFERROR(F1225/#REF!,"-")</f>
        <v>-</v>
      </c>
      <c r="J1225" s="336">
        <f t="shared" si="1068"/>
        <v>511962</v>
      </c>
      <c r="K1225" s="730">
        <f t="shared" si="1063"/>
        <v>508200</v>
      </c>
      <c r="L1225" s="731">
        <f t="shared" si="1064"/>
        <v>3762</v>
      </c>
      <c r="M1225" s="340" t="str">
        <f t="shared" si="1073"/>
        <v>-</v>
      </c>
      <c r="N1225" s="264">
        <f t="shared" si="1074"/>
        <v>7.3482016243393063E-3</v>
      </c>
      <c r="O1225" s="512">
        <v>4.7636000000000003</v>
      </c>
      <c r="P1225" s="407">
        <f t="shared" si="1065"/>
        <v>0</v>
      </c>
      <c r="Q1225" s="452">
        <f t="shared" si="1066"/>
        <v>2420861.52</v>
      </c>
    </row>
    <row r="1226" spans="1:17" ht="24" thickBot="1" x14ac:dyDescent="0.45">
      <c r="A1226" s="248"/>
      <c r="B1226" s="1037"/>
      <c r="C1226" s="548" t="s">
        <v>384</v>
      </c>
      <c r="D1226" s="279"/>
      <c r="E1226" s="439"/>
      <c r="F1226" s="336">
        <f t="shared" si="1067"/>
        <v>0</v>
      </c>
      <c r="G1226" s="281"/>
      <c r="H1226" s="281"/>
      <c r="I1226" s="355" t="str">
        <f>IFERROR(F1226/#REF!,"-")</f>
        <v>-</v>
      </c>
      <c r="J1226" s="336">
        <f t="shared" si="1068"/>
        <v>0</v>
      </c>
      <c r="K1226" s="281">
        <f t="shared" si="1063"/>
        <v>0</v>
      </c>
      <c r="L1226" s="439">
        <f t="shared" si="1064"/>
        <v>0</v>
      </c>
      <c r="M1226" s="340" t="str">
        <f t="shared" si="1073"/>
        <v>-</v>
      </c>
      <c r="N1226" s="264" t="str">
        <f t="shared" si="1074"/>
        <v>-</v>
      </c>
      <c r="O1226" s="512">
        <v>4.8738000000000001</v>
      </c>
      <c r="P1226" s="407">
        <f t="shared" si="1065"/>
        <v>0</v>
      </c>
      <c r="Q1226" s="452">
        <f t="shared" si="1066"/>
        <v>0</v>
      </c>
    </row>
    <row r="1227" spans="1:17" ht="24" thickBot="1" x14ac:dyDescent="0.45">
      <c r="A1227" s="248"/>
      <c r="B1227" s="815" t="s">
        <v>274</v>
      </c>
      <c r="C1227" s="548" t="s">
        <v>131</v>
      </c>
      <c r="D1227" s="279"/>
      <c r="E1227" s="439"/>
      <c r="F1227" s="336">
        <f t="shared" si="1067"/>
        <v>0</v>
      </c>
      <c r="G1227" s="281"/>
      <c r="H1227" s="281"/>
      <c r="I1227" s="355" t="str">
        <f>IFERROR(F1227/#REF!,"-")</f>
        <v>-</v>
      </c>
      <c r="J1227" s="336">
        <f t="shared" si="1068"/>
        <v>0</v>
      </c>
      <c r="K1227" s="281">
        <f t="shared" si="1063"/>
        <v>0</v>
      </c>
      <c r="L1227" s="439">
        <f t="shared" si="1064"/>
        <v>0</v>
      </c>
      <c r="M1227" s="340" t="str">
        <f t="shared" si="1073"/>
        <v>-</v>
      </c>
      <c r="N1227" s="264" t="str">
        <f t="shared" si="1074"/>
        <v>-</v>
      </c>
      <c r="O1227" s="512">
        <v>4.8738000000000001</v>
      </c>
      <c r="P1227" s="407">
        <f t="shared" si="1065"/>
        <v>0</v>
      </c>
      <c r="Q1227" s="452">
        <f t="shared" si="1066"/>
        <v>0</v>
      </c>
    </row>
    <row r="1228" spans="1:17" ht="23.4" x14ac:dyDescent="0.4">
      <c r="A1228" s="248"/>
      <c r="B1228" s="1035" t="s">
        <v>276</v>
      </c>
      <c r="C1228" s="548" t="s">
        <v>80</v>
      </c>
      <c r="D1228" s="279"/>
      <c r="E1228" s="439"/>
      <c r="F1228" s="336">
        <f t="shared" si="1067"/>
        <v>43512</v>
      </c>
      <c r="G1228" s="281">
        <v>43470</v>
      </c>
      <c r="H1228" s="281">
        <v>42</v>
      </c>
      <c r="I1228" s="355" t="str">
        <f>IFERROR(F1228/#REF!,"-")</f>
        <v>-</v>
      </c>
      <c r="J1228" s="336">
        <f t="shared" si="1068"/>
        <v>629594</v>
      </c>
      <c r="K1228" s="730">
        <f t="shared" si="1063"/>
        <v>618737</v>
      </c>
      <c r="L1228" s="731">
        <f t="shared" si="1064"/>
        <v>10857</v>
      </c>
      <c r="M1228" s="340" t="str">
        <f t="shared" si="1073"/>
        <v>-</v>
      </c>
      <c r="N1228" s="264">
        <f t="shared" si="1074"/>
        <v>1.7244446421026884E-2</v>
      </c>
      <c r="O1228" s="512">
        <v>4.9344999999999999</v>
      </c>
      <c r="P1228" s="407">
        <f t="shared" si="1065"/>
        <v>214502.715</v>
      </c>
      <c r="Q1228" s="452">
        <f t="shared" si="1066"/>
        <v>3053157.7264999999</v>
      </c>
    </row>
    <row r="1229" spans="1:17" ht="23.4" x14ac:dyDescent="0.4">
      <c r="A1229" s="248"/>
      <c r="B1229" s="1036"/>
      <c r="C1229" s="548" t="s">
        <v>142</v>
      </c>
      <c r="D1229" s="279"/>
      <c r="E1229" s="439"/>
      <c r="F1229" s="336">
        <f t="shared" si="1067"/>
        <v>0</v>
      </c>
      <c r="G1229" s="281"/>
      <c r="H1229" s="281"/>
      <c r="I1229" s="355" t="str">
        <f>IFERROR(F1229/#REF!,"-")</f>
        <v>-</v>
      </c>
      <c r="J1229" s="336">
        <f t="shared" si="1068"/>
        <v>0</v>
      </c>
      <c r="K1229" s="281">
        <f t="shared" si="1063"/>
        <v>0</v>
      </c>
      <c r="L1229" s="439">
        <f t="shared" si="1064"/>
        <v>0</v>
      </c>
      <c r="M1229" s="340" t="str">
        <f t="shared" si="1073"/>
        <v>-</v>
      </c>
      <c r="N1229" s="264" t="str">
        <f t="shared" si="1074"/>
        <v>-</v>
      </c>
      <c r="O1229" s="512">
        <v>4.9344999999999999</v>
      </c>
      <c r="P1229" s="407">
        <f t="shared" si="1065"/>
        <v>0</v>
      </c>
      <c r="Q1229" s="452">
        <f t="shared" si="1066"/>
        <v>0</v>
      </c>
    </row>
    <row r="1230" spans="1:17" ht="23.4" x14ac:dyDescent="0.4">
      <c r="A1230" s="248"/>
      <c r="B1230" s="1036"/>
      <c r="C1230" s="548" t="s">
        <v>136</v>
      </c>
      <c r="D1230" s="279"/>
      <c r="E1230" s="439"/>
      <c r="F1230" s="336">
        <f t="shared" si="1067"/>
        <v>0</v>
      </c>
      <c r="G1230" s="281"/>
      <c r="H1230" s="281"/>
      <c r="I1230" s="355" t="str">
        <f>IFERROR(F1230/#REF!,"-")</f>
        <v>-</v>
      </c>
      <c r="J1230" s="336">
        <f t="shared" si="1068"/>
        <v>0</v>
      </c>
      <c r="K1230" s="281">
        <f t="shared" si="1063"/>
        <v>0</v>
      </c>
      <c r="L1230" s="439">
        <f t="shared" si="1064"/>
        <v>0</v>
      </c>
      <c r="M1230" s="340" t="str">
        <f t="shared" si="1073"/>
        <v>-</v>
      </c>
      <c r="N1230" s="264" t="str">
        <f t="shared" si="1074"/>
        <v>-</v>
      </c>
      <c r="O1230" s="512">
        <v>4.9344999999999999</v>
      </c>
      <c r="P1230" s="407">
        <f t="shared" si="1065"/>
        <v>0</v>
      </c>
      <c r="Q1230" s="452">
        <f t="shared" si="1066"/>
        <v>0</v>
      </c>
    </row>
    <row r="1231" spans="1:17" ht="24" thickBot="1" x14ac:dyDescent="0.45">
      <c r="A1231" s="248"/>
      <c r="B1231" s="1037"/>
      <c r="C1231" s="548" t="s">
        <v>275</v>
      </c>
      <c r="D1231" s="279"/>
      <c r="E1231" s="439"/>
      <c r="F1231" s="336">
        <f t="shared" si="1067"/>
        <v>0</v>
      </c>
      <c r="G1231" s="281"/>
      <c r="H1231" s="281"/>
      <c r="I1231" s="355" t="str">
        <f>IFERROR(F1231/#REF!,"-")</f>
        <v>-</v>
      </c>
      <c r="J1231" s="336">
        <f t="shared" si="1068"/>
        <v>0</v>
      </c>
      <c r="K1231" s="281">
        <f t="shared" si="1063"/>
        <v>0</v>
      </c>
      <c r="L1231" s="439">
        <f t="shared" si="1064"/>
        <v>0</v>
      </c>
      <c r="M1231" s="340" t="str">
        <f t="shared" si="1073"/>
        <v>-</v>
      </c>
      <c r="N1231" s="264" t="str">
        <f t="shared" si="1074"/>
        <v>-</v>
      </c>
      <c r="O1231" s="512">
        <v>5.5069999999999997</v>
      </c>
      <c r="P1231" s="407">
        <f t="shared" si="1065"/>
        <v>0</v>
      </c>
      <c r="Q1231" s="452">
        <f t="shared" si="1066"/>
        <v>0</v>
      </c>
    </row>
    <row r="1232" spans="1:17" ht="23.4" x14ac:dyDescent="0.4">
      <c r="A1232" s="248"/>
      <c r="B1232" s="1035" t="s">
        <v>281</v>
      </c>
      <c r="C1232" s="548" t="s">
        <v>277</v>
      </c>
      <c r="D1232" s="279"/>
      <c r="E1232" s="439"/>
      <c r="F1232" s="336">
        <f t="shared" si="1067"/>
        <v>33489</v>
      </c>
      <c r="G1232" s="281">
        <v>33300</v>
      </c>
      <c r="H1232" s="281">
        <v>189</v>
      </c>
      <c r="I1232" s="355" t="str">
        <f>IFERROR(F1232/#REF!,"-")</f>
        <v>-</v>
      </c>
      <c r="J1232" s="336">
        <f t="shared" si="1068"/>
        <v>587425</v>
      </c>
      <c r="K1232" s="281">
        <f t="shared" si="1063"/>
        <v>576150</v>
      </c>
      <c r="L1232" s="439">
        <f t="shared" si="1064"/>
        <v>11275</v>
      </c>
      <c r="M1232" s="340" t="str">
        <f t="shared" si="1073"/>
        <v>-</v>
      </c>
      <c r="N1232" s="264">
        <f t="shared" si="1074"/>
        <v>1.919393965187045E-2</v>
      </c>
      <c r="O1232" s="772">
        <v>5.5069999999999997</v>
      </c>
      <c r="P1232" s="407">
        <f t="shared" si="1065"/>
        <v>183383.09999999998</v>
      </c>
      <c r="Q1232" s="452">
        <f t="shared" si="1066"/>
        <v>3172858.05</v>
      </c>
    </row>
    <row r="1233" spans="1:17" ht="23.4" x14ac:dyDescent="0.4">
      <c r="A1233" s="248"/>
      <c r="B1233" s="1036"/>
      <c r="C1233" s="548" t="s">
        <v>278</v>
      </c>
      <c r="D1233" s="279"/>
      <c r="E1233" s="439"/>
      <c r="F1233" s="336">
        <f t="shared" si="1067"/>
        <v>0</v>
      </c>
      <c r="G1233" s="281"/>
      <c r="H1233" s="281"/>
      <c r="I1233" s="355" t="str">
        <f>IFERROR(F1233/#REF!,"-")</f>
        <v>-</v>
      </c>
      <c r="J1233" s="336">
        <f t="shared" si="1068"/>
        <v>0</v>
      </c>
      <c r="K1233" s="281">
        <f t="shared" si="1063"/>
        <v>0</v>
      </c>
      <c r="L1233" s="439">
        <f t="shared" si="1064"/>
        <v>0</v>
      </c>
      <c r="M1233" s="340" t="str">
        <f t="shared" si="1073"/>
        <v>-</v>
      </c>
      <c r="N1233" s="264" t="str">
        <f t="shared" si="1074"/>
        <v>-</v>
      </c>
      <c r="O1233" s="512">
        <v>5.6550000000000002</v>
      </c>
      <c r="P1233" s="407">
        <f t="shared" si="1065"/>
        <v>0</v>
      </c>
      <c r="Q1233" s="452">
        <f t="shared" si="1066"/>
        <v>0</v>
      </c>
    </row>
    <row r="1234" spans="1:17" ht="23.4" x14ac:dyDescent="0.4">
      <c r="A1234" s="248"/>
      <c r="B1234" s="1036"/>
      <c r="C1234" s="548" t="s">
        <v>355</v>
      </c>
      <c r="D1234" s="279"/>
      <c r="E1234" s="439"/>
      <c r="F1234" s="336">
        <f t="shared" si="1067"/>
        <v>0</v>
      </c>
      <c r="G1234" s="281"/>
      <c r="H1234" s="281"/>
      <c r="I1234" s="355" t="str">
        <f>IFERROR(F1234/#REF!,"-")</f>
        <v>-</v>
      </c>
      <c r="J1234" s="336">
        <f t="shared" si="1068"/>
        <v>321630</v>
      </c>
      <c r="K1234" s="730">
        <f t="shared" si="1063"/>
        <v>310550</v>
      </c>
      <c r="L1234" s="731">
        <f t="shared" si="1064"/>
        <v>11080</v>
      </c>
      <c r="M1234" s="340" t="str">
        <f t="shared" si="1073"/>
        <v>-</v>
      </c>
      <c r="N1234" s="264">
        <f t="shared" si="1074"/>
        <v>3.4449522743525168E-2</v>
      </c>
      <c r="O1234" s="512">
        <v>5.6550000000000002</v>
      </c>
      <c r="P1234" s="407">
        <f t="shared" si="1065"/>
        <v>0</v>
      </c>
      <c r="Q1234" s="452">
        <f t="shared" si="1066"/>
        <v>1756160.25</v>
      </c>
    </row>
    <row r="1235" spans="1:17" ht="23.4" x14ac:dyDescent="0.4">
      <c r="A1235" s="248"/>
      <c r="B1235" s="1036"/>
      <c r="C1235" s="548" t="s">
        <v>279</v>
      </c>
      <c r="D1235" s="279"/>
      <c r="E1235" s="439"/>
      <c r="F1235" s="336">
        <f t="shared" si="1067"/>
        <v>0</v>
      </c>
      <c r="G1235" s="281"/>
      <c r="H1235" s="281"/>
      <c r="I1235" s="355" t="str">
        <f>IFERROR(F1235/#REF!,"-")</f>
        <v>-</v>
      </c>
      <c r="J1235" s="336">
        <f t="shared" si="1068"/>
        <v>0</v>
      </c>
      <c r="K1235" s="281">
        <f t="shared" si="1063"/>
        <v>0</v>
      </c>
      <c r="L1235" s="439">
        <f t="shared" si="1064"/>
        <v>0</v>
      </c>
      <c r="M1235" s="340" t="str">
        <f t="shared" si="1073"/>
        <v>-</v>
      </c>
      <c r="N1235" s="264" t="str">
        <f t="shared" si="1074"/>
        <v>-</v>
      </c>
      <c r="O1235" s="512">
        <v>5.6550000000000002</v>
      </c>
      <c r="P1235" s="407">
        <f t="shared" si="1065"/>
        <v>0</v>
      </c>
      <c r="Q1235" s="452">
        <f t="shared" si="1066"/>
        <v>0</v>
      </c>
    </row>
    <row r="1236" spans="1:17" ht="23.4" x14ac:dyDescent="0.4">
      <c r="A1236" s="248" t="s">
        <v>108</v>
      </c>
      <c r="B1236" s="1036"/>
      <c r="C1236" s="548" t="s">
        <v>280</v>
      </c>
      <c r="D1236" s="279"/>
      <c r="E1236" s="439"/>
      <c r="F1236" s="336">
        <f t="shared" si="1067"/>
        <v>0</v>
      </c>
      <c r="G1236" s="281"/>
      <c r="H1236" s="281"/>
      <c r="I1236" s="355" t="str">
        <f>IFERROR(F1236/#REF!,"-")</f>
        <v>-</v>
      </c>
      <c r="J1236" s="336">
        <f t="shared" si="1068"/>
        <v>0</v>
      </c>
      <c r="K1236" s="281">
        <f t="shared" si="1063"/>
        <v>0</v>
      </c>
      <c r="L1236" s="439">
        <f t="shared" si="1064"/>
        <v>0</v>
      </c>
      <c r="M1236" s="340" t="str">
        <f t="shared" si="1073"/>
        <v>-</v>
      </c>
      <c r="N1236" s="264" t="str">
        <f t="shared" si="1074"/>
        <v>-</v>
      </c>
      <c r="O1236" s="512">
        <v>3.2963</v>
      </c>
      <c r="P1236" s="407">
        <f t="shared" si="1065"/>
        <v>0</v>
      </c>
      <c r="Q1236" s="452">
        <f t="shared" si="1066"/>
        <v>0</v>
      </c>
    </row>
    <row r="1237" spans="1:17" ht="24" thickBot="1" x14ac:dyDescent="0.45">
      <c r="A1237" s="248" t="s">
        <v>108</v>
      </c>
      <c r="B1237" s="1037"/>
      <c r="C1237" s="548" t="s">
        <v>275</v>
      </c>
      <c r="D1237" s="279"/>
      <c r="E1237" s="439"/>
      <c r="F1237" s="336">
        <f t="shared" si="1067"/>
        <v>0</v>
      </c>
      <c r="G1237" s="281"/>
      <c r="H1237" s="281"/>
      <c r="I1237" s="355" t="str">
        <f>IFERROR(F1237/#REF!,"-")</f>
        <v>-</v>
      </c>
      <c r="J1237" s="336">
        <f t="shared" si="1068"/>
        <v>0</v>
      </c>
      <c r="K1237" s="281">
        <f t="shared" si="1063"/>
        <v>0</v>
      </c>
      <c r="L1237" s="439">
        <f t="shared" si="1064"/>
        <v>0</v>
      </c>
      <c r="M1237" s="340" t="str">
        <f t="shared" si="1073"/>
        <v>-</v>
      </c>
      <c r="N1237" s="264" t="str">
        <f t="shared" si="1074"/>
        <v>-</v>
      </c>
      <c r="O1237" s="512">
        <v>3.2963</v>
      </c>
      <c r="P1237" s="407">
        <f t="shared" si="1065"/>
        <v>0</v>
      </c>
      <c r="Q1237" s="452">
        <f t="shared" si="1066"/>
        <v>0</v>
      </c>
    </row>
    <row r="1238" spans="1:17" ht="23.4" x14ac:dyDescent="0.4">
      <c r="A1238" s="248" t="s">
        <v>108</v>
      </c>
      <c r="B1238" s="552"/>
      <c r="C1238" s="549" t="s">
        <v>92</v>
      </c>
      <c r="D1238" s="516"/>
      <c r="E1238" s="439"/>
      <c r="F1238" s="336">
        <f t="shared" si="1067"/>
        <v>0</v>
      </c>
      <c r="G1238" s="281"/>
      <c r="H1238" s="281"/>
      <c r="I1238" s="355" t="str">
        <f>IFERROR(F1238/#REF!,"-")</f>
        <v>-</v>
      </c>
      <c r="J1238" s="336">
        <f t="shared" si="1068"/>
        <v>225097</v>
      </c>
      <c r="K1238" s="281">
        <f t="shared" si="1063"/>
        <v>223655</v>
      </c>
      <c r="L1238" s="439">
        <f t="shared" si="1064"/>
        <v>1442</v>
      </c>
      <c r="M1238" s="340" t="str">
        <f t="shared" si="1073"/>
        <v>-</v>
      </c>
      <c r="N1238" s="264">
        <f t="shared" si="1074"/>
        <v>6.4061271363012387E-3</v>
      </c>
      <c r="O1238" s="512">
        <v>2.3201000000000001</v>
      </c>
      <c r="P1238" s="407">
        <f t="shared" si="1065"/>
        <v>0</v>
      </c>
      <c r="Q1238" s="452">
        <f t="shared" si="1066"/>
        <v>518901.96549999999</v>
      </c>
    </row>
    <row r="1239" spans="1:17" ht="24" thickBot="1" x14ac:dyDescent="0.35">
      <c r="A1239" s="248" t="s">
        <v>108</v>
      </c>
      <c r="B1239" s="529"/>
      <c r="C1239" s="546"/>
      <c r="D1239" s="535"/>
      <c r="E1239" s="466"/>
      <c r="F1239" s="464">
        <f t="shared" si="1067"/>
        <v>0</v>
      </c>
      <c r="G1239" s="465"/>
      <c r="H1239" s="465"/>
      <c r="I1239" s="537" t="str">
        <f>IFERROR(F1239/#REF!,"-")</f>
        <v>-</v>
      </c>
      <c r="J1239" s="464">
        <f t="shared" si="1068"/>
        <v>0</v>
      </c>
      <c r="K1239" s="465">
        <f t="shared" si="1063"/>
        <v>0</v>
      </c>
      <c r="L1239" s="466">
        <f t="shared" si="1064"/>
        <v>0</v>
      </c>
      <c r="M1239" s="726" t="str">
        <f t="shared" si="1073"/>
        <v>-</v>
      </c>
      <c r="N1239" s="266" t="str">
        <f t="shared" si="1074"/>
        <v>-</v>
      </c>
      <c r="O1239" s="544"/>
      <c r="P1239" s="541">
        <f t="shared" si="1065"/>
        <v>0</v>
      </c>
      <c r="Q1239" s="542">
        <f t="shared" si="1066"/>
        <v>0</v>
      </c>
    </row>
    <row r="1240" spans="1:17" ht="23.25" customHeight="1" thickBot="1" x14ac:dyDescent="0.35">
      <c r="A1240" s="277" t="s">
        <v>108</v>
      </c>
      <c r="B1240" s="1038" t="s">
        <v>25</v>
      </c>
      <c r="C1240" s="989"/>
      <c r="D1240" s="518">
        <f>SUM(D1213:D1239)</f>
        <v>0</v>
      </c>
      <c r="E1240" s="531">
        <v>100000</v>
      </c>
      <c r="F1240" s="524">
        <f>SUM(F1208:F1239)</f>
        <v>104467</v>
      </c>
      <c r="G1240" s="524">
        <f>SUM(G1208:G1239)</f>
        <v>103770</v>
      </c>
      <c r="H1240" s="524">
        <f>SUM(H1208:H1239)</f>
        <v>697</v>
      </c>
      <c r="I1240" s="525" t="str">
        <f>IFERROR(F1240/#REF!,"-")</f>
        <v>-</v>
      </c>
      <c r="J1240" s="518">
        <f>SUM(J1208:J1239)</f>
        <v>2921155</v>
      </c>
      <c r="K1240" s="518">
        <f t="shared" ref="K1240:L1240" si="1075">SUM(K1208:K1239)</f>
        <v>2871450</v>
      </c>
      <c r="L1240" s="518">
        <f t="shared" si="1075"/>
        <v>49705</v>
      </c>
      <c r="M1240" s="526" t="str">
        <f t="shared" si="1073"/>
        <v>-</v>
      </c>
      <c r="N1240" s="525">
        <f t="shared" si="1074"/>
        <v>1.7015529816117255E-2</v>
      </c>
      <c r="O1240" s="527"/>
      <c r="P1240" s="528">
        <f>SUM(P1208:P1239)</f>
        <v>678475.39500000002</v>
      </c>
      <c r="Q1240" s="528">
        <f>SUM(Q1208:Q1239)</f>
        <v>21875290.3189</v>
      </c>
    </row>
    <row r="1241" spans="1:17" ht="23.25" customHeight="1" thickBot="1" x14ac:dyDescent="0.35">
      <c r="A1241" s="321" t="s">
        <v>108</v>
      </c>
      <c r="B1241" s="1039" t="s">
        <v>269</v>
      </c>
      <c r="C1241" s="1040"/>
      <c r="D1241" s="329">
        <f>+D1212+D1240</f>
        <v>0</v>
      </c>
      <c r="E1241" s="330">
        <f>+E1212+E1240</f>
        <v>100000</v>
      </c>
      <c r="F1241" s="329">
        <f>+F1240</f>
        <v>104467</v>
      </c>
      <c r="G1241" s="329">
        <f t="shared" ref="G1241:H1241" si="1076">+G1240</f>
        <v>103770</v>
      </c>
      <c r="H1241" s="329">
        <f t="shared" si="1076"/>
        <v>697</v>
      </c>
      <c r="I1241" s="352" t="str">
        <f>IFERROR(F1241/#REF!,"-")</f>
        <v>-</v>
      </c>
      <c r="J1241" s="329">
        <f>+J1240</f>
        <v>2921155</v>
      </c>
      <c r="K1241" s="329">
        <f t="shared" ref="K1241:L1241" si="1077">+K1240</f>
        <v>2871450</v>
      </c>
      <c r="L1241" s="329">
        <f t="shared" si="1077"/>
        <v>49705</v>
      </c>
      <c r="M1241" s="344" t="str">
        <f t="shared" si="1073"/>
        <v>-</v>
      </c>
      <c r="N1241" s="352">
        <f t="shared" si="1074"/>
        <v>1.7015529816117255E-2</v>
      </c>
      <c r="O1241" s="397"/>
      <c r="P1241" s="413">
        <f>+P1240</f>
        <v>678475.39500000002</v>
      </c>
      <c r="Q1241" s="431">
        <f>Q1240</f>
        <v>21875290.3189</v>
      </c>
    </row>
    <row r="1242" spans="1:17" ht="24.6" thickBot="1" x14ac:dyDescent="0.35">
      <c r="A1242" s="322"/>
      <c r="B1242" s="1041" t="s">
        <v>182</v>
      </c>
      <c r="C1242" s="1042"/>
      <c r="D1242" s="377">
        <f>+D1241+D1207+D1198</f>
        <v>0</v>
      </c>
      <c r="E1242" s="377">
        <f>+E1241+E1207+E1198</f>
        <v>230000</v>
      </c>
      <c r="F1242" s="377">
        <f>+F1241+F1207+F1198</f>
        <v>311868</v>
      </c>
      <c r="G1242" s="377">
        <f>+G1241+G1207+G1198</f>
        <v>307170</v>
      </c>
      <c r="H1242" s="377">
        <f>+H1241+H1207+H1198</f>
        <v>4698</v>
      </c>
      <c r="I1242" s="378" t="str">
        <f>IFERROR(F1242/#REF!,"-")</f>
        <v>-</v>
      </c>
      <c r="J1242" s="377">
        <f>+J1241+J1207+J1198</f>
        <v>7422020</v>
      </c>
      <c r="K1242" s="377">
        <f>+K1241+K1207+K1198</f>
        <v>7280060</v>
      </c>
      <c r="L1242" s="377">
        <f>+L1241+L1207+L1198</f>
        <v>141960</v>
      </c>
      <c r="M1242" s="378" t="str">
        <f t="shared" si="1073"/>
        <v>-</v>
      </c>
      <c r="N1242" s="378">
        <f>IFERROR(L1242/J1242,"-")</f>
        <v>1.9126868426654738E-2</v>
      </c>
      <c r="O1242" s="404"/>
      <c r="P1242" s="421">
        <f>+P1241+P1207+P1198</f>
        <v>2026079.7750000001</v>
      </c>
      <c r="Q1242" s="421">
        <f>+Q1241+Q1207+Q1198</f>
        <v>42186062.900900006</v>
      </c>
    </row>
    <row r="1243" spans="1:17" ht="22.5" customHeight="1" x14ac:dyDescent="0.3">
      <c r="A1243" s="1043" t="s">
        <v>1</v>
      </c>
      <c r="B1243" s="1046" t="s">
        <v>2</v>
      </c>
      <c r="C1243" s="1049" t="s">
        <v>477</v>
      </c>
      <c r="D1243" s="1000" t="s">
        <v>4</v>
      </c>
      <c r="E1243" s="1001"/>
      <c r="F1243" s="1001"/>
      <c r="G1243" s="1001"/>
      <c r="H1243" s="1001"/>
      <c r="I1243" s="1001"/>
      <c r="J1243" s="1001"/>
      <c r="K1243" s="1001"/>
      <c r="L1243" s="1001"/>
      <c r="M1243" s="1001"/>
      <c r="N1243" s="1002"/>
      <c r="O1243" s="1021" t="s">
        <v>175</v>
      </c>
      <c r="P1243" s="1022"/>
      <c r="Q1243" s="1052"/>
    </row>
    <row r="1244" spans="1:17" ht="22.5" customHeight="1" x14ac:dyDescent="0.3">
      <c r="A1244" s="1044"/>
      <c r="B1244" s="1047"/>
      <c r="C1244" s="1050"/>
      <c r="D1244" s="1003" t="s">
        <v>7</v>
      </c>
      <c r="E1244" s="1005" t="s">
        <v>115</v>
      </c>
      <c r="F1244" s="1053" t="s">
        <v>596</v>
      </c>
      <c r="G1244" s="1008"/>
      <c r="H1244" s="1008"/>
      <c r="I1244" s="1009"/>
      <c r="J1244" s="1010" t="s">
        <v>8</v>
      </c>
      <c r="K1244" s="1011"/>
      <c r="L1244" s="1012"/>
      <c r="M1244" s="1013" t="s">
        <v>173</v>
      </c>
      <c r="N1244" s="1015" t="s">
        <v>172</v>
      </c>
      <c r="O1244" s="1054" t="s">
        <v>177</v>
      </c>
      <c r="P1244" s="1055"/>
      <c r="Q1244" s="1056"/>
    </row>
    <row r="1245" spans="1:17" ht="47.4" thickBot="1" x14ac:dyDescent="0.35">
      <c r="A1245" s="1045"/>
      <c r="B1245" s="1048"/>
      <c r="C1245" s="1051"/>
      <c r="D1245" s="1004"/>
      <c r="E1245" s="1006"/>
      <c r="F1245" s="455" t="s">
        <v>13</v>
      </c>
      <c r="G1245" s="456" t="s">
        <v>14</v>
      </c>
      <c r="H1245" s="456" t="s">
        <v>15</v>
      </c>
      <c r="I1245" s="457" t="s">
        <v>174</v>
      </c>
      <c r="J1245" s="712" t="s">
        <v>13</v>
      </c>
      <c r="K1245" s="710" t="s">
        <v>14</v>
      </c>
      <c r="L1245" s="711" t="s">
        <v>15</v>
      </c>
      <c r="M1245" s="1014"/>
      <c r="N1245" s="1016"/>
      <c r="O1245" s="447" t="s">
        <v>178</v>
      </c>
      <c r="P1245" s="448" t="s">
        <v>11</v>
      </c>
      <c r="Q1245" s="449" t="s">
        <v>12</v>
      </c>
    </row>
    <row r="1246" spans="1:17" ht="23.4" x14ac:dyDescent="0.3">
      <c r="A1246" s="271" t="s">
        <v>110</v>
      </c>
      <c r="B1246" s="442"/>
      <c r="C1246" s="272" t="s">
        <v>266</v>
      </c>
      <c r="D1246" s="273"/>
      <c r="E1246" s="274"/>
      <c r="F1246" s="335">
        <f>+G1246+H1246</f>
        <v>0</v>
      </c>
      <c r="G1246" s="275"/>
      <c r="H1246" s="275"/>
      <c r="I1246" s="354" t="str">
        <f>IFERROR(F1246/#REF!,"-")</f>
        <v>-</v>
      </c>
      <c r="J1246" s="461">
        <f>+K1246+L1246</f>
        <v>337292</v>
      </c>
      <c r="K1246" s="462">
        <f>+K1184+G1246</f>
        <v>321720</v>
      </c>
      <c r="L1246" s="463">
        <f>+L1184+H1246</f>
        <v>15572</v>
      </c>
      <c r="M1246" s="339" t="str">
        <f>IFERROR(J1246/D1246,"-")</f>
        <v>-</v>
      </c>
      <c r="N1246" s="346">
        <f t="shared" ref="N1246:N1247" si="1078">IFERROR(L1246/J1246,"-")</f>
        <v>4.6167712249326989E-2</v>
      </c>
      <c r="O1246" s="511">
        <v>1.5669</v>
      </c>
      <c r="P1246" s="405">
        <f>+O1246*G1246</f>
        <v>0</v>
      </c>
      <c r="Q1246" s="450">
        <f>+O1246*K1246</f>
        <v>504103.06799999997</v>
      </c>
    </row>
    <row r="1247" spans="1:17" ht="23.4" x14ac:dyDescent="0.3">
      <c r="A1247" s="277" t="s">
        <v>110</v>
      </c>
      <c r="B1247" s="441"/>
      <c r="C1247" s="278" t="s">
        <v>265</v>
      </c>
      <c r="D1247" s="279"/>
      <c r="E1247" s="280"/>
      <c r="F1247" s="336">
        <f t="shared" ref="F1247:F1250" si="1079">+G1247+H1247</f>
        <v>0</v>
      </c>
      <c r="G1247" s="833"/>
      <c r="H1247" s="833"/>
      <c r="I1247" s="355" t="str">
        <f>IFERROR(F1247/#REF!,"-")</f>
        <v>-</v>
      </c>
      <c r="J1247" s="336">
        <f t="shared" ref="J1247:J1250" si="1080">+K1247+L1247</f>
        <v>960348</v>
      </c>
      <c r="K1247" s="281">
        <f t="shared" ref="K1247:K1250" si="1081">+K1185+G1247</f>
        <v>947250</v>
      </c>
      <c r="L1247" s="439">
        <f t="shared" ref="L1247:L1250" si="1082">+L1185+H1247</f>
        <v>13098</v>
      </c>
      <c r="M1247" s="340" t="str">
        <f t="shared" ref="M1247:M1250" si="1083">IFERROR(J1247/D1247,"-")</f>
        <v>-</v>
      </c>
      <c r="N1247" s="268">
        <f t="shared" si="1078"/>
        <v>1.3638805932849342E-2</v>
      </c>
      <c r="O1247" s="512">
        <v>2.3978999999999999</v>
      </c>
      <c r="P1247" s="407">
        <f>+O1247*G1247</f>
        <v>0</v>
      </c>
      <c r="Q1247" s="452">
        <f>+O1247*K1247</f>
        <v>2271410.7749999999</v>
      </c>
    </row>
    <row r="1248" spans="1:17" ht="23.4" x14ac:dyDescent="0.3">
      <c r="A1248" s="277" t="s">
        <v>110</v>
      </c>
      <c r="B1248" s="441"/>
      <c r="C1248" s="278" t="s">
        <v>476</v>
      </c>
      <c r="D1248" s="279"/>
      <c r="E1248" s="280"/>
      <c r="F1248" s="336">
        <f t="shared" si="1079"/>
        <v>117430</v>
      </c>
      <c r="G1248" s="281">
        <v>115000</v>
      </c>
      <c r="H1248" s="833">
        <v>2430</v>
      </c>
      <c r="I1248" s="355" t="str">
        <f>IFERROR(F1248/#REF!,"-")</f>
        <v>-</v>
      </c>
      <c r="J1248" s="336">
        <f t="shared" si="1080"/>
        <v>1246703</v>
      </c>
      <c r="K1248" s="281">
        <f t="shared" si="1081"/>
        <v>1214500</v>
      </c>
      <c r="L1248" s="439">
        <f t="shared" si="1082"/>
        <v>32203</v>
      </c>
      <c r="M1248" s="340" t="str">
        <f t="shared" si="1083"/>
        <v>-</v>
      </c>
      <c r="N1248" s="806">
        <f>IFERROR(L1248/J1248,"-")</f>
        <v>2.5830530607530423E-2</v>
      </c>
      <c r="O1248" s="824">
        <v>3.6777000000000002</v>
      </c>
      <c r="P1248" s="407">
        <f t="shared" ref="P1248:P1250" si="1084">+O1248*G1248</f>
        <v>422935.5</v>
      </c>
      <c r="Q1248" s="452">
        <f t="shared" ref="Q1248:Q1250" si="1085">+O1248*K1248</f>
        <v>4466566.6500000004</v>
      </c>
    </row>
    <row r="1249" spans="1:17" ht="23.4" x14ac:dyDescent="0.3">
      <c r="A1249" s="277"/>
      <c r="B1249" s="454"/>
      <c r="C1249" s="278" t="s">
        <v>353</v>
      </c>
      <c r="D1249" s="283"/>
      <c r="E1249" s="284"/>
      <c r="F1249" s="336">
        <f t="shared" si="1079"/>
        <v>44488</v>
      </c>
      <c r="G1249" s="285">
        <v>44000</v>
      </c>
      <c r="H1249" s="285">
        <v>488</v>
      </c>
      <c r="I1249" s="355" t="str">
        <f>IFERROR(F1249/#REF!,"-")</f>
        <v>-</v>
      </c>
      <c r="J1249" s="336">
        <f t="shared" si="1080"/>
        <v>426757</v>
      </c>
      <c r="K1249" s="281">
        <f t="shared" si="1081"/>
        <v>419600</v>
      </c>
      <c r="L1249" s="439">
        <f t="shared" si="1082"/>
        <v>7157</v>
      </c>
      <c r="M1249" s="340" t="str">
        <f t="shared" si="1083"/>
        <v>-</v>
      </c>
      <c r="N1249" s="268">
        <f>IFERROR(L1249/J1249,"-")</f>
        <v>1.6770668085116354E-2</v>
      </c>
      <c r="O1249" s="513">
        <v>12.284700000000001</v>
      </c>
      <c r="P1249" s="407">
        <f t="shared" si="1084"/>
        <v>540526.80000000005</v>
      </c>
      <c r="Q1249" s="452">
        <f t="shared" si="1085"/>
        <v>5154660.12</v>
      </c>
    </row>
    <row r="1250" spans="1:17" ht="24" thickBot="1" x14ac:dyDescent="0.35">
      <c r="A1250" s="277" t="s">
        <v>110</v>
      </c>
      <c r="B1250" s="454"/>
      <c r="C1250" s="278" t="s">
        <v>408</v>
      </c>
      <c r="D1250" s="283"/>
      <c r="E1250" s="284"/>
      <c r="F1250" s="337">
        <f t="shared" si="1079"/>
        <v>92784</v>
      </c>
      <c r="G1250" s="285">
        <v>90000</v>
      </c>
      <c r="H1250" s="285">
        <v>2784</v>
      </c>
      <c r="I1250" s="356" t="str">
        <f>IFERROR(F1250/#REF!,"-")</f>
        <v>-</v>
      </c>
      <c r="J1250" s="464">
        <f t="shared" si="1080"/>
        <v>608386</v>
      </c>
      <c r="K1250" s="465">
        <f t="shared" si="1081"/>
        <v>590250</v>
      </c>
      <c r="L1250" s="466">
        <f t="shared" si="1082"/>
        <v>18136</v>
      </c>
      <c r="M1250" s="341" t="str">
        <f t="shared" si="1083"/>
        <v>-</v>
      </c>
      <c r="N1250" s="347">
        <f t="shared" ref="N1250:N1262" si="1086">IFERROR(L1250/J1250,"-")</f>
        <v>2.9810021926868796E-2</v>
      </c>
      <c r="O1250" s="824">
        <v>7.0612000000000004</v>
      </c>
      <c r="P1250" s="408">
        <f t="shared" si="1084"/>
        <v>635508</v>
      </c>
      <c r="Q1250" s="453">
        <f t="shared" si="1085"/>
        <v>4167873.3000000003</v>
      </c>
    </row>
    <row r="1251" spans="1:17" ht="23.25" customHeight="1" thickBot="1" x14ac:dyDescent="0.35">
      <c r="A1251" s="277" t="s">
        <v>110</v>
      </c>
      <c r="B1251" s="1038" t="s">
        <v>21</v>
      </c>
      <c r="C1251" s="989"/>
      <c r="D1251" s="323">
        <f>SUM(D1246:D1250)</f>
        <v>0</v>
      </c>
      <c r="E1251" s="288">
        <v>15000</v>
      </c>
      <c r="F1251" s="323">
        <f>SUM(F1246:F1250)</f>
        <v>254702</v>
      </c>
      <c r="G1251" s="324">
        <f>SUM(G1246:G1250)</f>
        <v>249000</v>
      </c>
      <c r="H1251" s="324">
        <f>SUM(H1246:H1250)</f>
        <v>5702</v>
      </c>
      <c r="I1251" s="348" t="str">
        <f>IFERROR(F1251/#REF!,"-")</f>
        <v>-</v>
      </c>
      <c r="J1251" s="323">
        <f>SUM(J1246:J1250)</f>
        <v>3579486</v>
      </c>
      <c r="K1251" s="324">
        <f>SUM(K1246:K1250)</f>
        <v>3493320</v>
      </c>
      <c r="L1251" s="325">
        <f>SUM(L1246:L1250)</f>
        <v>86166</v>
      </c>
      <c r="M1251" s="342" t="str">
        <f>IFERROR(J1251/D1251,"-")</f>
        <v>-</v>
      </c>
      <c r="N1251" s="348">
        <f t="shared" si="1086"/>
        <v>2.4072171255873048E-2</v>
      </c>
      <c r="O1251" s="394"/>
      <c r="P1251" s="409">
        <f>SUM(P1246:P1250)</f>
        <v>1598970.3</v>
      </c>
      <c r="Q1251" s="428">
        <f>SUM(Q1246:Q1250)</f>
        <v>16564613.913000003</v>
      </c>
    </row>
    <row r="1252" spans="1:17" ht="23.4" x14ac:dyDescent="0.3">
      <c r="A1252" s="277" t="s">
        <v>110</v>
      </c>
      <c r="B1252" s="442"/>
      <c r="C1252" s="272" t="s">
        <v>264</v>
      </c>
      <c r="D1252" s="273"/>
      <c r="E1252" s="274"/>
      <c r="F1252" s="335">
        <f t="shared" ref="F1252:F1258" si="1087">+G1252+H1252</f>
        <v>0</v>
      </c>
      <c r="G1252" s="275"/>
      <c r="H1252" s="275"/>
      <c r="I1252" s="354" t="str">
        <f>IFERROR(F1252/#REF!,"-")</f>
        <v>-</v>
      </c>
      <c r="J1252" s="461">
        <f t="shared" ref="J1252:J1258" si="1088">+K1252+L1252</f>
        <v>34540</v>
      </c>
      <c r="K1252" s="462">
        <f t="shared" ref="K1252:K1258" si="1089">+K1190+G1252</f>
        <v>33840</v>
      </c>
      <c r="L1252" s="463">
        <f t="shared" ref="L1252:L1258" si="1090">+L1190+H1252</f>
        <v>700</v>
      </c>
      <c r="M1252" s="339" t="str">
        <f t="shared" ref="M1252:M1260" si="1091">IFERROR(J1252/D1252,"-")</f>
        <v>-</v>
      </c>
      <c r="N1252" s="349">
        <f t="shared" si="1086"/>
        <v>2.0266357845975681E-2</v>
      </c>
      <c r="O1252" s="511">
        <v>18.2316</v>
      </c>
      <c r="P1252" s="405">
        <f t="shared" ref="P1252:P1258" si="1092">+O1252*G1252</f>
        <v>0</v>
      </c>
      <c r="Q1252" s="450">
        <f t="shared" ref="Q1252:Q1258" si="1093">+O1252*K1252</f>
        <v>616957.34400000004</v>
      </c>
    </row>
    <row r="1253" spans="1:17" ht="23.4" x14ac:dyDescent="0.3">
      <c r="A1253" s="277" t="s">
        <v>110</v>
      </c>
      <c r="B1253" s="441"/>
      <c r="C1253" s="278" t="s">
        <v>92</v>
      </c>
      <c r="D1253" s="279"/>
      <c r="E1253" s="280"/>
      <c r="F1253" s="336">
        <f t="shared" si="1087"/>
        <v>0</v>
      </c>
      <c r="G1253" s="281"/>
      <c r="H1253" s="281"/>
      <c r="I1253" s="355" t="str">
        <f>IFERROR(F1253/#REF!,"-")</f>
        <v>-</v>
      </c>
      <c r="J1253" s="336">
        <f t="shared" si="1088"/>
        <v>350000</v>
      </c>
      <c r="K1253" s="281">
        <f t="shared" si="1089"/>
        <v>350000</v>
      </c>
      <c r="L1253" s="439">
        <f t="shared" si="1090"/>
        <v>0</v>
      </c>
      <c r="M1253" s="340" t="str">
        <f t="shared" si="1091"/>
        <v>-</v>
      </c>
      <c r="N1253" s="264">
        <f t="shared" si="1086"/>
        <v>0</v>
      </c>
      <c r="O1253" s="512">
        <v>1.2824</v>
      </c>
      <c r="P1253" s="407">
        <f t="shared" si="1092"/>
        <v>0</v>
      </c>
      <c r="Q1253" s="452">
        <f t="shared" si="1093"/>
        <v>448840</v>
      </c>
    </row>
    <row r="1254" spans="1:17" ht="23.4" x14ac:dyDescent="0.3">
      <c r="A1254" s="277" t="s">
        <v>110</v>
      </c>
      <c r="B1254" s="441"/>
      <c r="C1254" s="278" t="s">
        <v>329</v>
      </c>
      <c r="D1254" s="279"/>
      <c r="E1254" s="280"/>
      <c r="F1254" s="336">
        <f t="shared" si="1087"/>
        <v>0</v>
      </c>
      <c r="G1254" s="281"/>
      <c r="H1254" s="281"/>
      <c r="I1254" s="355" t="str">
        <f>IFERROR(F1254/#REF!,"-")</f>
        <v>-</v>
      </c>
      <c r="J1254" s="336">
        <f t="shared" si="1088"/>
        <v>108434</v>
      </c>
      <c r="K1254" s="281">
        <f t="shared" si="1089"/>
        <v>108000</v>
      </c>
      <c r="L1254" s="439">
        <f t="shared" si="1090"/>
        <v>434</v>
      </c>
      <c r="M1254" s="340" t="str">
        <f t="shared" si="1091"/>
        <v>-</v>
      </c>
      <c r="N1254" s="264">
        <f t="shared" si="1086"/>
        <v>4.0024346607152742E-3</v>
      </c>
      <c r="O1254" s="772">
        <v>5.7342000000000004</v>
      </c>
      <c r="P1254" s="407">
        <f t="shared" si="1092"/>
        <v>0</v>
      </c>
      <c r="Q1254" s="452">
        <f t="shared" si="1093"/>
        <v>619293.60000000009</v>
      </c>
    </row>
    <row r="1255" spans="1:17" ht="23.4" x14ac:dyDescent="0.3">
      <c r="A1255" s="277" t="s">
        <v>110</v>
      </c>
      <c r="B1255" s="441"/>
      <c r="C1255" s="278" t="s">
        <v>346</v>
      </c>
      <c r="D1255" s="279"/>
      <c r="E1255" s="280"/>
      <c r="F1255" s="336">
        <f t="shared" si="1087"/>
        <v>0</v>
      </c>
      <c r="G1255" s="281"/>
      <c r="H1255" s="281"/>
      <c r="I1255" s="355" t="str">
        <f>IFERROR(F1255/#REF!,"-")</f>
        <v>-</v>
      </c>
      <c r="J1255" s="336">
        <f t="shared" si="1088"/>
        <v>0</v>
      </c>
      <c r="K1255" s="281">
        <f t="shared" si="1089"/>
        <v>0</v>
      </c>
      <c r="L1255" s="439">
        <f t="shared" si="1090"/>
        <v>0</v>
      </c>
      <c r="M1255" s="340" t="str">
        <f t="shared" si="1091"/>
        <v>-</v>
      </c>
      <c r="N1255" s="264" t="str">
        <f t="shared" si="1086"/>
        <v>-</v>
      </c>
      <c r="O1255" s="512"/>
      <c r="P1255" s="407">
        <f t="shared" si="1092"/>
        <v>0</v>
      </c>
      <c r="Q1255" s="452">
        <f t="shared" si="1093"/>
        <v>0</v>
      </c>
    </row>
    <row r="1256" spans="1:17" ht="23.4" x14ac:dyDescent="0.3">
      <c r="A1256" s="277" t="s">
        <v>110</v>
      </c>
      <c r="B1256" s="441"/>
      <c r="C1256" s="278" t="s">
        <v>354</v>
      </c>
      <c r="D1256" s="279"/>
      <c r="E1256" s="280"/>
      <c r="F1256" s="336">
        <f t="shared" si="1087"/>
        <v>27052</v>
      </c>
      <c r="G1256" s="281">
        <v>27000</v>
      </c>
      <c r="H1256" s="281">
        <v>52</v>
      </c>
      <c r="I1256" s="355" t="str">
        <f>IFERROR(F1256/#REF!,"-")</f>
        <v>-</v>
      </c>
      <c r="J1256" s="336">
        <f t="shared" si="1088"/>
        <v>250747</v>
      </c>
      <c r="K1256" s="281">
        <f t="shared" si="1089"/>
        <v>248200</v>
      </c>
      <c r="L1256" s="439">
        <f t="shared" si="1090"/>
        <v>2547</v>
      </c>
      <c r="M1256" s="340" t="str">
        <f t="shared" si="1091"/>
        <v>-</v>
      </c>
      <c r="N1256" s="264">
        <f t="shared" si="1086"/>
        <v>1.0157648944952483E-2</v>
      </c>
      <c r="O1256" s="512">
        <v>12.029500000000001</v>
      </c>
      <c r="P1256" s="407">
        <f t="shared" si="1092"/>
        <v>324796.5</v>
      </c>
      <c r="Q1256" s="452">
        <f t="shared" si="1093"/>
        <v>2985721.9</v>
      </c>
    </row>
    <row r="1257" spans="1:17" ht="23.4" x14ac:dyDescent="0.3">
      <c r="A1257" s="277" t="s">
        <v>110</v>
      </c>
      <c r="B1257" s="441"/>
      <c r="C1257" s="278"/>
      <c r="D1257" s="279"/>
      <c r="E1257" s="280"/>
      <c r="F1257" s="336">
        <f t="shared" si="1087"/>
        <v>0</v>
      </c>
      <c r="G1257" s="281"/>
      <c r="H1257" s="281"/>
      <c r="I1257" s="355" t="str">
        <f>IFERROR(F1257/#REF!,"-")</f>
        <v>-</v>
      </c>
      <c r="J1257" s="336">
        <f t="shared" si="1088"/>
        <v>0</v>
      </c>
      <c r="K1257" s="281">
        <f t="shared" si="1089"/>
        <v>0</v>
      </c>
      <c r="L1257" s="439">
        <f t="shared" si="1090"/>
        <v>0</v>
      </c>
      <c r="M1257" s="340" t="str">
        <f t="shared" si="1091"/>
        <v>-</v>
      </c>
      <c r="N1257" s="264" t="str">
        <f t="shared" si="1086"/>
        <v>-</v>
      </c>
      <c r="O1257" s="512"/>
      <c r="P1257" s="407">
        <f t="shared" si="1092"/>
        <v>0</v>
      </c>
      <c r="Q1257" s="452">
        <f t="shared" si="1093"/>
        <v>0</v>
      </c>
    </row>
    <row r="1258" spans="1:17" ht="24" thickBot="1" x14ac:dyDescent="0.35">
      <c r="A1258" s="277" t="s">
        <v>110</v>
      </c>
      <c r="B1258" s="454"/>
      <c r="C1258" s="282"/>
      <c r="D1258" s="283">
        <v>0</v>
      </c>
      <c r="E1258" s="284"/>
      <c r="F1258" s="337">
        <f t="shared" si="1087"/>
        <v>0</v>
      </c>
      <c r="G1258" s="285"/>
      <c r="H1258" s="285"/>
      <c r="I1258" s="356" t="str">
        <f>IFERROR(F1258/#REF!,"-")</f>
        <v>-</v>
      </c>
      <c r="J1258" s="464">
        <f t="shared" si="1088"/>
        <v>0</v>
      </c>
      <c r="K1258" s="465">
        <f t="shared" si="1089"/>
        <v>0</v>
      </c>
      <c r="L1258" s="466">
        <f t="shared" si="1090"/>
        <v>0</v>
      </c>
      <c r="M1258" s="341" t="str">
        <f t="shared" si="1091"/>
        <v>-</v>
      </c>
      <c r="N1258" s="350" t="str">
        <f t="shared" si="1086"/>
        <v>-</v>
      </c>
      <c r="O1258" s="513"/>
      <c r="P1258" s="408">
        <f t="shared" si="1092"/>
        <v>0</v>
      </c>
      <c r="Q1258" s="453">
        <f t="shared" si="1093"/>
        <v>0</v>
      </c>
    </row>
    <row r="1259" spans="1:17" ht="23.25" customHeight="1" thickBot="1" x14ac:dyDescent="0.35">
      <c r="A1259" s="277" t="s">
        <v>110</v>
      </c>
      <c r="B1259" s="1038" t="s">
        <v>25</v>
      </c>
      <c r="C1259" s="989"/>
      <c r="D1259" s="323">
        <f t="shared" ref="D1259" si="1094">SUM(D1252:D1258)</f>
        <v>0</v>
      </c>
      <c r="E1259" s="288">
        <v>100000</v>
      </c>
      <c r="F1259" s="323">
        <f>SUM(F1252:F1258)</f>
        <v>27052</v>
      </c>
      <c r="G1259" s="324">
        <f t="shared" ref="G1259:H1259" si="1095">SUM(G1252:G1258)</f>
        <v>27000</v>
      </c>
      <c r="H1259" s="324">
        <f t="shared" si="1095"/>
        <v>52</v>
      </c>
      <c r="I1259" s="348" t="str">
        <f>IFERROR(F1259/#REF!,"-")</f>
        <v>-</v>
      </c>
      <c r="J1259" s="323">
        <f t="shared" ref="J1259:L1259" si="1096">SUM(J1252:J1258)</f>
        <v>743721</v>
      </c>
      <c r="K1259" s="324">
        <f t="shared" si="1096"/>
        <v>740040</v>
      </c>
      <c r="L1259" s="325">
        <f t="shared" si="1096"/>
        <v>3681</v>
      </c>
      <c r="M1259" s="342" t="str">
        <f t="shared" si="1091"/>
        <v>-</v>
      </c>
      <c r="N1259" s="348">
        <f t="shared" si="1086"/>
        <v>4.9494366839177599E-3</v>
      </c>
      <c r="O1259" s="394"/>
      <c r="P1259" s="409">
        <f t="shared" ref="P1259:Q1259" si="1097">SUM(P1252:P1258)</f>
        <v>324796.5</v>
      </c>
      <c r="Q1259" s="428">
        <f t="shared" si="1097"/>
        <v>4670812.8440000005</v>
      </c>
    </row>
    <row r="1260" spans="1:17" ht="23.25" customHeight="1" thickBot="1" x14ac:dyDescent="0.35">
      <c r="A1260" s="277" t="s">
        <v>110</v>
      </c>
      <c r="B1260" s="1039" t="s">
        <v>180</v>
      </c>
      <c r="C1260" s="1040"/>
      <c r="D1260" s="329">
        <f>+D1251+D1259</f>
        <v>0</v>
      </c>
      <c r="E1260" s="330">
        <f t="shared" ref="E1260:H1260" si="1098">+E1251+E1259</f>
        <v>115000</v>
      </c>
      <c r="F1260" s="329">
        <f t="shared" si="1098"/>
        <v>281754</v>
      </c>
      <c r="G1260" s="327">
        <f t="shared" si="1098"/>
        <v>276000</v>
      </c>
      <c r="H1260" s="327">
        <f t="shared" si="1098"/>
        <v>5754</v>
      </c>
      <c r="I1260" s="352" t="str">
        <f>IFERROR(F1260/#REF!,"-")</f>
        <v>-</v>
      </c>
      <c r="J1260" s="329">
        <f t="shared" ref="J1260:L1260" si="1099">+J1251+J1259</f>
        <v>4323207</v>
      </c>
      <c r="K1260" s="327">
        <f t="shared" si="1099"/>
        <v>4233360</v>
      </c>
      <c r="L1260" s="328">
        <f t="shared" si="1099"/>
        <v>89847</v>
      </c>
      <c r="M1260" s="344" t="str">
        <f t="shared" si="1091"/>
        <v>-</v>
      </c>
      <c r="N1260" s="352">
        <f t="shared" si="1086"/>
        <v>2.0782488555371046E-2</v>
      </c>
      <c r="O1260" s="397"/>
      <c r="P1260" s="413">
        <f t="shared" ref="P1260:Q1260" si="1100">+P1251+P1259</f>
        <v>1923766.8</v>
      </c>
      <c r="Q1260" s="431">
        <f t="shared" si="1100"/>
        <v>21235426.757000003</v>
      </c>
    </row>
    <row r="1261" spans="1:17" ht="23.4" x14ac:dyDescent="0.3">
      <c r="A1261" s="244" t="s">
        <v>108</v>
      </c>
      <c r="B1261" s="591"/>
      <c r="C1261" s="592" t="s">
        <v>306</v>
      </c>
      <c r="D1261" s="532"/>
      <c r="E1261" s="463"/>
      <c r="F1261" s="461">
        <f>+G1261+H1261</f>
        <v>0</v>
      </c>
      <c r="G1261" s="462"/>
      <c r="H1261" s="462"/>
      <c r="I1261" s="536" t="str">
        <f>IFERROR(F1261/#REF!,"-")</f>
        <v>-</v>
      </c>
      <c r="J1261" s="461">
        <f>+K1261+L1261</f>
        <v>0</v>
      </c>
      <c r="K1261" s="462">
        <f t="shared" ref="K1261:K1267" si="1101">+K1199+G1261</f>
        <v>0</v>
      </c>
      <c r="L1261" s="463">
        <f t="shared" ref="L1261:L1267" si="1102">+L1199+H1261</f>
        <v>0</v>
      </c>
      <c r="M1261" s="596" t="str">
        <f>IFERROR(J1261/D1261,"-")</f>
        <v>-</v>
      </c>
      <c r="N1261" s="538" t="str">
        <f t="shared" si="1086"/>
        <v>-</v>
      </c>
      <c r="O1261" s="638">
        <v>4.8285999999999998</v>
      </c>
      <c r="P1261" s="539">
        <f t="shared" ref="P1261:P1267" si="1103">+O1261*G1261</f>
        <v>0</v>
      </c>
      <c r="Q1261" s="540">
        <f t="shared" ref="Q1261:Q1267" si="1104">+O1261*K1261</f>
        <v>0</v>
      </c>
    </row>
    <row r="1262" spans="1:17" ht="23.4" x14ac:dyDescent="0.3">
      <c r="A1262" s="248" t="s">
        <v>108</v>
      </c>
      <c r="B1262" s="593"/>
      <c r="C1262" s="278" t="s">
        <v>307</v>
      </c>
      <c r="D1262" s="279"/>
      <c r="E1262" s="439"/>
      <c r="F1262" s="336">
        <f t="shared" ref="F1262:F1267" si="1105">+G1262+H1262</f>
        <v>0</v>
      </c>
      <c r="G1262" s="281"/>
      <c r="H1262" s="281"/>
      <c r="I1262" s="355" t="str">
        <f>IFERROR(F1262/#REF!,"-")</f>
        <v>-</v>
      </c>
      <c r="J1262" s="336">
        <f t="shared" ref="J1262:J1267" si="1106">+K1262+L1262</f>
        <v>0</v>
      </c>
      <c r="K1262" s="281">
        <f t="shared" si="1101"/>
        <v>0</v>
      </c>
      <c r="L1262" s="439">
        <f t="shared" si="1102"/>
        <v>0</v>
      </c>
      <c r="M1262" s="340" t="str">
        <f t="shared" ref="M1262:M1264" si="1107">IFERROR(J1262/D1262,"-")</f>
        <v>-</v>
      </c>
      <c r="N1262" s="268" t="str">
        <f t="shared" si="1086"/>
        <v>-</v>
      </c>
      <c r="O1262" s="639">
        <v>1.4086000000000001</v>
      </c>
      <c r="P1262" s="407">
        <f t="shared" si="1103"/>
        <v>0</v>
      </c>
      <c r="Q1262" s="452">
        <f t="shared" si="1104"/>
        <v>0</v>
      </c>
    </row>
    <row r="1263" spans="1:17" ht="23.4" x14ac:dyDescent="0.3">
      <c r="A1263" s="248" t="s">
        <v>108</v>
      </c>
      <c r="B1263" s="593"/>
      <c r="C1263" s="278" t="s">
        <v>348</v>
      </c>
      <c r="D1263" s="279"/>
      <c r="E1263" s="439"/>
      <c r="F1263" s="336">
        <f t="shared" si="1105"/>
        <v>0</v>
      </c>
      <c r="G1263" s="281"/>
      <c r="H1263" s="281"/>
      <c r="I1263" s="355" t="str">
        <f>IFERROR(F1263/#REF!,"-")</f>
        <v>-</v>
      </c>
      <c r="J1263" s="336">
        <f t="shared" si="1106"/>
        <v>0</v>
      </c>
      <c r="K1263" s="281">
        <f t="shared" si="1101"/>
        <v>0</v>
      </c>
      <c r="L1263" s="439">
        <f t="shared" si="1102"/>
        <v>0</v>
      </c>
      <c r="M1263" s="340" t="str">
        <f t="shared" si="1107"/>
        <v>-</v>
      </c>
      <c r="N1263" s="268" t="str">
        <f>IFERROR(L1263/J1263,"-")</f>
        <v>-</v>
      </c>
      <c r="O1263" s="639">
        <v>2.2141000000000002</v>
      </c>
      <c r="P1263" s="407">
        <f t="shared" si="1103"/>
        <v>0</v>
      </c>
      <c r="Q1263" s="452">
        <f t="shared" si="1104"/>
        <v>0</v>
      </c>
    </row>
    <row r="1264" spans="1:17" ht="23.4" x14ac:dyDescent="0.3">
      <c r="A1264" s="248" t="s">
        <v>108</v>
      </c>
      <c r="B1264" s="594"/>
      <c r="C1264" s="278" t="s">
        <v>583</v>
      </c>
      <c r="D1264" s="283"/>
      <c r="E1264" s="533"/>
      <c r="F1264" s="337">
        <f t="shared" si="1105"/>
        <v>98860</v>
      </c>
      <c r="G1264" s="285">
        <v>97750</v>
      </c>
      <c r="H1264" s="285">
        <v>1110</v>
      </c>
      <c r="I1264" s="356" t="str">
        <f>IFERROR(F1264/#REF!,"-")</f>
        <v>-</v>
      </c>
      <c r="J1264" s="336">
        <f t="shared" si="1106"/>
        <v>558272</v>
      </c>
      <c r="K1264" s="281">
        <f t="shared" si="1101"/>
        <v>549000</v>
      </c>
      <c r="L1264" s="439">
        <f t="shared" si="1102"/>
        <v>9272</v>
      </c>
      <c r="M1264" s="341" t="str">
        <f t="shared" si="1107"/>
        <v>-</v>
      </c>
      <c r="N1264" s="347">
        <f t="shared" ref="N1264:N1271" si="1108">IFERROR(L1264/J1264,"-")</f>
        <v>1.6608391608391608E-2</v>
      </c>
      <c r="O1264" s="639">
        <v>2.2141000000000002</v>
      </c>
      <c r="P1264" s="408">
        <f t="shared" si="1103"/>
        <v>216428.27500000002</v>
      </c>
      <c r="Q1264" s="453">
        <f t="shared" si="1104"/>
        <v>1215540.9000000001</v>
      </c>
    </row>
    <row r="1265" spans="1:17" ht="23.4" x14ac:dyDescent="0.3">
      <c r="A1265" s="248" t="s">
        <v>108</v>
      </c>
      <c r="B1265" s="443"/>
      <c r="C1265" s="637" t="s">
        <v>393</v>
      </c>
      <c r="D1265" s="514"/>
      <c r="E1265" s="534"/>
      <c r="F1265" s="336">
        <f t="shared" si="1105"/>
        <v>0</v>
      </c>
      <c r="G1265" s="553"/>
      <c r="H1265" s="553"/>
      <c r="I1265" s="355" t="str">
        <f>IFERROR(F1265/#REF!,"-")</f>
        <v>-</v>
      </c>
      <c r="J1265" s="336">
        <f t="shared" si="1106"/>
        <v>0</v>
      </c>
      <c r="K1265" s="281">
        <f t="shared" si="1101"/>
        <v>0</v>
      </c>
      <c r="L1265" s="439">
        <f t="shared" si="1102"/>
        <v>0</v>
      </c>
      <c r="M1265" s="725"/>
      <c r="N1265" s="268" t="str">
        <f t="shared" si="1108"/>
        <v>-</v>
      </c>
      <c r="O1265" s="545">
        <v>4.8285999999999998</v>
      </c>
      <c r="P1265" s="407">
        <f t="shared" si="1103"/>
        <v>0</v>
      </c>
      <c r="Q1265" s="452">
        <f t="shared" si="1104"/>
        <v>0</v>
      </c>
    </row>
    <row r="1266" spans="1:17" ht="23.4" x14ac:dyDescent="0.3">
      <c r="A1266" s="248" t="s">
        <v>108</v>
      </c>
      <c r="B1266" s="595"/>
      <c r="C1266" s="637" t="s">
        <v>389</v>
      </c>
      <c r="D1266" s="273"/>
      <c r="E1266" s="438"/>
      <c r="F1266" s="335">
        <f t="shared" si="1105"/>
        <v>0</v>
      </c>
      <c r="G1266" s="275"/>
      <c r="H1266" s="275"/>
      <c r="I1266" s="354" t="str">
        <f>IFERROR(F1266/#REF!,"-")</f>
        <v>-</v>
      </c>
      <c r="J1266" s="336">
        <f t="shared" si="1106"/>
        <v>0</v>
      </c>
      <c r="K1266" s="281">
        <f t="shared" si="1101"/>
        <v>0</v>
      </c>
      <c r="L1266" s="439">
        <f t="shared" si="1102"/>
        <v>0</v>
      </c>
      <c r="M1266" s="339" t="str">
        <f t="shared" ref="M1266:M1267" si="1109">IFERROR(J1266/D1266,"-")</f>
        <v>-</v>
      </c>
      <c r="N1266" s="349" t="str">
        <f t="shared" si="1108"/>
        <v>-</v>
      </c>
      <c r="O1266" s="511">
        <v>4.1712999999999996</v>
      </c>
      <c r="P1266" s="405">
        <f t="shared" si="1103"/>
        <v>0</v>
      </c>
      <c r="Q1266" s="450">
        <f t="shared" si="1104"/>
        <v>0</v>
      </c>
    </row>
    <row r="1267" spans="1:17" ht="24" thickBot="1" x14ac:dyDescent="0.35">
      <c r="A1267" s="248" t="s">
        <v>108</v>
      </c>
      <c r="B1267" s="593"/>
      <c r="C1267" s="278"/>
      <c r="D1267" s="279"/>
      <c r="E1267" s="439"/>
      <c r="F1267" s="336">
        <f t="shared" si="1105"/>
        <v>0</v>
      </c>
      <c r="G1267" s="281"/>
      <c r="H1267" s="281"/>
      <c r="I1267" s="355" t="str">
        <f>IFERROR(F1267/#REF!,"-")</f>
        <v>-</v>
      </c>
      <c r="J1267" s="464">
        <f t="shared" si="1106"/>
        <v>0</v>
      </c>
      <c r="K1267" s="465">
        <f t="shared" si="1101"/>
        <v>0</v>
      </c>
      <c r="L1267" s="466">
        <f t="shared" si="1102"/>
        <v>0</v>
      </c>
      <c r="M1267" s="340" t="str">
        <f t="shared" si="1109"/>
        <v>-</v>
      </c>
      <c r="N1267" s="264" t="str">
        <f t="shared" si="1108"/>
        <v>-</v>
      </c>
      <c r="O1267" s="451"/>
      <c r="P1267" s="407">
        <f t="shared" si="1103"/>
        <v>0</v>
      </c>
      <c r="Q1267" s="452">
        <f t="shared" si="1104"/>
        <v>0</v>
      </c>
    </row>
    <row r="1268" spans="1:17" ht="23.25" customHeight="1" thickBot="1" x14ac:dyDescent="0.35">
      <c r="A1268" s="277" t="s">
        <v>108</v>
      </c>
      <c r="B1268" s="1038" t="s">
        <v>21</v>
      </c>
      <c r="C1268" s="989"/>
      <c r="D1268" s="323">
        <v>0</v>
      </c>
      <c r="E1268" s="288">
        <v>15000</v>
      </c>
      <c r="F1268" s="323">
        <f>SUM(F1261:F1267)</f>
        <v>98860</v>
      </c>
      <c r="G1268" s="324">
        <f t="shared" ref="G1268:H1268" si="1110">SUM(G1261:G1267)</f>
        <v>97750</v>
      </c>
      <c r="H1268" s="324">
        <f t="shared" si="1110"/>
        <v>1110</v>
      </c>
      <c r="I1268" s="348" t="str">
        <f>IFERROR(F1268/#REF!,"-")</f>
        <v>-</v>
      </c>
      <c r="J1268" s="518">
        <f t="shared" ref="J1268" si="1111">SUM(J1261:J1267)</f>
        <v>558272</v>
      </c>
      <c r="K1268" s="524">
        <f>SUM(K1261:K1267)</f>
        <v>549000</v>
      </c>
      <c r="L1268" s="524">
        <f>SUM(L1261:L1267)</f>
        <v>9272</v>
      </c>
      <c r="M1268" s="342" t="str">
        <f>IFERROR(J1268/D1268,"-")</f>
        <v>-</v>
      </c>
      <c r="N1268" s="348">
        <f t="shared" si="1108"/>
        <v>1.6608391608391608E-2</v>
      </c>
      <c r="O1268" s="394"/>
      <c r="P1268" s="409">
        <f>SUM(P1261:P1267)</f>
        <v>216428.27500000002</v>
      </c>
      <c r="Q1268" s="428">
        <f>SUM(Q1261:Q1267)</f>
        <v>1215540.9000000001</v>
      </c>
    </row>
    <row r="1269" spans="1:17" ht="23.25" customHeight="1" thickBot="1" x14ac:dyDescent="0.35">
      <c r="A1269" s="277" t="s">
        <v>108</v>
      </c>
      <c r="B1269" s="1039" t="s">
        <v>268</v>
      </c>
      <c r="C1269" s="1040"/>
      <c r="D1269" s="517">
        <f>+D1265+D1268</f>
        <v>0</v>
      </c>
      <c r="E1269" s="530">
        <f>+E1265+E1268</f>
        <v>15000</v>
      </c>
      <c r="F1269" s="517">
        <f>+F1265+F1268</f>
        <v>98860</v>
      </c>
      <c r="G1269" s="519">
        <f>+G1265+G1268</f>
        <v>97750</v>
      </c>
      <c r="H1269" s="519">
        <f>+H1265+H1268</f>
        <v>1110</v>
      </c>
      <c r="I1269" s="520" t="str">
        <f>IFERROR(F1269/#REF!,"-")</f>
        <v>-</v>
      </c>
      <c r="J1269" s="517">
        <f>+J1265+J1268</f>
        <v>558272</v>
      </c>
      <c r="K1269" s="519">
        <f>+K1268</f>
        <v>549000</v>
      </c>
      <c r="L1269" s="519">
        <f>+L1268</f>
        <v>9272</v>
      </c>
      <c r="M1269" s="521" t="str">
        <f t="shared" ref="M1269" si="1112">IFERROR(J1269/D1269,"-")</f>
        <v>-</v>
      </c>
      <c r="N1269" s="520">
        <f t="shared" si="1108"/>
        <v>1.6608391608391608E-2</v>
      </c>
      <c r="O1269" s="522"/>
      <c r="P1269" s="523">
        <f>+P1268</f>
        <v>216428.27500000002</v>
      </c>
      <c r="Q1269" s="523">
        <f>+Q1268</f>
        <v>1215540.9000000001</v>
      </c>
    </row>
    <row r="1270" spans="1:17" ht="23.4" x14ac:dyDescent="0.4">
      <c r="A1270" s="244" t="s">
        <v>108</v>
      </c>
      <c r="B1270" s="1035" t="s">
        <v>270</v>
      </c>
      <c r="C1270" s="547" t="s">
        <v>74</v>
      </c>
      <c r="D1270" s="532"/>
      <c r="E1270" s="463"/>
      <c r="F1270" s="461">
        <f>+G1270+H1270</f>
        <v>0</v>
      </c>
      <c r="G1270" s="462"/>
      <c r="H1270" s="462"/>
      <c r="I1270" s="536" t="str">
        <f>IFERROR(F1270/#REF!,"-")</f>
        <v>-</v>
      </c>
      <c r="J1270" s="461">
        <f>+K1270+L1270</f>
        <v>80931</v>
      </c>
      <c r="K1270" s="462">
        <f t="shared" ref="K1270:K1301" si="1113">+K1208+G1270</f>
        <v>80150</v>
      </c>
      <c r="L1270" s="463">
        <f t="shared" ref="L1270:L1301" si="1114">+L1208+H1270</f>
        <v>781</v>
      </c>
      <c r="M1270" s="596" t="str">
        <f>IFERROR(J1270/D1270,"-")</f>
        <v>-</v>
      </c>
      <c r="N1270" s="538">
        <f t="shared" si="1108"/>
        <v>9.6501958458439906E-3</v>
      </c>
      <c r="O1270" s="543">
        <v>32.946300000000001</v>
      </c>
      <c r="P1270" s="539">
        <f t="shared" ref="P1270:P1301" si="1115">+O1270*G1270</f>
        <v>0</v>
      </c>
      <c r="Q1270" s="540">
        <f t="shared" ref="Q1270:Q1301" si="1116">+O1270*K1270</f>
        <v>2640645.9449999998</v>
      </c>
    </row>
    <row r="1271" spans="1:17" ht="23.4" x14ac:dyDescent="0.4">
      <c r="A1271" s="248" t="s">
        <v>108</v>
      </c>
      <c r="B1271" s="1036"/>
      <c r="C1271" s="548" t="s">
        <v>75</v>
      </c>
      <c r="D1271" s="516"/>
      <c r="E1271" s="439"/>
      <c r="F1271" s="336">
        <f t="shared" ref="F1271:F1301" si="1117">+G1271+H1271</f>
        <v>0</v>
      </c>
      <c r="G1271" s="281"/>
      <c r="H1271" s="281"/>
      <c r="I1271" s="355" t="str">
        <f>IFERROR(F1271/#REF!,"-")</f>
        <v>-</v>
      </c>
      <c r="J1271" s="336">
        <f t="shared" ref="J1271:J1301" si="1118">+K1271+L1271</f>
        <v>17154</v>
      </c>
      <c r="K1271" s="281">
        <f t="shared" si="1113"/>
        <v>17000</v>
      </c>
      <c r="L1271" s="439">
        <f t="shared" si="1114"/>
        <v>154</v>
      </c>
      <c r="M1271" s="340" t="str">
        <f t="shared" ref="M1271:M1273" si="1119">IFERROR(J1271/D1271,"-")</f>
        <v>-</v>
      </c>
      <c r="N1271" s="268">
        <f t="shared" si="1108"/>
        <v>8.9774979596595542E-3</v>
      </c>
      <c r="O1271" s="512">
        <v>35.398400000000002</v>
      </c>
      <c r="P1271" s="407">
        <f t="shared" si="1115"/>
        <v>0</v>
      </c>
      <c r="Q1271" s="452">
        <f t="shared" si="1116"/>
        <v>601772.80000000005</v>
      </c>
    </row>
    <row r="1272" spans="1:17" ht="24" thickBot="1" x14ac:dyDescent="0.45">
      <c r="A1272" s="248" t="s">
        <v>108</v>
      </c>
      <c r="B1272" s="1037"/>
      <c r="C1272" s="548" t="s">
        <v>599</v>
      </c>
      <c r="D1272" s="279"/>
      <c r="E1272" s="439"/>
      <c r="F1272" s="336">
        <f t="shared" si="1117"/>
        <v>2889</v>
      </c>
      <c r="G1272" s="281">
        <v>2800</v>
      </c>
      <c r="H1272" s="281">
        <v>89</v>
      </c>
      <c r="I1272" s="355" t="str">
        <f>IFERROR(F1272/#REF!,"-")</f>
        <v>-</v>
      </c>
      <c r="J1272" s="336">
        <f t="shared" si="1118"/>
        <v>2889</v>
      </c>
      <c r="K1272" s="281">
        <f t="shared" si="1113"/>
        <v>2800</v>
      </c>
      <c r="L1272" s="439">
        <f t="shared" si="1114"/>
        <v>89</v>
      </c>
      <c r="M1272" s="340" t="str">
        <f t="shared" si="1119"/>
        <v>-</v>
      </c>
      <c r="N1272" s="268">
        <f>IFERROR(L1272/J1272,"-")</f>
        <v>3.0806507442021461E-2</v>
      </c>
      <c r="O1272" s="512">
        <v>35.398400000000002</v>
      </c>
      <c r="P1272" s="407">
        <f t="shared" si="1115"/>
        <v>99115.520000000004</v>
      </c>
      <c r="Q1272" s="452">
        <f t="shared" si="1116"/>
        <v>99115.520000000004</v>
      </c>
    </row>
    <row r="1273" spans="1:17" ht="23.4" x14ac:dyDescent="0.4">
      <c r="A1273" s="248" t="s">
        <v>108</v>
      </c>
      <c r="B1273" s="1035" t="s">
        <v>271</v>
      </c>
      <c r="C1273" s="550" t="s">
        <v>78</v>
      </c>
      <c r="D1273" s="279"/>
      <c r="E1273" s="533"/>
      <c r="F1273" s="337">
        <f t="shared" si="1117"/>
        <v>0</v>
      </c>
      <c r="G1273" s="281"/>
      <c r="H1273" s="281"/>
      <c r="I1273" s="355" t="str">
        <f>IFERROR(F1273/#REF!,"-")</f>
        <v>-</v>
      </c>
      <c r="J1273" s="336">
        <f t="shared" si="1118"/>
        <v>70498</v>
      </c>
      <c r="K1273" s="281">
        <f t="shared" si="1113"/>
        <v>68138</v>
      </c>
      <c r="L1273" s="439">
        <f t="shared" si="1114"/>
        <v>2360</v>
      </c>
      <c r="M1273" s="340" t="str">
        <f t="shared" si="1119"/>
        <v>-</v>
      </c>
      <c r="N1273" s="268">
        <f t="shared" ref="N1273" si="1120">IFERROR(L1273/J1273,"-")</f>
        <v>3.3476126982325737E-2</v>
      </c>
      <c r="O1273" s="512">
        <v>55.4758</v>
      </c>
      <c r="P1273" s="407">
        <f t="shared" si="1115"/>
        <v>0</v>
      </c>
      <c r="Q1273" s="452">
        <f t="shared" si="1116"/>
        <v>3780010.0603999998</v>
      </c>
    </row>
    <row r="1274" spans="1:17" ht="23.4" x14ac:dyDescent="0.4">
      <c r="A1274" s="248" t="s">
        <v>108</v>
      </c>
      <c r="B1274" s="1036"/>
      <c r="C1274" s="550" t="s">
        <v>75</v>
      </c>
      <c r="D1274" s="279"/>
      <c r="E1274" s="534"/>
      <c r="F1274" s="337">
        <f t="shared" si="1117"/>
        <v>0</v>
      </c>
      <c r="G1274" s="281"/>
      <c r="H1274" s="281"/>
      <c r="I1274" s="355" t="str">
        <f>IFERROR(F1274/#REF!,"-")</f>
        <v>-</v>
      </c>
      <c r="J1274" s="336">
        <f t="shared" si="1118"/>
        <v>8448</v>
      </c>
      <c r="K1274" s="281">
        <f t="shared" si="1113"/>
        <v>6800</v>
      </c>
      <c r="L1274" s="439">
        <f t="shared" si="1114"/>
        <v>1648</v>
      </c>
      <c r="M1274" s="725"/>
      <c r="N1274" s="375"/>
      <c r="O1274" s="545">
        <v>58.836300000000001</v>
      </c>
      <c r="P1274" s="407">
        <f t="shared" si="1115"/>
        <v>0</v>
      </c>
      <c r="Q1274" s="452">
        <f t="shared" si="1116"/>
        <v>400086.84</v>
      </c>
    </row>
    <row r="1275" spans="1:17" ht="23.4" x14ac:dyDescent="0.4">
      <c r="A1275" s="248" t="s">
        <v>108</v>
      </c>
      <c r="B1275" s="1036"/>
      <c r="C1275" s="550" t="s">
        <v>386</v>
      </c>
      <c r="D1275" s="279"/>
      <c r="E1275" s="438"/>
      <c r="F1275" s="337">
        <f t="shared" si="1117"/>
        <v>0</v>
      </c>
      <c r="G1275" s="281"/>
      <c r="H1275" s="281"/>
      <c r="I1275" s="355" t="str">
        <f>IFERROR(F1275/#REF!,"-")</f>
        <v>-</v>
      </c>
      <c r="J1275" s="336">
        <f t="shared" si="1118"/>
        <v>6281</v>
      </c>
      <c r="K1275" s="281">
        <f t="shared" si="1113"/>
        <v>5031</v>
      </c>
      <c r="L1275" s="439">
        <f t="shared" si="1114"/>
        <v>1250</v>
      </c>
      <c r="M1275" s="340" t="str">
        <f t="shared" ref="M1275" si="1121">IFERROR(J1275/D1275,"-")</f>
        <v>-</v>
      </c>
      <c r="N1275" s="264">
        <f t="shared" ref="N1275" si="1122">IFERROR(L1275/J1275,"-")</f>
        <v>0.19901289603566311</v>
      </c>
      <c r="O1275" s="772">
        <v>58.836300000000001</v>
      </c>
      <c r="P1275" s="407">
        <f t="shared" si="1115"/>
        <v>0</v>
      </c>
      <c r="Q1275" s="452">
        <f t="shared" si="1116"/>
        <v>296005.4253</v>
      </c>
    </row>
    <row r="1276" spans="1:17" ht="24" thickBot="1" x14ac:dyDescent="0.45">
      <c r="A1276" s="248"/>
      <c r="B1276" s="1037"/>
      <c r="C1276" s="550" t="s">
        <v>404</v>
      </c>
      <c r="D1276" s="279"/>
      <c r="E1276" s="438"/>
      <c r="F1276" s="337">
        <f t="shared" si="1117"/>
        <v>0</v>
      </c>
      <c r="G1276" s="281"/>
      <c r="H1276" s="281"/>
      <c r="I1276" s="355"/>
      <c r="J1276" s="336">
        <f t="shared" si="1118"/>
        <v>2220</v>
      </c>
      <c r="K1276" s="281">
        <f t="shared" si="1113"/>
        <v>2064</v>
      </c>
      <c r="L1276" s="439">
        <f t="shared" si="1114"/>
        <v>156</v>
      </c>
      <c r="M1276" s="340"/>
      <c r="N1276" s="264">
        <f>IFERROR(L1276/J1276,"-")</f>
        <v>7.0270270270270274E-2</v>
      </c>
      <c r="O1276" s="512">
        <v>55.4758</v>
      </c>
      <c r="P1276" s="407">
        <f t="shared" si="1115"/>
        <v>0</v>
      </c>
      <c r="Q1276" s="452">
        <f t="shared" si="1116"/>
        <v>114502.0512</v>
      </c>
    </row>
    <row r="1277" spans="1:17" ht="23.4" x14ac:dyDescent="0.4">
      <c r="A1277" s="248" t="s">
        <v>108</v>
      </c>
      <c r="B1277" s="1035" t="s">
        <v>490</v>
      </c>
      <c r="C1277" s="548" t="s">
        <v>80</v>
      </c>
      <c r="D1277" s="279"/>
      <c r="E1277" s="439"/>
      <c r="F1277" s="336">
        <f t="shared" si="1117"/>
        <v>0</v>
      </c>
      <c r="G1277" s="281"/>
      <c r="H1277" s="281"/>
      <c r="I1277" s="355" t="str">
        <f>IFERROR(F1277/#REF!,"-")</f>
        <v>-</v>
      </c>
      <c r="J1277" s="336">
        <f t="shared" si="1118"/>
        <v>20742</v>
      </c>
      <c r="K1277" s="730">
        <f t="shared" si="1113"/>
        <v>20450</v>
      </c>
      <c r="L1277" s="731">
        <f t="shared" si="1114"/>
        <v>292</v>
      </c>
      <c r="M1277" s="340" t="str">
        <f t="shared" ref="M1277:M1304" si="1123">IFERROR(J1277/D1277,"-")</f>
        <v>-</v>
      </c>
      <c r="N1277" s="264">
        <f t="shared" ref="N1277:N1303" si="1124">IFERROR(L1277/J1277,"-")</f>
        <v>1.4077716710056889E-2</v>
      </c>
      <c r="O1277" s="512">
        <v>25.687200000000001</v>
      </c>
      <c r="P1277" s="407">
        <f t="shared" si="1115"/>
        <v>0</v>
      </c>
      <c r="Q1277" s="452">
        <f t="shared" si="1116"/>
        <v>525303.24</v>
      </c>
    </row>
    <row r="1278" spans="1:17" ht="24" thickBot="1" x14ac:dyDescent="0.45">
      <c r="A1278" s="248" t="s">
        <v>108</v>
      </c>
      <c r="B1278" s="1037"/>
      <c r="C1278" s="548" t="s">
        <v>124</v>
      </c>
      <c r="D1278" s="279"/>
      <c r="E1278" s="439"/>
      <c r="F1278" s="336">
        <f t="shared" si="1117"/>
        <v>0</v>
      </c>
      <c r="G1278" s="281"/>
      <c r="H1278" s="281"/>
      <c r="I1278" s="355" t="str">
        <f>IFERROR(F1278/#REF!,"-")</f>
        <v>-</v>
      </c>
      <c r="J1278" s="336">
        <f t="shared" si="1118"/>
        <v>0</v>
      </c>
      <c r="K1278" s="281">
        <f t="shared" si="1113"/>
        <v>0</v>
      </c>
      <c r="L1278" s="439">
        <f t="shared" si="1114"/>
        <v>0</v>
      </c>
      <c r="M1278" s="340" t="str">
        <f t="shared" si="1123"/>
        <v>-</v>
      </c>
      <c r="N1278" s="264" t="str">
        <f t="shared" si="1124"/>
        <v>-</v>
      </c>
      <c r="O1278" s="512">
        <v>25.033899999999999</v>
      </c>
      <c r="P1278" s="407">
        <f t="shared" si="1115"/>
        <v>0</v>
      </c>
      <c r="Q1278" s="452">
        <f t="shared" si="1116"/>
        <v>0</v>
      </c>
    </row>
    <row r="1279" spans="1:17" ht="23.4" x14ac:dyDescent="0.4">
      <c r="A1279" s="248"/>
      <c r="B1279" s="1035" t="s">
        <v>491</v>
      </c>
      <c r="C1279" s="548" t="s">
        <v>82</v>
      </c>
      <c r="D1279" s="279"/>
      <c r="E1279" s="439"/>
      <c r="F1279" s="336">
        <f t="shared" si="1117"/>
        <v>0</v>
      </c>
      <c r="G1279" s="281"/>
      <c r="H1279" s="281"/>
      <c r="I1279" s="355" t="str">
        <f>IFERROR(F1279/#REF!,"-")</f>
        <v>-</v>
      </c>
      <c r="J1279" s="336">
        <f t="shared" si="1118"/>
        <v>14036</v>
      </c>
      <c r="K1279" s="281">
        <f t="shared" si="1113"/>
        <v>13940</v>
      </c>
      <c r="L1279" s="439">
        <f t="shared" si="1114"/>
        <v>96</v>
      </c>
      <c r="M1279" s="340" t="str">
        <f t="shared" si="1123"/>
        <v>-</v>
      </c>
      <c r="N1279" s="264">
        <f t="shared" si="1124"/>
        <v>6.8395554288971216E-3</v>
      </c>
      <c r="O1279" s="512">
        <v>41.992699999999999</v>
      </c>
      <c r="P1279" s="407">
        <f t="shared" si="1115"/>
        <v>0</v>
      </c>
      <c r="Q1279" s="452">
        <f t="shared" si="1116"/>
        <v>585378.23800000001</v>
      </c>
    </row>
    <row r="1280" spans="1:17" ht="23.4" x14ac:dyDescent="0.4">
      <c r="A1280" s="248"/>
      <c r="B1280" s="1036"/>
      <c r="C1280" s="548" t="s">
        <v>75</v>
      </c>
      <c r="D1280" s="279"/>
      <c r="E1280" s="439"/>
      <c r="F1280" s="336">
        <f t="shared" si="1117"/>
        <v>0</v>
      </c>
      <c r="G1280" s="281"/>
      <c r="H1280" s="281"/>
      <c r="I1280" s="355" t="str">
        <f>IFERROR(F1280/#REF!,"-")</f>
        <v>-</v>
      </c>
      <c r="J1280" s="336">
        <f t="shared" si="1118"/>
        <v>45</v>
      </c>
      <c r="K1280" s="281">
        <f t="shared" si="1113"/>
        <v>45</v>
      </c>
      <c r="L1280" s="439">
        <f t="shared" si="1114"/>
        <v>0</v>
      </c>
      <c r="M1280" s="340" t="str">
        <f t="shared" si="1123"/>
        <v>-</v>
      </c>
      <c r="N1280" s="264">
        <f t="shared" si="1124"/>
        <v>0</v>
      </c>
      <c r="O1280" s="512">
        <v>42.283799999999999</v>
      </c>
      <c r="P1280" s="407">
        <f t="shared" si="1115"/>
        <v>0</v>
      </c>
      <c r="Q1280" s="452">
        <f t="shared" si="1116"/>
        <v>1902.771</v>
      </c>
    </row>
    <row r="1281" spans="1:17" ht="23.4" x14ac:dyDescent="0.4">
      <c r="A1281" s="248"/>
      <c r="B1281" s="1036"/>
      <c r="C1281" s="548" t="s">
        <v>450</v>
      </c>
      <c r="D1281" s="279"/>
      <c r="E1281" s="439"/>
      <c r="F1281" s="336">
        <f t="shared" si="1117"/>
        <v>0</v>
      </c>
      <c r="G1281" s="281"/>
      <c r="H1281" s="281"/>
      <c r="I1281" s="355" t="str">
        <f>IFERROR(F1281/#REF!,"-")</f>
        <v>-</v>
      </c>
      <c r="J1281" s="336">
        <f t="shared" si="1118"/>
        <v>1140</v>
      </c>
      <c r="K1281" s="281">
        <f t="shared" si="1113"/>
        <v>1140</v>
      </c>
      <c r="L1281" s="439">
        <f t="shared" si="1114"/>
        <v>0</v>
      </c>
      <c r="M1281" s="340" t="str">
        <f t="shared" si="1123"/>
        <v>-</v>
      </c>
      <c r="N1281" s="264">
        <f t="shared" si="1124"/>
        <v>0</v>
      </c>
      <c r="O1281" s="772">
        <v>41.992699999999999</v>
      </c>
      <c r="P1281" s="407">
        <f t="shared" si="1115"/>
        <v>0</v>
      </c>
      <c r="Q1281" s="452">
        <f t="shared" si="1116"/>
        <v>47871.678</v>
      </c>
    </row>
    <row r="1282" spans="1:17" ht="24" thickBot="1" x14ac:dyDescent="0.45">
      <c r="A1282" s="248"/>
      <c r="B1282" s="1037"/>
      <c r="C1282" s="548" t="s">
        <v>451</v>
      </c>
      <c r="D1282" s="279"/>
      <c r="E1282" s="439"/>
      <c r="F1282" s="336">
        <f t="shared" si="1117"/>
        <v>0</v>
      </c>
      <c r="G1282" s="281"/>
      <c r="H1282" s="281"/>
      <c r="I1282" s="355" t="str">
        <f>IFERROR(F1282/#REF!,"-")</f>
        <v>-</v>
      </c>
      <c r="J1282" s="336">
        <f t="shared" si="1118"/>
        <v>712</v>
      </c>
      <c r="K1282" s="281">
        <f t="shared" si="1113"/>
        <v>660</v>
      </c>
      <c r="L1282" s="439">
        <f t="shared" si="1114"/>
        <v>52</v>
      </c>
      <c r="M1282" s="340" t="str">
        <f t="shared" si="1123"/>
        <v>-</v>
      </c>
      <c r="N1282" s="264">
        <f t="shared" si="1124"/>
        <v>7.3033707865168537E-2</v>
      </c>
      <c r="O1282" s="772">
        <v>42.283799999999999</v>
      </c>
      <c r="P1282" s="407">
        <f t="shared" si="1115"/>
        <v>0</v>
      </c>
      <c r="Q1282" s="452">
        <f t="shared" si="1116"/>
        <v>27907.308000000001</v>
      </c>
    </row>
    <row r="1283" spans="1:17" ht="24" thickBot="1" x14ac:dyDescent="0.45">
      <c r="A1283" s="248"/>
      <c r="B1283" s="815" t="s">
        <v>83</v>
      </c>
      <c r="C1283" s="548" t="s">
        <v>84</v>
      </c>
      <c r="D1283" s="279"/>
      <c r="E1283" s="439"/>
      <c r="F1283" s="336">
        <f t="shared" si="1117"/>
        <v>1570</v>
      </c>
      <c r="G1283" s="281">
        <v>1400</v>
      </c>
      <c r="H1283" s="281">
        <v>170</v>
      </c>
      <c r="I1283" s="355" t="str">
        <f>IFERROR(F1283/#REF!,"-")</f>
        <v>-</v>
      </c>
      <c r="J1283" s="336">
        <f t="shared" si="1118"/>
        <v>9460</v>
      </c>
      <c r="K1283" s="281">
        <f t="shared" si="1113"/>
        <v>8740</v>
      </c>
      <c r="L1283" s="439">
        <f t="shared" si="1114"/>
        <v>720</v>
      </c>
      <c r="M1283" s="340" t="str">
        <f t="shared" si="1123"/>
        <v>-</v>
      </c>
      <c r="N1283" s="264">
        <f t="shared" si="1124"/>
        <v>7.6109936575052856E-2</v>
      </c>
      <c r="O1283" s="512">
        <v>4.3535000000000004</v>
      </c>
      <c r="P1283" s="407">
        <f t="shared" si="1115"/>
        <v>6094.9000000000005</v>
      </c>
      <c r="Q1283" s="452">
        <f t="shared" si="1116"/>
        <v>38049.590000000004</v>
      </c>
    </row>
    <row r="1284" spans="1:17" ht="23.4" x14ac:dyDescent="0.4">
      <c r="A1284" s="248"/>
      <c r="B1284" s="1035" t="s">
        <v>273</v>
      </c>
      <c r="C1284" s="548" t="s">
        <v>80</v>
      </c>
      <c r="D1284" s="279"/>
      <c r="E1284" s="439"/>
      <c r="F1284" s="336">
        <f t="shared" si="1117"/>
        <v>35328</v>
      </c>
      <c r="G1284" s="281">
        <v>35200</v>
      </c>
      <c r="H1284" s="281">
        <v>128</v>
      </c>
      <c r="I1284" s="355" t="str">
        <f>IFERROR(F1284/#REF!,"-")</f>
        <v>-</v>
      </c>
      <c r="J1284" s="336">
        <f t="shared" si="1118"/>
        <v>450678</v>
      </c>
      <c r="K1284" s="281">
        <f t="shared" si="1113"/>
        <v>446600</v>
      </c>
      <c r="L1284" s="439">
        <f t="shared" si="1114"/>
        <v>4078</v>
      </c>
      <c r="M1284" s="340" t="str">
        <f t="shared" si="1123"/>
        <v>-</v>
      </c>
      <c r="N1284" s="264">
        <f t="shared" si="1124"/>
        <v>9.0485890147732964E-3</v>
      </c>
      <c r="O1284" s="512">
        <v>4.6184000000000003</v>
      </c>
      <c r="P1284" s="407">
        <f t="shared" si="1115"/>
        <v>162567.68000000002</v>
      </c>
      <c r="Q1284" s="452">
        <f t="shared" si="1116"/>
        <v>2062577.4400000002</v>
      </c>
    </row>
    <row r="1285" spans="1:17" ht="23.4" x14ac:dyDescent="0.4">
      <c r="A1285" s="248"/>
      <c r="B1285" s="1036"/>
      <c r="C1285" s="548" t="s">
        <v>378</v>
      </c>
      <c r="D1285" s="279"/>
      <c r="E1285" s="439"/>
      <c r="F1285" s="336">
        <f t="shared" si="1117"/>
        <v>0</v>
      </c>
      <c r="G1285" s="281"/>
      <c r="H1285" s="281"/>
      <c r="I1285" s="355" t="str">
        <f>IFERROR(F1285/#REF!,"-")</f>
        <v>-</v>
      </c>
      <c r="J1285" s="336">
        <f t="shared" si="1118"/>
        <v>0</v>
      </c>
      <c r="K1285" s="281">
        <f t="shared" si="1113"/>
        <v>0</v>
      </c>
      <c r="L1285" s="439">
        <f t="shared" si="1114"/>
        <v>0</v>
      </c>
      <c r="M1285" s="340" t="str">
        <f t="shared" si="1123"/>
        <v>-</v>
      </c>
      <c r="N1285" s="264" t="str">
        <f t="shared" si="1124"/>
        <v>-</v>
      </c>
      <c r="O1285" s="512">
        <v>4.6184000000000003</v>
      </c>
      <c r="P1285" s="407">
        <f t="shared" si="1115"/>
        <v>0</v>
      </c>
      <c r="Q1285" s="452">
        <f t="shared" si="1116"/>
        <v>0</v>
      </c>
    </row>
    <row r="1286" spans="1:17" ht="23.4" x14ac:dyDescent="0.4">
      <c r="A1286" s="248"/>
      <c r="B1286" s="1036"/>
      <c r="C1286" s="548" t="s">
        <v>272</v>
      </c>
      <c r="D1286" s="279"/>
      <c r="E1286" s="439"/>
      <c r="F1286" s="336">
        <f t="shared" si="1117"/>
        <v>0</v>
      </c>
      <c r="G1286" s="281"/>
      <c r="H1286" s="281"/>
      <c r="I1286" s="355" t="str">
        <f>IFERROR(F1286/#REF!,"-")</f>
        <v>-</v>
      </c>
      <c r="J1286" s="336">
        <f t="shared" si="1118"/>
        <v>0</v>
      </c>
      <c r="K1286" s="281">
        <f t="shared" si="1113"/>
        <v>0</v>
      </c>
      <c r="L1286" s="439">
        <f t="shared" si="1114"/>
        <v>0</v>
      </c>
      <c r="M1286" s="340" t="str">
        <f t="shared" si="1123"/>
        <v>-</v>
      </c>
      <c r="N1286" s="264" t="str">
        <f t="shared" si="1124"/>
        <v>-</v>
      </c>
      <c r="O1286" s="512">
        <v>4.6184000000000003</v>
      </c>
      <c r="P1286" s="407">
        <f t="shared" si="1115"/>
        <v>0</v>
      </c>
      <c r="Q1286" s="452">
        <f t="shared" si="1116"/>
        <v>0</v>
      </c>
    </row>
    <row r="1287" spans="1:17" ht="23.4" x14ac:dyDescent="0.4">
      <c r="A1287" s="248"/>
      <c r="B1287" s="1036"/>
      <c r="C1287" s="548" t="s">
        <v>390</v>
      </c>
      <c r="D1287" s="279"/>
      <c r="E1287" s="439"/>
      <c r="F1287" s="336">
        <f t="shared" si="1117"/>
        <v>0</v>
      </c>
      <c r="G1287" s="281"/>
      <c r="H1287" s="281"/>
      <c r="I1287" s="355" t="str">
        <f>IFERROR(F1287/#REF!,"-")</f>
        <v>-</v>
      </c>
      <c r="J1287" s="336">
        <f t="shared" si="1118"/>
        <v>511962</v>
      </c>
      <c r="K1287" s="730">
        <f t="shared" si="1113"/>
        <v>508200</v>
      </c>
      <c r="L1287" s="731">
        <f t="shared" si="1114"/>
        <v>3762</v>
      </c>
      <c r="M1287" s="340" t="str">
        <f t="shared" si="1123"/>
        <v>-</v>
      </c>
      <c r="N1287" s="264">
        <f t="shared" si="1124"/>
        <v>7.3482016243393063E-3</v>
      </c>
      <c r="O1287" s="512">
        <v>4.7636000000000003</v>
      </c>
      <c r="P1287" s="407">
        <f t="shared" si="1115"/>
        <v>0</v>
      </c>
      <c r="Q1287" s="452">
        <f t="shared" si="1116"/>
        <v>2420861.52</v>
      </c>
    </row>
    <row r="1288" spans="1:17" ht="24" thickBot="1" x14ac:dyDescent="0.45">
      <c r="A1288" s="248"/>
      <c r="B1288" s="1037"/>
      <c r="C1288" s="548" t="s">
        <v>384</v>
      </c>
      <c r="D1288" s="279"/>
      <c r="E1288" s="439"/>
      <c r="F1288" s="336">
        <f t="shared" si="1117"/>
        <v>0</v>
      </c>
      <c r="G1288" s="281"/>
      <c r="H1288" s="281"/>
      <c r="I1288" s="355" t="str">
        <f>IFERROR(F1288/#REF!,"-")</f>
        <v>-</v>
      </c>
      <c r="J1288" s="336">
        <f t="shared" si="1118"/>
        <v>0</v>
      </c>
      <c r="K1288" s="281">
        <f t="shared" si="1113"/>
        <v>0</v>
      </c>
      <c r="L1288" s="439">
        <f t="shared" si="1114"/>
        <v>0</v>
      </c>
      <c r="M1288" s="340" t="str">
        <f t="shared" si="1123"/>
        <v>-</v>
      </c>
      <c r="N1288" s="264" t="str">
        <f t="shared" si="1124"/>
        <v>-</v>
      </c>
      <c r="O1288" s="512">
        <v>4.8738000000000001</v>
      </c>
      <c r="P1288" s="407">
        <f t="shared" si="1115"/>
        <v>0</v>
      </c>
      <c r="Q1288" s="452">
        <f t="shared" si="1116"/>
        <v>0</v>
      </c>
    </row>
    <row r="1289" spans="1:17" ht="24" thickBot="1" x14ac:dyDescent="0.45">
      <c r="A1289" s="248"/>
      <c r="B1289" s="815" t="s">
        <v>274</v>
      </c>
      <c r="C1289" s="548" t="s">
        <v>131</v>
      </c>
      <c r="D1289" s="279"/>
      <c r="E1289" s="439"/>
      <c r="F1289" s="336">
        <f t="shared" si="1117"/>
        <v>0</v>
      </c>
      <c r="G1289" s="281"/>
      <c r="H1289" s="281"/>
      <c r="I1289" s="355" t="str">
        <f>IFERROR(F1289/#REF!,"-")</f>
        <v>-</v>
      </c>
      <c r="J1289" s="336">
        <f t="shared" si="1118"/>
        <v>0</v>
      </c>
      <c r="K1289" s="281">
        <f t="shared" si="1113"/>
        <v>0</v>
      </c>
      <c r="L1289" s="439">
        <f t="shared" si="1114"/>
        <v>0</v>
      </c>
      <c r="M1289" s="340" t="str">
        <f t="shared" si="1123"/>
        <v>-</v>
      </c>
      <c r="N1289" s="264" t="str">
        <f t="shared" si="1124"/>
        <v>-</v>
      </c>
      <c r="O1289" s="512">
        <v>4.8738000000000001</v>
      </c>
      <c r="P1289" s="407">
        <f t="shared" si="1115"/>
        <v>0</v>
      </c>
      <c r="Q1289" s="452">
        <f t="shared" si="1116"/>
        <v>0</v>
      </c>
    </row>
    <row r="1290" spans="1:17" ht="23.4" x14ac:dyDescent="0.4">
      <c r="A1290" s="248"/>
      <c r="B1290" s="1035" t="s">
        <v>276</v>
      </c>
      <c r="C1290" s="548" t="s">
        <v>80</v>
      </c>
      <c r="D1290" s="279"/>
      <c r="E1290" s="439"/>
      <c r="F1290" s="336">
        <f t="shared" si="1117"/>
        <v>27318</v>
      </c>
      <c r="G1290" s="281">
        <v>27300</v>
      </c>
      <c r="H1290" s="281">
        <v>18</v>
      </c>
      <c r="I1290" s="355" t="str">
        <f>IFERROR(F1290/#REF!,"-")</f>
        <v>-</v>
      </c>
      <c r="J1290" s="336">
        <f t="shared" si="1118"/>
        <v>656912</v>
      </c>
      <c r="K1290" s="730">
        <f t="shared" si="1113"/>
        <v>646037</v>
      </c>
      <c r="L1290" s="731">
        <f t="shared" si="1114"/>
        <v>10875</v>
      </c>
      <c r="M1290" s="340" t="str">
        <f t="shared" si="1123"/>
        <v>-</v>
      </c>
      <c r="N1290" s="264">
        <f t="shared" si="1124"/>
        <v>1.6554728791679858E-2</v>
      </c>
      <c r="O1290" s="512">
        <v>4.9344999999999999</v>
      </c>
      <c r="P1290" s="407">
        <f t="shared" si="1115"/>
        <v>134711.85</v>
      </c>
      <c r="Q1290" s="452">
        <f t="shared" si="1116"/>
        <v>3187869.5765</v>
      </c>
    </row>
    <row r="1291" spans="1:17" ht="23.4" x14ac:dyDescent="0.4">
      <c r="A1291" s="248"/>
      <c r="B1291" s="1036"/>
      <c r="C1291" s="548" t="s">
        <v>142</v>
      </c>
      <c r="D1291" s="279"/>
      <c r="E1291" s="439"/>
      <c r="F1291" s="336">
        <f t="shared" si="1117"/>
        <v>0</v>
      </c>
      <c r="G1291" s="281"/>
      <c r="H1291" s="281"/>
      <c r="I1291" s="355" t="str">
        <f>IFERROR(F1291/#REF!,"-")</f>
        <v>-</v>
      </c>
      <c r="J1291" s="336">
        <f t="shared" si="1118"/>
        <v>0</v>
      </c>
      <c r="K1291" s="281">
        <f t="shared" si="1113"/>
        <v>0</v>
      </c>
      <c r="L1291" s="439">
        <f t="shared" si="1114"/>
        <v>0</v>
      </c>
      <c r="M1291" s="340" t="str">
        <f t="shared" si="1123"/>
        <v>-</v>
      </c>
      <c r="N1291" s="264" t="str">
        <f t="shared" si="1124"/>
        <v>-</v>
      </c>
      <c r="O1291" s="512">
        <v>4.9344999999999999</v>
      </c>
      <c r="P1291" s="407">
        <f t="shared" si="1115"/>
        <v>0</v>
      </c>
      <c r="Q1291" s="452">
        <f t="shared" si="1116"/>
        <v>0</v>
      </c>
    </row>
    <row r="1292" spans="1:17" ht="23.4" x14ac:dyDescent="0.4">
      <c r="A1292" s="248"/>
      <c r="B1292" s="1036"/>
      <c r="C1292" s="548" t="s">
        <v>136</v>
      </c>
      <c r="D1292" s="279"/>
      <c r="E1292" s="439"/>
      <c r="F1292" s="336">
        <f t="shared" si="1117"/>
        <v>0</v>
      </c>
      <c r="G1292" s="281"/>
      <c r="H1292" s="281"/>
      <c r="I1292" s="355" t="str">
        <f>IFERROR(F1292/#REF!,"-")</f>
        <v>-</v>
      </c>
      <c r="J1292" s="336">
        <f t="shared" si="1118"/>
        <v>0</v>
      </c>
      <c r="K1292" s="281">
        <f t="shared" si="1113"/>
        <v>0</v>
      </c>
      <c r="L1292" s="439">
        <f t="shared" si="1114"/>
        <v>0</v>
      </c>
      <c r="M1292" s="340" t="str">
        <f t="shared" si="1123"/>
        <v>-</v>
      </c>
      <c r="N1292" s="264" t="str">
        <f t="shared" si="1124"/>
        <v>-</v>
      </c>
      <c r="O1292" s="512">
        <v>4.9344999999999999</v>
      </c>
      <c r="P1292" s="407">
        <f t="shared" si="1115"/>
        <v>0</v>
      </c>
      <c r="Q1292" s="452">
        <f t="shared" si="1116"/>
        <v>0</v>
      </c>
    </row>
    <row r="1293" spans="1:17" ht="24" thickBot="1" x14ac:dyDescent="0.45">
      <c r="A1293" s="248"/>
      <c r="B1293" s="1037"/>
      <c r="C1293" s="548" t="s">
        <v>275</v>
      </c>
      <c r="D1293" s="279"/>
      <c r="E1293" s="439"/>
      <c r="F1293" s="336">
        <f t="shared" si="1117"/>
        <v>0</v>
      </c>
      <c r="G1293" s="281"/>
      <c r="H1293" s="281"/>
      <c r="I1293" s="355" t="str">
        <f>IFERROR(F1293/#REF!,"-")</f>
        <v>-</v>
      </c>
      <c r="J1293" s="336">
        <f t="shared" si="1118"/>
        <v>0</v>
      </c>
      <c r="K1293" s="281">
        <f t="shared" si="1113"/>
        <v>0</v>
      </c>
      <c r="L1293" s="439">
        <f t="shared" si="1114"/>
        <v>0</v>
      </c>
      <c r="M1293" s="340" t="str">
        <f t="shared" si="1123"/>
        <v>-</v>
      </c>
      <c r="N1293" s="264" t="str">
        <f t="shared" si="1124"/>
        <v>-</v>
      </c>
      <c r="O1293" s="512">
        <v>5.5069999999999997</v>
      </c>
      <c r="P1293" s="407">
        <f t="shared" si="1115"/>
        <v>0</v>
      </c>
      <c r="Q1293" s="452">
        <f t="shared" si="1116"/>
        <v>0</v>
      </c>
    </row>
    <row r="1294" spans="1:17" ht="23.4" x14ac:dyDescent="0.4">
      <c r="A1294" s="248"/>
      <c r="B1294" s="1035" t="s">
        <v>281</v>
      </c>
      <c r="C1294" s="548" t="s">
        <v>277</v>
      </c>
      <c r="D1294" s="279"/>
      <c r="E1294" s="439"/>
      <c r="F1294" s="336">
        <f t="shared" si="1117"/>
        <v>30055</v>
      </c>
      <c r="G1294" s="281">
        <v>30000</v>
      </c>
      <c r="H1294" s="281">
        <v>55</v>
      </c>
      <c r="I1294" s="355" t="str">
        <f>IFERROR(F1294/#REF!,"-")</f>
        <v>-</v>
      </c>
      <c r="J1294" s="336">
        <f t="shared" si="1118"/>
        <v>617480</v>
      </c>
      <c r="K1294" s="281">
        <f t="shared" si="1113"/>
        <v>606150</v>
      </c>
      <c r="L1294" s="439">
        <f t="shared" si="1114"/>
        <v>11330</v>
      </c>
      <c r="M1294" s="340" t="str">
        <f t="shared" si="1123"/>
        <v>-</v>
      </c>
      <c r="N1294" s="264">
        <f t="shared" si="1124"/>
        <v>1.8348772429876273E-2</v>
      </c>
      <c r="O1294" s="772">
        <v>5.5069999999999997</v>
      </c>
      <c r="P1294" s="407">
        <f t="shared" si="1115"/>
        <v>165210</v>
      </c>
      <c r="Q1294" s="452">
        <f t="shared" si="1116"/>
        <v>3338068.05</v>
      </c>
    </row>
    <row r="1295" spans="1:17" ht="23.4" x14ac:dyDescent="0.4">
      <c r="A1295" s="248"/>
      <c r="B1295" s="1036"/>
      <c r="C1295" s="548" t="s">
        <v>278</v>
      </c>
      <c r="D1295" s="279"/>
      <c r="E1295" s="439"/>
      <c r="F1295" s="336">
        <f t="shared" si="1117"/>
        <v>0</v>
      </c>
      <c r="G1295" s="281"/>
      <c r="H1295" s="281"/>
      <c r="I1295" s="355" t="str">
        <f>IFERROR(F1295/#REF!,"-")</f>
        <v>-</v>
      </c>
      <c r="J1295" s="336">
        <f t="shared" si="1118"/>
        <v>0</v>
      </c>
      <c r="K1295" s="281">
        <f t="shared" si="1113"/>
        <v>0</v>
      </c>
      <c r="L1295" s="439">
        <f t="shared" si="1114"/>
        <v>0</v>
      </c>
      <c r="M1295" s="340" t="str">
        <f t="shared" si="1123"/>
        <v>-</v>
      </c>
      <c r="N1295" s="264" t="str">
        <f t="shared" si="1124"/>
        <v>-</v>
      </c>
      <c r="O1295" s="512">
        <v>5.6550000000000002</v>
      </c>
      <c r="P1295" s="407">
        <f t="shared" si="1115"/>
        <v>0</v>
      </c>
      <c r="Q1295" s="452">
        <f t="shared" si="1116"/>
        <v>0</v>
      </c>
    </row>
    <row r="1296" spans="1:17" ht="23.4" x14ac:dyDescent="0.4">
      <c r="A1296" s="248"/>
      <c r="B1296" s="1036"/>
      <c r="C1296" s="548" t="s">
        <v>355</v>
      </c>
      <c r="D1296" s="279"/>
      <c r="E1296" s="439"/>
      <c r="F1296" s="336">
        <f t="shared" si="1117"/>
        <v>0</v>
      </c>
      <c r="G1296" s="281"/>
      <c r="H1296" s="281"/>
      <c r="I1296" s="355" t="str">
        <f>IFERROR(F1296/#REF!,"-")</f>
        <v>-</v>
      </c>
      <c r="J1296" s="336">
        <f t="shared" si="1118"/>
        <v>321630</v>
      </c>
      <c r="K1296" s="730">
        <f t="shared" si="1113"/>
        <v>310550</v>
      </c>
      <c r="L1296" s="731">
        <f t="shared" si="1114"/>
        <v>11080</v>
      </c>
      <c r="M1296" s="340" t="str">
        <f t="shared" si="1123"/>
        <v>-</v>
      </c>
      <c r="N1296" s="264">
        <f t="shared" si="1124"/>
        <v>3.4449522743525168E-2</v>
      </c>
      <c r="O1296" s="512">
        <v>5.6550000000000002</v>
      </c>
      <c r="P1296" s="407">
        <f t="shared" si="1115"/>
        <v>0</v>
      </c>
      <c r="Q1296" s="452">
        <f t="shared" si="1116"/>
        <v>1756160.25</v>
      </c>
    </row>
    <row r="1297" spans="1:17" ht="23.4" x14ac:dyDescent="0.4">
      <c r="A1297" s="248"/>
      <c r="B1297" s="1036"/>
      <c r="C1297" s="548" t="s">
        <v>279</v>
      </c>
      <c r="D1297" s="279"/>
      <c r="E1297" s="439"/>
      <c r="F1297" s="336">
        <f t="shared" si="1117"/>
        <v>0</v>
      </c>
      <c r="G1297" s="281"/>
      <c r="H1297" s="281"/>
      <c r="I1297" s="355" t="str">
        <f>IFERROR(F1297/#REF!,"-")</f>
        <v>-</v>
      </c>
      <c r="J1297" s="336">
        <f t="shared" si="1118"/>
        <v>0</v>
      </c>
      <c r="K1297" s="281">
        <f t="shared" si="1113"/>
        <v>0</v>
      </c>
      <c r="L1297" s="439">
        <f t="shared" si="1114"/>
        <v>0</v>
      </c>
      <c r="M1297" s="340" t="str">
        <f t="shared" si="1123"/>
        <v>-</v>
      </c>
      <c r="N1297" s="264" t="str">
        <f t="shared" si="1124"/>
        <v>-</v>
      </c>
      <c r="O1297" s="512">
        <v>5.6550000000000002</v>
      </c>
      <c r="P1297" s="407">
        <f t="shared" si="1115"/>
        <v>0</v>
      </c>
      <c r="Q1297" s="452">
        <f t="shared" si="1116"/>
        <v>0</v>
      </c>
    </row>
    <row r="1298" spans="1:17" ht="23.4" x14ac:dyDescent="0.4">
      <c r="A1298" s="248" t="s">
        <v>108</v>
      </c>
      <c r="B1298" s="1036"/>
      <c r="C1298" s="548" t="s">
        <v>280</v>
      </c>
      <c r="D1298" s="279"/>
      <c r="E1298" s="439"/>
      <c r="F1298" s="336">
        <f t="shared" si="1117"/>
        <v>0</v>
      </c>
      <c r="G1298" s="281"/>
      <c r="H1298" s="281"/>
      <c r="I1298" s="355" t="str">
        <f>IFERROR(F1298/#REF!,"-")</f>
        <v>-</v>
      </c>
      <c r="J1298" s="336">
        <f t="shared" si="1118"/>
        <v>0</v>
      </c>
      <c r="K1298" s="281">
        <f t="shared" si="1113"/>
        <v>0</v>
      </c>
      <c r="L1298" s="439">
        <f t="shared" si="1114"/>
        <v>0</v>
      </c>
      <c r="M1298" s="340" t="str">
        <f t="shared" si="1123"/>
        <v>-</v>
      </c>
      <c r="N1298" s="264" t="str">
        <f t="shared" si="1124"/>
        <v>-</v>
      </c>
      <c r="O1298" s="512">
        <v>3.2963</v>
      </c>
      <c r="P1298" s="407">
        <f t="shared" si="1115"/>
        <v>0</v>
      </c>
      <c r="Q1298" s="452">
        <f t="shared" si="1116"/>
        <v>0</v>
      </c>
    </row>
    <row r="1299" spans="1:17" ht="24" thickBot="1" x14ac:dyDescent="0.45">
      <c r="A1299" s="248" t="s">
        <v>108</v>
      </c>
      <c r="B1299" s="1037"/>
      <c r="C1299" s="548" t="s">
        <v>275</v>
      </c>
      <c r="D1299" s="279"/>
      <c r="E1299" s="439"/>
      <c r="F1299" s="336">
        <f t="shared" si="1117"/>
        <v>0</v>
      </c>
      <c r="G1299" s="281"/>
      <c r="H1299" s="281"/>
      <c r="I1299" s="355" t="str">
        <f>IFERROR(F1299/#REF!,"-")</f>
        <v>-</v>
      </c>
      <c r="J1299" s="336">
        <f t="shared" si="1118"/>
        <v>0</v>
      </c>
      <c r="K1299" s="281">
        <f t="shared" si="1113"/>
        <v>0</v>
      </c>
      <c r="L1299" s="439">
        <f t="shared" si="1114"/>
        <v>0</v>
      </c>
      <c r="M1299" s="340" t="str">
        <f t="shared" si="1123"/>
        <v>-</v>
      </c>
      <c r="N1299" s="264" t="str">
        <f t="shared" si="1124"/>
        <v>-</v>
      </c>
      <c r="O1299" s="512">
        <v>3.2963</v>
      </c>
      <c r="P1299" s="407">
        <f t="shared" si="1115"/>
        <v>0</v>
      </c>
      <c r="Q1299" s="452">
        <f t="shared" si="1116"/>
        <v>0</v>
      </c>
    </row>
    <row r="1300" spans="1:17" ht="23.4" x14ac:dyDescent="0.4">
      <c r="A1300" s="248" t="s">
        <v>108</v>
      </c>
      <c r="B1300" s="552"/>
      <c r="C1300" s="549" t="s">
        <v>92</v>
      </c>
      <c r="D1300" s="516"/>
      <c r="E1300" s="439"/>
      <c r="F1300" s="336">
        <f t="shared" si="1117"/>
        <v>0</v>
      </c>
      <c r="G1300" s="281"/>
      <c r="H1300" s="281"/>
      <c r="I1300" s="355" t="str">
        <f>IFERROR(F1300/#REF!,"-")</f>
        <v>-</v>
      </c>
      <c r="J1300" s="336">
        <f t="shared" si="1118"/>
        <v>225097</v>
      </c>
      <c r="K1300" s="281">
        <f t="shared" si="1113"/>
        <v>223655</v>
      </c>
      <c r="L1300" s="439">
        <f t="shared" si="1114"/>
        <v>1442</v>
      </c>
      <c r="M1300" s="340" t="str">
        <f t="shared" si="1123"/>
        <v>-</v>
      </c>
      <c r="N1300" s="264">
        <f t="shared" si="1124"/>
        <v>6.4061271363012387E-3</v>
      </c>
      <c r="O1300" s="512">
        <v>2.3201000000000001</v>
      </c>
      <c r="P1300" s="407">
        <f t="shared" si="1115"/>
        <v>0</v>
      </c>
      <c r="Q1300" s="452">
        <f t="shared" si="1116"/>
        <v>518901.96549999999</v>
      </c>
    </row>
    <row r="1301" spans="1:17" ht="24" thickBot="1" x14ac:dyDescent="0.35">
      <c r="A1301" s="248" t="s">
        <v>108</v>
      </c>
      <c r="B1301" s="529"/>
      <c r="C1301" s="546"/>
      <c r="D1301" s="535"/>
      <c r="E1301" s="466"/>
      <c r="F1301" s="464">
        <f t="shared" si="1117"/>
        <v>0</v>
      </c>
      <c r="G1301" s="465"/>
      <c r="H1301" s="465"/>
      <c r="I1301" s="537" t="str">
        <f>IFERROR(F1301/#REF!,"-")</f>
        <v>-</v>
      </c>
      <c r="J1301" s="464">
        <f t="shared" si="1118"/>
        <v>0</v>
      </c>
      <c r="K1301" s="465">
        <f t="shared" si="1113"/>
        <v>0</v>
      </c>
      <c r="L1301" s="466">
        <f t="shared" si="1114"/>
        <v>0</v>
      </c>
      <c r="M1301" s="726" t="str">
        <f t="shared" si="1123"/>
        <v>-</v>
      </c>
      <c r="N1301" s="266" t="str">
        <f t="shared" si="1124"/>
        <v>-</v>
      </c>
      <c r="O1301" s="544"/>
      <c r="P1301" s="541">
        <f t="shared" si="1115"/>
        <v>0</v>
      </c>
      <c r="Q1301" s="542">
        <f t="shared" si="1116"/>
        <v>0</v>
      </c>
    </row>
    <row r="1302" spans="1:17" ht="23.25" customHeight="1" thickBot="1" x14ac:dyDescent="0.35">
      <c r="A1302" s="277" t="s">
        <v>108</v>
      </c>
      <c r="B1302" s="1038" t="s">
        <v>25</v>
      </c>
      <c r="C1302" s="989"/>
      <c r="D1302" s="518">
        <f>SUM(D1275:D1301)</f>
        <v>0</v>
      </c>
      <c r="E1302" s="531">
        <v>100000</v>
      </c>
      <c r="F1302" s="524">
        <f>SUM(F1270:F1301)</f>
        <v>97160</v>
      </c>
      <c r="G1302" s="524">
        <f>SUM(G1270:G1301)</f>
        <v>96700</v>
      </c>
      <c r="H1302" s="524">
        <f>SUM(H1270:H1301)</f>
        <v>460</v>
      </c>
      <c r="I1302" s="525" t="str">
        <f>IFERROR(F1302/#REF!,"-")</f>
        <v>-</v>
      </c>
      <c r="J1302" s="518">
        <f>SUM(J1270:J1301)</f>
        <v>3018315</v>
      </c>
      <c r="K1302" s="518">
        <f t="shared" ref="K1302:L1302" si="1125">SUM(K1270:K1301)</f>
        <v>2968150</v>
      </c>
      <c r="L1302" s="518">
        <f t="shared" si="1125"/>
        <v>50165</v>
      </c>
      <c r="M1302" s="526" t="str">
        <f t="shared" si="1123"/>
        <v>-</v>
      </c>
      <c r="N1302" s="525">
        <f t="shared" si="1124"/>
        <v>1.6620200343569178E-2</v>
      </c>
      <c r="O1302" s="527"/>
      <c r="P1302" s="528">
        <f>SUM(P1270:P1301)</f>
        <v>567699.95000000007</v>
      </c>
      <c r="Q1302" s="528">
        <f>SUM(Q1270:Q1301)</f>
        <v>22442990.2689</v>
      </c>
    </row>
    <row r="1303" spans="1:17" ht="23.25" customHeight="1" thickBot="1" x14ac:dyDescent="0.35">
      <c r="A1303" s="321" t="s">
        <v>108</v>
      </c>
      <c r="B1303" s="1039" t="s">
        <v>269</v>
      </c>
      <c r="C1303" s="1040"/>
      <c r="D1303" s="329">
        <f>+D1274+D1302</f>
        <v>0</v>
      </c>
      <c r="E1303" s="330">
        <f>+E1274+E1302</f>
        <v>100000</v>
      </c>
      <c r="F1303" s="329">
        <f>+F1302</f>
        <v>97160</v>
      </c>
      <c r="G1303" s="329">
        <f t="shared" ref="G1303:H1303" si="1126">+G1302</f>
        <v>96700</v>
      </c>
      <c r="H1303" s="329">
        <f t="shared" si="1126"/>
        <v>460</v>
      </c>
      <c r="I1303" s="352" t="str">
        <f>IFERROR(F1303/#REF!,"-")</f>
        <v>-</v>
      </c>
      <c r="J1303" s="329">
        <f>+J1302</f>
        <v>3018315</v>
      </c>
      <c r="K1303" s="329">
        <f t="shared" ref="K1303:L1303" si="1127">+K1302</f>
        <v>2968150</v>
      </c>
      <c r="L1303" s="329">
        <f t="shared" si="1127"/>
        <v>50165</v>
      </c>
      <c r="M1303" s="344" t="str">
        <f t="shared" si="1123"/>
        <v>-</v>
      </c>
      <c r="N1303" s="352">
        <f t="shared" si="1124"/>
        <v>1.6620200343569178E-2</v>
      </c>
      <c r="O1303" s="397"/>
      <c r="P1303" s="413">
        <f>+P1302</f>
        <v>567699.95000000007</v>
      </c>
      <c r="Q1303" s="431">
        <f>Q1302</f>
        <v>22442990.2689</v>
      </c>
    </row>
    <row r="1304" spans="1:17" ht="24.6" thickBot="1" x14ac:dyDescent="0.35">
      <c r="A1304" s="322"/>
      <c r="B1304" s="1041" t="s">
        <v>182</v>
      </c>
      <c r="C1304" s="1042"/>
      <c r="D1304" s="377">
        <f>+D1303+D1269+D1260</f>
        <v>0</v>
      </c>
      <c r="E1304" s="377">
        <f>+E1303+E1269+E1260</f>
        <v>230000</v>
      </c>
      <c r="F1304" s="377">
        <f>+F1303+F1269+F1260</f>
        <v>477774</v>
      </c>
      <c r="G1304" s="377">
        <f>+G1303+G1269+G1260</f>
        <v>470450</v>
      </c>
      <c r="H1304" s="377">
        <f>+H1303+H1269+H1260</f>
        <v>7324</v>
      </c>
      <c r="I1304" s="378" t="str">
        <f>IFERROR(F1304/#REF!,"-")</f>
        <v>-</v>
      </c>
      <c r="J1304" s="377">
        <f>+J1303+J1269+J1260</f>
        <v>7899794</v>
      </c>
      <c r="K1304" s="377">
        <f>+K1303+K1269+K1260</f>
        <v>7750510</v>
      </c>
      <c r="L1304" s="377">
        <f>+L1303+L1269+L1260</f>
        <v>149284</v>
      </c>
      <c r="M1304" s="378" t="str">
        <f t="shared" si="1123"/>
        <v>-</v>
      </c>
      <c r="N1304" s="378">
        <f>IFERROR(L1304/J1304,"-")</f>
        <v>1.8897201623232201E-2</v>
      </c>
      <c r="O1304" s="404"/>
      <c r="P1304" s="421">
        <f>+P1303+P1269+P1260</f>
        <v>2707895.0250000004</v>
      </c>
      <c r="Q1304" s="421">
        <f>+Q1303+Q1269+Q1260</f>
        <v>44893957.925899997</v>
      </c>
    </row>
    <row r="1305" spans="1:17" ht="22.5" customHeight="1" x14ac:dyDescent="0.3">
      <c r="A1305" s="1043" t="s">
        <v>1</v>
      </c>
      <c r="B1305" s="1046" t="s">
        <v>2</v>
      </c>
      <c r="C1305" s="1049" t="s">
        <v>477</v>
      </c>
      <c r="D1305" s="1000" t="s">
        <v>4</v>
      </c>
      <c r="E1305" s="1001"/>
      <c r="F1305" s="1001"/>
      <c r="G1305" s="1001"/>
      <c r="H1305" s="1001"/>
      <c r="I1305" s="1001"/>
      <c r="J1305" s="1001"/>
      <c r="K1305" s="1001"/>
      <c r="L1305" s="1001"/>
      <c r="M1305" s="1001"/>
      <c r="N1305" s="1002"/>
      <c r="O1305" s="1021" t="s">
        <v>175</v>
      </c>
      <c r="P1305" s="1022"/>
      <c r="Q1305" s="1052"/>
    </row>
    <row r="1306" spans="1:17" ht="22.5" customHeight="1" x14ac:dyDescent="0.3">
      <c r="A1306" s="1044"/>
      <c r="B1306" s="1047"/>
      <c r="C1306" s="1050"/>
      <c r="D1306" s="1003" t="s">
        <v>7</v>
      </c>
      <c r="E1306" s="1005" t="s">
        <v>115</v>
      </c>
      <c r="F1306" s="1053" t="s">
        <v>601</v>
      </c>
      <c r="G1306" s="1008"/>
      <c r="H1306" s="1008"/>
      <c r="I1306" s="1009"/>
      <c r="J1306" s="1010" t="s">
        <v>8</v>
      </c>
      <c r="K1306" s="1011"/>
      <c r="L1306" s="1012"/>
      <c r="M1306" s="1013" t="s">
        <v>173</v>
      </c>
      <c r="N1306" s="1015" t="s">
        <v>172</v>
      </c>
      <c r="O1306" s="1054" t="s">
        <v>177</v>
      </c>
      <c r="P1306" s="1055"/>
      <c r="Q1306" s="1056"/>
    </row>
    <row r="1307" spans="1:17" ht="47.4" thickBot="1" x14ac:dyDescent="0.35">
      <c r="A1307" s="1045"/>
      <c r="B1307" s="1048"/>
      <c r="C1307" s="1051"/>
      <c r="D1307" s="1004"/>
      <c r="E1307" s="1006"/>
      <c r="F1307" s="455" t="s">
        <v>13</v>
      </c>
      <c r="G1307" s="456" t="s">
        <v>14</v>
      </c>
      <c r="H1307" s="456" t="s">
        <v>15</v>
      </c>
      <c r="I1307" s="457" t="s">
        <v>174</v>
      </c>
      <c r="J1307" s="712" t="s">
        <v>13</v>
      </c>
      <c r="K1307" s="710" t="s">
        <v>14</v>
      </c>
      <c r="L1307" s="711" t="s">
        <v>15</v>
      </c>
      <c r="M1307" s="1014"/>
      <c r="N1307" s="1016"/>
      <c r="O1307" s="447" t="s">
        <v>178</v>
      </c>
      <c r="P1307" s="448" t="s">
        <v>11</v>
      </c>
      <c r="Q1307" s="449" t="s">
        <v>12</v>
      </c>
    </row>
    <row r="1308" spans="1:17" ht="23.4" x14ac:dyDescent="0.3">
      <c r="A1308" s="271" t="s">
        <v>110</v>
      </c>
      <c r="B1308" s="442"/>
      <c r="C1308" s="272" t="s">
        <v>266</v>
      </c>
      <c r="D1308" s="273"/>
      <c r="E1308" s="274"/>
      <c r="F1308" s="335">
        <f>+G1308+H1308</f>
        <v>0</v>
      </c>
      <c r="G1308" s="275"/>
      <c r="H1308" s="275"/>
      <c r="I1308" s="354" t="str">
        <f>IFERROR(F1308/#REF!,"-")</f>
        <v>-</v>
      </c>
      <c r="J1308" s="461">
        <f>+K1308+L1308</f>
        <v>337292</v>
      </c>
      <c r="K1308" s="462">
        <f>+K1246+G1308</f>
        <v>321720</v>
      </c>
      <c r="L1308" s="463">
        <f>+L1246+H1308</f>
        <v>15572</v>
      </c>
      <c r="M1308" s="339" t="str">
        <f>IFERROR(J1308/D1308,"-")</f>
        <v>-</v>
      </c>
      <c r="N1308" s="346">
        <f t="shared" ref="N1308:N1309" si="1128">IFERROR(L1308/J1308,"-")</f>
        <v>4.6167712249326989E-2</v>
      </c>
      <c r="O1308" s="511">
        <v>1.5669</v>
      </c>
      <c r="P1308" s="405">
        <f>+O1308*G1308</f>
        <v>0</v>
      </c>
      <c r="Q1308" s="450">
        <f>+O1308*K1308</f>
        <v>504103.06799999997</v>
      </c>
    </row>
    <row r="1309" spans="1:17" ht="23.4" x14ac:dyDescent="0.3">
      <c r="A1309" s="277" t="s">
        <v>110</v>
      </c>
      <c r="B1309" s="441"/>
      <c r="C1309" s="278" t="s">
        <v>265</v>
      </c>
      <c r="D1309" s="279"/>
      <c r="E1309" s="280"/>
      <c r="F1309" s="336">
        <f t="shared" ref="F1309:F1312" si="1129">+G1309+H1309</f>
        <v>0</v>
      </c>
      <c r="G1309" s="833"/>
      <c r="H1309" s="833"/>
      <c r="I1309" s="355" t="str">
        <f>IFERROR(F1309/#REF!,"-")</f>
        <v>-</v>
      </c>
      <c r="J1309" s="336">
        <f t="shared" ref="J1309:J1312" si="1130">+K1309+L1309</f>
        <v>960348</v>
      </c>
      <c r="K1309" s="281">
        <f t="shared" ref="K1309:K1312" si="1131">+K1247+G1309</f>
        <v>947250</v>
      </c>
      <c r="L1309" s="439">
        <f t="shared" ref="L1309:L1312" si="1132">+L1247+H1309</f>
        <v>13098</v>
      </c>
      <c r="M1309" s="340" t="str">
        <f t="shared" ref="M1309:M1312" si="1133">IFERROR(J1309/D1309,"-")</f>
        <v>-</v>
      </c>
      <c r="N1309" s="268">
        <f t="shared" si="1128"/>
        <v>1.3638805932849342E-2</v>
      </c>
      <c r="O1309" s="512">
        <v>2.3978999999999999</v>
      </c>
      <c r="P1309" s="407">
        <f>+O1309*G1309</f>
        <v>0</v>
      </c>
      <c r="Q1309" s="452">
        <f>+O1309*K1309</f>
        <v>2271410.7749999999</v>
      </c>
    </row>
    <row r="1310" spans="1:17" ht="23.4" x14ac:dyDescent="0.3">
      <c r="A1310" s="277" t="s">
        <v>110</v>
      </c>
      <c r="B1310" s="441"/>
      <c r="C1310" s="278" t="s">
        <v>476</v>
      </c>
      <c r="D1310" s="279"/>
      <c r="E1310" s="280"/>
      <c r="F1310" s="336">
        <f t="shared" si="1129"/>
        <v>73950</v>
      </c>
      <c r="G1310" s="281">
        <v>71500</v>
      </c>
      <c r="H1310" s="833">
        <v>2450</v>
      </c>
      <c r="I1310" s="355" t="str">
        <f>IFERROR(F1310/#REF!,"-")</f>
        <v>-</v>
      </c>
      <c r="J1310" s="336">
        <f t="shared" si="1130"/>
        <v>1320653</v>
      </c>
      <c r="K1310" s="281">
        <f t="shared" si="1131"/>
        <v>1286000</v>
      </c>
      <c r="L1310" s="439">
        <f t="shared" si="1132"/>
        <v>34653</v>
      </c>
      <c r="M1310" s="340" t="str">
        <f t="shared" si="1133"/>
        <v>-</v>
      </c>
      <c r="N1310" s="806">
        <f>IFERROR(L1310/J1310,"-")</f>
        <v>2.6239292228920089E-2</v>
      </c>
      <c r="O1310" s="824">
        <v>3.6777000000000002</v>
      </c>
      <c r="P1310" s="407">
        <f t="shared" ref="P1310:P1312" si="1134">+O1310*G1310</f>
        <v>262955.55</v>
      </c>
      <c r="Q1310" s="452">
        <f t="shared" ref="Q1310:Q1312" si="1135">+O1310*K1310</f>
        <v>4729522.2</v>
      </c>
    </row>
    <row r="1311" spans="1:17" ht="23.4" x14ac:dyDescent="0.3">
      <c r="A1311" s="277"/>
      <c r="B1311" s="454"/>
      <c r="C1311" s="278" t="s">
        <v>353</v>
      </c>
      <c r="D1311" s="283"/>
      <c r="E1311" s="284"/>
      <c r="F1311" s="336">
        <f t="shared" si="1129"/>
        <v>28240</v>
      </c>
      <c r="G1311" s="285">
        <v>28000</v>
      </c>
      <c r="H1311" s="285">
        <v>240</v>
      </c>
      <c r="I1311" s="355" t="str">
        <f>IFERROR(F1311/#REF!,"-")</f>
        <v>-</v>
      </c>
      <c r="J1311" s="336">
        <f t="shared" si="1130"/>
        <v>454997</v>
      </c>
      <c r="K1311" s="281">
        <f t="shared" si="1131"/>
        <v>447600</v>
      </c>
      <c r="L1311" s="439">
        <f t="shared" si="1132"/>
        <v>7397</v>
      </c>
      <c r="M1311" s="340" t="str">
        <f t="shared" si="1133"/>
        <v>-</v>
      </c>
      <c r="N1311" s="268">
        <f>IFERROR(L1311/J1311,"-")</f>
        <v>1.6257250047802513E-2</v>
      </c>
      <c r="O1311" s="513">
        <v>12.284700000000001</v>
      </c>
      <c r="P1311" s="407">
        <f t="shared" si="1134"/>
        <v>343971.60000000003</v>
      </c>
      <c r="Q1311" s="452">
        <f t="shared" si="1135"/>
        <v>5498631.7200000007</v>
      </c>
    </row>
    <row r="1312" spans="1:17" ht="24" thickBot="1" x14ac:dyDescent="0.35">
      <c r="A1312" s="277" t="s">
        <v>110</v>
      </c>
      <c r="B1312" s="454"/>
      <c r="C1312" s="278" t="s">
        <v>408</v>
      </c>
      <c r="D1312" s="283"/>
      <c r="E1312" s="284"/>
      <c r="F1312" s="337">
        <f t="shared" si="1129"/>
        <v>31230</v>
      </c>
      <c r="G1312" s="285">
        <v>30000</v>
      </c>
      <c r="H1312" s="285">
        <v>1230</v>
      </c>
      <c r="I1312" s="356" t="str">
        <f>IFERROR(F1312/#REF!,"-")</f>
        <v>-</v>
      </c>
      <c r="J1312" s="464">
        <f t="shared" si="1130"/>
        <v>639616</v>
      </c>
      <c r="K1312" s="465">
        <f t="shared" si="1131"/>
        <v>620250</v>
      </c>
      <c r="L1312" s="466">
        <f t="shared" si="1132"/>
        <v>19366</v>
      </c>
      <c r="M1312" s="341" t="str">
        <f t="shared" si="1133"/>
        <v>-</v>
      </c>
      <c r="N1312" s="347">
        <f t="shared" ref="N1312:N1324" si="1136">IFERROR(L1312/J1312,"-")</f>
        <v>3.027754152491495E-2</v>
      </c>
      <c r="O1312" s="824">
        <v>7.0612000000000004</v>
      </c>
      <c r="P1312" s="408">
        <f t="shared" si="1134"/>
        <v>211836</v>
      </c>
      <c r="Q1312" s="453">
        <f t="shared" si="1135"/>
        <v>4379709.3</v>
      </c>
    </row>
    <row r="1313" spans="1:17" ht="23.25" customHeight="1" thickBot="1" x14ac:dyDescent="0.35">
      <c r="A1313" s="277" t="s">
        <v>110</v>
      </c>
      <c r="B1313" s="1038" t="s">
        <v>21</v>
      </c>
      <c r="C1313" s="989"/>
      <c r="D1313" s="323">
        <f>SUM(D1308:D1312)</f>
        <v>0</v>
      </c>
      <c r="E1313" s="288">
        <v>15000</v>
      </c>
      <c r="F1313" s="323">
        <f>SUM(F1308:F1312)</f>
        <v>133420</v>
      </c>
      <c r="G1313" s="324">
        <f>SUM(G1308:G1312)</f>
        <v>129500</v>
      </c>
      <c r="H1313" s="324">
        <f>SUM(H1308:H1312)</f>
        <v>3920</v>
      </c>
      <c r="I1313" s="348" t="str">
        <f>IFERROR(F1313/#REF!,"-")</f>
        <v>-</v>
      </c>
      <c r="J1313" s="323">
        <f>SUM(J1308:J1312)</f>
        <v>3712906</v>
      </c>
      <c r="K1313" s="324">
        <f>SUM(K1308:K1312)</f>
        <v>3622820</v>
      </c>
      <c r="L1313" s="325">
        <f>SUM(L1308:L1312)</f>
        <v>90086</v>
      </c>
      <c r="M1313" s="342" t="str">
        <f>IFERROR(J1313/D1313,"-")</f>
        <v>-</v>
      </c>
      <c r="N1313" s="348">
        <f t="shared" si="1136"/>
        <v>2.4262935824391998E-2</v>
      </c>
      <c r="O1313" s="394"/>
      <c r="P1313" s="409">
        <f>SUM(P1308:P1312)</f>
        <v>818763.15</v>
      </c>
      <c r="Q1313" s="428">
        <f>SUM(Q1308:Q1312)</f>
        <v>17383377.063000001</v>
      </c>
    </row>
    <row r="1314" spans="1:17" ht="23.4" x14ac:dyDescent="0.3">
      <c r="A1314" s="277" t="s">
        <v>110</v>
      </c>
      <c r="B1314" s="442"/>
      <c r="C1314" s="272" t="s">
        <v>264</v>
      </c>
      <c r="D1314" s="273"/>
      <c r="E1314" s="274"/>
      <c r="F1314" s="335">
        <f t="shared" ref="F1314:F1320" si="1137">+G1314+H1314</f>
        <v>0</v>
      </c>
      <c r="G1314" s="275"/>
      <c r="H1314" s="275"/>
      <c r="I1314" s="354" t="str">
        <f>IFERROR(F1314/#REF!,"-")</f>
        <v>-</v>
      </c>
      <c r="J1314" s="461">
        <f t="shared" ref="J1314:J1320" si="1138">+K1314+L1314</f>
        <v>34540</v>
      </c>
      <c r="K1314" s="462">
        <f t="shared" ref="K1314:K1320" si="1139">+K1252+G1314</f>
        <v>33840</v>
      </c>
      <c r="L1314" s="463">
        <f t="shared" ref="L1314:L1320" si="1140">+L1252+H1314</f>
        <v>700</v>
      </c>
      <c r="M1314" s="339" t="str">
        <f t="shared" ref="M1314:M1322" si="1141">IFERROR(J1314/D1314,"-")</f>
        <v>-</v>
      </c>
      <c r="N1314" s="349">
        <f t="shared" si="1136"/>
        <v>2.0266357845975681E-2</v>
      </c>
      <c r="O1314" s="511">
        <v>18.2316</v>
      </c>
      <c r="P1314" s="405">
        <f t="shared" ref="P1314:P1320" si="1142">+O1314*G1314</f>
        <v>0</v>
      </c>
      <c r="Q1314" s="450">
        <f t="shared" ref="Q1314:Q1320" si="1143">+O1314*K1314</f>
        <v>616957.34400000004</v>
      </c>
    </row>
    <row r="1315" spans="1:17" ht="23.4" x14ac:dyDescent="0.3">
      <c r="A1315" s="277" t="s">
        <v>110</v>
      </c>
      <c r="B1315" s="441"/>
      <c r="C1315" s="278" t="s">
        <v>92</v>
      </c>
      <c r="D1315" s="279"/>
      <c r="E1315" s="280"/>
      <c r="F1315" s="336">
        <f t="shared" si="1137"/>
        <v>0</v>
      </c>
      <c r="G1315" s="281"/>
      <c r="H1315" s="281"/>
      <c r="I1315" s="355" t="str">
        <f>IFERROR(F1315/#REF!,"-")</f>
        <v>-</v>
      </c>
      <c r="J1315" s="336">
        <f t="shared" si="1138"/>
        <v>350000</v>
      </c>
      <c r="K1315" s="281">
        <f t="shared" si="1139"/>
        <v>350000</v>
      </c>
      <c r="L1315" s="439">
        <f t="shared" si="1140"/>
        <v>0</v>
      </c>
      <c r="M1315" s="340" t="str">
        <f t="shared" si="1141"/>
        <v>-</v>
      </c>
      <c r="N1315" s="264">
        <f t="shared" si="1136"/>
        <v>0</v>
      </c>
      <c r="O1315" s="512">
        <v>1.2824</v>
      </c>
      <c r="P1315" s="407">
        <f t="shared" si="1142"/>
        <v>0</v>
      </c>
      <c r="Q1315" s="452">
        <f t="shared" si="1143"/>
        <v>448840</v>
      </c>
    </row>
    <row r="1316" spans="1:17" ht="23.4" x14ac:dyDescent="0.3">
      <c r="A1316" s="277" t="s">
        <v>110</v>
      </c>
      <c r="B1316" s="441"/>
      <c r="C1316" s="278" t="s">
        <v>329</v>
      </c>
      <c r="D1316" s="279"/>
      <c r="E1316" s="280"/>
      <c r="F1316" s="336">
        <f t="shared" si="1137"/>
        <v>0</v>
      </c>
      <c r="G1316" s="281"/>
      <c r="H1316" s="281"/>
      <c r="I1316" s="355" t="str">
        <f>IFERROR(F1316/#REF!,"-")</f>
        <v>-</v>
      </c>
      <c r="J1316" s="336">
        <f t="shared" si="1138"/>
        <v>108434</v>
      </c>
      <c r="K1316" s="281">
        <f t="shared" si="1139"/>
        <v>108000</v>
      </c>
      <c r="L1316" s="439">
        <f t="shared" si="1140"/>
        <v>434</v>
      </c>
      <c r="M1316" s="340" t="str">
        <f t="shared" si="1141"/>
        <v>-</v>
      </c>
      <c r="N1316" s="264">
        <f t="shared" si="1136"/>
        <v>4.0024346607152742E-3</v>
      </c>
      <c r="O1316" s="772">
        <v>5.7342000000000004</v>
      </c>
      <c r="P1316" s="407">
        <f t="shared" si="1142"/>
        <v>0</v>
      </c>
      <c r="Q1316" s="452">
        <f t="shared" si="1143"/>
        <v>619293.60000000009</v>
      </c>
    </row>
    <row r="1317" spans="1:17" ht="23.4" x14ac:dyDescent="0.3">
      <c r="A1317" s="277" t="s">
        <v>110</v>
      </c>
      <c r="B1317" s="441"/>
      <c r="C1317" s="278" t="s">
        <v>346</v>
      </c>
      <c r="D1317" s="279"/>
      <c r="E1317" s="280"/>
      <c r="F1317" s="336">
        <f t="shared" si="1137"/>
        <v>0</v>
      </c>
      <c r="G1317" s="281"/>
      <c r="H1317" s="281"/>
      <c r="I1317" s="355" t="str">
        <f>IFERROR(F1317/#REF!,"-")</f>
        <v>-</v>
      </c>
      <c r="J1317" s="336">
        <f t="shared" si="1138"/>
        <v>0</v>
      </c>
      <c r="K1317" s="281">
        <f t="shared" si="1139"/>
        <v>0</v>
      </c>
      <c r="L1317" s="439">
        <f t="shared" si="1140"/>
        <v>0</v>
      </c>
      <c r="M1317" s="340" t="str">
        <f t="shared" si="1141"/>
        <v>-</v>
      </c>
      <c r="N1317" s="264" t="str">
        <f t="shared" si="1136"/>
        <v>-</v>
      </c>
      <c r="O1317" s="512"/>
      <c r="P1317" s="407">
        <f t="shared" si="1142"/>
        <v>0</v>
      </c>
      <c r="Q1317" s="452">
        <f t="shared" si="1143"/>
        <v>0</v>
      </c>
    </row>
    <row r="1318" spans="1:17" ht="23.4" x14ac:dyDescent="0.3">
      <c r="A1318" s="277" t="s">
        <v>110</v>
      </c>
      <c r="B1318" s="441"/>
      <c r="C1318" s="278" t="s">
        <v>354</v>
      </c>
      <c r="D1318" s="279"/>
      <c r="E1318" s="280"/>
      <c r="F1318" s="336">
        <f t="shared" si="1137"/>
        <v>33788</v>
      </c>
      <c r="G1318" s="281">
        <v>31800</v>
      </c>
      <c r="H1318" s="281">
        <v>1988</v>
      </c>
      <c r="I1318" s="355" t="str">
        <f>IFERROR(F1318/#REF!,"-")</f>
        <v>-</v>
      </c>
      <c r="J1318" s="336">
        <f t="shared" si="1138"/>
        <v>284535</v>
      </c>
      <c r="K1318" s="281">
        <f t="shared" si="1139"/>
        <v>280000</v>
      </c>
      <c r="L1318" s="439">
        <f t="shared" si="1140"/>
        <v>4535</v>
      </c>
      <c r="M1318" s="340" t="str">
        <f t="shared" si="1141"/>
        <v>-</v>
      </c>
      <c r="N1318" s="264">
        <f t="shared" si="1136"/>
        <v>1.5938285272462088E-2</v>
      </c>
      <c r="O1318" s="512">
        <v>12.029500000000001</v>
      </c>
      <c r="P1318" s="407">
        <f t="shared" si="1142"/>
        <v>382538.10000000003</v>
      </c>
      <c r="Q1318" s="452">
        <f t="shared" si="1143"/>
        <v>3368260</v>
      </c>
    </row>
    <row r="1319" spans="1:17" ht="23.4" x14ac:dyDescent="0.3">
      <c r="A1319" s="277" t="s">
        <v>110</v>
      </c>
      <c r="B1319" s="441"/>
      <c r="C1319" s="278"/>
      <c r="D1319" s="279"/>
      <c r="E1319" s="280"/>
      <c r="F1319" s="336">
        <f t="shared" si="1137"/>
        <v>0</v>
      </c>
      <c r="G1319" s="281"/>
      <c r="H1319" s="281"/>
      <c r="I1319" s="355" t="str">
        <f>IFERROR(F1319/#REF!,"-")</f>
        <v>-</v>
      </c>
      <c r="J1319" s="336">
        <f t="shared" si="1138"/>
        <v>0</v>
      </c>
      <c r="K1319" s="281">
        <f t="shared" si="1139"/>
        <v>0</v>
      </c>
      <c r="L1319" s="439">
        <f t="shared" si="1140"/>
        <v>0</v>
      </c>
      <c r="M1319" s="340" t="str">
        <f t="shared" si="1141"/>
        <v>-</v>
      </c>
      <c r="N1319" s="264" t="str">
        <f t="shared" si="1136"/>
        <v>-</v>
      </c>
      <c r="O1319" s="512"/>
      <c r="P1319" s="407">
        <f t="shared" si="1142"/>
        <v>0</v>
      </c>
      <c r="Q1319" s="452">
        <f t="shared" si="1143"/>
        <v>0</v>
      </c>
    </row>
    <row r="1320" spans="1:17" ht="24" thickBot="1" x14ac:dyDescent="0.35">
      <c r="A1320" s="277" t="s">
        <v>110</v>
      </c>
      <c r="B1320" s="454"/>
      <c r="C1320" s="282"/>
      <c r="D1320" s="283">
        <v>0</v>
      </c>
      <c r="E1320" s="284"/>
      <c r="F1320" s="337">
        <f t="shared" si="1137"/>
        <v>0</v>
      </c>
      <c r="G1320" s="285"/>
      <c r="H1320" s="285"/>
      <c r="I1320" s="356" t="str">
        <f>IFERROR(F1320/#REF!,"-")</f>
        <v>-</v>
      </c>
      <c r="J1320" s="464">
        <f t="shared" si="1138"/>
        <v>0</v>
      </c>
      <c r="K1320" s="465">
        <f t="shared" si="1139"/>
        <v>0</v>
      </c>
      <c r="L1320" s="466">
        <f t="shared" si="1140"/>
        <v>0</v>
      </c>
      <c r="M1320" s="341" t="str">
        <f t="shared" si="1141"/>
        <v>-</v>
      </c>
      <c r="N1320" s="350" t="str">
        <f t="shared" si="1136"/>
        <v>-</v>
      </c>
      <c r="O1320" s="513"/>
      <c r="P1320" s="408">
        <f t="shared" si="1142"/>
        <v>0</v>
      </c>
      <c r="Q1320" s="453">
        <f t="shared" si="1143"/>
        <v>0</v>
      </c>
    </row>
    <row r="1321" spans="1:17" ht="23.25" customHeight="1" thickBot="1" x14ac:dyDescent="0.35">
      <c r="A1321" s="277" t="s">
        <v>110</v>
      </c>
      <c r="B1321" s="1038" t="s">
        <v>25</v>
      </c>
      <c r="C1321" s="989"/>
      <c r="D1321" s="323">
        <f t="shared" ref="D1321" si="1144">SUM(D1314:D1320)</f>
        <v>0</v>
      </c>
      <c r="E1321" s="288">
        <v>100000</v>
      </c>
      <c r="F1321" s="323">
        <f>SUM(F1314:F1320)</f>
        <v>33788</v>
      </c>
      <c r="G1321" s="324">
        <f t="shared" ref="G1321:H1321" si="1145">SUM(G1314:G1320)</f>
        <v>31800</v>
      </c>
      <c r="H1321" s="324">
        <f t="shared" si="1145"/>
        <v>1988</v>
      </c>
      <c r="I1321" s="348" t="str">
        <f>IFERROR(F1321/#REF!,"-")</f>
        <v>-</v>
      </c>
      <c r="J1321" s="323">
        <f t="shared" ref="J1321:L1321" si="1146">SUM(J1314:J1320)</f>
        <v>777509</v>
      </c>
      <c r="K1321" s="324">
        <f t="shared" si="1146"/>
        <v>771840</v>
      </c>
      <c r="L1321" s="325">
        <f t="shared" si="1146"/>
        <v>5669</v>
      </c>
      <c r="M1321" s="342" t="str">
        <f t="shared" si="1141"/>
        <v>-</v>
      </c>
      <c r="N1321" s="348">
        <f t="shared" si="1136"/>
        <v>7.2912339278387774E-3</v>
      </c>
      <c r="O1321" s="394"/>
      <c r="P1321" s="409">
        <f t="shared" ref="P1321:Q1321" si="1147">SUM(P1314:P1320)</f>
        <v>382538.10000000003</v>
      </c>
      <c r="Q1321" s="428">
        <f t="shared" si="1147"/>
        <v>5053350.9440000001</v>
      </c>
    </row>
    <row r="1322" spans="1:17" ht="23.25" customHeight="1" thickBot="1" x14ac:dyDescent="0.35">
      <c r="A1322" s="277" t="s">
        <v>110</v>
      </c>
      <c r="B1322" s="1039" t="s">
        <v>180</v>
      </c>
      <c r="C1322" s="1040"/>
      <c r="D1322" s="329">
        <f>+D1313+D1321</f>
        <v>0</v>
      </c>
      <c r="E1322" s="330">
        <f t="shared" ref="E1322:H1322" si="1148">+E1313+E1321</f>
        <v>115000</v>
      </c>
      <c r="F1322" s="329">
        <f t="shared" si="1148"/>
        <v>167208</v>
      </c>
      <c r="G1322" s="327">
        <f t="shared" si="1148"/>
        <v>161300</v>
      </c>
      <c r="H1322" s="327">
        <f t="shared" si="1148"/>
        <v>5908</v>
      </c>
      <c r="I1322" s="352" t="str">
        <f>IFERROR(F1322/#REF!,"-")</f>
        <v>-</v>
      </c>
      <c r="J1322" s="329">
        <f t="shared" ref="J1322:L1322" si="1149">+J1313+J1321</f>
        <v>4490415</v>
      </c>
      <c r="K1322" s="327">
        <f t="shared" si="1149"/>
        <v>4394660</v>
      </c>
      <c r="L1322" s="328">
        <f t="shared" si="1149"/>
        <v>95755</v>
      </c>
      <c r="M1322" s="344" t="str">
        <f t="shared" si="1141"/>
        <v>-</v>
      </c>
      <c r="N1322" s="352">
        <f t="shared" si="1136"/>
        <v>2.1324309668482758E-2</v>
      </c>
      <c r="O1322" s="397"/>
      <c r="P1322" s="413">
        <f t="shared" ref="P1322:Q1322" si="1150">+P1313+P1321</f>
        <v>1201301.25</v>
      </c>
      <c r="Q1322" s="431">
        <f t="shared" si="1150"/>
        <v>22436728.006999999</v>
      </c>
    </row>
    <row r="1323" spans="1:17" ht="23.4" x14ac:dyDescent="0.3">
      <c r="A1323" s="244" t="s">
        <v>108</v>
      </c>
      <c r="B1323" s="591"/>
      <c r="C1323" s="592" t="s">
        <v>306</v>
      </c>
      <c r="D1323" s="532"/>
      <c r="E1323" s="463"/>
      <c r="F1323" s="461">
        <f>+G1323+H1323</f>
        <v>0</v>
      </c>
      <c r="G1323" s="462"/>
      <c r="H1323" s="462"/>
      <c r="I1323" s="536" t="str">
        <f>IFERROR(F1323/#REF!,"-")</f>
        <v>-</v>
      </c>
      <c r="J1323" s="461">
        <f>+K1323+L1323</f>
        <v>0</v>
      </c>
      <c r="K1323" s="462">
        <f t="shared" ref="K1323:K1329" si="1151">+K1261+G1323</f>
        <v>0</v>
      </c>
      <c r="L1323" s="463">
        <f t="shared" ref="L1323:L1329" si="1152">+L1261+H1323</f>
        <v>0</v>
      </c>
      <c r="M1323" s="596" t="str">
        <f>IFERROR(J1323/D1323,"-")</f>
        <v>-</v>
      </c>
      <c r="N1323" s="538" t="str">
        <f t="shared" si="1136"/>
        <v>-</v>
      </c>
      <c r="O1323" s="638">
        <v>4.8285999999999998</v>
      </c>
      <c r="P1323" s="539">
        <f t="shared" ref="P1323:P1329" si="1153">+O1323*G1323</f>
        <v>0</v>
      </c>
      <c r="Q1323" s="540">
        <f t="shared" ref="Q1323:Q1329" si="1154">+O1323*K1323</f>
        <v>0</v>
      </c>
    </row>
    <row r="1324" spans="1:17" ht="23.4" x14ac:dyDescent="0.3">
      <c r="A1324" s="248" t="s">
        <v>108</v>
      </c>
      <c r="B1324" s="593"/>
      <c r="C1324" s="278" t="s">
        <v>307</v>
      </c>
      <c r="D1324" s="279"/>
      <c r="E1324" s="439"/>
      <c r="F1324" s="336">
        <f t="shared" ref="F1324:F1329" si="1155">+G1324+H1324</f>
        <v>0</v>
      </c>
      <c r="G1324" s="281"/>
      <c r="H1324" s="281"/>
      <c r="I1324" s="355" t="str">
        <f>IFERROR(F1324/#REF!,"-")</f>
        <v>-</v>
      </c>
      <c r="J1324" s="336">
        <f t="shared" ref="J1324:J1329" si="1156">+K1324+L1324</f>
        <v>0</v>
      </c>
      <c r="K1324" s="281">
        <f t="shared" si="1151"/>
        <v>0</v>
      </c>
      <c r="L1324" s="439">
        <f t="shared" si="1152"/>
        <v>0</v>
      </c>
      <c r="M1324" s="340" t="str">
        <f t="shared" ref="M1324:M1326" si="1157">IFERROR(J1324/D1324,"-")</f>
        <v>-</v>
      </c>
      <c r="N1324" s="268" t="str">
        <f t="shared" si="1136"/>
        <v>-</v>
      </c>
      <c r="O1324" s="639">
        <v>1.4086000000000001</v>
      </c>
      <c r="P1324" s="407">
        <f t="shared" si="1153"/>
        <v>0</v>
      </c>
      <c r="Q1324" s="452">
        <f t="shared" si="1154"/>
        <v>0</v>
      </c>
    </row>
    <row r="1325" spans="1:17" ht="23.4" x14ac:dyDescent="0.3">
      <c r="A1325" s="248" t="s">
        <v>108</v>
      </c>
      <c r="B1325" s="593"/>
      <c r="C1325" s="278" t="s">
        <v>348</v>
      </c>
      <c r="D1325" s="279"/>
      <c r="E1325" s="439"/>
      <c r="F1325" s="336">
        <f t="shared" si="1155"/>
        <v>0</v>
      </c>
      <c r="G1325" s="281"/>
      <c r="H1325" s="281"/>
      <c r="I1325" s="355" t="str">
        <f>IFERROR(F1325/#REF!,"-")</f>
        <v>-</v>
      </c>
      <c r="J1325" s="336">
        <f t="shared" si="1156"/>
        <v>0</v>
      </c>
      <c r="K1325" s="281">
        <f t="shared" si="1151"/>
        <v>0</v>
      </c>
      <c r="L1325" s="439">
        <f t="shared" si="1152"/>
        <v>0</v>
      </c>
      <c r="M1325" s="340" t="str">
        <f t="shared" si="1157"/>
        <v>-</v>
      </c>
      <c r="N1325" s="268" t="str">
        <f>IFERROR(L1325/J1325,"-")</f>
        <v>-</v>
      </c>
      <c r="O1325" s="639">
        <v>2.2141000000000002</v>
      </c>
      <c r="P1325" s="407">
        <f t="shared" si="1153"/>
        <v>0</v>
      </c>
      <c r="Q1325" s="452">
        <f t="shared" si="1154"/>
        <v>0</v>
      </c>
    </row>
    <row r="1326" spans="1:17" ht="23.4" x14ac:dyDescent="0.3">
      <c r="A1326" s="248" t="s">
        <v>108</v>
      </c>
      <c r="B1326" s="594"/>
      <c r="C1326" s="278" t="s">
        <v>583</v>
      </c>
      <c r="D1326" s="283"/>
      <c r="E1326" s="533"/>
      <c r="F1326" s="337">
        <f t="shared" si="1155"/>
        <v>51090</v>
      </c>
      <c r="G1326" s="285">
        <v>50000</v>
      </c>
      <c r="H1326" s="285">
        <v>1090</v>
      </c>
      <c r="I1326" s="356" t="str">
        <f>IFERROR(F1326/#REF!,"-")</f>
        <v>-</v>
      </c>
      <c r="J1326" s="336">
        <f t="shared" si="1156"/>
        <v>609362</v>
      </c>
      <c r="K1326" s="281">
        <f t="shared" si="1151"/>
        <v>599000</v>
      </c>
      <c r="L1326" s="439">
        <f t="shared" si="1152"/>
        <v>10362</v>
      </c>
      <c r="M1326" s="341" t="str">
        <f t="shared" si="1157"/>
        <v>-</v>
      </c>
      <c r="N1326" s="347">
        <f t="shared" ref="N1326:N1333" si="1158">IFERROR(L1326/J1326,"-")</f>
        <v>1.7004670458610809E-2</v>
      </c>
      <c r="O1326" s="639">
        <v>2.2141000000000002</v>
      </c>
      <c r="P1326" s="408">
        <f t="shared" si="1153"/>
        <v>110705.00000000001</v>
      </c>
      <c r="Q1326" s="453">
        <f t="shared" si="1154"/>
        <v>1326245.9000000001</v>
      </c>
    </row>
    <row r="1327" spans="1:17" ht="23.4" x14ac:dyDescent="0.3">
      <c r="A1327" s="248" t="s">
        <v>108</v>
      </c>
      <c r="B1327" s="443"/>
      <c r="C1327" s="637" t="s">
        <v>393</v>
      </c>
      <c r="D1327" s="514"/>
      <c r="E1327" s="534"/>
      <c r="F1327" s="336">
        <f t="shared" si="1155"/>
        <v>0</v>
      </c>
      <c r="G1327" s="553"/>
      <c r="H1327" s="553"/>
      <c r="I1327" s="355" t="str">
        <f>IFERROR(F1327/#REF!,"-")</f>
        <v>-</v>
      </c>
      <c r="J1327" s="336">
        <f t="shared" si="1156"/>
        <v>0</v>
      </c>
      <c r="K1327" s="281">
        <f t="shared" si="1151"/>
        <v>0</v>
      </c>
      <c r="L1327" s="439">
        <f t="shared" si="1152"/>
        <v>0</v>
      </c>
      <c r="M1327" s="725"/>
      <c r="N1327" s="268" t="str">
        <f t="shared" si="1158"/>
        <v>-</v>
      </c>
      <c r="O1327" s="545">
        <v>4.8285999999999998</v>
      </c>
      <c r="P1327" s="407">
        <f t="shared" si="1153"/>
        <v>0</v>
      </c>
      <c r="Q1327" s="452">
        <f t="shared" si="1154"/>
        <v>0</v>
      </c>
    </row>
    <row r="1328" spans="1:17" ht="23.4" x14ac:dyDescent="0.3">
      <c r="A1328" s="248" t="s">
        <v>108</v>
      </c>
      <c r="B1328" s="595"/>
      <c r="C1328" s="637" t="s">
        <v>389</v>
      </c>
      <c r="D1328" s="273"/>
      <c r="E1328" s="438"/>
      <c r="F1328" s="335">
        <f t="shared" si="1155"/>
        <v>0</v>
      </c>
      <c r="G1328" s="275"/>
      <c r="H1328" s="275"/>
      <c r="I1328" s="354" t="str">
        <f>IFERROR(F1328/#REF!,"-")</f>
        <v>-</v>
      </c>
      <c r="J1328" s="336">
        <f t="shared" si="1156"/>
        <v>0</v>
      </c>
      <c r="K1328" s="281">
        <f t="shared" si="1151"/>
        <v>0</v>
      </c>
      <c r="L1328" s="439">
        <f t="shared" si="1152"/>
        <v>0</v>
      </c>
      <c r="M1328" s="339" t="str">
        <f t="shared" ref="M1328:M1329" si="1159">IFERROR(J1328/D1328,"-")</f>
        <v>-</v>
      </c>
      <c r="N1328" s="349" t="str">
        <f t="shared" si="1158"/>
        <v>-</v>
      </c>
      <c r="O1328" s="511">
        <v>4.1712999999999996</v>
      </c>
      <c r="P1328" s="405">
        <f t="shared" si="1153"/>
        <v>0</v>
      </c>
      <c r="Q1328" s="450">
        <f t="shared" si="1154"/>
        <v>0</v>
      </c>
    </row>
    <row r="1329" spans="1:17" ht="24" thickBot="1" x14ac:dyDescent="0.35">
      <c r="A1329" s="248" t="s">
        <v>108</v>
      </c>
      <c r="B1329" s="593"/>
      <c r="C1329" s="278"/>
      <c r="D1329" s="279"/>
      <c r="E1329" s="439"/>
      <c r="F1329" s="336">
        <f t="shared" si="1155"/>
        <v>0</v>
      </c>
      <c r="G1329" s="281"/>
      <c r="H1329" s="281"/>
      <c r="I1329" s="355" t="str">
        <f>IFERROR(F1329/#REF!,"-")</f>
        <v>-</v>
      </c>
      <c r="J1329" s="464">
        <f t="shared" si="1156"/>
        <v>0</v>
      </c>
      <c r="K1329" s="465">
        <f t="shared" si="1151"/>
        <v>0</v>
      </c>
      <c r="L1329" s="466">
        <f t="shared" si="1152"/>
        <v>0</v>
      </c>
      <c r="M1329" s="340" t="str">
        <f t="shared" si="1159"/>
        <v>-</v>
      </c>
      <c r="N1329" s="264" t="str">
        <f t="shared" si="1158"/>
        <v>-</v>
      </c>
      <c r="O1329" s="451"/>
      <c r="P1329" s="407">
        <f t="shared" si="1153"/>
        <v>0</v>
      </c>
      <c r="Q1329" s="452">
        <f t="shared" si="1154"/>
        <v>0</v>
      </c>
    </row>
    <row r="1330" spans="1:17" ht="23.25" customHeight="1" thickBot="1" x14ac:dyDescent="0.35">
      <c r="A1330" s="277" t="s">
        <v>108</v>
      </c>
      <c r="B1330" s="1038" t="s">
        <v>21</v>
      </c>
      <c r="C1330" s="989"/>
      <c r="D1330" s="323">
        <v>0</v>
      </c>
      <c r="E1330" s="288">
        <v>15000</v>
      </c>
      <c r="F1330" s="323">
        <f>SUM(F1323:F1329)</f>
        <v>51090</v>
      </c>
      <c r="G1330" s="324">
        <f t="shared" ref="G1330:H1330" si="1160">SUM(G1323:G1329)</f>
        <v>50000</v>
      </c>
      <c r="H1330" s="324">
        <f t="shared" si="1160"/>
        <v>1090</v>
      </c>
      <c r="I1330" s="348" t="str">
        <f>IFERROR(F1330/#REF!,"-")</f>
        <v>-</v>
      </c>
      <c r="J1330" s="518">
        <f t="shared" ref="J1330" si="1161">SUM(J1323:J1329)</f>
        <v>609362</v>
      </c>
      <c r="K1330" s="524">
        <f>SUM(K1323:K1329)</f>
        <v>599000</v>
      </c>
      <c r="L1330" s="524">
        <f>SUM(L1323:L1329)</f>
        <v>10362</v>
      </c>
      <c r="M1330" s="342" t="str">
        <f>IFERROR(J1330/D1330,"-")</f>
        <v>-</v>
      </c>
      <c r="N1330" s="348">
        <f t="shared" si="1158"/>
        <v>1.7004670458610809E-2</v>
      </c>
      <c r="O1330" s="394"/>
      <c r="P1330" s="409">
        <f>SUM(P1323:P1329)</f>
        <v>110705.00000000001</v>
      </c>
      <c r="Q1330" s="428">
        <f>SUM(Q1323:Q1329)</f>
        <v>1326245.9000000001</v>
      </c>
    </row>
    <row r="1331" spans="1:17" ht="23.25" customHeight="1" thickBot="1" x14ac:dyDescent="0.35">
      <c r="A1331" s="277" t="s">
        <v>108</v>
      </c>
      <c r="B1331" s="1039" t="s">
        <v>268</v>
      </c>
      <c r="C1331" s="1040"/>
      <c r="D1331" s="517">
        <f>+D1327+D1330</f>
        <v>0</v>
      </c>
      <c r="E1331" s="530">
        <f>+E1327+E1330</f>
        <v>15000</v>
      </c>
      <c r="F1331" s="517">
        <f>+F1327+F1330</f>
        <v>51090</v>
      </c>
      <c r="G1331" s="519">
        <f>+G1327+G1330</f>
        <v>50000</v>
      </c>
      <c r="H1331" s="519">
        <f>+H1327+H1330</f>
        <v>1090</v>
      </c>
      <c r="I1331" s="520" t="str">
        <f>IFERROR(F1331/#REF!,"-")</f>
        <v>-</v>
      </c>
      <c r="J1331" s="517">
        <f>+J1327+J1330</f>
        <v>609362</v>
      </c>
      <c r="K1331" s="519">
        <f>+K1330</f>
        <v>599000</v>
      </c>
      <c r="L1331" s="519">
        <f>+L1330</f>
        <v>10362</v>
      </c>
      <c r="M1331" s="521" t="str">
        <f t="shared" ref="M1331" si="1162">IFERROR(J1331/D1331,"-")</f>
        <v>-</v>
      </c>
      <c r="N1331" s="520">
        <f t="shared" si="1158"/>
        <v>1.7004670458610809E-2</v>
      </c>
      <c r="O1331" s="522"/>
      <c r="P1331" s="523">
        <f>+P1330</f>
        <v>110705.00000000001</v>
      </c>
      <c r="Q1331" s="523">
        <f>+Q1330</f>
        <v>1326245.9000000001</v>
      </c>
    </row>
    <row r="1332" spans="1:17" ht="23.4" x14ac:dyDescent="0.4">
      <c r="A1332" s="244" t="s">
        <v>108</v>
      </c>
      <c r="B1332" s="1035" t="s">
        <v>270</v>
      </c>
      <c r="C1332" s="547" t="s">
        <v>74</v>
      </c>
      <c r="D1332" s="532"/>
      <c r="E1332" s="463"/>
      <c r="F1332" s="461">
        <f>+G1332+H1332</f>
        <v>0</v>
      </c>
      <c r="G1332" s="462"/>
      <c r="H1332" s="462"/>
      <c r="I1332" s="536" t="str">
        <f>IFERROR(F1332/#REF!,"-")</f>
        <v>-</v>
      </c>
      <c r="J1332" s="461">
        <f>+K1332+L1332</f>
        <v>80931</v>
      </c>
      <c r="K1332" s="462">
        <f t="shared" ref="K1332:K1363" si="1163">+K1270+G1332</f>
        <v>80150</v>
      </c>
      <c r="L1332" s="463">
        <f t="shared" ref="L1332:L1363" si="1164">+L1270+H1332</f>
        <v>781</v>
      </c>
      <c r="M1332" s="596" t="str">
        <f>IFERROR(J1332/D1332,"-")</f>
        <v>-</v>
      </c>
      <c r="N1332" s="538">
        <f t="shared" si="1158"/>
        <v>9.6501958458439906E-3</v>
      </c>
      <c r="O1332" s="543">
        <v>32.946300000000001</v>
      </c>
      <c r="P1332" s="539">
        <f t="shared" ref="P1332:P1363" si="1165">+O1332*G1332</f>
        <v>0</v>
      </c>
      <c r="Q1332" s="540">
        <f t="shared" ref="Q1332:Q1363" si="1166">+O1332*K1332</f>
        <v>2640645.9449999998</v>
      </c>
    </row>
    <row r="1333" spans="1:17" ht="23.4" x14ac:dyDescent="0.4">
      <c r="A1333" s="248" t="s">
        <v>108</v>
      </c>
      <c r="B1333" s="1036"/>
      <c r="C1333" s="548" t="s">
        <v>75</v>
      </c>
      <c r="D1333" s="516"/>
      <c r="E1333" s="439"/>
      <c r="F1333" s="336">
        <f t="shared" ref="F1333:F1363" si="1167">+G1333+H1333</f>
        <v>8180</v>
      </c>
      <c r="G1333" s="281">
        <v>8000</v>
      </c>
      <c r="H1333" s="281">
        <v>180</v>
      </c>
      <c r="I1333" s="355" t="str">
        <f>IFERROR(F1333/#REF!,"-")</f>
        <v>-</v>
      </c>
      <c r="J1333" s="336">
        <f t="shared" ref="J1333:J1363" si="1168">+K1333+L1333</f>
        <v>25334</v>
      </c>
      <c r="K1333" s="281">
        <f t="shared" si="1163"/>
        <v>25000</v>
      </c>
      <c r="L1333" s="439">
        <f t="shared" si="1164"/>
        <v>334</v>
      </c>
      <c r="M1333" s="340" t="str">
        <f t="shared" ref="M1333:M1335" si="1169">IFERROR(J1333/D1333,"-")</f>
        <v>-</v>
      </c>
      <c r="N1333" s="268">
        <f t="shared" si="1158"/>
        <v>1.3183863582537302E-2</v>
      </c>
      <c r="O1333" s="512">
        <v>35.398400000000002</v>
      </c>
      <c r="P1333" s="407">
        <f t="shared" si="1165"/>
        <v>283187.20000000001</v>
      </c>
      <c r="Q1333" s="452">
        <f t="shared" si="1166"/>
        <v>884960</v>
      </c>
    </row>
    <row r="1334" spans="1:17" ht="24" thickBot="1" x14ac:dyDescent="0.45">
      <c r="A1334" s="248" t="s">
        <v>108</v>
      </c>
      <c r="B1334" s="1037"/>
      <c r="C1334" s="548" t="s">
        <v>599</v>
      </c>
      <c r="D1334" s="279"/>
      <c r="E1334" s="439"/>
      <c r="F1334" s="336">
        <f t="shared" si="1167"/>
        <v>1120</v>
      </c>
      <c r="G1334" s="281">
        <v>1000</v>
      </c>
      <c r="H1334" s="281">
        <v>120</v>
      </c>
      <c r="I1334" s="355" t="str">
        <f>IFERROR(F1334/#REF!,"-")</f>
        <v>-</v>
      </c>
      <c r="J1334" s="336">
        <f t="shared" si="1168"/>
        <v>4009</v>
      </c>
      <c r="K1334" s="281">
        <f t="shared" si="1163"/>
        <v>3800</v>
      </c>
      <c r="L1334" s="439">
        <f t="shared" si="1164"/>
        <v>209</v>
      </c>
      <c r="M1334" s="340" t="str">
        <f t="shared" si="1169"/>
        <v>-</v>
      </c>
      <c r="N1334" s="268">
        <f>IFERROR(L1334/J1334,"-")</f>
        <v>5.2132701421800945E-2</v>
      </c>
      <c r="O1334" s="512">
        <v>35.398400000000002</v>
      </c>
      <c r="P1334" s="407">
        <f t="shared" si="1165"/>
        <v>35398.400000000001</v>
      </c>
      <c r="Q1334" s="452">
        <f t="shared" si="1166"/>
        <v>134513.92000000001</v>
      </c>
    </row>
    <row r="1335" spans="1:17" ht="23.4" x14ac:dyDescent="0.4">
      <c r="A1335" s="248" t="s">
        <v>108</v>
      </c>
      <c r="B1335" s="1035" t="s">
        <v>271</v>
      </c>
      <c r="C1335" s="550" t="s">
        <v>78</v>
      </c>
      <c r="D1335" s="279"/>
      <c r="E1335" s="533"/>
      <c r="F1335" s="337">
        <f t="shared" si="1167"/>
        <v>0</v>
      </c>
      <c r="G1335" s="281"/>
      <c r="H1335" s="281"/>
      <c r="I1335" s="355" t="str">
        <f>IFERROR(F1335/#REF!,"-")</f>
        <v>-</v>
      </c>
      <c r="J1335" s="336">
        <f t="shared" si="1168"/>
        <v>70498</v>
      </c>
      <c r="K1335" s="281">
        <f t="shared" si="1163"/>
        <v>68138</v>
      </c>
      <c r="L1335" s="439">
        <f t="shared" si="1164"/>
        <v>2360</v>
      </c>
      <c r="M1335" s="340" t="str">
        <f t="shared" si="1169"/>
        <v>-</v>
      </c>
      <c r="N1335" s="268">
        <f t="shared" ref="N1335" si="1170">IFERROR(L1335/J1335,"-")</f>
        <v>3.3476126982325737E-2</v>
      </c>
      <c r="O1335" s="512">
        <v>55.4758</v>
      </c>
      <c r="P1335" s="407">
        <f t="shared" si="1165"/>
        <v>0</v>
      </c>
      <c r="Q1335" s="452">
        <f t="shared" si="1166"/>
        <v>3780010.0603999998</v>
      </c>
    </row>
    <row r="1336" spans="1:17" ht="23.4" x14ac:dyDescent="0.4">
      <c r="A1336" s="248" t="s">
        <v>108</v>
      </c>
      <c r="B1336" s="1036"/>
      <c r="C1336" s="550" t="s">
        <v>75</v>
      </c>
      <c r="D1336" s="279"/>
      <c r="E1336" s="534"/>
      <c r="F1336" s="337">
        <f t="shared" si="1167"/>
        <v>0</v>
      </c>
      <c r="G1336" s="281"/>
      <c r="H1336" s="281"/>
      <c r="I1336" s="355" t="str">
        <f>IFERROR(F1336/#REF!,"-")</f>
        <v>-</v>
      </c>
      <c r="J1336" s="336">
        <f t="shared" si="1168"/>
        <v>8448</v>
      </c>
      <c r="K1336" s="281">
        <f t="shared" si="1163"/>
        <v>6800</v>
      </c>
      <c r="L1336" s="439">
        <f t="shared" si="1164"/>
        <v>1648</v>
      </c>
      <c r="M1336" s="725"/>
      <c r="N1336" s="375"/>
      <c r="O1336" s="545">
        <v>58.836300000000001</v>
      </c>
      <c r="P1336" s="407">
        <f t="shared" si="1165"/>
        <v>0</v>
      </c>
      <c r="Q1336" s="452">
        <f t="shared" si="1166"/>
        <v>400086.84</v>
      </c>
    </row>
    <row r="1337" spans="1:17" ht="23.4" x14ac:dyDescent="0.4">
      <c r="A1337" s="248" t="s">
        <v>108</v>
      </c>
      <c r="B1337" s="1036"/>
      <c r="C1337" s="550" t="s">
        <v>386</v>
      </c>
      <c r="D1337" s="279"/>
      <c r="E1337" s="438"/>
      <c r="F1337" s="337">
        <f t="shared" si="1167"/>
        <v>0</v>
      </c>
      <c r="G1337" s="281"/>
      <c r="H1337" s="281"/>
      <c r="I1337" s="355" t="str">
        <f>IFERROR(F1337/#REF!,"-")</f>
        <v>-</v>
      </c>
      <c r="J1337" s="336">
        <f t="shared" si="1168"/>
        <v>6281</v>
      </c>
      <c r="K1337" s="281">
        <f t="shared" si="1163"/>
        <v>5031</v>
      </c>
      <c r="L1337" s="439">
        <f t="shared" si="1164"/>
        <v>1250</v>
      </c>
      <c r="M1337" s="340" t="str">
        <f t="shared" ref="M1337" si="1171">IFERROR(J1337/D1337,"-")</f>
        <v>-</v>
      </c>
      <c r="N1337" s="264">
        <f t="shared" ref="N1337" si="1172">IFERROR(L1337/J1337,"-")</f>
        <v>0.19901289603566311</v>
      </c>
      <c r="O1337" s="772">
        <v>58.836300000000001</v>
      </c>
      <c r="P1337" s="407">
        <f t="shared" si="1165"/>
        <v>0</v>
      </c>
      <c r="Q1337" s="452">
        <f t="shared" si="1166"/>
        <v>296005.4253</v>
      </c>
    </row>
    <row r="1338" spans="1:17" ht="24" thickBot="1" x14ac:dyDescent="0.45">
      <c r="A1338" s="248"/>
      <c r="B1338" s="1037"/>
      <c r="C1338" s="550" t="s">
        <v>404</v>
      </c>
      <c r="D1338" s="279"/>
      <c r="E1338" s="438"/>
      <c r="F1338" s="337">
        <f t="shared" si="1167"/>
        <v>0</v>
      </c>
      <c r="G1338" s="281"/>
      <c r="H1338" s="281"/>
      <c r="I1338" s="355"/>
      <c r="J1338" s="336">
        <f t="shared" si="1168"/>
        <v>2220</v>
      </c>
      <c r="K1338" s="281">
        <f t="shared" si="1163"/>
        <v>2064</v>
      </c>
      <c r="L1338" s="439">
        <f t="shared" si="1164"/>
        <v>156</v>
      </c>
      <c r="M1338" s="340"/>
      <c r="N1338" s="264">
        <f>IFERROR(L1338/J1338,"-")</f>
        <v>7.0270270270270274E-2</v>
      </c>
      <c r="O1338" s="512">
        <v>55.4758</v>
      </c>
      <c r="P1338" s="407">
        <f t="shared" si="1165"/>
        <v>0</v>
      </c>
      <c r="Q1338" s="452">
        <f t="shared" si="1166"/>
        <v>114502.0512</v>
      </c>
    </row>
    <row r="1339" spans="1:17" ht="23.4" x14ac:dyDescent="0.4">
      <c r="A1339" s="248" t="s">
        <v>108</v>
      </c>
      <c r="B1339" s="1035" t="s">
        <v>490</v>
      </c>
      <c r="C1339" s="548" t="s">
        <v>80</v>
      </c>
      <c r="D1339" s="279"/>
      <c r="E1339" s="439"/>
      <c r="F1339" s="336">
        <f t="shared" si="1167"/>
        <v>4459</v>
      </c>
      <c r="G1339" s="281">
        <v>4400</v>
      </c>
      <c r="H1339" s="281">
        <v>59</v>
      </c>
      <c r="I1339" s="355" t="str">
        <f>IFERROR(F1339/#REF!,"-")</f>
        <v>-</v>
      </c>
      <c r="J1339" s="336">
        <f t="shared" si="1168"/>
        <v>25201</v>
      </c>
      <c r="K1339" s="730">
        <f t="shared" si="1163"/>
        <v>24850</v>
      </c>
      <c r="L1339" s="731">
        <f t="shared" si="1164"/>
        <v>351</v>
      </c>
      <c r="M1339" s="340" t="str">
        <f t="shared" ref="M1339:M1366" si="1173">IFERROR(J1339/D1339,"-")</f>
        <v>-</v>
      </c>
      <c r="N1339" s="264">
        <f t="shared" ref="N1339:N1365" si="1174">IFERROR(L1339/J1339,"-")</f>
        <v>1.3928018729415499E-2</v>
      </c>
      <c r="O1339" s="512">
        <v>25.687200000000001</v>
      </c>
      <c r="P1339" s="407">
        <f t="shared" si="1165"/>
        <v>113023.68000000001</v>
      </c>
      <c r="Q1339" s="452">
        <f t="shared" si="1166"/>
        <v>638326.92000000004</v>
      </c>
    </row>
    <row r="1340" spans="1:17" ht="24" thickBot="1" x14ac:dyDescent="0.45">
      <c r="A1340" s="248" t="s">
        <v>108</v>
      </c>
      <c r="B1340" s="1037"/>
      <c r="C1340" s="548" t="s">
        <v>124</v>
      </c>
      <c r="D1340" s="279"/>
      <c r="E1340" s="439"/>
      <c r="F1340" s="336">
        <f t="shared" si="1167"/>
        <v>0</v>
      </c>
      <c r="G1340" s="281"/>
      <c r="H1340" s="281"/>
      <c r="I1340" s="355" t="str">
        <f>IFERROR(F1340/#REF!,"-")</f>
        <v>-</v>
      </c>
      <c r="J1340" s="336">
        <f t="shared" si="1168"/>
        <v>0</v>
      </c>
      <c r="K1340" s="281">
        <f t="shared" si="1163"/>
        <v>0</v>
      </c>
      <c r="L1340" s="439">
        <f t="shared" si="1164"/>
        <v>0</v>
      </c>
      <c r="M1340" s="340" t="str">
        <f t="shared" si="1173"/>
        <v>-</v>
      </c>
      <c r="N1340" s="264" t="str">
        <f t="shared" si="1174"/>
        <v>-</v>
      </c>
      <c r="O1340" s="512">
        <v>25.033899999999999</v>
      </c>
      <c r="P1340" s="407">
        <f t="shared" si="1165"/>
        <v>0</v>
      </c>
      <c r="Q1340" s="452">
        <f t="shared" si="1166"/>
        <v>0</v>
      </c>
    </row>
    <row r="1341" spans="1:17" ht="23.4" x14ac:dyDescent="0.4">
      <c r="A1341" s="248"/>
      <c r="B1341" s="1035" t="s">
        <v>491</v>
      </c>
      <c r="C1341" s="548" t="s">
        <v>82</v>
      </c>
      <c r="D1341" s="279"/>
      <c r="E1341" s="439"/>
      <c r="F1341" s="336">
        <f t="shared" si="1167"/>
        <v>0</v>
      </c>
      <c r="G1341" s="281"/>
      <c r="H1341" s="281"/>
      <c r="I1341" s="355" t="str">
        <f>IFERROR(F1341/#REF!,"-")</f>
        <v>-</v>
      </c>
      <c r="J1341" s="336">
        <f t="shared" si="1168"/>
        <v>14036</v>
      </c>
      <c r="K1341" s="281">
        <f t="shared" si="1163"/>
        <v>13940</v>
      </c>
      <c r="L1341" s="439">
        <f t="shared" si="1164"/>
        <v>96</v>
      </c>
      <c r="M1341" s="340" t="str">
        <f t="shared" si="1173"/>
        <v>-</v>
      </c>
      <c r="N1341" s="264">
        <f t="shared" si="1174"/>
        <v>6.8395554288971216E-3</v>
      </c>
      <c r="O1341" s="512">
        <v>41.992699999999999</v>
      </c>
      <c r="P1341" s="407">
        <f t="shared" si="1165"/>
        <v>0</v>
      </c>
      <c r="Q1341" s="452">
        <f t="shared" si="1166"/>
        <v>585378.23800000001</v>
      </c>
    </row>
    <row r="1342" spans="1:17" ht="23.4" x14ac:dyDescent="0.4">
      <c r="A1342" s="248"/>
      <c r="B1342" s="1036"/>
      <c r="C1342" s="548" t="s">
        <v>75</v>
      </c>
      <c r="D1342" s="279"/>
      <c r="E1342" s="439"/>
      <c r="F1342" s="336">
        <f t="shared" si="1167"/>
        <v>0</v>
      </c>
      <c r="G1342" s="281"/>
      <c r="H1342" s="281"/>
      <c r="I1342" s="355" t="str">
        <f>IFERROR(F1342/#REF!,"-")</f>
        <v>-</v>
      </c>
      <c r="J1342" s="336">
        <f t="shared" si="1168"/>
        <v>45</v>
      </c>
      <c r="K1342" s="281">
        <f t="shared" si="1163"/>
        <v>45</v>
      </c>
      <c r="L1342" s="439">
        <f t="shared" si="1164"/>
        <v>0</v>
      </c>
      <c r="M1342" s="340" t="str">
        <f t="shared" si="1173"/>
        <v>-</v>
      </c>
      <c r="N1342" s="264">
        <f t="shared" si="1174"/>
        <v>0</v>
      </c>
      <c r="O1342" s="512">
        <v>42.283799999999999</v>
      </c>
      <c r="P1342" s="407">
        <f t="shared" si="1165"/>
        <v>0</v>
      </c>
      <c r="Q1342" s="452">
        <f t="shared" si="1166"/>
        <v>1902.771</v>
      </c>
    </row>
    <row r="1343" spans="1:17" ht="23.4" x14ac:dyDescent="0.4">
      <c r="A1343" s="248"/>
      <c r="B1343" s="1036"/>
      <c r="C1343" s="548" t="s">
        <v>450</v>
      </c>
      <c r="D1343" s="279"/>
      <c r="E1343" s="439"/>
      <c r="F1343" s="336">
        <f t="shared" si="1167"/>
        <v>0</v>
      </c>
      <c r="G1343" s="281"/>
      <c r="H1343" s="281"/>
      <c r="I1343" s="355" t="str">
        <f>IFERROR(F1343/#REF!,"-")</f>
        <v>-</v>
      </c>
      <c r="J1343" s="336">
        <f t="shared" si="1168"/>
        <v>1140</v>
      </c>
      <c r="K1343" s="281">
        <f t="shared" si="1163"/>
        <v>1140</v>
      </c>
      <c r="L1343" s="439">
        <f t="shared" si="1164"/>
        <v>0</v>
      </c>
      <c r="M1343" s="340" t="str">
        <f t="shared" si="1173"/>
        <v>-</v>
      </c>
      <c r="N1343" s="264">
        <f t="shared" si="1174"/>
        <v>0</v>
      </c>
      <c r="O1343" s="772">
        <v>41.992699999999999</v>
      </c>
      <c r="P1343" s="407">
        <f t="shared" si="1165"/>
        <v>0</v>
      </c>
      <c r="Q1343" s="452">
        <f t="shared" si="1166"/>
        <v>47871.678</v>
      </c>
    </row>
    <row r="1344" spans="1:17" ht="24" thickBot="1" x14ac:dyDescent="0.45">
      <c r="A1344" s="248"/>
      <c r="B1344" s="1037"/>
      <c r="C1344" s="548" t="s">
        <v>451</v>
      </c>
      <c r="D1344" s="279"/>
      <c r="E1344" s="439"/>
      <c r="F1344" s="336">
        <f t="shared" si="1167"/>
        <v>0</v>
      </c>
      <c r="G1344" s="281"/>
      <c r="H1344" s="281"/>
      <c r="I1344" s="355" t="str">
        <f>IFERROR(F1344/#REF!,"-")</f>
        <v>-</v>
      </c>
      <c r="J1344" s="336">
        <f t="shared" si="1168"/>
        <v>712</v>
      </c>
      <c r="K1344" s="281">
        <f t="shared" si="1163"/>
        <v>660</v>
      </c>
      <c r="L1344" s="439">
        <f t="shared" si="1164"/>
        <v>52</v>
      </c>
      <c r="M1344" s="340" t="str">
        <f t="shared" si="1173"/>
        <v>-</v>
      </c>
      <c r="N1344" s="264">
        <f t="shared" si="1174"/>
        <v>7.3033707865168537E-2</v>
      </c>
      <c r="O1344" s="772">
        <v>42.283799999999999</v>
      </c>
      <c r="P1344" s="407">
        <f t="shared" si="1165"/>
        <v>0</v>
      </c>
      <c r="Q1344" s="452">
        <f t="shared" si="1166"/>
        <v>27907.308000000001</v>
      </c>
    </row>
    <row r="1345" spans="1:17" ht="24" thickBot="1" x14ac:dyDescent="0.45">
      <c r="A1345" s="248"/>
      <c r="B1345" s="815" t="s">
        <v>83</v>
      </c>
      <c r="C1345" s="548" t="s">
        <v>84</v>
      </c>
      <c r="D1345" s="279"/>
      <c r="E1345" s="439"/>
      <c r="F1345" s="336">
        <f t="shared" si="1167"/>
        <v>7010</v>
      </c>
      <c r="G1345" s="281">
        <v>7000</v>
      </c>
      <c r="H1345" s="281">
        <v>10</v>
      </c>
      <c r="I1345" s="355" t="str">
        <f>IFERROR(F1345/#REF!,"-")</f>
        <v>-</v>
      </c>
      <c r="J1345" s="336">
        <f t="shared" si="1168"/>
        <v>16470</v>
      </c>
      <c r="K1345" s="281">
        <f t="shared" si="1163"/>
        <v>15740</v>
      </c>
      <c r="L1345" s="439">
        <f t="shared" si="1164"/>
        <v>730</v>
      </c>
      <c r="M1345" s="340" t="str">
        <f t="shared" si="1173"/>
        <v>-</v>
      </c>
      <c r="N1345" s="264">
        <f t="shared" si="1174"/>
        <v>4.4323011536126292E-2</v>
      </c>
      <c r="O1345" s="512">
        <v>4.3535000000000004</v>
      </c>
      <c r="P1345" s="407">
        <f t="shared" si="1165"/>
        <v>30474.500000000004</v>
      </c>
      <c r="Q1345" s="452">
        <f t="shared" si="1166"/>
        <v>68524.090000000011</v>
      </c>
    </row>
    <row r="1346" spans="1:17" ht="23.4" x14ac:dyDescent="0.4">
      <c r="A1346" s="248"/>
      <c r="B1346" s="1035" t="s">
        <v>273</v>
      </c>
      <c r="C1346" s="548" t="s">
        <v>80</v>
      </c>
      <c r="D1346" s="279"/>
      <c r="E1346" s="439"/>
      <c r="F1346" s="336">
        <f t="shared" si="1167"/>
        <v>30284</v>
      </c>
      <c r="G1346" s="281">
        <v>30200</v>
      </c>
      <c r="H1346" s="281">
        <v>84</v>
      </c>
      <c r="I1346" s="355" t="str">
        <f>IFERROR(F1346/#REF!,"-")</f>
        <v>-</v>
      </c>
      <c r="J1346" s="336">
        <f t="shared" si="1168"/>
        <v>480962</v>
      </c>
      <c r="K1346" s="281">
        <f t="shared" si="1163"/>
        <v>476800</v>
      </c>
      <c r="L1346" s="439">
        <f t="shared" si="1164"/>
        <v>4162</v>
      </c>
      <c r="M1346" s="340" t="str">
        <f t="shared" si="1173"/>
        <v>-</v>
      </c>
      <c r="N1346" s="264">
        <f t="shared" si="1174"/>
        <v>8.6534902965307026E-3</v>
      </c>
      <c r="O1346" s="512">
        <v>4.6184000000000003</v>
      </c>
      <c r="P1346" s="407">
        <f t="shared" si="1165"/>
        <v>139475.68000000002</v>
      </c>
      <c r="Q1346" s="452">
        <f t="shared" si="1166"/>
        <v>2202053.12</v>
      </c>
    </row>
    <row r="1347" spans="1:17" ht="23.4" x14ac:dyDescent="0.4">
      <c r="A1347" s="248"/>
      <c r="B1347" s="1036"/>
      <c r="C1347" s="548" t="s">
        <v>378</v>
      </c>
      <c r="D1347" s="279"/>
      <c r="E1347" s="439"/>
      <c r="F1347" s="336">
        <f t="shared" si="1167"/>
        <v>0</v>
      </c>
      <c r="G1347" s="281"/>
      <c r="H1347" s="281"/>
      <c r="I1347" s="355" t="str">
        <f>IFERROR(F1347/#REF!,"-")</f>
        <v>-</v>
      </c>
      <c r="J1347" s="336">
        <f t="shared" si="1168"/>
        <v>0</v>
      </c>
      <c r="K1347" s="281">
        <f t="shared" si="1163"/>
        <v>0</v>
      </c>
      <c r="L1347" s="439">
        <f t="shared" si="1164"/>
        <v>0</v>
      </c>
      <c r="M1347" s="340" t="str">
        <f t="shared" si="1173"/>
        <v>-</v>
      </c>
      <c r="N1347" s="264" t="str">
        <f t="shared" si="1174"/>
        <v>-</v>
      </c>
      <c r="O1347" s="512">
        <v>4.6184000000000003</v>
      </c>
      <c r="P1347" s="407">
        <f t="shared" si="1165"/>
        <v>0</v>
      </c>
      <c r="Q1347" s="452">
        <f t="shared" si="1166"/>
        <v>0</v>
      </c>
    </row>
    <row r="1348" spans="1:17" ht="23.4" x14ac:dyDescent="0.4">
      <c r="A1348" s="248"/>
      <c r="B1348" s="1036"/>
      <c r="C1348" s="548" t="s">
        <v>272</v>
      </c>
      <c r="D1348" s="279"/>
      <c r="E1348" s="439"/>
      <c r="F1348" s="336">
        <f t="shared" si="1167"/>
        <v>0</v>
      </c>
      <c r="G1348" s="281"/>
      <c r="H1348" s="281"/>
      <c r="I1348" s="355" t="str">
        <f>IFERROR(F1348/#REF!,"-")</f>
        <v>-</v>
      </c>
      <c r="J1348" s="336">
        <f t="shared" si="1168"/>
        <v>0</v>
      </c>
      <c r="K1348" s="281">
        <f t="shared" si="1163"/>
        <v>0</v>
      </c>
      <c r="L1348" s="439">
        <f t="shared" si="1164"/>
        <v>0</v>
      </c>
      <c r="M1348" s="340" t="str">
        <f t="shared" si="1173"/>
        <v>-</v>
      </c>
      <c r="N1348" s="264" t="str">
        <f t="shared" si="1174"/>
        <v>-</v>
      </c>
      <c r="O1348" s="512">
        <v>4.6184000000000003</v>
      </c>
      <c r="P1348" s="407">
        <f t="shared" si="1165"/>
        <v>0</v>
      </c>
      <c r="Q1348" s="452">
        <f t="shared" si="1166"/>
        <v>0</v>
      </c>
    </row>
    <row r="1349" spans="1:17" ht="23.4" x14ac:dyDescent="0.4">
      <c r="A1349" s="248"/>
      <c r="B1349" s="1036"/>
      <c r="C1349" s="548" t="s">
        <v>390</v>
      </c>
      <c r="D1349" s="279"/>
      <c r="E1349" s="439"/>
      <c r="F1349" s="336">
        <f t="shared" si="1167"/>
        <v>0</v>
      </c>
      <c r="G1349" s="281"/>
      <c r="H1349" s="281"/>
      <c r="I1349" s="355" t="str">
        <f>IFERROR(F1349/#REF!,"-")</f>
        <v>-</v>
      </c>
      <c r="J1349" s="336">
        <f t="shared" si="1168"/>
        <v>511962</v>
      </c>
      <c r="K1349" s="730">
        <f t="shared" si="1163"/>
        <v>508200</v>
      </c>
      <c r="L1349" s="731">
        <f t="shared" si="1164"/>
        <v>3762</v>
      </c>
      <c r="M1349" s="340" t="str">
        <f t="shared" si="1173"/>
        <v>-</v>
      </c>
      <c r="N1349" s="264">
        <f t="shared" si="1174"/>
        <v>7.3482016243393063E-3</v>
      </c>
      <c r="O1349" s="512">
        <v>4.7636000000000003</v>
      </c>
      <c r="P1349" s="407">
        <f t="shared" si="1165"/>
        <v>0</v>
      </c>
      <c r="Q1349" s="452">
        <f t="shared" si="1166"/>
        <v>2420861.52</v>
      </c>
    </row>
    <row r="1350" spans="1:17" ht="24" thickBot="1" x14ac:dyDescent="0.45">
      <c r="A1350" s="248"/>
      <c r="B1350" s="1037"/>
      <c r="C1350" s="548" t="s">
        <v>384</v>
      </c>
      <c r="D1350" s="279"/>
      <c r="E1350" s="439"/>
      <c r="F1350" s="336">
        <f t="shared" si="1167"/>
        <v>0</v>
      </c>
      <c r="G1350" s="281"/>
      <c r="H1350" s="281"/>
      <c r="I1350" s="355" t="str">
        <f>IFERROR(F1350/#REF!,"-")</f>
        <v>-</v>
      </c>
      <c r="J1350" s="336">
        <f t="shared" si="1168"/>
        <v>0</v>
      </c>
      <c r="K1350" s="281">
        <f t="shared" si="1163"/>
        <v>0</v>
      </c>
      <c r="L1350" s="439">
        <f t="shared" si="1164"/>
        <v>0</v>
      </c>
      <c r="M1350" s="340" t="str">
        <f t="shared" si="1173"/>
        <v>-</v>
      </c>
      <c r="N1350" s="264" t="str">
        <f t="shared" si="1174"/>
        <v>-</v>
      </c>
      <c r="O1350" s="512">
        <v>4.8738000000000001</v>
      </c>
      <c r="P1350" s="407">
        <f t="shared" si="1165"/>
        <v>0</v>
      </c>
      <c r="Q1350" s="452">
        <f t="shared" si="1166"/>
        <v>0</v>
      </c>
    </row>
    <row r="1351" spans="1:17" ht="24" thickBot="1" x14ac:dyDescent="0.45">
      <c r="A1351" s="248"/>
      <c r="B1351" s="815" t="s">
        <v>274</v>
      </c>
      <c r="C1351" s="548" t="s">
        <v>131</v>
      </c>
      <c r="D1351" s="279"/>
      <c r="E1351" s="439"/>
      <c r="F1351" s="336">
        <f t="shared" si="1167"/>
        <v>0</v>
      </c>
      <c r="G1351" s="281"/>
      <c r="H1351" s="281"/>
      <c r="I1351" s="355" t="str">
        <f>IFERROR(F1351/#REF!,"-")</f>
        <v>-</v>
      </c>
      <c r="J1351" s="336">
        <f t="shared" si="1168"/>
        <v>0</v>
      </c>
      <c r="K1351" s="281">
        <f t="shared" si="1163"/>
        <v>0</v>
      </c>
      <c r="L1351" s="439">
        <f t="shared" si="1164"/>
        <v>0</v>
      </c>
      <c r="M1351" s="340" t="str">
        <f t="shared" si="1173"/>
        <v>-</v>
      </c>
      <c r="N1351" s="264" t="str">
        <f t="shared" si="1174"/>
        <v>-</v>
      </c>
      <c r="O1351" s="512">
        <v>4.8738000000000001</v>
      </c>
      <c r="P1351" s="407">
        <f t="shared" si="1165"/>
        <v>0</v>
      </c>
      <c r="Q1351" s="452">
        <f t="shared" si="1166"/>
        <v>0</v>
      </c>
    </row>
    <row r="1352" spans="1:17" ht="23.4" x14ac:dyDescent="0.4">
      <c r="A1352" s="248"/>
      <c r="B1352" s="1035" t="s">
        <v>276</v>
      </c>
      <c r="C1352" s="548" t="s">
        <v>80</v>
      </c>
      <c r="D1352" s="279"/>
      <c r="E1352" s="439"/>
      <c r="F1352" s="336">
        <f t="shared" si="1167"/>
        <v>61160</v>
      </c>
      <c r="G1352" s="281">
        <v>60340</v>
      </c>
      <c r="H1352" s="281">
        <v>820</v>
      </c>
      <c r="I1352" s="355" t="str">
        <f>IFERROR(F1352/#REF!,"-")</f>
        <v>-</v>
      </c>
      <c r="J1352" s="336">
        <f t="shared" si="1168"/>
        <v>718072</v>
      </c>
      <c r="K1352" s="730">
        <f t="shared" si="1163"/>
        <v>706377</v>
      </c>
      <c r="L1352" s="731">
        <f t="shared" si="1164"/>
        <v>11695</v>
      </c>
      <c r="M1352" s="340" t="str">
        <f t="shared" si="1173"/>
        <v>-</v>
      </c>
      <c r="N1352" s="264">
        <f t="shared" si="1174"/>
        <v>1.6286667632215153E-2</v>
      </c>
      <c r="O1352" s="512">
        <v>4.9344999999999999</v>
      </c>
      <c r="P1352" s="407">
        <f t="shared" si="1165"/>
        <v>297747.73</v>
      </c>
      <c r="Q1352" s="452">
        <f t="shared" si="1166"/>
        <v>3485617.3064999999</v>
      </c>
    </row>
    <row r="1353" spans="1:17" ht="23.4" x14ac:dyDescent="0.4">
      <c r="A1353" s="248"/>
      <c r="B1353" s="1036"/>
      <c r="C1353" s="548" t="s">
        <v>142</v>
      </c>
      <c r="D1353" s="279"/>
      <c r="E1353" s="439"/>
      <c r="F1353" s="336">
        <f t="shared" si="1167"/>
        <v>0</v>
      </c>
      <c r="G1353" s="281"/>
      <c r="H1353" s="281"/>
      <c r="I1353" s="355" t="str">
        <f>IFERROR(F1353/#REF!,"-")</f>
        <v>-</v>
      </c>
      <c r="J1353" s="336">
        <f t="shared" si="1168"/>
        <v>0</v>
      </c>
      <c r="K1353" s="281">
        <f t="shared" si="1163"/>
        <v>0</v>
      </c>
      <c r="L1353" s="439">
        <f t="shared" si="1164"/>
        <v>0</v>
      </c>
      <c r="M1353" s="340" t="str">
        <f t="shared" si="1173"/>
        <v>-</v>
      </c>
      <c r="N1353" s="264" t="str">
        <f t="shared" si="1174"/>
        <v>-</v>
      </c>
      <c r="O1353" s="512">
        <v>4.9344999999999999</v>
      </c>
      <c r="P1353" s="407">
        <f t="shared" si="1165"/>
        <v>0</v>
      </c>
      <c r="Q1353" s="452">
        <f t="shared" si="1166"/>
        <v>0</v>
      </c>
    </row>
    <row r="1354" spans="1:17" ht="23.4" x14ac:dyDescent="0.4">
      <c r="A1354" s="248"/>
      <c r="B1354" s="1036"/>
      <c r="C1354" s="548" t="s">
        <v>136</v>
      </c>
      <c r="D1354" s="279"/>
      <c r="E1354" s="439"/>
      <c r="F1354" s="336">
        <f t="shared" si="1167"/>
        <v>0</v>
      </c>
      <c r="G1354" s="281"/>
      <c r="H1354" s="281"/>
      <c r="I1354" s="355" t="str">
        <f>IFERROR(F1354/#REF!,"-")</f>
        <v>-</v>
      </c>
      <c r="J1354" s="336">
        <f t="shared" si="1168"/>
        <v>0</v>
      </c>
      <c r="K1354" s="281">
        <f t="shared" si="1163"/>
        <v>0</v>
      </c>
      <c r="L1354" s="439">
        <f t="shared" si="1164"/>
        <v>0</v>
      </c>
      <c r="M1354" s="340" t="str">
        <f t="shared" si="1173"/>
        <v>-</v>
      </c>
      <c r="N1354" s="264" t="str">
        <f t="shared" si="1174"/>
        <v>-</v>
      </c>
      <c r="O1354" s="512">
        <v>4.9344999999999999</v>
      </c>
      <c r="P1354" s="407">
        <f t="shared" si="1165"/>
        <v>0</v>
      </c>
      <c r="Q1354" s="452">
        <f t="shared" si="1166"/>
        <v>0</v>
      </c>
    </row>
    <row r="1355" spans="1:17" ht="24" thickBot="1" x14ac:dyDescent="0.45">
      <c r="A1355" s="248"/>
      <c r="B1355" s="1037"/>
      <c r="C1355" s="548" t="s">
        <v>275</v>
      </c>
      <c r="D1355" s="279"/>
      <c r="E1355" s="439"/>
      <c r="F1355" s="336">
        <f t="shared" si="1167"/>
        <v>0</v>
      </c>
      <c r="G1355" s="281"/>
      <c r="H1355" s="281"/>
      <c r="I1355" s="355" t="str">
        <f>IFERROR(F1355/#REF!,"-")</f>
        <v>-</v>
      </c>
      <c r="J1355" s="336">
        <f t="shared" si="1168"/>
        <v>0</v>
      </c>
      <c r="K1355" s="281">
        <f t="shared" si="1163"/>
        <v>0</v>
      </c>
      <c r="L1355" s="439">
        <f t="shared" si="1164"/>
        <v>0</v>
      </c>
      <c r="M1355" s="340" t="str">
        <f t="shared" si="1173"/>
        <v>-</v>
      </c>
      <c r="N1355" s="264" t="str">
        <f t="shared" si="1174"/>
        <v>-</v>
      </c>
      <c r="O1355" s="512">
        <v>5.5069999999999997</v>
      </c>
      <c r="P1355" s="407">
        <f t="shared" si="1165"/>
        <v>0</v>
      </c>
      <c r="Q1355" s="452">
        <f t="shared" si="1166"/>
        <v>0</v>
      </c>
    </row>
    <row r="1356" spans="1:17" ht="23.4" x14ac:dyDescent="0.4">
      <c r="A1356" s="248"/>
      <c r="B1356" s="1035" t="s">
        <v>281</v>
      </c>
      <c r="C1356" s="548" t="s">
        <v>277</v>
      </c>
      <c r="D1356" s="279"/>
      <c r="E1356" s="439"/>
      <c r="F1356" s="336">
        <f t="shared" si="1167"/>
        <v>29460</v>
      </c>
      <c r="G1356" s="281">
        <v>29400</v>
      </c>
      <c r="H1356" s="281">
        <v>60</v>
      </c>
      <c r="I1356" s="355" t="str">
        <f>IFERROR(F1356/#REF!,"-")</f>
        <v>-</v>
      </c>
      <c r="J1356" s="336">
        <f t="shared" si="1168"/>
        <v>646940</v>
      </c>
      <c r="K1356" s="281">
        <f t="shared" si="1163"/>
        <v>635550</v>
      </c>
      <c r="L1356" s="439">
        <f t="shared" si="1164"/>
        <v>11390</v>
      </c>
      <c r="M1356" s="340" t="str">
        <f t="shared" si="1173"/>
        <v>-</v>
      </c>
      <c r="N1356" s="264">
        <f t="shared" si="1174"/>
        <v>1.7605960367267443E-2</v>
      </c>
      <c r="O1356" s="772">
        <v>5.5069999999999997</v>
      </c>
      <c r="P1356" s="407">
        <f t="shared" si="1165"/>
        <v>161905.79999999999</v>
      </c>
      <c r="Q1356" s="452">
        <f t="shared" si="1166"/>
        <v>3499973.8499999996</v>
      </c>
    </row>
    <row r="1357" spans="1:17" ht="23.4" x14ac:dyDescent="0.4">
      <c r="A1357" s="248"/>
      <c r="B1357" s="1036"/>
      <c r="C1357" s="548" t="s">
        <v>278</v>
      </c>
      <c r="D1357" s="279"/>
      <c r="E1357" s="439"/>
      <c r="F1357" s="336">
        <f t="shared" si="1167"/>
        <v>0</v>
      </c>
      <c r="G1357" s="281"/>
      <c r="H1357" s="281"/>
      <c r="I1357" s="355" t="str">
        <f>IFERROR(F1357/#REF!,"-")</f>
        <v>-</v>
      </c>
      <c r="J1357" s="336">
        <f t="shared" si="1168"/>
        <v>0</v>
      </c>
      <c r="K1357" s="281">
        <f t="shared" si="1163"/>
        <v>0</v>
      </c>
      <c r="L1357" s="439">
        <f t="shared" si="1164"/>
        <v>0</v>
      </c>
      <c r="M1357" s="340" t="str">
        <f t="shared" si="1173"/>
        <v>-</v>
      </c>
      <c r="N1357" s="264" t="str">
        <f t="shared" si="1174"/>
        <v>-</v>
      </c>
      <c r="O1357" s="512">
        <v>5.6550000000000002</v>
      </c>
      <c r="P1357" s="407">
        <f t="shared" si="1165"/>
        <v>0</v>
      </c>
      <c r="Q1357" s="452">
        <f t="shared" si="1166"/>
        <v>0</v>
      </c>
    </row>
    <row r="1358" spans="1:17" ht="23.4" x14ac:dyDescent="0.4">
      <c r="A1358" s="248"/>
      <c r="B1358" s="1036"/>
      <c r="C1358" s="548" t="s">
        <v>355</v>
      </c>
      <c r="D1358" s="279"/>
      <c r="E1358" s="439"/>
      <c r="F1358" s="336">
        <f t="shared" si="1167"/>
        <v>0</v>
      </c>
      <c r="G1358" s="281"/>
      <c r="H1358" s="281"/>
      <c r="I1358" s="355" t="str">
        <f>IFERROR(F1358/#REF!,"-")</f>
        <v>-</v>
      </c>
      <c r="J1358" s="336">
        <f t="shared" si="1168"/>
        <v>321630</v>
      </c>
      <c r="K1358" s="730">
        <f t="shared" si="1163"/>
        <v>310550</v>
      </c>
      <c r="L1358" s="731">
        <f t="shared" si="1164"/>
        <v>11080</v>
      </c>
      <c r="M1358" s="340" t="str">
        <f t="shared" si="1173"/>
        <v>-</v>
      </c>
      <c r="N1358" s="264">
        <f t="shared" si="1174"/>
        <v>3.4449522743525168E-2</v>
      </c>
      <c r="O1358" s="512">
        <v>5.6550000000000002</v>
      </c>
      <c r="P1358" s="407">
        <f t="shared" si="1165"/>
        <v>0</v>
      </c>
      <c r="Q1358" s="452">
        <f t="shared" si="1166"/>
        <v>1756160.25</v>
      </c>
    </row>
    <row r="1359" spans="1:17" ht="23.4" x14ac:dyDescent="0.4">
      <c r="A1359" s="248"/>
      <c r="B1359" s="1036"/>
      <c r="C1359" s="548" t="s">
        <v>279</v>
      </c>
      <c r="D1359" s="279"/>
      <c r="E1359" s="439"/>
      <c r="F1359" s="336">
        <f t="shared" si="1167"/>
        <v>0</v>
      </c>
      <c r="G1359" s="281"/>
      <c r="H1359" s="281"/>
      <c r="I1359" s="355" t="str">
        <f>IFERROR(F1359/#REF!,"-")</f>
        <v>-</v>
      </c>
      <c r="J1359" s="336">
        <f t="shared" si="1168"/>
        <v>0</v>
      </c>
      <c r="K1359" s="281">
        <f t="shared" si="1163"/>
        <v>0</v>
      </c>
      <c r="L1359" s="439">
        <f t="shared" si="1164"/>
        <v>0</v>
      </c>
      <c r="M1359" s="340" t="str">
        <f t="shared" si="1173"/>
        <v>-</v>
      </c>
      <c r="N1359" s="264" t="str">
        <f t="shared" si="1174"/>
        <v>-</v>
      </c>
      <c r="O1359" s="512">
        <v>5.6550000000000002</v>
      </c>
      <c r="P1359" s="407">
        <f t="shared" si="1165"/>
        <v>0</v>
      </c>
      <c r="Q1359" s="452">
        <f t="shared" si="1166"/>
        <v>0</v>
      </c>
    </row>
    <row r="1360" spans="1:17" ht="23.4" x14ac:dyDescent="0.4">
      <c r="A1360" s="248" t="s">
        <v>108</v>
      </c>
      <c r="B1360" s="1036"/>
      <c r="C1360" s="548" t="s">
        <v>280</v>
      </c>
      <c r="D1360" s="279"/>
      <c r="E1360" s="439"/>
      <c r="F1360" s="336">
        <f t="shared" si="1167"/>
        <v>0</v>
      </c>
      <c r="G1360" s="281"/>
      <c r="H1360" s="281"/>
      <c r="I1360" s="355" t="str">
        <f>IFERROR(F1360/#REF!,"-")</f>
        <v>-</v>
      </c>
      <c r="J1360" s="336">
        <f t="shared" si="1168"/>
        <v>0</v>
      </c>
      <c r="K1360" s="281">
        <f t="shared" si="1163"/>
        <v>0</v>
      </c>
      <c r="L1360" s="439">
        <f t="shared" si="1164"/>
        <v>0</v>
      </c>
      <c r="M1360" s="340" t="str">
        <f t="shared" si="1173"/>
        <v>-</v>
      </c>
      <c r="N1360" s="264" t="str">
        <f t="shared" si="1174"/>
        <v>-</v>
      </c>
      <c r="O1360" s="512">
        <v>3.2963</v>
      </c>
      <c r="P1360" s="407">
        <f t="shared" si="1165"/>
        <v>0</v>
      </c>
      <c r="Q1360" s="452">
        <f t="shared" si="1166"/>
        <v>0</v>
      </c>
    </row>
    <row r="1361" spans="1:17" ht="24" thickBot="1" x14ac:dyDescent="0.45">
      <c r="A1361" s="248" t="s">
        <v>108</v>
      </c>
      <c r="B1361" s="1037"/>
      <c r="C1361" s="548" t="s">
        <v>275</v>
      </c>
      <c r="D1361" s="279"/>
      <c r="E1361" s="439"/>
      <c r="F1361" s="336">
        <f t="shared" si="1167"/>
        <v>0</v>
      </c>
      <c r="G1361" s="281"/>
      <c r="H1361" s="281"/>
      <c r="I1361" s="355" t="str">
        <f>IFERROR(F1361/#REF!,"-")</f>
        <v>-</v>
      </c>
      <c r="J1361" s="336">
        <f t="shared" si="1168"/>
        <v>0</v>
      </c>
      <c r="K1361" s="281">
        <f t="shared" si="1163"/>
        <v>0</v>
      </c>
      <c r="L1361" s="439">
        <f t="shared" si="1164"/>
        <v>0</v>
      </c>
      <c r="M1361" s="340" t="str">
        <f t="shared" si="1173"/>
        <v>-</v>
      </c>
      <c r="N1361" s="264" t="str">
        <f t="shared" si="1174"/>
        <v>-</v>
      </c>
      <c r="O1361" s="512">
        <v>3.2963</v>
      </c>
      <c r="P1361" s="407">
        <f t="shared" si="1165"/>
        <v>0</v>
      </c>
      <c r="Q1361" s="452">
        <f t="shared" si="1166"/>
        <v>0</v>
      </c>
    </row>
    <row r="1362" spans="1:17" ht="23.4" x14ac:dyDescent="0.4">
      <c r="A1362" s="248" t="s">
        <v>108</v>
      </c>
      <c r="B1362" s="552"/>
      <c r="C1362" s="549" t="s">
        <v>92</v>
      </c>
      <c r="D1362" s="516"/>
      <c r="E1362" s="439"/>
      <c r="F1362" s="336">
        <f t="shared" si="1167"/>
        <v>74868</v>
      </c>
      <c r="G1362" s="281">
        <v>74300</v>
      </c>
      <c r="H1362" s="281">
        <v>568</v>
      </c>
      <c r="I1362" s="355" t="str">
        <f>IFERROR(F1362/#REF!,"-")</f>
        <v>-</v>
      </c>
      <c r="J1362" s="336">
        <f t="shared" si="1168"/>
        <v>299965</v>
      </c>
      <c r="K1362" s="281">
        <f t="shared" si="1163"/>
        <v>297955</v>
      </c>
      <c r="L1362" s="439">
        <f t="shared" si="1164"/>
        <v>2010</v>
      </c>
      <c r="M1362" s="340" t="str">
        <f t="shared" si="1173"/>
        <v>-</v>
      </c>
      <c r="N1362" s="264">
        <f t="shared" si="1174"/>
        <v>6.7007817578717517E-3</v>
      </c>
      <c r="O1362" s="512">
        <v>2.3201000000000001</v>
      </c>
      <c r="P1362" s="407">
        <f t="shared" si="1165"/>
        <v>172383.43</v>
      </c>
      <c r="Q1362" s="452">
        <f t="shared" si="1166"/>
        <v>691285.39549999998</v>
      </c>
    </row>
    <row r="1363" spans="1:17" ht="24" thickBot="1" x14ac:dyDescent="0.35">
      <c r="A1363" s="248" t="s">
        <v>108</v>
      </c>
      <c r="B1363" s="529"/>
      <c r="C1363" s="546"/>
      <c r="D1363" s="535"/>
      <c r="E1363" s="466"/>
      <c r="F1363" s="464">
        <f t="shared" si="1167"/>
        <v>0</v>
      </c>
      <c r="G1363" s="465"/>
      <c r="H1363" s="465"/>
      <c r="I1363" s="537" t="str">
        <f>IFERROR(F1363/#REF!,"-")</f>
        <v>-</v>
      </c>
      <c r="J1363" s="464">
        <f t="shared" si="1168"/>
        <v>0</v>
      </c>
      <c r="K1363" s="465">
        <f t="shared" si="1163"/>
        <v>0</v>
      </c>
      <c r="L1363" s="466">
        <f t="shared" si="1164"/>
        <v>0</v>
      </c>
      <c r="M1363" s="726" t="str">
        <f t="shared" si="1173"/>
        <v>-</v>
      </c>
      <c r="N1363" s="266" t="str">
        <f t="shared" si="1174"/>
        <v>-</v>
      </c>
      <c r="O1363" s="544"/>
      <c r="P1363" s="541">
        <f t="shared" si="1165"/>
        <v>0</v>
      </c>
      <c r="Q1363" s="542">
        <f t="shared" si="1166"/>
        <v>0</v>
      </c>
    </row>
    <row r="1364" spans="1:17" ht="23.25" customHeight="1" thickBot="1" x14ac:dyDescent="0.35">
      <c r="A1364" s="277" t="s">
        <v>108</v>
      </c>
      <c r="B1364" s="1038" t="s">
        <v>25</v>
      </c>
      <c r="C1364" s="989"/>
      <c r="D1364" s="518">
        <f>SUM(D1337:D1363)</f>
        <v>0</v>
      </c>
      <c r="E1364" s="531">
        <v>100000</v>
      </c>
      <c r="F1364" s="524">
        <f>SUM(F1332:F1363)</f>
        <v>216541</v>
      </c>
      <c r="G1364" s="524">
        <f>SUM(G1332:G1363)</f>
        <v>214640</v>
      </c>
      <c r="H1364" s="524">
        <f>SUM(H1332:H1363)</f>
        <v>1901</v>
      </c>
      <c r="I1364" s="525" t="str">
        <f>IFERROR(F1364/#REF!,"-")</f>
        <v>-</v>
      </c>
      <c r="J1364" s="518">
        <f>SUM(J1332:J1363)</f>
        <v>3234856</v>
      </c>
      <c r="K1364" s="518">
        <f t="shared" ref="K1364:L1364" si="1175">SUM(K1332:K1363)</f>
        <v>3182790</v>
      </c>
      <c r="L1364" s="518">
        <f t="shared" si="1175"/>
        <v>52066</v>
      </c>
      <c r="M1364" s="526" t="str">
        <f t="shared" si="1173"/>
        <v>-</v>
      </c>
      <c r="N1364" s="525">
        <f t="shared" si="1174"/>
        <v>1.6095306869919404E-2</v>
      </c>
      <c r="O1364" s="527"/>
      <c r="P1364" s="528">
        <f>SUM(P1332:P1363)</f>
        <v>1233596.42</v>
      </c>
      <c r="Q1364" s="528">
        <f>SUM(Q1332:Q1363)</f>
        <v>23676586.688899998</v>
      </c>
    </row>
    <row r="1365" spans="1:17" ht="23.25" customHeight="1" thickBot="1" x14ac:dyDescent="0.35">
      <c r="A1365" s="321" t="s">
        <v>108</v>
      </c>
      <c r="B1365" s="1039" t="s">
        <v>269</v>
      </c>
      <c r="C1365" s="1040"/>
      <c r="D1365" s="329">
        <f>+D1336+D1364</f>
        <v>0</v>
      </c>
      <c r="E1365" s="330">
        <f>+E1336+E1364</f>
        <v>100000</v>
      </c>
      <c r="F1365" s="329">
        <f>+F1364</f>
        <v>216541</v>
      </c>
      <c r="G1365" s="329">
        <f t="shared" ref="G1365:H1365" si="1176">+G1364</f>
        <v>214640</v>
      </c>
      <c r="H1365" s="329">
        <f t="shared" si="1176"/>
        <v>1901</v>
      </c>
      <c r="I1365" s="352" t="str">
        <f>IFERROR(F1365/#REF!,"-")</f>
        <v>-</v>
      </c>
      <c r="J1365" s="329">
        <f>+J1364</f>
        <v>3234856</v>
      </c>
      <c r="K1365" s="329">
        <f t="shared" ref="K1365:L1365" si="1177">+K1364</f>
        <v>3182790</v>
      </c>
      <c r="L1365" s="329">
        <f t="shared" si="1177"/>
        <v>52066</v>
      </c>
      <c r="M1365" s="344" t="str">
        <f t="shared" si="1173"/>
        <v>-</v>
      </c>
      <c r="N1365" s="352">
        <f t="shared" si="1174"/>
        <v>1.6095306869919404E-2</v>
      </c>
      <c r="O1365" s="397"/>
      <c r="P1365" s="413">
        <f>+P1364</f>
        <v>1233596.42</v>
      </c>
      <c r="Q1365" s="431">
        <f>Q1364</f>
        <v>23676586.688899998</v>
      </c>
    </row>
    <row r="1366" spans="1:17" ht="24.6" thickBot="1" x14ac:dyDescent="0.35">
      <c r="A1366" s="322"/>
      <c r="B1366" s="1041" t="s">
        <v>182</v>
      </c>
      <c r="C1366" s="1042"/>
      <c r="D1366" s="377">
        <f>+D1365+D1331+D1322</f>
        <v>0</v>
      </c>
      <c r="E1366" s="377">
        <f>+E1365+E1331+E1322</f>
        <v>230000</v>
      </c>
      <c r="F1366" s="377">
        <f>+F1365+F1331+F1322</f>
        <v>434839</v>
      </c>
      <c r="G1366" s="377">
        <f>+G1365+G1331+G1322</f>
        <v>425940</v>
      </c>
      <c r="H1366" s="377">
        <f>+H1365+H1331+H1322</f>
        <v>8899</v>
      </c>
      <c r="I1366" s="378" t="str">
        <f>IFERROR(F1366/#REF!,"-")</f>
        <v>-</v>
      </c>
      <c r="J1366" s="377">
        <f>+J1365+J1331+J1322</f>
        <v>8334633</v>
      </c>
      <c r="K1366" s="377">
        <f>+K1365+K1331+K1322</f>
        <v>8176450</v>
      </c>
      <c r="L1366" s="377">
        <f>+L1365+L1331+L1322</f>
        <v>158183</v>
      </c>
      <c r="M1366" s="378" t="str">
        <f t="shared" si="1173"/>
        <v>-</v>
      </c>
      <c r="N1366" s="378">
        <f>IFERROR(L1366/J1366,"-")</f>
        <v>1.8979000035154518E-2</v>
      </c>
      <c r="O1366" s="404"/>
      <c r="P1366" s="421">
        <f>+P1365+P1331+P1322</f>
        <v>2545602.67</v>
      </c>
      <c r="Q1366" s="421">
        <f>+Q1365+Q1331+Q1322</f>
        <v>47439560.595899999</v>
      </c>
    </row>
    <row r="1368" spans="1:17" x14ac:dyDescent="0.3">
      <c r="F1368" s="222"/>
      <c r="I1368" s="222"/>
      <c r="J1368" s="222"/>
      <c r="M1368" s="222"/>
      <c r="N1368" s="222"/>
      <c r="O1368" s="222"/>
      <c r="P1368" s="222"/>
      <c r="Q1368" s="222"/>
    </row>
  </sheetData>
  <mergeCells count="595">
    <mergeCell ref="B1346:B1350"/>
    <mergeCell ref="B1352:B1355"/>
    <mergeCell ref="B1356:B1361"/>
    <mergeCell ref="B1364:C1364"/>
    <mergeCell ref="B1365:C1365"/>
    <mergeCell ref="B1366:C1366"/>
    <mergeCell ref="B1313:C1313"/>
    <mergeCell ref="B1321:C1321"/>
    <mergeCell ref="B1322:C1322"/>
    <mergeCell ref="B1330:C1330"/>
    <mergeCell ref="B1331:C1331"/>
    <mergeCell ref="B1332:B1334"/>
    <mergeCell ref="B1335:B1338"/>
    <mergeCell ref="B1339:B1340"/>
    <mergeCell ref="B1341:B1344"/>
    <mergeCell ref="D1305:N1305"/>
    <mergeCell ref="O1305:Q1305"/>
    <mergeCell ref="D1306:D1307"/>
    <mergeCell ref="E1306:E1307"/>
    <mergeCell ref="F1306:I1306"/>
    <mergeCell ref="J1306:L1306"/>
    <mergeCell ref="M1306:M1307"/>
    <mergeCell ref="N1306:N1307"/>
    <mergeCell ref="O1306:Q1306"/>
    <mergeCell ref="B1284:B1288"/>
    <mergeCell ref="B1290:B1293"/>
    <mergeCell ref="B1294:B1299"/>
    <mergeCell ref="B1302:C1302"/>
    <mergeCell ref="B1303:C1303"/>
    <mergeCell ref="B1304:C1304"/>
    <mergeCell ref="A1305:A1307"/>
    <mergeCell ref="B1305:B1307"/>
    <mergeCell ref="C1305:C1307"/>
    <mergeCell ref="B1251:C1251"/>
    <mergeCell ref="B1259:C1259"/>
    <mergeCell ref="B1260:C1260"/>
    <mergeCell ref="B1268:C1268"/>
    <mergeCell ref="B1269:C1269"/>
    <mergeCell ref="B1270:B1272"/>
    <mergeCell ref="B1273:B1276"/>
    <mergeCell ref="B1277:B1278"/>
    <mergeCell ref="B1279:B1282"/>
    <mergeCell ref="A1243:A1245"/>
    <mergeCell ref="B1243:B1245"/>
    <mergeCell ref="C1243:C1245"/>
    <mergeCell ref="D1243:N1243"/>
    <mergeCell ref="O1243:Q1243"/>
    <mergeCell ref="D1244:D1245"/>
    <mergeCell ref="E1244:E1245"/>
    <mergeCell ref="F1244:I1244"/>
    <mergeCell ref="J1244:L1244"/>
    <mergeCell ref="M1244:M1245"/>
    <mergeCell ref="N1244:N1245"/>
    <mergeCell ref="O1244:Q1244"/>
    <mergeCell ref="B1160:B1164"/>
    <mergeCell ref="B1166:B1169"/>
    <mergeCell ref="B1170:B1175"/>
    <mergeCell ref="B1178:C1178"/>
    <mergeCell ref="B1179:C1179"/>
    <mergeCell ref="B1180:C1180"/>
    <mergeCell ref="B1127:C1127"/>
    <mergeCell ref="B1135:C1135"/>
    <mergeCell ref="B1136:C1136"/>
    <mergeCell ref="B1144:C1144"/>
    <mergeCell ref="B1145:C1145"/>
    <mergeCell ref="B1146:B1148"/>
    <mergeCell ref="B1149:B1152"/>
    <mergeCell ref="B1153:B1154"/>
    <mergeCell ref="B1155:B1158"/>
    <mergeCell ref="A1119:A1121"/>
    <mergeCell ref="B1119:B1121"/>
    <mergeCell ref="C1119:C1121"/>
    <mergeCell ref="D1119:N1119"/>
    <mergeCell ref="O1119:Q1119"/>
    <mergeCell ref="D1120:D1121"/>
    <mergeCell ref="E1120:E1121"/>
    <mergeCell ref="F1120:I1120"/>
    <mergeCell ref="J1120:L1120"/>
    <mergeCell ref="M1120:M1121"/>
    <mergeCell ref="N1120:N1121"/>
    <mergeCell ref="O1120:Q1120"/>
    <mergeCell ref="B1098:B1102"/>
    <mergeCell ref="B1104:B1107"/>
    <mergeCell ref="B1108:B1113"/>
    <mergeCell ref="B1116:C1116"/>
    <mergeCell ref="B1117:C1117"/>
    <mergeCell ref="B1118:C1118"/>
    <mergeCell ref="B1065:C1065"/>
    <mergeCell ref="B1073:C1073"/>
    <mergeCell ref="B1074:C1074"/>
    <mergeCell ref="B1082:C1082"/>
    <mergeCell ref="B1083:C1083"/>
    <mergeCell ref="B1084:B1086"/>
    <mergeCell ref="B1087:B1090"/>
    <mergeCell ref="B1091:B1092"/>
    <mergeCell ref="B1093:B1096"/>
    <mergeCell ref="A1057:A1059"/>
    <mergeCell ref="B1057:B1059"/>
    <mergeCell ref="C1057:C1059"/>
    <mergeCell ref="D1057:N1057"/>
    <mergeCell ref="O1057:Q1057"/>
    <mergeCell ref="D1058:D1059"/>
    <mergeCell ref="E1058:E1059"/>
    <mergeCell ref="F1058:I1058"/>
    <mergeCell ref="J1058:L1058"/>
    <mergeCell ref="M1058:M1059"/>
    <mergeCell ref="N1058:N1059"/>
    <mergeCell ref="O1058:Q1058"/>
    <mergeCell ref="B1036:B1040"/>
    <mergeCell ref="B1042:B1045"/>
    <mergeCell ref="B1046:B1051"/>
    <mergeCell ref="B1054:C1054"/>
    <mergeCell ref="B1055:C1055"/>
    <mergeCell ref="B1056:C1056"/>
    <mergeCell ref="B1003:C1003"/>
    <mergeCell ref="B1011:C1011"/>
    <mergeCell ref="B1012:C1012"/>
    <mergeCell ref="B1020:C1020"/>
    <mergeCell ref="B1021:C1021"/>
    <mergeCell ref="B1022:B1024"/>
    <mergeCell ref="B1025:B1028"/>
    <mergeCell ref="B1029:B1030"/>
    <mergeCell ref="B1031:B1034"/>
    <mergeCell ref="A995:A997"/>
    <mergeCell ref="B995:B997"/>
    <mergeCell ref="C995:C997"/>
    <mergeCell ref="D995:N995"/>
    <mergeCell ref="O995:Q995"/>
    <mergeCell ref="D996:D997"/>
    <mergeCell ref="E996:E997"/>
    <mergeCell ref="F996:I996"/>
    <mergeCell ref="J996:L996"/>
    <mergeCell ref="M996:M997"/>
    <mergeCell ref="N996:N997"/>
    <mergeCell ref="O996:Q996"/>
    <mergeCell ref="B912:B916"/>
    <mergeCell ref="B918:B921"/>
    <mergeCell ref="B922:B927"/>
    <mergeCell ref="B930:C930"/>
    <mergeCell ref="B931:C931"/>
    <mergeCell ref="B932:C932"/>
    <mergeCell ref="B879:C879"/>
    <mergeCell ref="B887:C887"/>
    <mergeCell ref="B888:C888"/>
    <mergeCell ref="B896:C896"/>
    <mergeCell ref="B897:C897"/>
    <mergeCell ref="B898:B900"/>
    <mergeCell ref="B901:B904"/>
    <mergeCell ref="B905:B906"/>
    <mergeCell ref="B907:B910"/>
    <mergeCell ref="A871:A873"/>
    <mergeCell ref="B871:B873"/>
    <mergeCell ref="C871:C873"/>
    <mergeCell ref="D871:N871"/>
    <mergeCell ref="O871:Q871"/>
    <mergeCell ref="D872:D873"/>
    <mergeCell ref="E872:E873"/>
    <mergeCell ref="F872:I872"/>
    <mergeCell ref="J872:L872"/>
    <mergeCell ref="M872:M873"/>
    <mergeCell ref="N872:N873"/>
    <mergeCell ref="O872:Q872"/>
    <mergeCell ref="B726:B730"/>
    <mergeCell ref="B732:B735"/>
    <mergeCell ref="B736:B741"/>
    <mergeCell ref="B744:C744"/>
    <mergeCell ref="B745:C745"/>
    <mergeCell ref="B746:C746"/>
    <mergeCell ref="B693:C693"/>
    <mergeCell ref="B701:C701"/>
    <mergeCell ref="B702:C702"/>
    <mergeCell ref="B710:C710"/>
    <mergeCell ref="B711:C711"/>
    <mergeCell ref="B712:B714"/>
    <mergeCell ref="B715:B718"/>
    <mergeCell ref="B719:B720"/>
    <mergeCell ref="B721:B724"/>
    <mergeCell ref="A685:A687"/>
    <mergeCell ref="B685:B687"/>
    <mergeCell ref="C685:C687"/>
    <mergeCell ref="D685:N685"/>
    <mergeCell ref="O685:Q685"/>
    <mergeCell ref="D686:D687"/>
    <mergeCell ref="E686:E687"/>
    <mergeCell ref="F686:I686"/>
    <mergeCell ref="J686:L686"/>
    <mergeCell ref="M686:M687"/>
    <mergeCell ref="N686:N687"/>
    <mergeCell ref="O686:Q686"/>
    <mergeCell ref="B540:B544"/>
    <mergeCell ref="B546:B549"/>
    <mergeCell ref="B550:B555"/>
    <mergeCell ref="B558:C558"/>
    <mergeCell ref="B559:C559"/>
    <mergeCell ref="B560:C560"/>
    <mergeCell ref="B507:C507"/>
    <mergeCell ref="B515:C515"/>
    <mergeCell ref="B516:C516"/>
    <mergeCell ref="B524:C524"/>
    <mergeCell ref="B525:C525"/>
    <mergeCell ref="B526:B528"/>
    <mergeCell ref="B529:B532"/>
    <mergeCell ref="B533:B534"/>
    <mergeCell ref="B535:B538"/>
    <mergeCell ref="A499:A501"/>
    <mergeCell ref="B499:B501"/>
    <mergeCell ref="C499:C501"/>
    <mergeCell ref="D499:N499"/>
    <mergeCell ref="O499:Q499"/>
    <mergeCell ref="D500:D501"/>
    <mergeCell ref="E500:E501"/>
    <mergeCell ref="F500:I500"/>
    <mergeCell ref="J500:L500"/>
    <mergeCell ref="M500:M501"/>
    <mergeCell ref="N500:N501"/>
    <mergeCell ref="O500:Q500"/>
    <mergeCell ref="B478:B482"/>
    <mergeCell ref="B484:B487"/>
    <mergeCell ref="B488:B493"/>
    <mergeCell ref="B496:C496"/>
    <mergeCell ref="B497:C497"/>
    <mergeCell ref="B498:C498"/>
    <mergeCell ref="B445:C445"/>
    <mergeCell ref="B453:C453"/>
    <mergeCell ref="B454:C454"/>
    <mergeCell ref="B462:C462"/>
    <mergeCell ref="B463:C463"/>
    <mergeCell ref="B464:B466"/>
    <mergeCell ref="B467:B470"/>
    <mergeCell ref="B471:B472"/>
    <mergeCell ref="B473:B476"/>
    <mergeCell ref="A437:A439"/>
    <mergeCell ref="B437:B439"/>
    <mergeCell ref="C437:C439"/>
    <mergeCell ref="D437:N437"/>
    <mergeCell ref="O437:Q437"/>
    <mergeCell ref="D438:D439"/>
    <mergeCell ref="E438:E439"/>
    <mergeCell ref="F438:I438"/>
    <mergeCell ref="J438:L438"/>
    <mergeCell ref="M438:M439"/>
    <mergeCell ref="N438:N439"/>
    <mergeCell ref="O438:Q438"/>
    <mergeCell ref="B416:B420"/>
    <mergeCell ref="B422:B425"/>
    <mergeCell ref="B426:B431"/>
    <mergeCell ref="B434:C434"/>
    <mergeCell ref="B435:C435"/>
    <mergeCell ref="B436:C436"/>
    <mergeCell ref="B383:C383"/>
    <mergeCell ref="B391:C391"/>
    <mergeCell ref="B392:C392"/>
    <mergeCell ref="B400:C400"/>
    <mergeCell ref="B401:C401"/>
    <mergeCell ref="B402:B404"/>
    <mergeCell ref="B405:B408"/>
    <mergeCell ref="B409:B410"/>
    <mergeCell ref="B411:B412"/>
    <mergeCell ref="A375:A377"/>
    <mergeCell ref="B375:B377"/>
    <mergeCell ref="C375:C377"/>
    <mergeCell ref="D375:N375"/>
    <mergeCell ref="O375:Q375"/>
    <mergeCell ref="D376:D377"/>
    <mergeCell ref="E376:E377"/>
    <mergeCell ref="F376:I376"/>
    <mergeCell ref="J376:L376"/>
    <mergeCell ref="M376:M377"/>
    <mergeCell ref="N376:N377"/>
    <mergeCell ref="O376:Q376"/>
    <mergeCell ref="B354:B358"/>
    <mergeCell ref="B360:B363"/>
    <mergeCell ref="B364:B369"/>
    <mergeCell ref="B372:C372"/>
    <mergeCell ref="B373:C373"/>
    <mergeCell ref="B374:C374"/>
    <mergeCell ref="B321:C321"/>
    <mergeCell ref="B329:C329"/>
    <mergeCell ref="B330:C330"/>
    <mergeCell ref="B338:C338"/>
    <mergeCell ref="B339:C339"/>
    <mergeCell ref="B340:B342"/>
    <mergeCell ref="B343:B346"/>
    <mergeCell ref="B347:B348"/>
    <mergeCell ref="B349:B350"/>
    <mergeCell ref="A313:A315"/>
    <mergeCell ref="B313:B315"/>
    <mergeCell ref="C313:C315"/>
    <mergeCell ref="D313:N313"/>
    <mergeCell ref="O313:Q313"/>
    <mergeCell ref="D314:D315"/>
    <mergeCell ref="E314:E315"/>
    <mergeCell ref="F314:I314"/>
    <mergeCell ref="J314:L314"/>
    <mergeCell ref="M314:M315"/>
    <mergeCell ref="N314:N315"/>
    <mergeCell ref="O314:Q314"/>
    <mergeCell ref="B292:B296"/>
    <mergeCell ref="B298:B301"/>
    <mergeCell ref="B302:B307"/>
    <mergeCell ref="B310:C310"/>
    <mergeCell ref="B311:C311"/>
    <mergeCell ref="B312:C312"/>
    <mergeCell ref="B259:C259"/>
    <mergeCell ref="B267:C267"/>
    <mergeCell ref="B268:C268"/>
    <mergeCell ref="B276:C276"/>
    <mergeCell ref="B277:C277"/>
    <mergeCell ref="B278:B280"/>
    <mergeCell ref="B281:B284"/>
    <mergeCell ref="B285:B286"/>
    <mergeCell ref="B287:B288"/>
    <mergeCell ref="A251:A253"/>
    <mergeCell ref="B251:B253"/>
    <mergeCell ref="C251:C253"/>
    <mergeCell ref="D251:N251"/>
    <mergeCell ref="O251:Q251"/>
    <mergeCell ref="D252:D253"/>
    <mergeCell ref="E252:E253"/>
    <mergeCell ref="F252:I252"/>
    <mergeCell ref="J252:L252"/>
    <mergeCell ref="M252:M253"/>
    <mergeCell ref="N252:N253"/>
    <mergeCell ref="O252:Q252"/>
    <mergeCell ref="B236:B239"/>
    <mergeCell ref="B240:B245"/>
    <mergeCell ref="B248:C248"/>
    <mergeCell ref="B249:C249"/>
    <mergeCell ref="B250:C250"/>
    <mergeCell ref="B218:B220"/>
    <mergeCell ref="B221:B224"/>
    <mergeCell ref="B225:B226"/>
    <mergeCell ref="B227:B228"/>
    <mergeCell ref="B230:B234"/>
    <mergeCell ref="B199:C199"/>
    <mergeCell ref="B207:C207"/>
    <mergeCell ref="B208:C208"/>
    <mergeCell ref="B216:C216"/>
    <mergeCell ref="B217:C217"/>
    <mergeCell ref="A191:A193"/>
    <mergeCell ref="B191:B193"/>
    <mergeCell ref="C191:C193"/>
    <mergeCell ref="D191:N191"/>
    <mergeCell ref="D192:D193"/>
    <mergeCell ref="E192:E193"/>
    <mergeCell ref="F192:I192"/>
    <mergeCell ref="J192:L192"/>
    <mergeCell ref="M192:M193"/>
    <mergeCell ref="N192:N193"/>
    <mergeCell ref="O192:Q192"/>
    <mergeCell ref="B176:B179"/>
    <mergeCell ref="B180:B185"/>
    <mergeCell ref="B188:C188"/>
    <mergeCell ref="B189:C189"/>
    <mergeCell ref="B190:C190"/>
    <mergeCell ref="B165:B166"/>
    <mergeCell ref="B167:B168"/>
    <mergeCell ref="B170:B174"/>
    <mergeCell ref="B139:C139"/>
    <mergeCell ref="B147:C147"/>
    <mergeCell ref="B148:C148"/>
    <mergeCell ref="B156:C156"/>
    <mergeCell ref="B157:C157"/>
    <mergeCell ref="O191:Q191"/>
    <mergeCell ref="A131:A133"/>
    <mergeCell ref="B131:B133"/>
    <mergeCell ref="C131:C133"/>
    <mergeCell ref="D131:N131"/>
    <mergeCell ref="O131:Q131"/>
    <mergeCell ref="D132:D133"/>
    <mergeCell ref="E132:E133"/>
    <mergeCell ref="F132:I132"/>
    <mergeCell ref="J132:L132"/>
    <mergeCell ref="M132:M133"/>
    <mergeCell ref="N132:N133"/>
    <mergeCell ref="O132:Q132"/>
    <mergeCell ref="A71:A73"/>
    <mergeCell ref="B71:B73"/>
    <mergeCell ref="C71:C73"/>
    <mergeCell ref="D71:N71"/>
    <mergeCell ref="B116:B119"/>
    <mergeCell ref="B120:B125"/>
    <mergeCell ref="B128:C128"/>
    <mergeCell ref="B129:C129"/>
    <mergeCell ref="B130:C130"/>
    <mergeCell ref="B98:B100"/>
    <mergeCell ref="B101:B104"/>
    <mergeCell ref="B105:B106"/>
    <mergeCell ref="B107:B108"/>
    <mergeCell ref="B110:B114"/>
    <mergeCell ref="O71:Q71"/>
    <mergeCell ref="D72:D73"/>
    <mergeCell ref="E72:E73"/>
    <mergeCell ref="F72:I72"/>
    <mergeCell ref="J72:L72"/>
    <mergeCell ref="M72:M73"/>
    <mergeCell ref="N72:N73"/>
    <mergeCell ref="O72:Q72"/>
    <mergeCell ref="B70:C70"/>
    <mergeCell ref="A9:Q9"/>
    <mergeCell ref="A11:A13"/>
    <mergeCell ref="B11:B13"/>
    <mergeCell ref="C11:C13"/>
    <mergeCell ref="D11:N11"/>
    <mergeCell ref="O11:Q11"/>
    <mergeCell ref="D12:D13"/>
    <mergeCell ref="E12:E13"/>
    <mergeCell ref="F12:I12"/>
    <mergeCell ref="J12:L12"/>
    <mergeCell ref="M12:M13"/>
    <mergeCell ref="N12:N13"/>
    <mergeCell ref="O12:Q12"/>
    <mergeCell ref="B602:B606"/>
    <mergeCell ref="B608:B611"/>
    <mergeCell ref="B612:B617"/>
    <mergeCell ref="B19:C19"/>
    <mergeCell ref="B27:C27"/>
    <mergeCell ref="B28:C28"/>
    <mergeCell ref="B36:C36"/>
    <mergeCell ref="B37:C37"/>
    <mergeCell ref="B38:B40"/>
    <mergeCell ref="B41:B44"/>
    <mergeCell ref="B45:B46"/>
    <mergeCell ref="B47:B48"/>
    <mergeCell ref="B50:B54"/>
    <mergeCell ref="B56:B59"/>
    <mergeCell ref="B60:B65"/>
    <mergeCell ref="B68:C68"/>
    <mergeCell ref="B69:C69"/>
    <mergeCell ref="B79:C79"/>
    <mergeCell ref="B87:C87"/>
    <mergeCell ref="B88:C88"/>
    <mergeCell ref="B96:C96"/>
    <mergeCell ref="B97:C97"/>
    <mergeCell ref="B158:B160"/>
    <mergeCell ref="B161:B164"/>
    <mergeCell ref="B621:C621"/>
    <mergeCell ref="B622:C622"/>
    <mergeCell ref="O561:Q561"/>
    <mergeCell ref="A561:A563"/>
    <mergeCell ref="B561:B563"/>
    <mergeCell ref="C561:C563"/>
    <mergeCell ref="D561:N561"/>
    <mergeCell ref="D562:D563"/>
    <mergeCell ref="E562:E563"/>
    <mergeCell ref="F562:I562"/>
    <mergeCell ref="J562:L562"/>
    <mergeCell ref="M562:M563"/>
    <mergeCell ref="N562:N563"/>
    <mergeCell ref="O562:Q562"/>
    <mergeCell ref="B586:C586"/>
    <mergeCell ref="B577:C577"/>
    <mergeCell ref="B569:C569"/>
    <mergeCell ref="B578:C578"/>
    <mergeCell ref="B620:C620"/>
    <mergeCell ref="B587:C587"/>
    <mergeCell ref="B588:B590"/>
    <mergeCell ref="B591:B594"/>
    <mergeCell ref="B595:B596"/>
    <mergeCell ref="B597:B600"/>
    <mergeCell ref="A623:A625"/>
    <mergeCell ref="B623:B625"/>
    <mergeCell ref="C623:C625"/>
    <mergeCell ref="D623:N623"/>
    <mergeCell ref="O623:Q623"/>
    <mergeCell ref="D624:D625"/>
    <mergeCell ref="E624:E625"/>
    <mergeCell ref="F624:I624"/>
    <mergeCell ref="J624:L624"/>
    <mergeCell ref="M624:M625"/>
    <mergeCell ref="N624:N625"/>
    <mergeCell ref="O624:Q624"/>
    <mergeCell ref="B664:B668"/>
    <mergeCell ref="B670:B673"/>
    <mergeCell ref="B674:B679"/>
    <mergeCell ref="B682:C682"/>
    <mergeCell ref="B683:C683"/>
    <mergeCell ref="B684:C684"/>
    <mergeCell ref="B631:C631"/>
    <mergeCell ref="B639:C639"/>
    <mergeCell ref="B640:C640"/>
    <mergeCell ref="B648:C648"/>
    <mergeCell ref="B649:C649"/>
    <mergeCell ref="B650:B652"/>
    <mergeCell ref="B653:B656"/>
    <mergeCell ref="B657:B658"/>
    <mergeCell ref="B659:B662"/>
    <mergeCell ref="A747:A749"/>
    <mergeCell ref="B747:B749"/>
    <mergeCell ref="C747:C749"/>
    <mergeCell ref="D747:N747"/>
    <mergeCell ref="O747:Q747"/>
    <mergeCell ref="D748:D749"/>
    <mergeCell ref="E748:E749"/>
    <mergeCell ref="F748:I748"/>
    <mergeCell ref="J748:L748"/>
    <mergeCell ref="M748:M749"/>
    <mergeCell ref="N748:N749"/>
    <mergeCell ref="O748:Q748"/>
    <mergeCell ref="B788:B792"/>
    <mergeCell ref="B794:B797"/>
    <mergeCell ref="B798:B803"/>
    <mergeCell ref="B806:C806"/>
    <mergeCell ref="B807:C807"/>
    <mergeCell ref="B808:C808"/>
    <mergeCell ref="B755:C755"/>
    <mergeCell ref="B763:C763"/>
    <mergeCell ref="B764:C764"/>
    <mergeCell ref="B772:C772"/>
    <mergeCell ref="B773:C773"/>
    <mergeCell ref="B774:B776"/>
    <mergeCell ref="B777:B780"/>
    <mergeCell ref="B781:B782"/>
    <mergeCell ref="B783:B786"/>
    <mergeCell ref="A809:A811"/>
    <mergeCell ref="B809:B811"/>
    <mergeCell ref="C809:C811"/>
    <mergeCell ref="D809:N809"/>
    <mergeCell ref="O809:Q809"/>
    <mergeCell ref="D810:D811"/>
    <mergeCell ref="E810:E811"/>
    <mergeCell ref="F810:I810"/>
    <mergeCell ref="J810:L810"/>
    <mergeCell ref="M810:M811"/>
    <mergeCell ref="N810:N811"/>
    <mergeCell ref="O810:Q810"/>
    <mergeCell ref="B850:B854"/>
    <mergeCell ref="B856:B859"/>
    <mergeCell ref="B860:B865"/>
    <mergeCell ref="B868:C868"/>
    <mergeCell ref="B869:C869"/>
    <mergeCell ref="B870:C870"/>
    <mergeCell ref="B817:C817"/>
    <mergeCell ref="B825:C825"/>
    <mergeCell ref="B826:C826"/>
    <mergeCell ref="B834:C834"/>
    <mergeCell ref="B835:C835"/>
    <mergeCell ref="B836:B838"/>
    <mergeCell ref="B839:B842"/>
    <mergeCell ref="B843:B844"/>
    <mergeCell ref="B845:B848"/>
    <mergeCell ref="A933:A935"/>
    <mergeCell ref="B933:B935"/>
    <mergeCell ref="C933:C935"/>
    <mergeCell ref="D933:N933"/>
    <mergeCell ref="O933:Q933"/>
    <mergeCell ref="D934:D935"/>
    <mergeCell ref="E934:E935"/>
    <mergeCell ref="F934:I934"/>
    <mergeCell ref="J934:L934"/>
    <mergeCell ref="M934:M935"/>
    <mergeCell ref="N934:N935"/>
    <mergeCell ref="O934:Q934"/>
    <mergeCell ref="B974:B978"/>
    <mergeCell ref="B980:B983"/>
    <mergeCell ref="B984:B989"/>
    <mergeCell ref="B992:C992"/>
    <mergeCell ref="B993:C993"/>
    <mergeCell ref="B994:C994"/>
    <mergeCell ref="B941:C941"/>
    <mergeCell ref="B949:C949"/>
    <mergeCell ref="B950:C950"/>
    <mergeCell ref="B958:C958"/>
    <mergeCell ref="B959:C959"/>
    <mergeCell ref="B960:B962"/>
    <mergeCell ref="B963:B966"/>
    <mergeCell ref="B967:B968"/>
    <mergeCell ref="B969:B972"/>
    <mergeCell ref="A1181:A1183"/>
    <mergeCell ref="B1181:B1183"/>
    <mergeCell ref="C1181:C1183"/>
    <mergeCell ref="D1181:N1181"/>
    <mergeCell ref="O1181:Q1181"/>
    <mergeCell ref="D1182:D1183"/>
    <mergeCell ref="E1182:E1183"/>
    <mergeCell ref="F1182:I1182"/>
    <mergeCell ref="J1182:L1182"/>
    <mergeCell ref="M1182:M1183"/>
    <mergeCell ref="N1182:N1183"/>
    <mergeCell ref="O1182:Q1182"/>
    <mergeCell ref="B1222:B1226"/>
    <mergeCell ref="B1228:B1231"/>
    <mergeCell ref="B1232:B1237"/>
    <mergeCell ref="B1240:C1240"/>
    <mergeCell ref="B1241:C1241"/>
    <mergeCell ref="B1242:C1242"/>
    <mergeCell ref="B1189:C1189"/>
    <mergeCell ref="B1197:C1197"/>
    <mergeCell ref="B1198:C1198"/>
    <mergeCell ref="B1206:C1206"/>
    <mergeCell ref="B1207:C1207"/>
    <mergeCell ref="B1208:B1210"/>
    <mergeCell ref="B1211:B1214"/>
    <mergeCell ref="B1215:B1216"/>
    <mergeCell ref="B1217:B1220"/>
  </mergeCells>
  <pageMargins left="0.19685039370078741" right="0.19685039370078741" top="0.19685039370078741" bottom="0.19685039370078741" header="0.19685039370078741" footer="0.19685039370078741"/>
  <pageSetup paperSize="9" scale="26" orientation="portrait" verticalDpi="300" r:id="rId1"/>
  <rowBreaks count="21" manualBreakCount="21">
    <brk id="70" max="16" man="1"/>
    <brk id="130" max="16" man="1"/>
    <brk id="190" max="16" man="1"/>
    <brk id="250" max="16" man="1"/>
    <brk id="312" max="16" man="1"/>
    <brk id="374" max="16" man="1"/>
    <brk id="436" max="16" man="1"/>
    <brk id="498" max="16" man="1"/>
    <brk id="560" max="16" man="1"/>
    <brk id="622" max="16" man="1"/>
    <brk id="684" max="16" man="1"/>
    <brk id="746" max="16" man="1"/>
    <brk id="808" max="16" man="1"/>
    <brk id="870" max="16" man="1"/>
    <brk id="932" max="16" man="1"/>
    <brk id="994" max="16" man="1"/>
    <brk id="1056" max="16" man="1"/>
    <brk id="1118" max="16" man="1"/>
    <brk id="1180" max="16" man="1"/>
    <brk id="1242" max="16" man="1"/>
    <brk id="1304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7:M1952"/>
  <sheetViews>
    <sheetView view="pageBreakPreview" topLeftCell="A1937" zoomScale="50" zoomScaleNormal="70" zoomScaleSheetLayoutView="50" workbookViewId="0">
      <selection activeCell="E1565" sqref="E1565:F1565"/>
    </sheetView>
  </sheetViews>
  <sheetFormatPr defaultColWidth="9.109375" defaultRowHeight="13.8" x14ac:dyDescent="0.3"/>
  <cols>
    <col min="1" max="1" width="10.109375" style="229" customWidth="1"/>
    <col min="2" max="2" width="14.44140625" style="269" customWidth="1"/>
    <col min="3" max="3" width="86" style="269" customWidth="1"/>
    <col min="4" max="4" width="38.6640625" style="229" customWidth="1"/>
    <col min="5" max="6" width="24" style="222" customWidth="1"/>
    <col min="7" max="7" width="24" style="223" customWidth="1"/>
    <col min="8" max="8" width="30.44140625" style="223" bestFit="1" customWidth="1"/>
    <col min="9" max="9" width="32.33203125" style="222" customWidth="1"/>
    <col min="10" max="10" width="0.33203125" style="224" customWidth="1"/>
    <col min="11" max="11" width="15.33203125" style="229" bestFit="1" customWidth="1"/>
    <col min="12" max="12" width="17.5546875" style="229" customWidth="1"/>
    <col min="13" max="13" width="14.109375" style="229" bestFit="1" customWidth="1"/>
    <col min="14" max="16384" width="9.109375" style="229"/>
  </cols>
  <sheetData>
    <row r="7" spans="1:10" ht="67.2" customHeight="1" x14ac:dyDescent="0.3">
      <c r="A7" s="220" t="s">
        <v>0</v>
      </c>
    </row>
    <row r="9" spans="1:10" ht="81" customHeight="1" x14ac:dyDescent="0.3">
      <c r="A9" s="1017" t="s">
        <v>416</v>
      </c>
      <c r="B9" s="1018"/>
      <c r="C9" s="1018"/>
      <c r="D9" s="1018"/>
      <c r="E9" s="1018"/>
      <c r="F9" s="1018"/>
      <c r="G9" s="1018"/>
      <c r="H9" s="1018"/>
      <c r="I9" s="1018"/>
      <c r="J9" s="1018"/>
    </row>
    <row r="10" spans="1:10" ht="24.6" customHeight="1" thickBot="1" x14ac:dyDescent="0.35">
      <c r="A10" s="230"/>
      <c r="B10" s="230"/>
      <c r="C10" s="230"/>
      <c r="D10" s="230"/>
      <c r="E10" s="232"/>
      <c r="F10" s="232"/>
      <c r="G10" s="232"/>
      <c r="H10" s="232"/>
      <c r="I10" s="270"/>
      <c r="J10" s="234"/>
    </row>
    <row r="11" spans="1:10" ht="23.4" x14ac:dyDescent="0.3">
      <c r="A11" s="991" t="s">
        <v>1</v>
      </c>
      <c r="B11" s="994" t="s">
        <v>2</v>
      </c>
      <c r="C11" s="1072" t="s">
        <v>3</v>
      </c>
      <c r="D11" s="1043" t="s">
        <v>93</v>
      </c>
      <c r="E11" s="1076">
        <v>44531</v>
      </c>
      <c r="F11" s="1001"/>
      <c r="G11" s="1001"/>
      <c r="H11" s="1001"/>
      <c r="I11" s="1001"/>
      <c r="J11" s="1002"/>
    </row>
    <row r="12" spans="1:10" ht="23.4" x14ac:dyDescent="0.3">
      <c r="A12" s="1070"/>
      <c r="B12" s="1071"/>
      <c r="C12" s="1073"/>
      <c r="D12" s="1044"/>
      <c r="E12" s="1077" t="s">
        <v>94</v>
      </c>
      <c r="F12" s="1078"/>
      <c r="G12" s="1077" t="s">
        <v>247</v>
      </c>
      <c r="H12" s="1079"/>
      <c r="I12" s="1079"/>
      <c r="J12" s="1078"/>
    </row>
    <row r="13" spans="1:10" x14ac:dyDescent="0.3">
      <c r="A13" s="992"/>
      <c r="B13" s="995"/>
      <c r="C13" s="1074"/>
      <c r="D13" s="1044"/>
      <c r="E13" s="1003" t="s">
        <v>95</v>
      </c>
      <c r="F13" s="1005" t="s">
        <v>96</v>
      </c>
      <c r="G13" s="1081" t="s">
        <v>97</v>
      </c>
      <c r="H13" s="1083" t="s">
        <v>98</v>
      </c>
      <c r="I13" s="1083" t="s">
        <v>98</v>
      </c>
      <c r="J13" s="1085" t="s">
        <v>12</v>
      </c>
    </row>
    <row r="14" spans="1:10" ht="14.4" thickBot="1" x14ac:dyDescent="0.35">
      <c r="A14" s="993"/>
      <c r="B14" s="996"/>
      <c r="C14" s="1075"/>
      <c r="D14" s="1045"/>
      <c r="E14" s="1004"/>
      <c r="F14" s="1006"/>
      <c r="G14" s="1082"/>
      <c r="H14" s="1084"/>
      <c r="I14" s="1084"/>
      <c r="J14" s="1086"/>
    </row>
    <row r="15" spans="1:10" ht="23.4" x14ac:dyDescent="0.3">
      <c r="A15" s="1067" t="s">
        <v>110</v>
      </c>
      <c r="B15" s="442"/>
      <c r="C15" s="584" t="s">
        <v>292</v>
      </c>
      <c r="D15" s="686" t="s">
        <v>284</v>
      </c>
      <c r="E15" s="273"/>
      <c r="F15" s="438">
        <f>+E15</f>
        <v>0</v>
      </c>
      <c r="G15" s="585">
        <v>111.09</v>
      </c>
      <c r="H15" s="601">
        <f t="shared" ref="H15:H28" si="0">E15*G15</f>
        <v>0</v>
      </c>
      <c r="I15" s="604">
        <f>+G15*F15</f>
        <v>0</v>
      </c>
      <c r="J15" s="354"/>
    </row>
    <row r="16" spans="1:10" ht="23.4" x14ac:dyDescent="0.3">
      <c r="A16" s="1068"/>
      <c r="B16" s="441"/>
      <c r="C16" s="444" t="s">
        <v>285</v>
      </c>
      <c r="D16" s="687" t="s">
        <v>286</v>
      </c>
      <c r="E16" s="279"/>
      <c r="F16" s="438">
        <f t="shared" ref="F16:F28" si="1">+E16</f>
        <v>0</v>
      </c>
      <c r="G16" s="586">
        <v>11</v>
      </c>
      <c r="H16" s="602">
        <f t="shared" si="0"/>
        <v>0</v>
      </c>
      <c r="I16" s="605">
        <f>+G16*F16</f>
        <v>0</v>
      </c>
      <c r="J16" s="355"/>
    </row>
    <row r="17" spans="1:10" ht="23.4" x14ac:dyDescent="0.3">
      <c r="A17" s="1068"/>
      <c r="B17" s="441"/>
      <c r="C17" s="444" t="s">
        <v>321</v>
      </c>
      <c r="D17" s="687" t="s">
        <v>400</v>
      </c>
      <c r="E17" s="279"/>
      <c r="F17" s="438">
        <f t="shared" si="1"/>
        <v>0</v>
      </c>
      <c r="G17" s="586">
        <v>139.04</v>
      </c>
      <c r="H17" s="602">
        <f t="shared" si="0"/>
        <v>0</v>
      </c>
      <c r="I17" s="605">
        <f t="shared" ref="I17:I28" si="2">+G17*F17</f>
        <v>0</v>
      </c>
      <c r="J17" s="355"/>
    </row>
    <row r="18" spans="1:10" ht="23.4" x14ac:dyDescent="0.3">
      <c r="A18" s="1068"/>
      <c r="B18" s="441"/>
      <c r="C18" s="444" t="s">
        <v>397</v>
      </c>
      <c r="D18" s="687" t="s">
        <v>398</v>
      </c>
      <c r="E18" s="279">
        <f>30600+30600+36720+36720</f>
        <v>134640</v>
      </c>
      <c r="F18" s="438">
        <f t="shared" si="1"/>
        <v>134640</v>
      </c>
      <c r="G18" s="586">
        <v>20.5</v>
      </c>
      <c r="H18" s="602">
        <f t="shared" si="0"/>
        <v>2760120</v>
      </c>
      <c r="I18" s="605">
        <f t="shared" si="2"/>
        <v>2760120</v>
      </c>
      <c r="J18" s="355"/>
    </row>
    <row r="19" spans="1:10" ht="23.4" x14ac:dyDescent="0.3">
      <c r="A19" s="1068"/>
      <c r="B19" s="441"/>
      <c r="C19" s="444" t="s">
        <v>312</v>
      </c>
      <c r="D19" s="687" t="s">
        <v>190</v>
      </c>
      <c r="E19" s="279"/>
      <c r="F19" s="438">
        <f t="shared" si="1"/>
        <v>0</v>
      </c>
      <c r="G19" s="586">
        <v>14.79</v>
      </c>
      <c r="H19" s="602">
        <f t="shared" si="0"/>
        <v>0</v>
      </c>
      <c r="I19" s="605">
        <f t="shared" si="2"/>
        <v>0</v>
      </c>
      <c r="J19" s="355"/>
    </row>
    <row r="20" spans="1:10" ht="23.4" x14ac:dyDescent="0.3">
      <c r="A20" s="1068"/>
      <c r="B20" s="441"/>
      <c r="C20" s="444" t="s">
        <v>321</v>
      </c>
      <c r="D20" s="687" t="s">
        <v>286</v>
      </c>
      <c r="E20" s="279">
        <v>640</v>
      </c>
      <c r="F20" s="438">
        <f t="shared" si="1"/>
        <v>640</v>
      </c>
      <c r="G20" s="586">
        <v>139.04</v>
      </c>
      <c r="H20" s="602">
        <f t="shared" si="0"/>
        <v>88985.599999999991</v>
      </c>
      <c r="I20" s="605">
        <f t="shared" si="2"/>
        <v>88985.599999999991</v>
      </c>
      <c r="J20" s="355"/>
    </row>
    <row r="21" spans="1:10" ht="23.4" x14ac:dyDescent="0.3">
      <c r="A21" s="1068"/>
      <c r="B21" s="441"/>
      <c r="C21" s="444" t="s">
        <v>362</v>
      </c>
      <c r="D21" s="688" t="s">
        <v>396</v>
      </c>
      <c r="E21" s="279"/>
      <c r="F21" s="438">
        <f t="shared" si="1"/>
        <v>0</v>
      </c>
      <c r="G21" s="586">
        <v>20.5</v>
      </c>
      <c r="H21" s="602">
        <f t="shared" si="0"/>
        <v>0</v>
      </c>
      <c r="I21" s="605">
        <f t="shared" si="2"/>
        <v>0</v>
      </c>
      <c r="J21" s="355"/>
    </row>
    <row r="22" spans="1:10" ht="23.4" x14ac:dyDescent="0.3">
      <c r="A22" s="1068"/>
      <c r="B22" s="441"/>
      <c r="C22" s="444" t="s">
        <v>345</v>
      </c>
      <c r="D22" s="688" t="s">
        <v>286</v>
      </c>
      <c r="E22" s="279"/>
      <c r="F22" s="438">
        <f t="shared" si="1"/>
        <v>0</v>
      </c>
      <c r="G22" s="586">
        <v>18.84</v>
      </c>
      <c r="H22" s="602">
        <f t="shared" si="0"/>
        <v>0</v>
      </c>
      <c r="I22" s="605">
        <f t="shared" si="2"/>
        <v>0</v>
      </c>
      <c r="J22" s="355"/>
    </row>
    <row r="23" spans="1:10" ht="23.4" x14ac:dyDescent="0.3">
      <c r="A23" s="1068"/>
      <c r="B23" s="441"/>
      <c r="C23" s="444" t="s">
        <v>357</v>
      </c>
      <c r="D23" s="688" t="s">
        <v>252</v>
      </c>
      <c r="E23" s="279"/>
      <c r="F23" s="438">
        <f t="shared" si="1"/>
        <v>0</v>
      </c>
      <c r="G23" s="586">
        <v>21.18</v>
      </c>
      <c r="H23" s="602">
        <f t="shared" si="0"/>
        <v>0</v>
      </c>
      <c r="I23" s="605">
        <f t="shared" si="2"/>
        <v>0</v>
      </c>
      <c r="J23" s="355"/>
    </row>
    <row r="24" spans="1:10" ht="23.4" x14ac:dyDescent="0.3">
      <c r="A24" s="1068"/>
      <c r="B24" s="441"/>
      <c r="C24" s="444" t="s">
        <v>359</v>
      </c>
      <c r="D24" s="688" t="s">
        <v>360</v>
      </c>
      <c r="E24" s="279"/>
      <c r="F24" s="438">
        <f t="shared" si="1"/>
        <v>0</v>
      </c>
      <c r="G24" s="586">
        <v>21.28</v>
      </c>
      <c r="H24" s="602">
        <f t="shared" si="0"/>
        <v>0</v>
      </c>
      <c r="I24" s="605">
        <f t="shared" si="2"/>
        <v>0</v>
      </c>
      <c r="J24" s="355"/>
    </row>
    <row r="25" spans="1:10" ht="23.4" x14ac:dyDescent="0.3">
      <c r="A25" s="1068"/>
      <c r="B25" s="441"/>
      <c r="C25" s="444" t="s">
        <v>321</v>
      </c>
      <c r="D25" s="688" t="s">
        <v>396</v>
      </c>
      <c r="E25" s="279"/>
      <c r="F25" s="438">
        <f t="shared" si="1"/>
        <v>0</v>
      </c>
      <c r="G25" s="586">
        <v>139.04</v>
      </c>
      <c r="H25" s="602">
        <f t="shared" si="0"/>
        <v>0</v>
      </c>
      <c r="I25" s="605">
        <f t="shared" si="2"/>
        <v>0</v>
      </c>
      <c r="J25" s="355"/>
    </row>
    <row r="26" spans="1:10" ht="23.4" x14ac:dyDescent="0.3">
      <c r="A26" s="1068"/>
      <c r="B26" s="441"/>
      <c r="C26" s="444" t="s">
        <v>403</v>
      </c>
      <c r="D26" s="687" t="s">
        <v>190</v>
      </c>
      <c r="E26" s="279"/>
      <c r="F26" s="438">
        <f t="shared" si="1"/>
        <v>0</v>
      </c>
      <c r="G26" s="586">
        <v>14.55</v>
      </c>
      <c r="H26" s="602">
        <f t="shared" si="0"/>
        <v>0</v>
      </c>
      <c r="I26" s="605">
        <f t="shared" si="2"/>
        <v>0</v>
      </c>
      <c r="J26" s="355"/>
    </row>
    <row r="27" spans="1:10" ht="23.4" x14ac:dyDescent="0.3">
      <c r="A27" s="1068"/>
      <c r="B27" s="441"/>
      <c r="C27" s="444" t="s">
        <v>362</v>
      </c>
      <c r="D27" s="688" t="s">
        <v>202</v>
      </c>
      <c r="E27" s="279"/>
      <c r="F27" s="438">
        <f t="shared" si="1"/>
        <v>0</v>
      </c>
      <c r="G27" s="586">
        <v>21.28</v>
      </c>
      <c r="H27" s="602">
        <f t="shared" si="0"/>
        <v>0</v>
      </c>
      <c r="I27" s="605">
        <f t="shared" si="2"/>
        <v>0</v>
      </c>
      <c r="J27" s="355"/>
    </row>
    <row r="28" spans="1:10" ht="24" thickBot="1" x14ac:dyDescent="0.35">
      <c r="A28" s="1068"/>
      <c r="B28" s="441"/>
      <c r="C28" s="444" t="s">
        <v>374</v>
      </c>
      <c r="D28" s="689" t="s">
        <v>191</v>
      </c>
      <c r="E28" s="279"/>
      <c r="F28" s="438">
        <f t="shared" si="1"/>
        <v>0</v>
      </c>
      <c r="G28" s="586">
        <v>36.44</v>
      </c>
      <c r="H28" s="602">
        <f t="shared" si="0"/>
        <v>0</v>
      </c>
      <c r="I28" s="605">
        <f t="shared" si="2"/>
        <v>0</v>
      </c>
      <c r="J28" s="355"/>
    </row>
    <row r="29" spans="1:10" ht="24" thickBot="1" x14ac:dyDescent="0.35">
      <c r="A29" s="1068"/>
      <c r="B29" s="1063" t="s">
        <v>287</v>
      </c>
      <c r="C29" s="1064"/>
      <c r="D29" s="681"/>
      <c r="E29" s="329">
        <f>SUM(E15:E28)</f>
        <v>135280</v>
      </c>
      <c r="F29" s="329">
        <f>SUM(F15:F28)</f>
        <v>135280</v>
      </c>
      <c r="G29" s="329"/>
      <c r="H29" s="597">
        <f>SUM(H15:H28)</f>
        <v>2849105.6</v>
      </c>
      <c r="I29" s="589">
        <f>SUM(I15:I28)</f>
        <v>2849105.6</v>
      </c>
      <c r="J29" s="352"/>
    </row>
    <row r="30" spans="1:10" ht="23.4" x14ac:dyDescent="0.3">
      <c r="A30" s="1068"/>
      <c r="B30" s="678"/>
      <c r="C30" s="282" t="s">
        <v>293</v>
      </c>
      <c r="D30" s="437" t="s">
        <v>258</v>
      </c>
      <c r="E30" s="283"/>
      <c r="F30" s="320">
        <f>+E30</f>
        <v>0</v>
      </c>
      <c r="G30" s="587">
        <v>160.44999999999999</v>
      </c>
      <c r="H30" s="603">
        <f t="shared" ref="H30:H40" si="3">E30*G30</f>
        <v>0</v>
      </c>
      <c r="I30" s="606">
        <f t="shared" ref="I30:I40" si="4">+G30*F30</f>
        <v>0</v>
      </c>
      <c r="J30" s="376"/>
    </row>
    <row r="31" spans="1:10" ht="23.4" x14ac:dyDescent="0.3">
      <c r="A31" s="1068"/>
      <c r="B31" s="678"/>
      <c r="C31" s="282" t="s">
        <v>309</v>
      </c>
      <c r="D31" s="437" t="s">
        <v>258</v>
      </c>
      <c r="E31" s="283"/>
      <c r="F31" s="320">
        <f t="shared" ref="F31:F40" si="5">+E31</f>
        <v>0</v>
      </c>
      <c r="G31" s="587">
        <v>160.44999999999999</v>
      </c>
      <c r="H31" s="603">
        <f t="shared" si="3"/>
        <v>0</v>
      </c>
      <c r="I31" s="606">
        <f t="shared" si="4"/>
        <v>0</v>
      </c>
      <c r="J31" s="376"/>
    </row>
    <row r="32" spans="1:10" ht="23.4" x14ac:dyDescent="0.3">
      <c r="A32" s="1068"/>
      <c r="B32" s="678"/>
      <c r="C32" s="282" t="s">
        <v>310</v>
      </c>
      <c r="D32" s="437" t="s">
        <v>258</v>
      </c>
      <c r="E32" s="283"/>
      <c r="F32" s="320">
        <f t="shared" si="5"/>
        <v>0</v>
      </c>
      <c r="G32" s="587">
        <v>160.44999999999999</v>
      </c>
      <c r="H32" s="603">
        <f t="shared" si="3"/>
        <v>0</v>
      </c>
      <c r="I32" s="606">
        <f t="shared" si="4"/>
        <v>0</v>
      </c>
      <c r="J32" s="376"/>
    </row>
    <row r="33" spans="1:10" ht="23.4" x14ac:dyDescent="0.3">
      <c r="A33" s="1068"/>
      <c r="B33" s="678"/>
      <c r="C33" s="282" t="s">
        <v>311</v>
      </c>
      <c r="D33" s="437" t="s">
        <v>100</v>
      </c>
      <c r="E33" s="283"/>
      <c r="F33" s="320">
        <f t="shared" si="5"/>
        <v>0</v>
      </c>
      <c r="G33" s="587">
        <v>27</v>
      </c>
      <c r="H33" s="603">
        <f t="shared" si="3"/>
        <v>0</v>
      </c>
      <c r="I33" s="606">
        <f t="shared" si="4"/>
        <v>0</v>
      </c>
      <c r="J33" s="376"/>
    </row>
    <row r="34" spans="1:10" ht="23.4" x14ac:dyDescent="0.3">
      <c r="A34" s="1068"/>
      <c r="B34" s="678"/>
      <c r="C34" s="282" t="s">
        <v>311</v>
      </c>
      <c r="D34" s="437" t="s">
        <v>318</v>
      </c>
      <c r="E34" s="283">
        <v>55440</v>
      </c>
      <c r="F34" s="320">
        <f t="shared" si="5"/>
        <v>55440</v>
      </c>
      <c r="G34" s="587">
        <v>27.5</v>
      </c>
      <c r="H34" s="603">
        <f t="shared" si="3"/>
        <v>1524600</v>
      </c>
      <c r="I34" s="606">
        <f t="shared" si="4"/>
        <v>1524600</v>
      </c>
      <c r="J34" s="376"/>
    </row>
    <row r="35" spans="1:10" ht="23.4" x14ac:dyDescent="0.3">
      <c r="A35" s="1068"/>
      <c r="B35" s="678"/>
      <c r="C35" s="282" t="s">
        <v>299</v>
      </c>
      <c r="D35" s="437" t="s">
        <v>318</v>
      </c>
      <c r="E35" s="283">
        <v>1848</v>
      </c>
      <c r="F35" s="320">
        <f t="shared" si="5"/>
        <v>1848</v>
      </c>
      <c r="G35" s="587">
        <v>34.5</v>
      </c>
      <c r="H35" s="603">
        <f t="shared" si="3"/>
        <v>63756</v>
      </c>
      <c r="I35" s="606">
        <f t="shared" si="4"/>
        <v>63756</v>
      </c>
      <c r="J35" s="376"/>
    </row>
    <row r="36" spans="1:10" ht="23.4" x14ac:dyDescent="0.3">
      <c r="A36" s="1068"/>
      <c r="B36" s="678"/>
      <c r="C36" s="282" t="s">
        <v>331</v>
      </c>
      <c r="D36" s="437" t="s">
        <v>258</v>
      </c>
      <c r="E36" s="283"/>
      <c r="F36" s="320">
        <f t="shared" si="5"/>
        <v>0</v>
      </c>
      <c r="G36" s="587">
        <v>160.44999999999999</v>
      </c>
      <c r="H36" s="603">
        <f t="shared" si="3"/>
        <v>0</v>
      </c>
      <c r="I36" s="606">
        <f t="shared" si="4"/>
        <v>0</v>
      </c>
      <c r="J36" s="376"/>
    </row>
    <row r="37" spans="1:10" ht="23.4" x14ac:dyDescent="0.3">
      <c r="A37" s="1068"/>
      <c r="B37" s="678"/>
      <c r="C37" s="282" t="s">
        <v>388</v>
      </c>
      <c r="D37" s="437" t="s">
        <v>258</v>
      </c>
      <c r="E37" s="283"/>
      <c r="F37" s="320">
        <f t="shared" si="5"/>
        <v>0</v>
      </c>
      <c r="G37" s="587">
        <v>160.44999999999999</v>
      </c>
      <c r="H37" s="603">
        <f t="shared" si="3"/>
        <v>0</v>
      </c>
      <c r="I37" s="606">
        <f t="shared" si="4"/>
        <v>0</v>
      </c>
      <c r="J37" s="376"/>
    </row>
    <row r="38" spans="1:10" ht="23.4" x14ac:dyDescent="0.3">
      <c r="A38" s="1068"/>
      <c r="B38" s="678"/>
      <c r="C38" s="282" t="s">
        <v>342</v>
      </c>
      <c r="D38" s="437" t="s">
        <v>258</v>
      </c>
      <c r="E38" s="283"/>
      <c r="F38" s="320">
        <f t="shared" si="5"/>
        <v>0</v>
      </c>
      <c r="G38" s="587">
        <v>160.44999999999999</v>
      </c>
      <c r="H38" s="603">
        <f t="shared" si="3"/>
        <v>0</v>
      </c>
      <c r="I38" s="606">
        <f t="shared" si="4"/>
        <v>0</v>
      </c>
      <c r="J38" s="376"/>
    </row>
    <row r="39" spans="1:10" ht="23.4" x14ac:dyDescent="0.3">
      <c r="A39" s="1068"/>
      <c r="B39" s="678"/>
      <c r="C39" s="282" t="s">
        <v>343</v>
      </c>
      <c r="D39" s="437" t="s">
        <v>258</v>
      </c>
      <c r="E39" s="283"/>
      <c r="F39" s="320">
        <f t="shared" si="5"/>
        <v>0</v>
      </c>
      <c r="G39" s="587">
        <v>160.44999999999999</v>
      </c>
      <c r="H39" s="603">
        <f t="shared" si="3"/>
        <v>0</v>
      </c>
      <c r="I39" s="606">
        <f t="shared" si="4"/>
        <v>0</v>
      </c>
      <c r="J39" s="376"/>
    </row>
    <row r="40" spans="1:10" ht="24" thickBot="1" x14ac:dyDescent="0.35">
      <c r="A40" s="1068"/>
      <c r="B40" s="678"/>
      <c r="C40" s="282" t="s">
        <v>340</v>
      </c>
      <c r="D40" s="437" t="s">
        <v>258</v>
      </c>
      <c r="E40" s="283"/>
      <c r="F40" s="320">
        <f t="shared" si="5"/>
        <v>0</v>
      </c>
      <c r="G40" s="587">
        <v>160.44999999999999</v>
      </c>
      <c r="H40" s="603">
        <f t="shared" si="3"/>
        <v>0</v>
      </c>
      <c r="I40" s="606">
        <f t="shared" si="4"/>
        <v>0</v>
      </c>
      <c r="J40" s="376"/>
    </row>
    <row r="41" spans="1:10" ht="24" thickBot="1" x14ac:dyDescent="0.35">
      <c r="A41" s="1068"/>
      <c r="B41" s="1063" t="s">
        <v>288</v>
      </c>
      <c r="C41" s="1064"/>
      <c r="D41" s="681"/>
      <c r="E41" s="329">
        <f>SUM(E30:E40)</f>
        <v>57288</v>
      </c>
      <c r="F41" s="329">
        <f>SUM(F30:F40)</f>
        <v>57288</v>
      </c>
      <c r="G41" s="329"/>
      <c r="H41" s="597">
        <f>SUM(H30:H40)</f>
        <v>1588356</v>
      </c>
      <c r="I41" s="589">
        <f>SUM(I30:I40)</f>
        <v>1588356</v>
      </c>
      <c r="J41" s="352"/>
    </row>
    <row r="42" spans="1:10" ht="23.4" x14ac:dyDescent="0.3">
      <c r="A42" s="1068"/>
      <c r="B42" s="678"/>
      <c r="C42" s="282" t="s">
        <v>295</v>
      </c>
      <c r="D42" s="437"/>
      <c r="E42" s="283"/>
      <c r="F42" s="590">
        <f>+E42</f>
        <v>0</v>
      </c>
      <c r="G42" s="587">
        <v>10</v>
      </c>
      <c r="H42" s="603">
        <f t="shared" ref="H42:H44" si="6">E42*G42</f>
        <v>0</v>
      </c>
      <c r="I42" s="606">
        <f t="shared" ref="I42" si="7">+G42*F42</f>
        <v>0</v>
      </c>
      <c r="J42" s="376"/>
    </row>
    <row r="43" spans="1:10" ht="23.4" x14ac:dyDescent="0.3">
      <c r="A43" s="1068"/>
      <c r="B43" s="678"/>
      <c r="C43" s="282" t="s">
        <v>300</v>
      </c>
      <c r="D43" s="437" t="s">
        <v>301</v>
      </c>
      <c r="E43" s="283"/>
      <c r="F43" s="590">
        <f t="shared" ref="F43:F44" si="8">+E43</f>
        <v>0</v>
      </c>
      <c r="G43" s="587">
        <v>2500</v>
      </c>
      <c r="H43" s="603">
        <f t="shared" si="6"/>
        <v>0</v>
      </c>
      <c r="I43" s="606">
        <f>+G43*F43</f>
        <v>0</v>
      </c>
      <c r="J43" s="376"/>
    </row>
    <row r="44" spans="1:10" ht="24" thickBot="1" x14ac:dyDescent="0.35">
      <c r="A44" s="1068"/>
      <c r="B44" s="678"/>
      <c r="C44" s="282" t="s">
        <v>332</v>
      </c>
      <c r="D44" s="437" t="s">
        <v>333</v>
      </c>
      <c r="E44" s="283"/>
      <c r="F44" s="590">
        <f t="shared" si="8"/>
        <v>0</v>
      </c>
      <c r="G44" s="588">
        <v>360</v>
      </c>
      <c r="H44" s="603">
        <f t="shared" si="6"/>
        <v>0</v>
      </c>
      <c r="I44" s="606">
        <f t="shared" ref="I44" si="9">+G44*F44</f>
        <v>0</v>
      </c>
      <c r="J44" s="376"/>
    </row>
    <row r="45" spans="1:10" ht="24" thickBot="1" x14ac:dyDescent="0.35">
      <c r="A45" s="1068"/>
      <c r="B45" s="1063" t="s">
        <v>294</v>
      </c>
      <c r="C45" s="1064"/>
      <c r="D45" s="681"/>
      <c r="E45" s="329">
        <f>SUM(E42:E44)</f>
        <v>0</v>
      </c>
      <c r="F45" s="329">
        <f>SUM(F42:F44)</f>
        <v>0</v>
      </c>
      <c r="G45" s="329"/>
      <c r="H45" s="597">
        <f>SUM(H42:H44)</f>
        <v>0</v>
      </c>
      <c r="I45" s="589">
        <f>SUM(I42:I44)</f>
        <v>0</v>
      </c>
      <c r="J45" s="376"/>
    </row>
    <row r="46" spans="1:10" ht="24" thickBot="1" x14ac:dyDescent="0.35">
      <c r="A46" s="1068"/>
      <c r="B46" s="678"/>
      <c r="C46" s="282"/>
      <c r="D46" s="437"/>
      <c r="E46" s="283"/>
      <c r="F46" s="320"/>
      <c r="G46" s="588"/>
      <c r="H46" s="598"/>
      <c r="I46" s="285">
        <f t="shared" ref="I46" si="10">+G46*F46</f>
        <v>0</v>
      </c>
      <c r="J46" s="376"/>
    </row>
    <row r="47" spans="1:10" ht="24" thickBot="1" x14ac:dyDescent="0.35">
      <c r="A47" s="1069"/>
      <c r="B47" s="1063" t="s">
        <v>290</v>
      </c>
      <c r="C47" s="1064"/>
      <c r="D47" s="679"/>
      <c r="E47" s="329">
        <f>+E45+E41+E29</f>
        <v>192568</v>
      </c>
      <c r="F47" s="329">
        <f>+F45+F41+F29</f>
        <v>192568</v>
      </c>
      <c r="G47" s="329"/>
      <c r="H47" s="589">
        <f>+H41+H29+H45</f>
        <v>4437461.5999999996</v>
      </c>
      <c r="I47" s="589">
        <f>+I41+I29+I45</f>
        <v>4437461.5999999996</v>
      </c>
      <c r="J47" s="376"/>
    </row>
    <row r="48" spans="1:10" ht="23.4" x14ac:dyDescent="0.3">
      <c r="A48" s="1067" t="s">
        <v>108</v>
      </c>
      <c r="B48" s="678"/>
      <c r="C48" s="282" t="s">
        <v>304</v>
      </c>
      <c r="D48" s="437" t="s">
        <v>191</v>
      </c>
      <c r="E48" s="283"/>
      <c r="F48" s="320">
        <f>+E48</f>
        <v>0</v>
      </c>
      <c r="G48" s="612">
        <v>13.25</v>
      </c>
      <c r="H48" s="607">
        <f t="shared" ref="H48:H67" si="11">E48*G48</f>
        <v>0</v>
      </c>
      <c r="I48" s="606">
        <f t="shared" ref="I48:I67" si="12">+G48*F48</f>
        <v>0</v>
      </c>
      <c r="J48" s="376"/>
    </row>
    <row r="49" spans="1:10" ht="23.4" x14ac:dyDescent="0.3">
      <c r="A49" s="1068"/>
      <c r="B49" s="678"/>
      <c r="C49" s="282" t="s">
        <v>305</v>
      </c>
      <c r="D49" s="437"/>
      <c r="E49" s="283"/>
      <c r="F49" s="320">
        <f t="shared" ref="F49:F67" si="13">+E49</f>
        <v>0</v>
      </c>
      <c r="G49" s="613">
        <v>10000</v>
      </c>
      <c r="H49" s="607">
        <f t="shared" si="11"/>
        <v>0</v>
      </c>
      <c r="I49" s="606">
        <f t="shared" si="12"/>
        <v>0</v>
      </c>
      <c r="J49" s="376"/>
    </row>
    <row r="50" spans="1:10" ht="23.4" x14ac:dyDescent="0.3">
      <c r="A50" s="1068"/>
      <c r="B50" s="678"/>
      <c r="C50" s="282" t="s">
        <v>305</v>
      </c>
      <c r="D50" s="437"/>
      <c r="E50" s="283"/>
      <c r="F50" s="320">
        <f t="shared" si="13"/>
        <v>0</v>
      </c>
      <c r="G50" s="613">
        <v>18000</v>
      </c>
      <c r="H50" s="607">
        <f t="shared" si="11"/>
        <v>0</v>
      </c>
      <c r="I50" s="606">
        <f t="shared" si="12"/>
        <v>0</v>
      </c>
      <c r="J50" s="376"/>
    </row>
    <row r="51" spans="1:10" ht="23.4" x14ac:dyDescent="0.3">
      <c r="A51" s="1068"/>
      <c r="B51" s="678"/>
      <c r="C51" s="282" t="s">
        <v>317</v>
      </c>
      <c r="D51" s="437" t="s">
        <v>191</v>
      </c>
      <c r="E51" s="283"/>
      <c r="F51" s="320">
        <f t="shared" si="13"/>
        <v>0</v>
      </c>
      <c r="G51" s="612">
        <v>24.93</v>
      </c>
      <c r="H51" s="607">
        <f t="shared" si="11"/>
        <v>0</v>
      </c>
      <c r="I51" s="606">
        <f t="shared" si="12"/>
        <v>0</v>
      </c>
      <c r="J51" s="376"/>
    </row>
    <row r="52" spans="1:10" ht="23.4" x14ac:dyDescent="0.3">
      <c r="A52" s="1068"/>
      <c r="B52" s="678"/>
      <c r="C52" s="282" t="s">
        <v>324</v>
      </c>
      <c r="D52" s="437" t="s">
        <v>99</v>
      </c>
      <c r="E52" s="283"/>
      <c r="F52" s="320">
        <f t="shared" si="13"/>
        <v>0</v>
      </c>
      <c r="G52" s="612">
        <v>26</v>
      </c>
      <c r="H52" s="607">
        <f t="shared" si="11"/>
        <v>0</v>
      </c>
      <c r="I52" s="606">
        <f t="shared" si="12"/>
        <v>0</v>
      </c>
      <c r="J52" s="376"/>
    </row>
    <row r="53" spans="1:10" ht="23.4" x14ac:dyDescent="0.3">
      <c r="A53" s="1068"/>
      <c r="B53" s="678"/>
      <c r="C53" s="282" t="s">
        <v>325</v>
      </c>
      <c r="D53" s="437" t="s">
        <v>191</v>
      </c>
      <c r="E53" s="283"/>
      <c r="F53" s="320">
        <f t="shared" si="13"/>
        <v>0</v>
      </c>
      <c r="G53" s="612">
        <v>25.49</v>
      </c>
      <c r="H53" s="607">
        <f t="shared" si="11"/>
        <v>0</v>
      </c>
      <c r="I53" s="606">
        <f t="shared" si="12"/>
        <v>0</v>
      </c>
      <c r="J53" s="376"/>
    </row>
    <row r="54" spans="1:10" ht="23.4" x14ac:dyDescent="0.3">
      <c r="A54" s="1068"/>
      <c r="B54" s="678"/>
      <c r="C54" s="282" t="s">
        <v>326</v>
      </c>
      <c r="D54" s="437" t="s">
        <v>114</v>
      </c>
      <c r="E54" s="283"/>
      <c r="F54" s="320">
        <f t="shared" si="13"/>
        <v>0</v>
      </c>
      <c r="G54" s="612">
        <v>24.93</v>
      </c>
      <c r="H54" s="607">
        <f t="shared" si="11"/>
        <v>0</v>
      </c>
      <c r="I54" s="606">
        <f t="shared" si="12"/>
        <v>0</v>
      </c>
      <c r="J54" s="376"/>
    </row>
    <row r="55" spans="1:10" ht="23.4" x14ac:dyDescent="0.3">
      <c r="A55" s="1068"/>
      <c r="B55" s="678"/>
      <c r="C55" s="282" t="s">
        <v>327</v>
      </c>
      <c r="D55" s="437" t="s">
        <v>303</v>
      </c>
      <c r="E55" s="283"/>
      <c r="F55" s="320">
        <f t="shared" si="13"/>
        <v>0</v>
      </c>
      <c r="G55" s="612">
        <v>24.93</v>
      </c>
      <c r="H55" s="607">
        <f t="shared" si="11"/>
        <v>0</v>
      </c>
      <c r="I55" s="606">
        <f t="shared" si="12"/>
        <v>0</v>
      </c>
      <c r="J55" s="376"/>
    </row>
    <row r="56" spans="1:10" ht="23.4" x14ac:dyDescent="0.3">
      <c r="A56" s="1068"/>
      <c r="B56" s="678"/>
      <c r="C56" s="282" t="s">
        <v>328</v>
      </c>
      <c r="D56" s="437" t="s">
        <v>99</v>
      </c>
      <c r="E56" s="283"/>
      <c r="F56" s="320">
        <f t="shared" si="13"/>
        <v>0</v>
      </c>
      <c r="G56" s="612">
        <v>20.89</v>
      </c>
      <c r="H56" s="607">
        <f t="shared" si="11"/>
        <v>0</v>
      </c>
      <c r="I56" s="606">
        <f t="shared" si="12"/>
        <v>0</v>
      </c>
      <c r="J56" s="376"/>
    </row>
    <row r="57" spans="1:10" ht="23.4" x14ac:dyDescent="0.3">
      <c r="A57" s="1068"/>
      <c r="B57" s="678"/>
      <c r="C57" s="282" t="s">
        <v>394</v>
      </c>
      <c r="D57" s="437" t="s">
        <v>338</v>
      </c>
      <c r="E57" s="283"/>
      <c r="F57" s="320">
        <f t="shared" si="13"/>
        <v>0</v>
      </c>
      <c r="G57" s="612">
        <v>37.4566666666</v>
      </c>
      <c r="H57" s="607">
        <f t="shared" si="11"/>
        <v>0</v>
      </c>
      <c r="I57" s="606">
        <f t="shared" si="12"/>
        <v>0</v>
      </c>
      <c r="J57" s="376"/>
    </row>
    <row r="58" spans="1:10" ht="23.4" x14ac:dyDescent="0.3">
      <c r="A58" s="1068"/>
      <c r="B58" s="678"/>
      <c r="C58" s="282" t="s">
        <v>395</v>
      </c>
      <c r="D58" s="437" t="s">
        <v>338</v>
      </c>
      <c r="E58" s="283"/>
      <c r="F58" s="320">
        <f t="shared" si="13"/>
        <v>0</v>
      </c>
      <c r="G58" s="612">
        <v>37.89</v>
      </c>
      <c r="H58" s="607">
        <f t="shared" si="11"/>
        <v>0</v>
      </c>
      <c r="I58" s="606">
        <f t="shared" si="12"/>
        <v>0</v>
      </c>
      <c r="J58" s="376"/>
    </row>
    <row r="59" spans="1:10" ht="23.4" x14ac:dyDescent="0.3">
      <c r="A59" s="1068"/>
      <c r="B59" s="678"/>
      <c r="C59" s="282" t="s">
        <v>326</v>
      </c>
      <c r="D59" s="437" t="s">
        <v>302</v>
      </c>
      <c r="E59" s="283"/>
      <c r="F59" s="320">
        <f t="shared" si="13"/>
        <v>0</v>
      </c>
      <c r="G59" s="612">
        <v>24.93</v>
      </c>
      <c r="H59" s="607">
        <f t="shared" si="11"/>
        <v>0</v>
      </c>
      <c r="I59" s="606">
        <f t="shared" si="12"/>
        <v>0</v>
      </c>
      <c r="J59" s="376"/>
    </row>
    <row r="60" spans="1:10" ht="23.4" x14ac:dyDescent="0.3">
      <c r="A60" s="1068"/>
      <c r="B60" s="678"/>
      <c r="C60" s="282" t="s">
        <v>402</v>
      </c>
      <c r="D60" s="437" t="s">
        <v>376</v>
      </c>
      <c r="E60" s="283"/>
      <c r="F60" s="320">
        <f t="shared" si="13"/>
        <v>0</v>
      </c>
      <c r="G60" s="612">
        <v>24.93</v>
      </c>
      <c r="H60" s="607">
        <f t="shared" si="11"/>
        <v>0</v>
      </c>
      <c r="I60" s="606">
        <f t="shared" si="12"/>
        <v>0</v>
      </c>
      <c r="J60" s="376"/>
    </row>
    <row r="61" spans="1:10" ht="23.4" x14ac:dyDescent="0.3">
      <c r="A61" s="1068"/>
      <c r="B61" s="678"/>
      <c r="C61" s="282" t="s">
        <v>350</v>
      </c>
      <c r="D61" s="437" t="s">
        <v>313</v>
      </c>
      <c r="E61" s="283"/>
      <c r="F61" s="320">
        <f t="shared" si="13"/>
        <v>0</v>
      </c>
      <c r="G61" s="612">
        <v>34.26</v>
      </c>
      <c r="H61" s="607">
        <f t="shared" si="11"/>
        <v>0</v>
      </c>
      <c r="I61" s="606">
        <f t="shared" si="12"/>
        <v>0</v>
      </c>
      <c r="J61" s="376"/>
    </row>
    <row r="62" spans="1:10" ht="23.4" x14ac:dyDescent="0.3">
      <c r="A62" s="1068"/>
      <c r="B62" s="678"/>
      <c r="C62" s="282" t="s">
        <v>363</v>
      </c>
      <c r="D62" s="437" t="s">
        <v>401</v>
      </c>
      <c r="E62" s="283"/>
      <c r="F62" s="320">
        <f t="shared" si="13"/>
        <v>0</v>
      </c>
      <c r="G62" s="612">
        <v>37.89</v>
      </c>
      <c r="H62" s="607">
        <f t="shared" si="11"/>
        <v>0</v>
      </c>
      <c r="I62" s="606">
        <f t="shared" si="12"/>
        <v>0</v>
      </c>
      <c r="J62" s="376"/>
    </row>
    <row r="63" spans="1:10" ht="23.4" x14ac:dyDescent="0.3">
      <c r="A63" s="1068"/>
      <c r="B63" s="678"/>
      <c r="C63" s="282" t="s">
        <v>406</v>
      </c>
      <c r="D63" s="437" t="s">
        <v>376</v>
      </c>
      <c r="E63" s="283"/>
      <c r="F63" s="320">
        <f t="shared" si="13"/>
        <v>0</v>
      </c>
      <c r="G63" s="612">
        <v>39</v>
      </c>
      <c r="H63" s="607">
        <f t="shared" si="11"/>
        <v>0</v>
      </c>
      <c r="I63" s="606">
        <f t="shared" si="12"/>
        <v>0</v>
      </c>
      <c r="J63" s="376"/>
    </row>
    <row r="64" spans="1:10" ht="23.4" x14ac:dyDescent="0.3">
      <c r="A64" s="1068"/>
      <c r="B64" s="678"/>
      <c r="C64" s="282" t="s">
        <v>327</v>
      </c>
      <c r="D64" s="437" t="s">
        <v>190</v>
      </c>
      <c r="E64" s="283"/>
      <c r="F64" s="320">
        <f t="shared" si="13"/>
        <v>0</v>
      </c>
      <c r="G64" s="612">
        <v>21.22</v>
      </c>
      <c r="H64" s="607">
        <f t="shared" si="11"/>
        <v>0</v>
      </c>
      <c r="I64" s="606">
        <f t="shared" si="12"/>
        <v>0</v>
      </c>
      <c r="J64" s="376"/>
    </row>
    <row r="65" spans="1:10" ht="23.4" x14ac:dyDescent="0.3">
      <c r="A65" s="1068"/>
      <c r="B65" s="678"/>
      <c r="C65" s="282" t="s">
        <v>326</v>
      </c>
      <c r="D65" s="437" t="s">
        <v>190</v>
      </c>
      <c r="E65" s="283"/>
      <c r="F65" s="320">
        <f t="shared" si="13"/>
        <v>0</v>
      </c>
      <c r="G65" s="612">
        <v>21.22</v>
      </c>
      <c r="H65" s="607">
        <f t="shared" si="11"/>
        <v>0</v>
      </c>
      <c r="I65" s="606">
        <f t="shared" si="12"/>
        <v>0</v>
      </c>
      <c r="J65" s="376"/>
    </row>
    <row r="66" spans="1:10" ht="23.4" x14ac:dyDescent="0.3">
      <c r="A66" s="1068"/>
      <c r="B66" s="678"/>
      <c r="C66" s="282" t="s">
        <v>377</v>
      </c>
      <c r="D66" s="437" t="s">
        <v>333</v>
      </c>
      <c r="E66" s="283"/>
      <c r="F66" s="320">
        <f t="shared" si="13"/>
        <v>0</v>
      </c>
      <c r="G66" s="612">
        <v>10000</v>
      </c>
      <c r="H66" s="607">
        <f t="shared" si="11"/>
        <v>0</v>
      </c>
      <c r="I66" s="606">
        <f t="shared" si="12"/>
        <v>0</v>
      </c>
      <c r="J66" s="376"/>
    </row>
    <row r="67" spans="1:10" ht="24" thickBot="1" x14ac:dyDescent="0.35">
      <c r="A67" s="1068"/>
      <c r="B67" s="678"/>
      <c r="C67" s="282" t="s">
        <v>332</v>
      </c>
      <c r="D67" s="437" t="s">
        <v>333</v>
      </c>
      <c r="E67" s="283"/>
      <c r="F67" s="320">
        <f t="shared" si="13"/>
        <v>0</v>
      </c>
      <c r="G67" s="612">
        <v>360</v>
      </c>
      <c r="H67" s="607">
        <f t="shared" si="11"/>
        <v>0</v>
      </c>
      <c r="I67" s="606">
        <f t="shared" si="12"/>
        <v>0</v>
      </c>
      <c r="J67" s="376"/>
    </row>
    <row r="68" spans="1:10" ht="24" thickBot="1" x14ac:dyDescent="0.35">
      <c r="A68" s="1069"/>
      <c r="B68" s="1063" t="s">
        <v>289</v>
      </c>
      <c r="C68" s="1064"/>
      <c r="D68" s="681"/>
      <c r="E68" s="329">
        <f>SUM(E48:E67)</f>
        <v>0</v>
      </c>
      <c r="F68" s="329">
        <f>SUM(F48:F67)</f>
        <v>0</v>
      </c>
      <c r="G68" s="329"/>
      <c r="H68" s="597"/>
      <c r="I68" s="589">
        <f>SUM(I48:I67)</f>
        <v>0</v>
      </c>
      <c r="J68" s="376"/>
    </row>
    <row r="69" spans="1:10" ht="23.4" x14ac:dyDescent="0.3">
      <c r="A69" s="1067" t="s">
        <v>109</v>
      </c>
      <c r="B69" s="678"/>
      <c r="C69" s="282" t="s">
        <v>296</v>
      </c>
      <c r="D69" s="437" t="s">
        <v>258</v>
      </c>
      <c r="E69" s="283">
        <v>2560</v>
      </c>
      <c r="F69" s="320">
        <f>+E69</f>
        <v>2560</v>
      </c>
      <c r="G69" s="612">
        <v>430.02</v>
      </c>
      <c r="H69" s="603">
        <f>E69*G69</f>
        <v>1100851.2</v>
      </c>
      <c r="I69" s="606">
        <f t="shared" ref="I69:I88" si="14">+G69*F69</f>
        <v>1100851.2</v>
      </c>
      <c r="J69" s="376"/>
    </row>
    <row r="70" spans="1:10" ht="23.4" x14ac:dyDescent="0.3">
      <c r="A70" s="1068"/>
      <c r="B70" s="678"/>
      <c r="C70" s="282" t="s">
        <v>297</v>
      </c>
      <c r="D70" s="437" t="s">
        <v>258</v>
      </c>
      <c r="E70" s="283"/>
      <c r="F70" s="320">
        <f t="shared" ref="F70:F88" si="15">+E70</f>
        <v>0</v>
      </c>
      <c r="G70" s="612">
        <v>445.38</v>
      </c>
      <c r="H70" s="603">
        <f t="shared" ref="H70:H88" si="16">E70*G70</f>
        <v>0</v>
      </c>
      <c r="I70" s="606">
        <f t="shared" si="14"/>
        <v>0</v>
      </c>
      <c r="J70" s="376"/>
    </row>
    <row r="71" spans="1:10" ht="23.4" x14ac:dyDescent="0.3">
      <c r="A71" s="1068"/>
      <c r="B71" s="678"/>
      <c r="C71" s="282" t="s">
        <v>330</v>
      </c>
      <c r="D71" s="437" t="s">
        <v>258</v>
      </c>
      <c r="E71" s="283"/>
      <c r="F71" s="320">
        <f t="shared" si="15"/>
        <v>0</v>
      </c>
      <c r="G71" s="612">
        <v>63.55</v>
      </c>
      <c r="H71" s="603">
        <f t="shared" si="16"/>
        <v>0</v>
      </c>
      <c r="I71" s="606">
        <f t="shared" si="14"/>
        <v>0</v>
      </c>
      <c r="J71" s="376"/>
    </row>
    <row r="72" spans="1:10" ht="23.4" x14ac:dyDescent="0.3">
      <c r="A72" s="1068"/>
      <c r="B72" s="678"/>
      <c r="C72" s="282" t="s">
        <v>298</v>
      </c>
      <c r="D72" s="437" t="s">
        <v>258</v>
      </c>
      <c r="E72" s="283"/>
      <c r="F72" s="320">
        <f t="shared" si="15"/>
        <v>0</v>
      </c>
      <c r="G72" s="612">
        <v>71.44</v>
      </c>
      <c r="H72" s="603">
        <f t="shared" si="16"/>
        <v>0</v>
      </c>
      <c r="I72" s="606">
        <f t="shared" si="14"/>
        <v>0</v>
      </c>
      <c r="J72" s="376"/>
    </row>
    <row r="73" spans="1:10" ht="23.4" x14ac:dyDescent="0.3">
      <c r="A73" s="1068"/>
      <c r="B73" s="678"/>
      <c r="C73" s="282" t="s">
        <v>299</v>
      </c>
      <c r="D73" s="437" t="s">
        <v>258</v>
      </c>
      <c r="E73" s="283"/>
      <c r="F73" s="320">
        <f t="shared" si="15"/>
        <v>0</v>
      </c>
      <c r="G73" s="612">
        <v>36.5</v>
      </c>
      <c r="H73" s="603">
        <f t="shared" si="16"/>
        <v>0</v>
      </c>
      <c r="I73" s="606">
        <f t="shared" si="14"/>
        <v>0</v>
      </c>
      <c r="J73" s="376"/>
    </row>
    <row r="74" spans="1:10" ht="23.4" x14ac:dyDescent="0.3">
      <c r="A74" s="1068"/>
      <c r="B74" s="678"/>
      <c r="C74" s="282" t="s">
        <v>308</v>
      </c>
      <c r="D74" s="437" t="s">
        <v>258</v>
      </c>
      <c r="E74" s="283"/>
      <c r="F74" s="320">
        <f t="shared" si="15"/>
        <v>0</v>
      </c>
      <c r="G74" s="612">
        <v>320.35000000000002</v>
      </c>
      <c r="H74" s="603">
        <f t="shared" si="16"/>
        <v>0</v>
      </c>
      <c r="I74" s="606">
        <f t="shared" si="14"/>
        <v>0</v>
      </c>
      <c r="J74" s="376"/>
    </row>
    <row r="75" spans="1:10" ht="23.4" x14ac:dyDescent="0.3">
      <c r="A75" s="1068"/>
      <c r="B75" s="678"/>
      <c r="C75" s="282" t="s">
        <v>322</v>
      </c>
      <c r="D75" s="437" t="s">
        <v>258</v>
      </c>
      <c r="E75" s="283"/>
      <c r="F75" s="320">
        <f t="shared" si="15"/>
        <v>0</v>
      </c>
      <c r="G75" s="612">
        <v>434.41</v>
      </c>
      <c r="H75" s="603">
        <f t="shared" si="16"/>
        <v>0</v>
      </c>
      <c r="I75" s="606">
        <f t="shared" si="14"/>
        <v>0</v>
      </c>
      <c r="J75" s="376"/>
    </row>
    <row r="76" spans="1:10" ht="23.4" x14ac:dyDescent="0.3">
      <c r="A76" s="1068"/>
      <c r="B76" s="678"/>
      <c r="C76" s="282" t="s">
        <v>305</v>
      </c>
      <c r="D76" s="437" t="s">
        <v>258</v>
      </c>
      <c r="E76" s="283"/>
      <c r="F76" s="320">
        <f t="shared" si="15"/>
        <v>0</v>
      </c>
      <c r="G76" s="612">
        <v>29690</v>
      </c>
      <c r="H76" s="603">
        <f t="shared" si="16"/>
        <v>0</v>
      </c>
      <c r="I76" s="606">
        <f t="shared" si="14"/>
        <v>0</v>
      </c>
      <c r="J76" s="376"/>
    </row>
    <row r="77" spans="1:10" ht="23.4" x14ac:dyDescent="0.3">
      <c r="A77" s="1068"/>
      <c r="B77" s="678"/>
      <c r="C77" s="282" t="s">
        <v>305</v>
      </c>
      <c r="D77" s="437" t="s">
        <v>258</v>
      </c>
      <c r="E77" s="283"/>
      <c r="F77" s="320">
        <f t="shared" si="15"/>
        <v>0</v>
      </c>
      <c r="G77" s="612">
        <v>26445</v>
      </c>
      <c r="H77" s="603">
        <f t="shared" si="16"/>
        <v>0</v>
      </c>
      <c r="I77" s="606">
        <f t="shared" si="14"/>
        <v>0</v>
      </c>
      <c r="J77" s="376"/>
    </row>
    <row r="78" spans="1:10" ht="23.4" x14ac:dyDescent="0.3">
      <c r="A78" s="1068"/>
      <c r="B78" s="678"/>
      <c r="C78" s="282" t="s">
        <v>341</v>
      </c>
      <c r="D78" s="437" t="s">
        <v>375</v>
      </c>
      <c r="E78" s="283"/>
      <c r="F78" s="320">
        <f t="shared" si="15"/>
        <v>0</v>
      </c>
      <c r="G78" s="612">
        <v>50</v>
      </c>
      <c r="H78" s="603">
        <f t="shared" si="16"/>
        <v>0</v>
      </c>
      <c r="I78" s="606">
        <f t="shared" si="14"/>
        <v>0</v>
      </c>
      <c r="J78" s="376"/>
    </row>
    <row r="79" spans="1:10" ht="23.4" x14ac:dyDescent="0.3">
      <c r="A79" s="1068"/>
      <c r="B79" s="678"/>
      <c r="C79" s="282" t="s">
        <v>341</v>
      </c>
      <c r="D79" s="437" t="s">
        <v>375</v>
      </c>
      <c r="E79" s="283"/>
      <c r="F79" s="320">
        <f t="shared" si="15"/>
        <v>0</v>
      </c>
      <c r="G79" s="612">
        <v>45</v>
      </c>
      <c r="H79" s="603">
        <f t="shared" si="16"/>
        <v>0</v>
      </c>
      <c r="I79" s="606">
        <f t="shared" si="14"/>
        <v>0</v>
      </c>
      <c r="J79" s="376"/>
    </row>
    <row r="80" spans="1:10" ht="23.4" x14ac:dyDescent="0.3">
      <c r="A80" s="1068"/>
      <c r="B80" s="678"/>
      <c r="C80" s="282" t="s">
        <v>364</v>
      </c>
      <c r="D80" s="437" t="s">
        <v>411</v>
      </c>
      <c r="E80" s="283"/>
      <c r="F80" s="320">
        <f t="shared" si="15"/>
        <v>0</v>
      </c>
      <c r="G80" s="612">
        <v>57.64</v>
      </c>
      <c r="H80" s="603">
        <f t="shared" si="16"/>
        <v>0</v>
      </c>
      <c r="I80" s="606">
        <f t="shared" si="14"/>
        <v>0</v>
      </c>
      <c r="J80" s="376"/>
    </row>
    <row r="81" spans="1:10" ht="23.4" x14ac:dyDescent="0.3">
      <c r="A81" s="1068"/>
      <c r="B81" s="678"/>
      <c r="C81" s="282" t="s">
        <v>364</v>
      </c>
      <c r="D81" s="437" t="s">
        <v>407</v>
      </c>
      <c r="E81" s="283"/>
      <c r="F81" s="320">
        <f t="shared" si="15"/>
        <v>0</v>
      </c>
      <c r="G81" s="612">
        <v>57.64</v>
      </c>
      <c r="H81" s="603">
        <f t="shared" si="16"/>
        <v>0</v>
      </c>
      <c r="I81" s="606">
        <f t="shared" si="14"/>
        <v>0</v>
      </c>
      <c r="J81" s="376"/>
    </row>
    <row r="82" spans="1:10" ht="23.4" x14ac:dyDescent="0.3">
      <c r="A82" s="1068"/>
      <c r="B82" s="678"/>
      <c r="C82" s="282" t="s">
        <v>365</v>
      </c>
      <c r="D82" s="437" t="s">
        <v>366</v>
      </c>
      <c r="E82" s="283"/>
      <c r="F82" s="320">
        <f t="shared" si="15"/>
        <v>0</v>
      </c>
      <c r="G82" s="612">
        <v>434.41</v>
      </c>
      <c r="H82" s="603">
        <f t="shared" si="16"/>
        <v>0</v>
      </c>
      <c r="I82" s="606">
        <f t="shared" si="14"/>
        <v>0</v>
      </c>
      <c r="J82" s="376"/>
    </row>
    <row r="83" spans="1:10" ht="23.4" x14ac:dyDescent="0.3">
      <c r="A83" s="1068"/>
      <c r="B83" s="678"/>
      <c r="C83" s="282" t="s">
        <v>381</v>
      </c>
      <c r="D83" s="437" t="s">
        <v>258</v>
      </c>
      <c r="E83" s="283"/>
      <c r="F83" s="320">
        <f t="shared" si="15"/>
        <v>0</v>
      </c>
      <c r="G83" s="612">
        <v>624.26</v>
      </c>
      <c r="H83" s="603">
        <f t="shared" si="16"/>
        <v>0</v>
      </c>
      <c r="I83" s="606">
        <f t="shared" si="14"/>
        <v>0</v>
      </c>
      <c r="J83" s="376"/>
    </row>
    <row r="84" spans="1:10" ht="23.4" x14ac:dyDescent="0.3">
      <c r="A84" s="1068"/>
      <c r="B84" s="678"/>
      <c r="C84" s="282" t="s">
        <v>367</v>
      </c>
      <c r="D84" s="437" t="s">
        <v>366</v>
      </c>
      <c r="E84" s="283"/>
      <c r="F84" s="320">
        <f t="shared" si="15"/>
        <v>0</v>
      </c>
      <c r="G84" s="612">
        <v>63.55</v>
      </c>
      <c r="H84" s="603">
        <f t="shared" si="16"/>
        <v>0</v>
      </c>
      <c r="I84" s="606">
        <f t="shared" si="14"/>
        <v>0</v>
      </c>
      <c r="J84" s="376"/>
    </row>
    <row r="85" spans="1:10" ht="23.4" x14ac:dyDescent="0.3">
      <c r="A85" s="1068"/>
      <c r="B85" s="678"/>
      <c r="C85" s="282" t="s">
        <v>368</v>
      </c>
      <c r="D85" s="437" t="s">
        <v>366</v>
      </c>
      <c r="E85" s="283"/>
      <c r="F85" s="320">
        <f t="shared" si="15"/>
        <v>0</v>
      </c>
      <c r="G85" s="612">
        <v>53.86</v>
      </c>
      <c r="H85" s="603">
        <f t="shared" si="16"/>
        <v>0</v>
      </c>
      <c r="I85" s="606">
        <f t="shared" si="14"/>
        <v>0</v>
      </c>
      <c r="J85" s="376"/>
    </row>
    <row r="86" spans="1:10" ht="23.4" x14ac:dyDescent="0.3">
      <c r="A86" s="1068"/>
      <c r="B86" s="678"/>
      <c r="C86" s="282" t="s">
        <v>385</v>
      </c>
      <c r="D86" s="437" t="s">
        <v>375</v>
      </c>
      <c r="E86" s="283"/>
      <c r="F86" s="320">
        <f t="shared" si="15"/>
        <v>0</v>
      </c>
      <c r="G86" s="612">
        <v>45</v>
      </c>
      <c r="H86" s="603">
        <f t="shared" si="16"/>
        <v>0</v>
      </c>
      <c r="I86" s="606">
        <f t="shared" si="14"/>
        <v>0</v>
      </c>
      <c r="J86" s="376"/>
    </row>
    <row r="87" spans="1:10" ht="23.4" x14ac:dyDescent="0.3">
      <c r="A87" s="1068"/>
      <c r="B87" s="678"/>
      <c r="C87" s="282" t="s">
        <v>305</v>
      </c>
      <c r="D87" s="437"/>
      <c r="E87" s="283"/>
      <c r="F87" s="320">
        <f t="shared" si="15"/>
        <v>0</v>
      </c>
      <c r="G87" s="612">
        <v>39450</v>
      </c>
      <c r="H87" s="603">
        <f t="shared" si="16"/>
        <v>0</v>
      </c>
      <c r="I87" s="606">
        <f t="shared" si="14"/>
        <v>0</v>
      </c>
      <c r="J87" s="376"/>
    </row>
    <row r="88" spans="1:10" ht="24" thickBot="1" x14ac:dyDescent="0.35">
      <c r="A88" s="1068"/>
      <c r="B88" s="678"/>
      <c r="C88" s="282" t="s">
        <v>364</v>
      </c>
      <c r="D88" s="437" t="s">
        <v>258</v>
      </c>
      <c r="E88" s="283"/>
      <c r="F88" s="320">
        <f t="shared" si="15"/>
        <v>0</v>
      </c>
      <c r="G88" s="612">
        <v>57.64</v>
      </c>
      <c r="H88" s="603">
        <f t="shared" si="16"/>
        <v>0</v>
      </c>
      <c r="I88" s="606">
        <f t="shared" si="14"/>
        <v>0</v>
      </c>
      <c r="J88" s="376"/>
    </row>
    <row r="89" spans="1:10" ht="24" thickBot="1" x14ac:dyDescent="0.35">
      <c r="A89" s="1069"/>
      <c r="B89" s="1063" t="s">
        <v>291</v>
      </c>
      <c r="C89" s="1064"/>
      <c r="D89" s="681"/>
      <c r="E89" s="329">
        <f>SUM(E69:E88)</f>
        <v>2560</v>
      </c>
      <c r="F89" s="329">
        <f>SUM(F69:F88)</f>
        <v>2560</v>
      </c>
      <c r="G89" s="329"/>
      <c r="H89" s="600">
        <f>SUM(H69:H88)</f>
        <v>1100851.2</v>
      </c>
      <c r="I89" s="589">
        <f>SUM(I69:I88)</f>
        <v>1100851.2</v>
      </c>
      <c r="J89" s="375"/>
    </row>
    <row r="90" spans="1:10" ht="24" thickBot="1" x14ac:dyDescent="0.35">
      <c r="A90" s="685"/>
      <c r="B90" s="440"/>
      <c r="C90" s="282"/>
      <c r="D90" s="437"/>
      <c r="E90" s="283"/>
      <c r="F90" s="284"/>
      <c r="G90" s="337"/>
      <c r="H90" s="599"/>
      <c r="I90" s="285"/>
      <c r="J90" s="376"/>
    </row>
    <row r="91" spans="1:10" ht="24" thickBot="1" x14ac:dyDescent="0.35">
      <c r="A91" s="685"/>
      <c r="B91" s="1063" t="s">
        <v>238</v>
      </c>
      <c r="C91" s="1064"/>
      <c r="D91" s="679"/>
      <c r="E91" s="329"/>
      <c r="F91" s="330"/>
      <c r="G91" s="329"/>
      <c r="H91" s="597"/>
      <c r="I91" s="327"/>
      <c r="J91" s="352"/>
    </row>
    <row r="92" spans="1:10" ht="24.6" thickBot="1" x14ac:dyDescent="0.35">
      <c r="A92" s="322"/>
      <c r="B92" s="1065" t="s">
        <v>182</v>
      </c>
      <c r="C92" s="1066"/>
      <c r="D92" s="680"/>
      <c r="E92" s="377">
        <f>+E89+E68+E47+E45</f>
        <v>195128</v>
      </c>
      <c r="F92" s="377">
        <f>+F89+F68+F47+F45</f>
        <v>195128</v>
      </c>
      <c r="G92" s="377"/>
      <c r="H92" s="377"/>
      <c r="I92" s="377">
        <f>+I89+I68+I47</f>
        <v>5538312.7999999998</v>
      </c>
      <c r="J92" s="378"/>
    </row>
    <row r="93" spans="1:10" ht="23.4" x14ac:dyDescent="0.3">
      <c r="A93" s="991" t="s">
        <v>1</v>
      </c>
      <c r="B93" s="994" t="s">
        <v>2</v>
      </c>
      <c r="C93" s="1072" t="s">
        <v>3</v>
      </c>
      <c r="D93" s="1043" t="s">
        <v>93</v>
      </c>
      <c r="E93" s="1076">
        <v>44532</v>
      </c>
      <c r="F93" s="1001"/>
      <c r="G93" s="1001"/>
      <c r="H93" s="1001"/>
      <c r="I93" s="1001"/>
      <c r="J93" s="1002"/>
    </row>
    <row r="94" spans="1:10" ht="23.4" x14ac:dyDescent="0.3">
      <c r="A94" s="1070"/>
      <c r="B94" s="1071"/>
      <c r="C94" s="1073"/>
      <c r="D94" s="1044"/>
      <c r="E94" s="1077" t="s">
        <v>94</v>
      </c>
      <c r="F94" s="1078"/>
      <c r="G94" s="1077" t="s">
        <v>247</v>
      </c>
      <c r="H94" s="1079"/>
      <c r="I94" s="1079"/>
      <c r="J94" s="1078"/>
    </row>
    <row r="95" spans="1:10" x14ac:dyDescent="0.3">
      <c r="A95" s="992"/>
      <c r="B95" s="995"/>
      <c r="C95" s="1074"/>
      <c r="D95" s="1044"/>
      <c r="E95" s="1003" t="s">
        <v>95</v>
      </c>
      <c r="F95" s="1005" t="s">
        <v>96</v>
      </c>
      <c r="G95" s="1081" t="s">
        <v>97</v>
      </c>
      <c r="H95" s="1083" t="s">
        <v>98</v>
      </c>
      <c r="I95" s="1083" t="s">
        <v>98</v>
      </c>
      <c r="J95" s="1085" t="s">
        <v>12</v>
      </c>
    </row>
    <row r="96" spans="1:10" ht="14.4" thickBot="1" x14ac:dyDescent="0.35">
      <c r="A96" s="993"/>
      <c r="B96" s="996"/>
      <c r="C96" s="1075"/>
      <c r="D96" s="1045"/>
      <c r="E96" s="1004"/>
      <c r="F96" s="1006"/>
      <c r="G96" s="1082"/>
      <c r="H96" s="1084"/>
      <c r="I96" s="1084"/>
      <c r="J96" s="1086"/>
    </row>
    <row r="97" spans="1:10" ht="23.4" x14ac:dyDescent="0.3">
      <c r="A97" s="1067" t="s">
        <v>110</v>
      </c>
      <c r="B97" s="442"/>
      <c r="C97" s="584" t="s">
        <v>292</v>
      </c>
      <c r="D97" s="686" t="s">
        <v>284</v>
      </c>
      <c r="E97" s="273"/>
      <c r="F97" s="438">
        <f>+E15+E97</f>
        <v>0</v>
      </c>
      <c r="G97" s="585">
        <v>111.09</v>
      </c>
      <c r="H97" s="601">
        <f t="shared" ref="H97:H110" si="17">E97*G97</f>
        <v>0</v>
      </c>
      <c r="I97" s="604">
        <f>+G97*F97</f>
        <v>0</v>
      </c>
      <c r="J97" s="354"/>
    </row>
    <row r="98" spans="1:10" ht="23.4" x14ac:dyDescent="0.3">
      <c r="A98" s="1068"/>
      <c r="B98" s="441"/>
      <c r="C98" s="444" t="s">
        <v>285</v>
      </c>
      <c r="D98" s="687" t="s">
        <v>286</v>
      </c>
      <c r="E98" s="279"/>
      <c r="F98" s="438">
        <f t="shared" ref="F98:F110" si="18">+E16+E98</f>
        <v>0</v>
      </c>
      <c r="G98" s="586">
        <v>11</v>
      </c>
      <c r="H98" s="602">
        <f t="shared" si="17"/>
        <v>0</v>
      </c>
      <c r="I98" s="605">
        <f>+G98*F98</f>
        <v>0</v>
      </c>
      <c r="J98" s="355"/>
    </row>
    <row r="99" spans="1:10" ht="23.4" x14ac:dyDescent="0.3">
      <c r="A99" s="1068"/>
      <c r="B99" s="441"/>
      <c r="C99" s="444" t="s">
        <v>321</v>
      </c>
      <c r="D99" s="687" t="s">
        <v>400</v>
      </c>
      <c r="E99" s="279"/>
      <c r="F99" s="438">
        <f t="shared" si="18"/>
        <v>0</v>
      </c>
      <c r="G99" s="586">
        <v>139.04</v>
      </c>
      <c r="H99" s="602">
        <f t="shared" si="17"/>
        <v>0</v>
      </c>
      <c r="I99" s="605">
        <f t="shared" ref="I99:I110" si="19">+G99*F99</f>
        <v>0</v>
      </c>
      <c r="J99" s="355"/>
    </row>
    <row r="100" spans="1:10" ht="23.4" x14ac:dyDescent="0.3">
      <c r="A100" s="1068"/>
      <c r="B100" s="441"/>
      <c r="C100" s="444" t="s">
        <v>397</v>
      </c>
      <c r="D100" s="687" t="s">
        <v>398</v>
      </c>
      <c r="E100" s="279">
        <f>30600+36720+30600+36720</f>
        <v>134640</v>
      </c>
      <c r="F100" s="438">
        <f t="shared" si="18"/>
        <v>269280</v>
      </c>
      <c r="G100" s="586">
        <v>20.5</v>
      </c>
      <c r="H100" s="602">
        <f t="shared" si="17"/>
        <v>2760120</v>
      </c>
      <c r="I100" s="605">
        <f t="shared" si="19"/>
        <v>5520240</v>
      </c>
      <c r="J100" s="355"/>
    </row>
    <row r="101" spans="1:10" ht="23.4" x14ac:dyDescent="0.3">
      <c r="A101" s="1068"/>
      <c r="B101" s="441"/>
      <c r="C101" s="444" t="s">
        <v>312</v>
      </c>
      <c r="D101" s="687" t="s">
        <v>190</v>
      </c>
      <c r="E101" s="279"/>
      <c r="F101" s="438">
        <f t="shared" si="18"/>
        <v>0</v>
      </c>
      <c r="G101" s="586">
        <v>14.79</v>
      </c>
      <c r="H101" s="602">
        <f t="shared" si="17"/>
        <v>0</v>
      </c>
      <c r="I101" s="605">
        <f t="shared" si="19"/>
        <v>0</v>
      </c>
      <c r="J101" s="355"/>
    </row>
    <row r="102" spans="1:10" ht="23.4" x14ac:dyDescent="0.3">
      <c r="A102" s="1068"/>
      <c r="B102" s="441"/>
      <c r="C102" s="444" t="s">
        <v>321</v>
      </c>
      <c r="D102" s="687" t="s">
        <v>286</v>
      </c>
      <c r="E102" s="279">
        <v>0</v>
      </c>
      <c r="F102" s="438">
        <f t="shared" si="18"/>
        <v>640</v>
      </c>
      <c r="G102" s="586">
        <v>139.04</v>
      </c>
      <c r="H102" s="602">
        <f t="shared" si="17"/>
        <v>0</v>
      </c>
      <c r="I102" s="605">
        <f t="shared" si="19"/>
        <v>88985.599999999991</v>
      </c>
      <c r="J102" s="355"/>
    </row>
    <row r="103" spans="1:10" ht="23.4" x14ac:dyDescent="0.3">
      <c r="A103" s="1068"/>
      <c r="B103" s="441"/>
      <c r="C103" s="444" t="s">
        <v>362</v>
      </c>
      <c r="D103" s="688" t="s">
        <v>396</v>
      </c>
      <c r="E103" s="279"/>
      <c r="F103" s="438">
        <f t="shared" si="18"/>
        <v>0</v>
      </c>
      <c r="G103" s="586">
        <v>20.5</v>
      </c>
      <c r="H103" s="602">
        <f t="shared" si="17"/>
        <v>0</v>
      </c>
      <c r="I103" s="605">
        <f t="shared" si="19"/>
        <v>0</v>
      </c>
      <c r="J103" s="355"/>
    </row>
    <row r="104" spans="1:10" ht="23.4" x14ac:dyDescent="0.3">
      <c r="A104" s="1068"/>
      <c r="B104" s="441"/>
      <c r="C104" s="444" t="s">
        <v>345</v>
      </c>
      <c r="D104" s="688" t="s">
        <v>286</v>
      </c>
      <c r="E104" s="279"/>
      <c r="F104" s="438">
        <f t="shared" si="18"/>
        <v>0</v>
      </c>
      <c r="G104" s="586">
        <v>18.84</v>
      </c>
      <c r="H104" s="602">
        <f t="shared" si="17"/>
        <v>0</v>
      </c>
      <c r="I104" s="605">
        <f t="shared" si="19"/>
        <v>0</v>
      </c>
      <c r="J104" s="355"/>
    </row>
    <row r="105" spans="1:10" ht="23.4" x14ac:dyDescent="0.3">
      <c r="A105" s="1068"/>
      <c r="B105" s="441"/>
      <c r="C105" s="444" t="s">
        <v>357</v>
      </c>
      <c r="D105" s="688" t="s">
        <v>252</v>
      </c>
      <c r="E105" s="279"/>
      <c r="F105" s="438">
        <f t="shared" si="18"/>
        <v>0</v>
      </c>
      <c r="G105" s="586">
        <v>21.18</v>
      </c>
      <c r="H105" s="602">
        <f t="shared" si="17"/>
        <v>0</v>
      </c>
      <c r="I105" s="605">
        <f t="shared" si="19"/>
        <v>0</v>
      </c>
      <c r="J105" s="355"/>
    </row>
    <row r="106" spans="1:10" ht="23.4" x14ac:dyDescent="0.3">
      <c r="A106" s="1068"/>
      <c r="B106" s="441"/>
      <c r="C106" s="444" t="s">
        <v>359</v>
      </c>
      <c r="D106" s="688" t="s">
        <v>360</v>
      </c>
      <c r="E106" s="279"/>
      <c r="F106" s="438">
        <f t="shared" si="18"/>
        <v>0</v>
      </c>
      <c r="G106" s="586">
        <v>21.28</v>
      </c>
      <c r="H106" s="602">
        <f t="shared" si="17"/>
        <v>0</v>
      </c>
      <c r="I106" s="605">
        <f t="shared" si="19"/>
        <v>0</v>
      </c>
      <c r="J106" s="355"/>
    </row>
    <row r="107" spans="1:10" ht="23.4" x14ac:dyDescent="0.3">
      <c r="A107" s="1068"/>
      <c r="B107" s="441"/>
      <c r="C107" s="444" t="s">
        <v>321</v>
      </c>
      <c r="D107" s="688" t="s">
        <v>396</v>
      </c>
      <c r="E107" s="279"/>
      <c r="F107" s="438">
        <f t="shared" si="18"/>
        <v>0</v>
      </c>
      <c r="G107" s="586">
        <v>139.04</v>
      </c>
      <c r="H107" s="602">
        <f t="shared" si="17"/>
        <v>0</v>
      </c>
      <c r="I107" s="605">
        <f t="shared" si="19"/>
        <v>0</v>
      </c>
      <c r="J107" s="355"/>
    </row>
    <row r="108" spans="1:10" ht="23.4" x14ac:dyDescent="0.3">
      <c r="A108" s="1068"/>
      <c r="B108" s="441"/>
      <c r="C108" s="444" t="s">
        <v>403</v>
      </c>
      <c r="D108" s="687" t="s">
        <v>190</v>
      </c>
      <c r="E108" s="279"/>
      <c r="F108" s="438">
        <f t="shared" si="18"/>
        <v>0</v>
      </c>
      <c r="G108" s="586">
        <v>14.55</v>
      </c>
      <c r="H108" s="602">
        <f t="shared" si="17"/>
        <v>0</v>
      </c>
      <c r="I108" s="605">
        <f t="shared" si="19"/>
        <v>0</v>
      </c>
      <c r="J108" s="355"/>
    </row>
    <row r="109" spans="1:10" ht="23.4" x14ac:dyDescent="0.3">
      <c r="A109" s="1068"/>
      <c r="B109" s="441"/>
      <c r="C109" s="444" t="s">
        <v>362</v>
      </c>
      <c r="D109" s="688" t="s">
        <v>202</v>
      </c>
      <c r="E109" s="279"/>
      <c r="F109" s="438">
        <f t="shared" si="18"/>
        <v>0</v>
      </c>
      <c r="G109" s="586">
        <v>21.28</v>
      </c>
      <c r="H109" s="602">
        <f t="shared" si="17"/>
        <v>0</v>
      </c>
      <c r="I109" s="605">
        <f t="shared" si="19"/>
        <v>0</v>
      </c>
      <c r="J109" s="355"/>
    </row>
    <row r="110" spans="1:10" ht="24" thickBot="1" x14ac:dyDescent="0.35">
      <c r="A110" s="1068"/>
      <c r="B110" s="441"/>
      <c r="C110" s="444" t="s">
        <v>374</v>
      </c>
      <c r="D110" s="689" t="s">
        <v>191</v>
      </c>
      <c r="E110" s="279"/>
      <c r="F110" s="438">
        <f t="shared" si="18"/>
        <v>0</v>
      </c>
      <c r="G110" s="586">
        <v>36.44</v>
      </c>
      <c r="H110" s="602">
        <f t="shared" si="17"/>
        <v>0</v>
      </c>
      <c r="I110" s="605">
        <f t="shared" si="19"/>
        <v>0</v>
      </c>
      <c r="J110" s="355"/>
    </row>
    <row r="111" spans="1:10" ht="24" thickBot="1" x14ac:dyDescent="0.35">
      <c r="A111" s="1068"/>
      <c r="B111" s="1063" t="s">
        <v>287</v>
      </c>
      <c r="C111" s="1064"/>
      <c r="D111" s="705"/>
      <c r="E111" s="329">
        <f>SUM(E97:E110)</f>
        <v>134640</v>
      </c>
      <c r="F111" s="329">
        <f>SUM(F97:F110)</f>
        <v>269920</v>
      </c>
      <c r="G111" s="329"/>
      <c r="H111" s="597">
        <f>SUM(H97:H110)</f>
        <v>2760120</v>
      </c>
      <c r="I111" s="589">
        <f>SUM(I97:I110)</f>
        <v>5609225.5999999996</v>
      </c>
      <c r="J111" s="352"/>
    </row>
    <row r="112" spans="1:10" ht="23.4" x14ac:dyDescent="0.3">
      <c r="A112" s="1068"/>
      <c r="B112" s="702"/>
      <c r="C112" s="282" t="s">
        <v>293</v>
      </c>
      <c r="D112" s="437" t="s">
        <v>258</v>
      </c>
      <c r="E112" s="283"/>
      <c r="F112" s="438">
        <f>+E30+E112</f>
        <v>0</v>
      </c>
      <c r="G112" s="587">
        <v>160.44999999999999</v>
      </c>
      <c r="H112" s="603">
        <f t="shared" ref="H112:H122" si="20">E112*G112</f>
        <v>0</v>
      </c>
      <c r="I112" s="606">
        <f t="shared" ref="I112:I122" si="21">+G112*F112</f>
        <v>0</v>
      </c>
      <c r="J112" s="376"/>
    </row>
    <row r="113" spans="1:10" ht="23.4" x14ac:dyDescent="0.3">
      <c r="A113" s="1068"/>
      <c r="B113" s="702"/>
      <c r="C113" s="282" t="s">
        <v>309</v>
      </c>
      <c r="D113" s="437" t="s">
        <v>258</v>
      </c>
      <c r="E113" s="283"/>
      <c r="F113" s="438">
        <f t="shared" ref="F113:F122" si="22">+E31+E113</f>
        <v>0</v>
      </c>
      <c r="G113" s="587">
        <v>160.44999999999999</v>
      </c>
      <c r="H113" s="603">
        <f t="shared" si="20"/>
        <v>0</v>
      </c>
      <c r="I113" s="606">
        <f t="shared" si="21"/>
        <v>0</v>
      </c>
      <c r="J113" s="376"/>
    </row>
    <row r="114" spans="1:10" ht="23.4" x14ac:dyDescent="0.3">
      <c r="A114" s="1068"/>
      <c r="B114" s="702"/>
      <c r="C114" s="282" t="s">
        <v>310</v>
      </c>
      <c r="D114" s="437" t="s">
        <v>258</v>
      </c>
      <c r="E114" s="283"/>
      <c r="F114" s="438">
        <f t="shared" si="22"/>
        <v>0</v>
      </c>
      <c r="G114" s="587">
        <v>160.44999999999999</v>
      </c>
      <c r="H114" s="603">
        <f t="shared" si="20"/>
        <v>0</v>
      </c>
      <c r="I114" s="606">
        <f t="shared" si="21"/>
        <v>0</v>
      </c>
      <c r="J114" s="376"/>
    </row>
    <row r="115" spans="1:10" ht="23.4" x14ac:dyDescent="0.3">
      <c r="A115" s="1068"/>
      <c r="B115" s="702"/>
      <c r="C115" s="282" t="s">
        <v>311</v>
      </c>
      <c r="D115" s="437" t="s">
        <v>100</v>
      </c>
      <c r="E115" s="283"/>
      <c r="F115" s="438">
        <f t="shared" si="22"/>
        <v>0</v>
      </c>
      <c r="G115" s="587">
        <v>27</v>
      </c>
      <c r="H115" s="603">
        <f t="shared" si="20"/>
        <v>0</v>
      </c>
      <c r="I115" s="606">
        <f t="shared" si="21"/>
        <v>0</v>
      </c>
      <c r="J115" s="376"/>
    </row>
    <row r="116" spans="1:10" ht="23.4" x14ac:dyDescent="0.3">
      <c r="A116" s="1068"/>
      <c r="B116" s="702"/>
      <c r="C116" s="282" t="s">
        <v>311</v>
      </c>
      <c r="D116" s="437" t="s">
        <v>318</v>
      </c>
      <c r="E116" s="283">
        <v>0</v>
      </c>
      <c r="F116" s="438">
        <f t="shared" si="22"/>
        <v>55440</v>
      </c>
      <c r="G116" s="587">
        <v>27.5</v>
      </c>
      <c r="H116" s="603">
        <f t="shared" si="20"/>
        <v>0</v>
      </c>
      <c r="I116" s="606">
        <f t="shared" si="21"/>
        <v>1524600</v>
      </c>
      <c r="J116" s="376"/>
    </row>
    <row r="117" spans="1:10" ht="23.4" x14ac:dyDescent="0.3">
      <c r="A117" s="1068"/>
      <c r="B117" s="702"/>
      <c r="C117" s="282" t="s">
        <v>299</v>
      </c>
      <c r="D117" s="437" t="s">
        <v>318</v>
      </c>
      <c r="E117" s="283">
        <v>0</v>
      </c>
      <c r="F117" s="438">
        <f t="shared" si="22"/>
        <v>1848</v>
      </c>
      <c r="G117" s="587">
        <v>34.5</v>
      </c>
      <c r="H117" s="603">
        <f t="shared" si="20"/>
        <v>0</v>
      </c>
      <c r="I117" s="606">
        <f t="shared" si="21"/>
        <v>63756</v>
      </c>
      <c r="J117" s="376"/>
    </row>
    <row r="118" spans="1:10" ht="23.4" x14ac:dyDescent="0.3">
      <c r="A118" s="1068"/>
      <c r="B118" s="702"/>
      <c r="C118" s="282" t="s">
        <v>331</v>
      </c>
      <c r="D118" s="437" t="s">
        <v>258</v>
      </c>
      <c r="E118" s="283"/>
      <c r="F118" s="438">
        <f t="shared" si="22"/>
        <v>0</v>
      </c>
      <c r="G118" s="587">
        <v>160.44999999999999</v>
      </c>
      <c r="H118" s="603">
        <f t="shared" si="20"/>
        <v>0</v>
      </c>
      <c r="I118" s="606">
        <f t="shared" si="21"/>
        <v>0</v>
      </c>
      <c r="J118" s="376"/>
    </row>
    <row r="119" spans="1:10" ht="23.4" x14ac:dyDescent="0.3">
      <c r="A119" s="1068"/>
      <c r="B119" s="702"/>
      <c r="C119" s="282" t="s">
        <v>388</v>
      </c>
      <c r="D119" s="437" t="s">
        <v>258</v>
      </c>
      <c r="E119" s="283"/>
      <c r="F119" s="438">
        <f t="shared" si="22"/>
        <v>0</v>
      </c>
      <c r="G119" s="587">
        <v>160.44999999999999</v>
      </c>
      <c r="H119" s="603">
        <f t="shared" si="20"/>
        <v>0</v>
      </c>
      <c r="I119" s="606">
        <f t="shared" si="21"/>
        <v>0</v>
      </c>
      <c r="J119" s="376"/>
    </row>
    <row r="120" spans="1:10" ht="23.4" x14ac:dyDescent="0.3">
      <c r="A120" s="1068"/>
      <c r="B120" s="702"/>
      <c r="C120" s="282" t="s">
        <v>342</v>
      </c>
      <c r="D120" s="437" t="s">
        <v>258</v>
      </c>
      <c r="E120" s="283"/>
      <c r="F120" s="438">
        <f t="shared" si="22"/>
        <v>0</v>
      </c>
      <c r="G120" s="587">
        <v>160.44999999999999</v>
      </c>
      <c r="H120" s="603">
        <f t="shared" si="20"/>
        <v>0</v>
      </c>
      <c r="I120" s="606">
        <f t="shared" si="21"/>
        <v>0</v>
      </c>
      <c r="J120" s="376"/>
    </row>
    <row r="121" spans="1:10" ht="23.4" x14ac:dyDescent="0.3">
      <c r="A121" s="1068"/>
      <c r="B121" s="702"/>
      <c r="C121" s="282" t="s">
        <v>343</v>
      </c>
      <c r="D121" s="437" t="s">
        <v>258</v>
      </c>
      <c r="E121" s="283"/>
      <c r="F121" s="438">
        <f t="shared" si="22"/>
        <v>0</v>
      </c>
      <c r="G121" s="587">
        <v>160.44999999999999</v>
      </c>
      <c r="H121" s="603">
        <f t="shared" si="20"/>
        <v>0</v>
      </c>
      <c r="I121" s="606">
        <f t="shared" si="21"/>
        <v>0</v>
      </c>
      <c r="J121" s="376"/>
    </row>
    <row r="122" spans="1:10" ht="24" thickBot="1" x14ac:dyDescent="0.35">
      <c r="A122" s="1068"/>
      <c r="B122" s="702"/>
      <c r="C122" s="282" t="s">
        <v>340</v>
      </c>
      <c r="D122" s="437" t="s">
        <v>258</v>
      </c>
      <c r="E122" s="283"/>
      <c r="F122" s="438">
        <f t="shared" si="22"/>
        <v>0</v>
      </c>
      <c r="G122" s="587">
        <v>160.44999999999999</v>
      </c>
      <c r="H122" s="603">
        <f t="shared" si="20"/>
        <v>0</v>
      </c>
      <c r="I122" s="606">
        <f t="shared" si="21"/>
        <v>0</v>
      </c>
      <c r="J122" s="376"/>
    </row>
    <row r="123" spans="1:10" ht="24" thickBot="1" x14ac:dyDescent="0.35">
      <c r="A123" s="1068"/>
      <c r="B123" s="1063" t="s">
        <v>288</v>
      </c>
      <c r="C123" s="1064"/>
      <c r="D123" s="705"/>
      <c r="E123" s="329">
        <f>SUM(E112:E122)</f>
        <v>0</v>
      </c>
      <c r="F123" s="329">
        <f>SUM(F112:F122)</f>
        <v>57288</v>
      </c>
      <c r="G123" s="329"/>
      <c r="H123" s="597">
        <f>SUM(H112:H122)</f>
        <v>0</v>
      </c>
      <c r="I123" s="589">
        <f>SUM(I112:I122)</f>
        <v>1588356</v>
      </c>
      <c r="J123" s="352"/>
    </row>
    <row r="124" spans="1:10" ht="23.4" x14ac:dyDescent="0.3">
      <c r="A124" s="1068"/>
      <c r="B124" s="702"/>
      <c r="C124" s="282" t="s">
        <v>295</v>
      </c>
      <c r="D124" s="437"/>
      <c r="E124" s="283"/>
      <c r="F124" s="438">
        <f>+E42+E124</f>
        <v>0</v>
      </c>
      <c r="G124" s="587">
        <v>10</v>
      </c>
      <c r="H124" s="603">
        <f t="shared" ref="H124:H126" si="23">E124*G124</f>
        <v>0</v>
      </c>
      <c r="I124" s="606">
        <f t="shared" ref="I124" si="24">+G124*F124</f>
        <v>0</v>
      </c>
      <c r="J124" s="376"/>
    </row>
    <row r="125" spans="1:10" ht="23.4" x14ac:dyDescent="0.3">
      <c r="A125" s="1068"/>
      <c r="B125" s="702"/>
      <c r="C125" s="282" t="s">
        <v>300</v>
      </c>
      <c r="D125" s="437" t="s">
        <v>301</v>
      </c>
      <c r="E125" s="283"/>
      <c r="F125" s="438">
        <f t="shared" ref="F125:F126" si="25">+E43+E125</f>
        <v>0</v>
      </c>
      <c r="G125" s="587">
        <v>2500</v>
      </c>
      <c r="H125" s="603">
        <f t="shared" si="23"/>
        <v>0</v>
      </c>
      <c r="I125" s="606">
        <f>+G125*F125</f>
        <v>0</v>
      </c>
      <c r="J125" s="376"/>
    </row>
    <row r="126" spans="1:10" ht="24" thickBot="1" x14ac:dyDescent="0.35">
      <c r="A126" s="1068"/>
      <c r="B126" s="702"/>
      <c r="C126" s="282" t="s">
        <v>332</v>
      </c>
      <c r="D126" s="437" t="s">
        <v>333</v>
      </c>
      <c r="E126" s="283"/>
      <c r="F126" s="438">
        <f t="shared" si="25"/>
        <v>0</v>
      </c>
      <c r="G126" s="588">
        <v>360</v>
      </c>
      <c r="H126" s="603">
        <f t="shared" si="23"/>
        <v>0</v>
      </c>
      <c r="I126" s="606">
        <f t="shared" ref="I126" si="26">+G126*F126</f>
        <v>0</v>
      </c>
      <c r="J126" s="376"/>
    </row>
    <row r="127" spans="1:10" ht="24" thickBot="1" x14ac:dyDescent="0.35">
      <c r="A127" s="1068"/>
      <c r="B127" s="1063" t="s">
        <v>294</v>
      </c>
      <c r="C127" s="1064"/>
      <c r="D127" s="705"/>
      <c r="E127" s="329">
        <f>SUM(E124:E126)</f>
        <v>0</v>
      </c>
      <c r="F127" s="329">
        <f>SUM(F124:F126)</f>
        <v>0</v>
      </c>
      <c r="G127" s="329"/>
      <c r="H127" s="597">
        <f>SUM(H124:H126)</f>
        <v>0</v>
      </c>
      <c r="I127" s="589">
        <f>SUM(I124:I126)</f>
        <v>0</v>
      </c>
      <c r="J127" s="376"/>
    </row>
    <row r="128" spans="1:10" ht="24" thickBot="1" x14ac:dyDescent="0.35">
      <c r="A128" s="1068"/>
      <c r="B128" s="702"/>
      <c r="C128" s="282"/>
      <c r="D128" s="437"/>
      <c r="E128" s="283"/>
      <c r="F128" s="320"/>
      <c r="G128" s="588"/>
      <c r="H128" s="598"/>
      <c r="I128" s="285">
        <f t="shared" ref="I128" si="27">+G128*F128</f>
        <v>0</v>
      </c>
      <c r="J128" s="376"/>
    </row>
    <row r="129" spans="1:10" ht="24" thickBot="1" x14ac:dyDescent="0.35">
      <c r="A129" s="1069"/>
      <c r="B129" s="1063" t="s">
        <v>290</v>
      </c>
      <c r="C129" s="1064"/>
      <c r="D129" s="703"/>
      <c r="E129" s="329">
        <f>+E127+E123+E111</f>
        <v>134640</v>
      </c>
      <c r="F129" s="329">
        <f>+F127+F123+F111</f>
        <v>327208</v>
      </c>
      <c r="G129" s="329"/>
      <c r="H129" s="589">
        <f>+H123+H111+H127</f>
        <v>2760120</v>
      </c>
      <c r="I129" s="589">
        <f>+I123+I111+I127</f>
        <v>7197581.5999999996</v>
      </c>
      <c r="J129" s="376"/>
    </row>
    <row r="130" spans="1:10" ht="23.4" x14ac:dyDescent="0.3">
      <c r="A130" s="1067" t="s">
        <v>108</v>
      </c>
      <c r="B130" s="702"/>
      <c r="C130" s="282" t="s">
        <v>304</v>
      </c>
      <c r="D130" s="437" t="s">
        <v>191</v>
      </c>
      <c r="E130" s="283"/>
      <c r="F130" s="438">
        <f>+E48+E130</f>
        <v>0</v>
      </c>
      <c r="G130" s="612">
        <v>13.25</v>
      </c>
      <c r="H130" s="607">
        <f t="shared" ref="H130:H149" si="28">E130*G130</f>
        <v>0</v>
      </c>
      <c r="I130" s="606">
        <f t="shared" ref="I130:I149" si="29">+G130*F130</f>
        <v>0</v>
      </c>
      <c r="J130" s="376"/>
    </row>
    <row r="131" spans="1:10" ht="23.4" x14ac:dyDescent="0.3">
      <c r="A131" s="1068"/>
      <c r="B131" s="702"/>
      <c r="C131" s="282" t="s">
        <v>305</v>
      </c>
      <c r="D131" s="437"/>
      <c r="E131" s="283"/>
      <c r="F131" s="438">
        <f t="shared" ref="F131:F149" si="30">+E49+E131</f>
        <v>0</v>
      </c>
      <c r="G131" s="613">
        <v>10000</v>
      </c>
      <c r="H131" s="607">
        <f t="shared" si="28"/>
        <v>0</v>
      </c>
      <c r="I131" s="606">
        <f t="shared" si="29"/>
        <v>0</v>
      </c>
      <c r="J131" s="376"/>
    </row>
    <row r="132" spans="1:10" ht="23.4" x14ac:dyDescent="0.3">
      <c r="A132" s="1068"/>
      <c r="B132" s="702"/>
      <c r="C132" s="282" t="s">
        <v>305</v>
      </c>
      <c r="D132" s="437"/>
      <c r="E132" s="283"/>
      <c r="F132" s="438">
        <f t="shared" si="30"/>
        <v>0</v>
      </c>
      <c r="G132" s="613">
        <v>18000</v>
      </c>
      <c r="H132" s="607">
        <f t="shared" si="28"/>
        <v>0</v>
      </c>
      <c r="I132" s="606">
        <f t="shared" si="29"/>
        <v>0</v>
      </c>
      <c r="J132" s="376"/>
    </row>
    <row r="133" spans="1:10" ht="23.4" x14ac:dyDescent="0.3">
      <c r="A133" s="1068"/>
      <c r="B133" s="702"/>
      <c r="C133" s="282" t="s">
        <v>317</v>
      </c>
      <c r="D133" s="437" t="s">
        <v>191</v>
      </c>
      <c r="E133" s="283"/>
      <c r="F133" s="438">
        <f t="shared" si="30"/>
        <v>0</v>
      </c>
      <c r="G133" s="612">
        <v>24.93</v>
      </c>
      <c r="H133" s="607">
        <f t="shared" si="28"/>
        <v>0</v>
      </c>
      <c r="I133" s="606">
        <f t="shared" si="29"/>
        <v>0</v>
      </c>
      <c r="J133" s="376"/>
    </row>
    <row r="134" spans="1:10" ht="23.4" x14ac:dyDescent="0.3">
      <c r="A134" s="1068"/>
      <c r="B134" s="702"/>
      <c r="C134" s="282" t="s">
        <v>324</v>
      </c>
      <c r="D134" s="437" t="s">
        <v>99</v>
      </c>
      <c r="E134" s="283"/>
      <c r="F134" s="438">
        <f t="shared" si="30"/>
        <v>0</v>
      </c>
      <c r="G134" s="612">
        <v>26</v>
      </c>
      <c r="H134" s="607">
        <f t="shared" si="28"/>
        <v>0</v>
      </c>
      <c r="I134" s="606">
        <f t="shared" si="29"/>
        <v>0</v>
      </c>
      <c r="J134" s="376"/>
    </row>
    <row r="135" spans="1:10" ht="23.4" x14ac:dyDescent="0.3">
      <c r="A135" s="1068"/>
      <c r="B135" s="702"/>
      <c r="C135" s="282" t="s">
        <v>325</v>
      </c>
      <c r="D135" s="437" t="s">
        <v>191</v>
      </c>
      <c r="E135" s="283"/>
      <c r="F135" s="438">
        <f t="shared" si="30"/>
        <v>0</v>
      </c>
      <c r="G135" s="612">
        <v>25.49</v>
      </c>
      <c r="H135" s="607">
        <f t="shared" si="28"/>
        <v>0</v>
      </c>
      <c r="I135" s="606">
        <f t="shared" si="29"/>
        <v>0</v>
      </c>
      <c r="J135" s="376"/>
    </row>
    <row r="136" spans="1:10" ht="23.4" x14ac:dyDescent="0.3">
      <c r="A136" s="1068"/>
      <c r="B136" s="702"/>
      <c r="C136" s="282" t="s">
        <v>326</v>
      </c>
      <c r="D136" s="437" t="s">
        <v>114</v>
      </c>
      <c r="E136" s="283"/>
      <c r="F136" s="438">
        <f t="shared" si="30"/>
        <v>0</v>
      </c>
      <c r="G136" s="612">
        <v>24.93</v>
      </c>
      <c r="H136" s="607">
        <f t="shared" si="28"/>
        <v>0</v>
      </c>
      <c r="I136" s="606">
        <f t="shared" si="29"/>
        <v>0</v>
      </c>
      <c r="J136" s="376"/>
    </row>
    <row r="137" spans="1:10" ht="23.4" x14ac:dyDescent="0.3">
      <c r="A137" s="1068"/>
      <c r="B137" s="702"/>
      <c r="C137" s="282" t="s">
        <v>327</v>
      </c>
      <c r="D137" s="437" t="s">
        <v>303</v>
      </c>
      <c r="E137" s="283"/>
      <c r="F137" s="438">
        <f t="shared" si="30"/>
        <v>0</v>
      </c>
      <c r="G137" s="612">
        <v>24.93</v>
      </c>
      <c r="H137" s="607">
        <f t="shared" si="28"/>
        <v>0</v>
      </c>
      <c r="I137" s="606">
        <f t="shared" si="29"/>
        <v>0</v>
      </c>
      <c r="J137" s="376"/>
    </row>
    <row r="138" spans="1:10" ht="23.4" x14ac:dyDescent="0.3">
      <c r="A138" s="1068"/>
      <c r="B138" s="702"/>
      <c r="C138" s="282" t="s">
        <v>328</v>
      </c>
      <c r="D138" s="437" t="s">
        <v>99</v>
      </c>
      <c r="E138" s="283"/>
      <c r="F138" s="438">
        <f t="shared" si="30"/>
        <v>0</v>
      </c>
      <c r="G138" s="612">
        <v>20.89</v>
      </c>
      <c r="H138" s="607">
        <f t="shared" si="28"/>
        <v>0</v>
      </c>
      <c r="I138" s="606">
        <f t="shared" si="29"/>
        <v>0</v>
      </c>
      <c r="J138" s="376"/>
    </row>
    <row r="139" spans="1:10" ht="23.4" x14ac:dyDescent="0.3">
      <c r="A139" s="1068"/>
      <c r="B139" s="702"/>
      <c r="C139" s="282" t="s">
        <v>394</v>
      </c>
      <c r="D139" s="437" t="s">
        <v>338</v>
      </c>
      <c r="E139" s="283"/>
      <c r="F139" s="438">
        <f t="shared" si="30"/>
        <v>0</v>
      </c>
      <c r="G139" s="612">
        <v>37.4566666666</v>
      </c>
      <c r="H139" s="607">
        <f t="shared" si="28"/>
        <v>0</v>
      </c>
      <c r="I139" s="606">
        <f t="shared" si="29"/>
        <v>0</v>
      </c>
      <c r="J139" s="376"/>
    </row>
    <row r="140" spans="1:10" ht="23.4" x14ac:dyDescent="0.3">
      <c r="A140" s="1068"/>
      <c r="B140" s="702"/>
      <c r="C140" s="282" t="s">
        <v>395</v>
      </c>
      <c r="D140" s="437" t="s">
        <v>338</v>
      </c>
      <c r="E140" s="283"/>
      <c r="F140" s="438">
        <f t="shared" si="30"/>
        <v>0</v>
      </c>
      <c r="G140" s="612">
        <v>37.89</v>
      </c>
      <c r="H140" s="607">
        <f t="shared" si="28"/>
        <v>0</v>
      </c>
      <c r="I140" s="606">
        <f t="shared" si="29"/>
        <v>0</v>
      </c>
      <c r="J140" s="376"/>
    </row>
    <row r="141" spans="1:10" ht="23.4" x14ac:dyDescent="0.3">
      <c r="A141" s="1068"/>
      <c r="B141" s="702"/>
      <c r="C141" s="282" t="s">
        <v>326</v>
      </c>
      <c r="D141" s="437" t="s">
        <v>302</v>
      </c>
      <c r="E141" s="283"/>
      <c r="F141" s="438">
        <f t="shared" si="30"/>
        <v>0</v>
      </c>
      <c r="G141" s="612">
        <v>24.93</v>
      </c>
      <c r="H141" s="607">
        <f t="shared" si="28"/>
        <v>0</v>
      </c>
      <c r="I141" s="606">
        <f t="shared" si="29"/>
        <v>0</v>
      </c>
      <c r="J141" s="376"/>
    </row>
    <row r="142" spans="1:10" ht="23.4" x14ac:dyDescent="0.3">
      <c r="A142" s="1068"/>
      <c r="B142" s="702"/>
      <c r="C142" s="282" t="s">
        <v>402</v>
      </c>
      <c r="D142" s="437" t="s">
        <v>376</v>
      </c>
      <c r="E142" s="283"/>
      <c r="F142" s="438">
        <f t="shared" si="30"/>
        <v>0</v>
      </c>
      <c r="G142" s="612">
        <v>24.93</v>
      </c>
      <c r="H142" s="607">
        <f t="shared" si="28"/>
        <v>0</v>
      </c>
      <c r="I142" s="606">
        <f t="shared" si="29"/>
        <v>0</v>
      </c>
      <c r="J142" s="376"/>
    </row>
    <row r="143" spans="1:10" ht="23.4" x14ac:dyDescent="0.3">
      <c r="A143" s="1068"/>
      <c r="B143" s="702"/>
      <c r="C143" s="282" t="s">
        <v>350</v>
      </c>
      <c r="D143" s="437" t="s">
        <v>313</v>
      </c>
      <c r="E143" s="283"/>
      <c r="F143" s="438">
        <f t="shared" si="30"/>
        <v>0</v>
      </c>
      <c r="G143" s="612">
        <v>34.26</v>
      </c>
      <c r="H143" s="607">
        <f t="shared" si="28"/>
        <v>0</v>
      </c>
      <c r="I143" s="606">
        <f t="shared" si="29"/>
        <v>0</v>
      </c>
      <c r="J143" s="376"/>
    </row>
    <row r="144" spans="1:10" ht="23.4" x14ac:dyDescent="0.3">
      <c r="A144" s="1068"/>
      <c r="B144" s="702"/>
      <c r="C144" s="282" t="s">
        <v>363</v>
      </c>
      <c r="D144" s="437" t="s">
        <v>401</v>
      </c>
      <c r="E144" s="283"/>
      <c r="F144" s="438">
        <f t="shared" si="30"/>
        <v>0</v>
      </c>
      <c r="G144" s="612">
        <v>37.89</v>
      </c>
      <c r="H144" s="607">
        <f t="shared" si="28"/>
        <v>0</v>
      </c>
      <c r="I144" s="606">
        <f t="shared" si="29"/>
        <v>0</v>
      </c>
      <c r="J144" s="376"/>
    </row>
    <row r="145" spans="1:10" ht="23.4" x14ac:dyDescent="0.3">
      <c r="A145" s="1068"/>
      <c r="B145" s="702"/>
      <c r="C145" s="282" t="s">
        <v>406</v>
      </c>
      <c r="D145" s="437" t="s">
        <v>376</v>
      </c>
      <c r="E145" s="283"/>
      <c r="F145" s="438">
        <f t="shared" si="30"/>
        <v>0</v>
      </c>
      <c r="G145" s="612">
        <v>39</v>
      </c>
      <c r="H145" s="607">
        <f t="shared" si="28"/>
        <v>0</v>
      </c>
      <c r="I145" s="606">
        <f t="shared" si="29"/>
        <v>0</v>
      </c>
      <c r="J145" s="376"/>
    </row>
    <row r="146" spans="1:10" ht="23.4" x14ac:dyDescent="0.3">
      <c r="A146" s="1068"/>
      <c r="B146" s="702"/>
      <c r="C146" s="282" t="s">
        <v>327</v>
      </c>
      <c r="D146" s="437" t="s">
        <v>190</v>
      </c>
      <c r="E146" s="283"/>
      <c r="F146" s="438">
        <f t="shared" si="30"/>
        <v>0</v>
      </c>
      <c r="G146" s="612">
        <v>21.22</v>
      </c>
      <c r="H146" s="607">
        <f t="shared" si="28"/>
        <v>0</v>
      </c>
      <c r="I146" s="606">
        <f t="shared" si="29"/>
        <v>0</v>
      </c>
      <c r="J146" s="376"/>
    </row>
    <row r="147" spans="1:10" ht="23.4" x14ac:dyDescent="0.3">
      <c r="A147" s="1068"/>
      <c r="B147" s="702"/>
      <c r="C147" s="282" t="s">
        <v>326</v>
      </c>
      <c r="D147" s="437" t="s">
        <v>190</v>
      </c>
      <c r="E147" s="283"/>
      <c r="F147" s="438">
        <f t="shared" si="30"/>
        <v>0</v>
      </c>
      <c r="G147" s="612">
        <v>21.22</v>
      </c>
      <c r="H147" s="607">
        <f t="shared" si="28"/>
        <v>0</v>
      </c>
      <c r="I147" s="606">
        <f t="shared" si="29"/>
        <v>0</v>
      </c>
      <c r="J147" s="376"/>
    </row>
    <row r="148" spans="1:10" ht="23.4" x14ac:dyDescent="0.3">
      <c r="A148" s="1068"/>
      <c r="B148" s="702"/>
      <c r="C148" s="282" t="s">
        <v>377</v>
      </c>
      <c r="D148" s="437" t="s">
        <v>333</v>
      </c>
      <c r="E148" s="283"/>
      <c r="F148" s="438">
        <f t="shared" si="30"/>
        <v>0</v>
      </c>
      <c r="G148" s="612">
        <v>10000</v>
      </c>
      <c r="H148" s="607">
        <f t="shared" si="28"/>
        <v>0</v>
      </c>
      <c r="I148" s="606">
        <f t="shared" si="29"/>
        <v>0</v>
      </c>
      <c r="J148" s="376"/>
    </row>
    <row r="149" spans="1:10" ht="24" thickBot="1" x14ac:dyDescent="0.35">
      <c r="A149" s="1068"/>
      <c r="B149" s="702"/>
      <c r="C149" s="282" t="s">
        <v>332</v>
      </c>
      <c r="D149" s="437" t="s">
        <v>333</v>
      </c>
      <c r="E149" s="283"/>
      <c r="F149" s="438">
        <f t="shared" si="30"/>
        <v>0</v>
      </c>
      <c r="G149" s="612">
        <v>360</v>
      </c>
      <c r="H149" s="607">
        <f t="shared" si="28"/>
        <v>0</v>
      </c>
      <c r="I149" s="606">
        <f t="shared" si="29"/>
        <v>0</v>
      </c>
      <c r="J149" s="376"/>
    </row>
    <row r="150" spans="1:10" ht="24" thickBot="1" x14ac:dyDescent="0.35">
      <c r="A150" s="1069"/>
      <c r="B150" s="1063" t="s">
        <v>289</v>
      </c>
      <c r="C150" s="1064"/>
      <c r="D150" s="705"/>
      <c r="E150" s="329">
        <f>SUM(E130:E149)</f>
        <v>0</v>
      </c>
      <c r="F150" s="329">
        <f>SUM(F130:F149)</f>
        <v>0</v>
      </c>
      <c r="G150" s="329"/>
      <c r="H150" s="597"/>
      <c r="I150" s="589">
        <f>SUM(I130:I149)</f>
        <v>0</v>
      </c>
      <c r="J150" s="376"/>
    </row>
    <row r="151" spans="1:10" ht="23.4" x14ac:dyDescent="0.3">
      <c r="A151" s="1067" t="s">
        <v>109</v>
      </c>
      <c r="B151" s="702"/>
      <c r="C151" s="282" t="s">
        <v>296</v>
      </c>
      <c r="D151" s="437" t="s">
        <v>258</v>
      </c>
      <c r="E151" s="283">
        <v>0</v>
      </c>
      <c r="F151" s="438">
        <f>+E69+E151</f>
        <v>2560</v>
      </c>
      <c r="G151" s="612">
        <v>430.02</v>
      </c>
      <c r="H151" s="603">
        <f>E151*G151</f>
        <v>0</v>
      </c>
      <c r="I151" s="606">
        <f t="shared" ref="I151:I170" si="31">+G151*F151</f>
        <v>1100851.2</v>
      </c>
      <c r="J151" s="376"/>
    </row>
    <row r="152" spans="1:10" ht="23.4" x14ac:dyDescent="0.3">
      <c r="A152" s="1068"/>
      <c r="B152" s="702"/>
      <c r="C152" s="282" t="s">
        <v>297</v>
      </c>
      <c r="D152" s="437" t="s">
        <v>258</v>
      </c>
      <c r="E152" s="283"/>
      <c r="F152" s="438">
        <f t="shared" ref="F152:F170" si="32">+E70+E152</f>
        <v>0</v>
      </c>
      <c r="G152" s="612">
        <v>445.38</v>
      </c>
      <c r="H152" s="603">
        <f t="shared" ref="H152:H170" si="33">E152*G152</f>
        <v>0</v>
      </c>
      <c r="I152" s="606">
        <f t="shared" si="31"/>
        <v>0</v>
      </c>
      <c r="J152" s="376"/>
    </row>
    <row r="153" spans="1:10" ht="23.4" x14ac:dyDescent="0.3">
      <c r="A153" s="1068"/>
      <c r="B153" s="702"/>
      <c r="C153" s="282" t="s">
        <v>330</v>
      </c>
      <c r="D153" s="437" t="s">
        <v>258</v>
      </c>
      <c r="E153" s="283"/>
      <c r="F153" s="438">
        <f t="shared" si="32"/>
        <v>0</v>
      </c>
      <c r="G153" s="612">
        <v>63.55</v>
      </c>
      <c r="H153" s="603">
        <f t="shared" si="33"/>
        <v>0</v>
      </c>
      <c r="I153" s="606">
        <f t="shared" si="31"/>
        <v>0</v>
      </c>
      <c r="J153" s="376"/>
    </row>
    <row r="154" spans="1:10" ht="23.4" x14ac:dyDescent="0.3">
      <c r="A154" s="1068"/>
      <c r="B154" s="702"/>
      <c r="C154" s="282" t="s">
        <v>298</v>
      </c>
      <c r="D154" s="437" t="s">
        <v>258</v>
      </c>
      <c r="E154" s="283">
        <v>9396</v>
      </c>
      <c r="F154" s="438">
        <f t="shared" si="32"/>
        <v>9396</v>
      </c>
      <c r="G154" s="612">
        <v>71.44</v>
      </c>
      <c r="H154" s="603">
        <f t="shared" si="33"/>
        <v>671250.24</v>
      </c>
      <c r="I154" s="606">
        <f t="shared" si="31"/>
        <v>671250.24</v>
      </c>
      <c r="J154" s="376"/>
    </row>
    <row r="155" spans="1:10" ht="23.4" x14ac:dyDescent="0.3">
      <c r="A155" s="1068"/>
      <c r="B155" s="702"/>
      <c r="C155" s="282" t="s">
        <v>299</v>
      </c>
      <c r="D155" s="437" t="s">
        <v>258</v>
      </c>
      <c r="E155" s="283"/>
      <c r="F155" s="438">
        <f t="shared" si="32"/>
        <v>0</v>
      </c>
      <c r="G155" s="612">
        <v>36.5</v>
      </c>
      <c r="H155" s="603">
        <f t="shared" si="33"/>
        <v>0</v>
      </c>
      <c r="I155" s="606">
        <f t="shared" si="31"/>
        <v>0</v>
      </c>
      <c r="J155" s="376"/>
    </row>
    <row r="156" spans="1:10" ht="23.4" x14ac:dyDescent="0.3">
      <c r="A156" s="1068"/>
      <c r="B156" s="702"/>
      <c r="C156" s="282" t="s">
        <v>308</v>
      </c>
      <c r="D156" s="437" t="s">
        <v>258</v>
      </c>
      <c r="E156" s="283"/>
      <c r="F156" s="438">
        <f t="shared" si="32"/>
        <v>0</v>
      </c>
      <c r="G156" s="612">
        <v>320.35000000000002</v>
      </c>
      <c r="H156" s="603">
        <f t="shared" si="33"/>
        <v>0</v>
      </c>
      <c r="I156" s="606">
        <f t="shared" si="31"/>
        <v>0</v>
      </c>
      <c r="J156" s="376"/>
    </row>
    <row r="157" spans="1:10" ht="23.4" x14ac:dyDescent="0.3">
      <c r="A157" s="1068"/>
      <c r="B157" s="702"/>
      <c r="C157" s="282" t="s">
        <v>322</v>
      </c>
      <c r="D157" s="437" t="s">
        <v>258</v>
      </c>
      <c r="E157" s="283"/>
      <c r="F157" s="438">
        <f t="shared" si="32"/>
        <v>0</v>
      </c>
      <c r="G157" s="612">
        <v>434.41</v>
      </c>
      <c r="H157" s="603">
        <f t="shared" si="33"/>
        <v>0</v>
      </c>
      <c r="I157" s="606">
        <f t="shared" si="31"/>
        <v>0</v>
      </c>
      <c r="J157" s="376"/>
    </row>
    <row r="158" spans="1:10" ht="23.4" x14ac:dyDescent="0.3">
      <c r="A158" s="1068"/>
      <c r="B158" s="702"/>
      <c r="C158" s="282" t="s">
        <v>305</v>
      </c>
      <c r="D158" s="437" t="s">
        <v>258</v>
      </c>
      <c r="E158" s="283"/>
      <c r="F158" s="438">
        <f t="shared" si="32"/>
        <v>0</v>
      </c>
      <c r="G158" s="612">
        <v>29690</v>
      </c>
      <c r="H158" s="603">
        <f t="shared" si="33"/>
        <v>0</v>
      </c>
      <c r="I158" s="606">
        <f t="shared" si="31"/>
        <v>0</v>
      </c>
      <c r="J158" s="376"/>
    </row>
    <row r="159" spans="1:10" ht="23.4" x14ac:dyDescent="0.3">
      <c r="A159" s="1068"/>
      <c r="B159" s="702"/>
      <c r="C159" s="282" t="s">
        <v>305</v>
      </c>
      <c r="D159" s="437" t="s">
        <v>258</v>
      </c>
      <c r="E159" s="283"/>
      <c r="F159" s="438">
        <f t="shared" si="32"/>
        <v>0</v>
      </c>
      <c r="G159" s="612">
        <v>26445</v>
      </c>
      <c r="H159" s="603">
        <f t="shared" si="33"/>
        <v>0</v>
      </c>
      <c r="I159" s="606">
        <f t="shared" si="31"/>
        <v>0</v>
      </c>
      <c r="J159" s="376"/>
    </row>
    <row r="160" spans="1:10" ht="23.4" x14ac:dyDescent="0.3">
      <c r="A160" s="1068"/>
      <c r="B160" s="702"/>
      <c r="C160" s="282" t="s">
        <v>341</v>
      </c>
      <c r="D160" s="437" t="s">
        <v>375</v>
      </c>
      <c r="E160" s="283"/>
      <c r="F160" s="438">
        <f t="shared" si="32"/>
        <v>0</v>
      </c>
      <c r="G160" s="612">
        <v>50</v>
      </c>
      <c r="H160" s="603">
        <f t="shared" si="33"/>
        <v>0</v>
      </c>
      <c r="I160" s="606">
        <f t="shared" si="31"/>
        <v>0</v>
      </c>
      <c r="J160" s="376"/>
    </row>
    <row r="161" spans="1:10" ht="23.4" x14ac:dyDescent="0.3">
      <c r="A161" s="1068"/>
      <c r="B161" s="702"/>
      <c r="C161" s="282" t="s">
        <v>341</v>
      </c>
      <c r="D161" s="437" t="s">
        <v>375</v>
      </c>
      <c r="E161" s="283"/>
      <c r="F161" s="438">
        <f t="shared" si="32"/>
        <v>0</v>
      </c>
      <c r="G161" s="612">
        <v>45</v>
      </c>
      <c r="H161" s="603">
        <f t="shared" si="33"/>
        <v>0</v>
      </c>
      <c r="I161" s="606">
        <f t="shared" si="31"/>
        <v>0</v>
      </c>
      <c r="J161" s="376"/>
    </row>
    <row r="162" spans="1:10" ht="23.4" x14ac:dyDescent="0.3">
      <c r="A162" s="1068"/>
      <c r="B162" s="702"/>
      <c r="C162" s="282" t="s">
        <v>364</v>
      </c>
      <c r="D162" s="437" t="s">
        <v>428</v>
      </c>
      <c r="E162" s="283">
        <v>700</v>
      </c>
      <c r="F162" s="438">
        <f t="shared" si="32"/>
        <v>700</v>
      </c>
      <c r="G162" s="612">
        <v>57.64</v>
      </c>
      <c r="H162" s="603">
        <f t="shared" si="33"/>
        <v>40348</v>
      </c>
      <c r="I162" s="606">
        <f t="shared" si="31"/>
        <v>40348</v>
      </c>
      <c r="J162" s="376"/>
    </row>
    <row r="163" spans="1:10" ht="23.4" x14ac:dyDescent="0.3">
      <c r="A163" s="1068"/>
      <c r="B163" s="702"/>
      <c r="C163" s="282" t="s">
        <v>364</v>
      </c>
      <c r="D163" s="437" t="s">
        <v>407</v>
      </c>
      <c r="E163" s="283"/>
      <c r="F163" s="438">
        <f t="shared" si="32"/>
        <v>0</v>
      </c>
      <c r="G163" s="612">
        <v>57.64</v>
      </c>
      <c r="H163" s="603">
        <f t="shared" si="33"/>
        <v>0</v>
      </c>
      <c r="I163" s="606">
        <f t="shared" si="31"/>
        <v>0</v>
      </c>
      <c r="J163" s="376"/>
    </row>
    <row r="164" spans="1:10" ht="23.4" x14ac:dyDescent="0.3">
      <c r="A164" s="1068"/>
      <c r="B164" s="702"/>
      <c r="C164" s="282" t="s">
        <v>365</v>
      </c>
      <c r="D164" s="437" t="s">
        <v>366</v>
      </c>
      <c r="E164" s="283"/>
      <c r="F164" s="438">
        <f t="shared" si="32"/>
        <v>0</v>
      </c>
      <c r="G164" s="612">
        <v>434.41</v>
      </c>
      <c r="H164" s="603">
        <f t="shared" si="33"/>
        <v>0</v>
      </c>
      <c r="I164" s="606">
        <f t="shared" si="31"/>
        <v>0</v>
      </c>
      <c r="J164" s="376"/>
    </row>
    <row r="165" spans="1:10" ht="23.4" x14ac:dyDescent="0.3">
      <c r="A165" s="1068"/>
      <c r="B165" s="702"/>
      <c r="C165" s="282" t="s">
        <v>381</v>
      </c>
      <c r="D165" s="437" t="s">
        <v>258</v>
      </c>
      <c r="E165" s="283"/>
      <c r="F165" s="438">
        <f t="shared" si="32"/>
        <v>0</v>
      </c>
      <c r="G165" s="612">
        <v>624.26</v>
      </c>
      <c r="H165" s="603">
        <f t="shared" si="33"/>
        <v>0</v>
      </c>
      <c r="I165" s="606">
        <f t="shared" si="31"/>
        <v>0</v>
      </c>
      <c r="J165" s="376"/>
    </row>
    <row r="166" spans="1:10" ht="23.4" x14ac:dyDescent="0.3">
      <c r="A166" s="1068"/>
      <c r="B166" s="702"/>
      <c r="C166" s="282" t="s">
        <v>367</v>
      </c>
      <c r="D166" s="437" t="s">
        <v>366</v>
      </c>
      <c r="E166" s="283"/>
      <c r="F166" s="438">
        <f t="shared" si="32"/>
        <v>0</v>
      </c>
      <c r="G166" s="612">
        <v>63.55</v>
      </c>
      <c r="H166" s="603">
        <f t="shared" si="33"/>
        <v>0</v>
      </c>
      <c r="I166" s="606">
        <f t="shared" si="31"/>
        <v>0</v>
      </c>
      <c r="J166" s="376"/>
    </row>
    <row r="167" spans="1:10" ht="23.4" x14ac:dyDescent="0.3">
      <c r="A167" s="1068"/>
      <c r="B167" s="702"/>
      <c r="C167" s="282" t="s">
        <v>429</v>
      </c>
      <c r="D167" s="437" t="s">
        <v>258</v>
      </c>
      <c r="E167" s="283">
        <v>5760</v>
      </c>
      <c r="F167" s="438">
        <f t="shared" si="32"/>
        <v>5760</v>
      </c>
      <c r="G167" s="612">
        <v>59.96</v>
      </c>
      <c r="H167" s="603">
        <f t="shared" si="33"/>
        <v>345369.59999999998</v>
      </c>
      <c r="I167" s="606">
        <f t="shared" si="31"/>
        <v>345369.59999999998</v>
      </c>
      <c r="J167" s="376"/>
    </row>
    <row r="168" spans="1:10" ht="23.4" x14ac:dyDescent="0.3">
      <c r="A168" s="1068"/>
      <c r="B168" s="702"/>
      <c r="C168" s="282" t="s">
        <v>385</v>
      </c>
      <c r="D168" s="437" t="s">
        <v>375</v>
      </c>
      <c r="E168" s="283"/>
      <c r="F168" s="438">
        <f t="shared" si="32"/>
        <v>0</v>
      </c>
      <c r="G168" s="612">
        <v>45</v>
      </c>
      <c r="H168" s="603">
        <f t="shared" si="33"/>
        <v>0</v>
      </c>
      <c r="I168" s="606">
        <f t="shared" si="31"/>
        <v>0</v>
      </c>
      <c r="J168" s="376"/>
    </row>
    <row r="169" spans="1:10" ht="23.4" x14ac:dyDescent="0.3">
      <c r="A169" s="1068"/>
      <c r="B169" s="702"/>
      <c r="C169" s="282" t="s">
        <v>305</v>
      </c>
      <c r="D169" s="437"/>
      <c r="E169" s="283"/>
      <c r="F169" s="438">
        <f t="shared" si="32"/>
        <v>0</v>
      </c>
      <c r="G169" s="612">
        <v>39450</v>
      </c>
      <c r="H169" s="603">
        <f t="shared" si="33"/>
        <v>0</v>
      </c>
      <c r="I169" s="606">
        <f t="shared" si="31"/>
        <v>0</v>
      </c>
      <c r="J169" s="376"/>
    </row>
    <row r="170" spans="1:10" ht="24" thickBot="1" x14ac:dyDescent="0.35">
      <c r="A170" s="1068"/>
      <c r="B170" s="702"/>
      <c r="C170" s="282" t="s">
        <v>364</v>
      </c>
      <c r="D170" s="437" t="s">
        <v>258</v>
      </c>
      <c r="E170" s="283"/>
      <c r="F170" s="438">
        <f t="shared" si="32"/>
        <v>0</v>
      </c>
      <c r="G170" s="612">
        <v>57.64</v>
      </c>
      <c r="H170" s="603">
        <f t="shared" si="33"/>
        <v>0</v>
      </c>
      <c r="I170" s="606">
        <f t="shared" si="31"/>
        <v>0</v>
      </c>
      <c r="J170" s="376"/>
    </row>
    <row r="171" spans="1:10" ht="24" thickBot="1" x14ac:dyDescent="0.35">
      <c r="A171" s="1069"/>
      <c r="B171" s="1063" t="s">
        <v>291</v>
      </c>
      <c r="C171" s="1064"/>
      <c r="D171" s="705"/>
      <c r="E171" s="329">
        <f>SUM(E151:E170)</f>
        <v>15856</v>
      </c>
      <c r="F171" s="329">
        <f>SUM(F151:F170)</f>
        <v>18416</v>
      </c>
      <c r="G171" s="329"/>
      <c r="H171" s="600">
        <f>SUM(H151:H170)</f>
        <v>1056967.8399999999</v>
      </c>
      <c r="I171" s="589">
        <f>SUM(I151:I170)</f>
        <v>2157819.04</v>
      </c>
      <c r="J171" s="375"/>
    </row>
    <row r="172" spans="1:10" ht="24" thickBot="1" x14ac:dyDescent="0.35">
      <c r="A172" s="709"/>
      <c r="B172" s="440"/>
      <c r="C172" s="282"/>
      <c r="D172" s="437"/>
      <c r="E172" s="283"/>
      <c r="F172" s="284"/>
      <c r="G172" s="337"/>
      <c r="H172" s="599"/>
      <c r="I172" s="285"/>
      <c r="J172" s="376"/>
    </row>
    <row r="173" spans="1:10" ht="24" thickBot="1" x14ac:dyDescent="0.35">
      <c r="A173" s="709"/>
      <c r="B173" s="1063" t="s">
        <v>238</v>
      </c>
      <c r="C173" s="1064"/>
      <c r="D173" s="703"/>
      <c r="E173" s="329"/>
      <c r="F173" s="330"/>
      <c r="G173" s="329"/>
      <c r="H173" s="597"/>
      <c r="I173" s="327"/>
      <c r="J173" s="352"/>
    </row>
    <row r="174" spans="1:10" ht="24.6" thickBot="1" x14ac:dyDescent="0.35">
      <c r="A174" s="322"/>
      <c r="B174" s="1065" t="s">
        <v>182</v>
      </c>
      <c r="C174" s="1066"/>
      <c r="D174" s="704"/>
      <c r="E174" s="377">
        <f>+E171+E150+E129+E127</f>
        <v>150496</v>
      </c>
      <c r="F174" s="377">
        <f>+F171+F150+F129+F127</f>
        <v>345624</v>
      </c>
      <c r="G174" s="377"/>
      <c r="H174" s="377"/>
      <c r="I174" s="377">
        <f>+I171+I150+I129</f>
        <v>9355400.6400000006</v>
      </c>
      <c r="J174" s="378"/>
    </row>
    <row r="175" spans="1:10" ht="23.4" x14ac:dyDescent="0.3">
      <c r="A175" s="991" t="s">
        <v>1</v>
      </c>
      <c r="B175" s="994" t="s">
        <v>2</v>
      </c>
      <c r="C175" s="1072" t="s">
        <v>3</v>
      </c>
      <c r="D175" s="1043" t="s">
        <v>93</v>
      </c>
      <c r="E175" s="1076">
        <v>44535</v>
      </c>
      <c r="F175" s="1001"/>
      <c r="G175" s="1001"/>
      <c r="H175" s="1001"/>
      <c r="I175" s="1001"/>
      <c r="J175" s="1002"/>
    </row>
    <row r="176" spans="1:10" ht="23.4" x14ac:dyDescent="0.3">
      <c r="A176" s="1070"/>
      <c r="B176" s="1071"/>
      <c r="C176" s="1073"/>
      <c r="D176" s="1044"/>
      <c r="E176" s="1077" t="s">
        <v>94</v>
      </c>
      <c r="F176" s="1078"/>
      <c r="G176" s="1077" t="s">
        <v>247</v>
      </c>
      <c r="H176" s="1079"/>
      <c r="I176" s="1079"/>
      <c r="J176" s="1078"/>
    </row>
    <row r="177" spans="1:10" x14ac:dyDescent="0.3">
      <c r="A177" s="992"/>
      <c r="B177" s="995"/>
      <c r="C177" s="1074"/>
      <c r="D177" s="1044"/>
      <c r="E177" s="1003" t="s">
        <v>95</v>
      </c>
      <c r="F177" s="1005" t="s">
        <v>96</v>
      </c>
      <c r="G177" s="1081" t="s">
        <v>97</v>
      </c>
      <c r="H177" s="1083" t="s">
        <v>98</v>
      </c>
      <c r="I177" s="1083" t="s">
        <v>98</v>
      </c>
      <c r="J177" s="1085" t="s">
        <v>12</v>
      </c>
    </row>
    <row r="178" spans="1:10" ht="14.4" thickBot="1" x14ac:dyDescent="0.35">
      <c r="A178" s="993"/>
      <c r="B178" s="996"/>
      <c r="C178" s="1075"/>
      <c r="D178" s="1045"/>
      <c r="E178" s="1004"/>
      <c r="F178" s="1080"/>
      <c r="G178" s="1082"/>
      <c r="H178" s="1084"/>
      <c r="I178" s="1084"/>
      <c r="J178" s="1086"/>
    </row>
    <row r="179" spans="1:10" ht="23.4" x14ac:dyDescent="0.3">
      <c r="A179" s="1067" t="s">
        <v>110</v>
      </c>
      <c r="B179" s="442"/>
      <c r="C179" s="584" t="s">
        <v>292</v>
      </c>
      <c r="D179" s="686" t="s">
        <v>284</v>
      </c>
      <c r="E179" s="744"/>
      <c r="F179" s="695">
        <f>+F97+E179</f>
        <v>0</v>
      </c>
      <c r="G179" s="741">
        <v>111.09</v>
      </c>
      <c r="H179" s="601">
        <f t="shared" ref="H179:H192" si="34">E179*G179</f>
        <v>0</v>
      </c>
      <c r="I179" s="604">
        <f>+G179*F179</f>
        <v>0</v>
      </c>
      <c r="J179" s="354"/>
    </row>
    <row r="180" spans="1:10" ht="23.4" x14ac:dyDescent="0.3">
      <c r="A180" s="1068"/>
      <c r="B180" s="441"/>
      <c r="C180" s="444" t="s">
        <v>285</v>
      </c>
      <c r="D180" s="687" t="s">
        <v>286</v>
      </c>
      <c r="E180" s="745"/>
      <c r="F180" s="746">
        <f t="shared" ref="F180:F208" si="35">+F98+E180</f>
        <v>0</v>
      </c>
      <c r="G180" s="742">
        <v>11</v>
      </c>
      <c r="H180" s="602">
        <f t="shared" si="34"/>
        <v>0</v>
      </c>
      <c r="I180" s="605">
        <f>+G180*F180</f>
        <v>0</v>
      </c>
      <c r="J180" s="355"/>
    </row>
    <row r="181" spans="1:10" ht="23.4" x14ac:dyDescent="0.3">
      <c r="A181" s="1068"/>
      <c r="B181" s="441"/>
      <c r="C181" s="444" t="s">
        <v>321</v>
      </c>
      <c r="D181" s="687" t="s">
        <v>400</v>
      </c>
      <c r="E181" s="745"/>
      <c r="F181" s="746">
        <f t="shared" si="35"/>
        <v>0</v>
      </c>
      <c r="G181" s="742">
        <v>139.04</v>
      </c>
      <c r="H181" s="602">
        <f t="shared" si="34"/>
        <v>0</v>
      </c>
      <c r="I181" s="605">
        <f t="shared" ref="I181:I192" si="36">+G181*F181</f>
        <v>0</v>
      </c>
      <c r="J181" s="355"/>
    </row>
    <row r="182" spans="1:10" ht="23.4" x14ac:dyDescent="0.3">
      <c r="A182" s="1068"/>
      <c r="B182" s="441"/>
      <c r="C182" s="444" t="s">
        <v>397</v>
      </c>
      <c r="D182" s="687" t="s">
        <v>398</v>
      </c>
      <c r="E182" s="745">
        <v>134640</v>
      </c>
      <c r="F182" s="746">
        <f t="shared" si="35"/>
        <v>403920</v>
      </c>
      <c r="G182" s="742">
        <v>20.5</v>
      </c>
      <c r="H182" s="602">
        <f t="shared" si="34"/>
        <v>2760120</v>
      </c>
      <c r="I182" s="605">
        <f t="shared" si="36"/>
        <v>8280360</v>
      </c>
      <c r="J182" s="355"/>
    </row>
    <row r="183" spans="1:10" ht="23.4" x14ac:dyDescent="0.3">
      <c r="A183" s="1068"/>
      <c r="B183" s="441"/>
      <c r="C183" s="444" t="s">
        <v>312</v>
      </c>
      <c r="D183" s="687" t="s">
        <v>190</v>
      </c>
      <c r="E183" s="745"/>
      <c r="F183" s="746">
        <f t="shared" si="35"/>
        <v>0</v>
      </c>
      <c r="G183" s="742">
        <v>14.79</v>
      </c>
      <c r="H183" s="602">
        <f t="shared" si="34"/>
        <v>0</v>
      </c>
      <c r="I183" s="605">
        <f t="shared" si="36"/>
        <v>0</v>
      </c>
      <c r="J183" s="355"/>
    </row>
    <row r="184" spans="1:10" ht="23.4" x14ac:dyDescent="0.3">
      <c r="A184" s="1068"/>
      <c r="B184" s="441"/>
      <c r="C184" s="444" t="s">
        <v>321</v>
      </c>
      <c r="D184" s="687" t="s">
        <v>286</v>
      </c>
      <c r="E184" s="745">
        <v>0</v>
      </c>
      <c r="F184" s="746">
        <f t="shared" si="35"/>
        <v>640</v>
      </c>
      <c r="G184" s="742">
        <v>139.04</v>
      </c>
      <c r="H184" s="602">
        <f t="shared" si="34"/>
        <v>0</v>
      </c>
      <c r="I184" s="605">
        <f t="shared" si="36"/>
        <v>88985.599999999991</v>
      </c>
      <c r="J184" s="355"/>
    </row>
    <row r="185" spans="1:10" ht="23.4" x14ac:dyDescent="0.3">
      <c r="A185" s="1068"/>
      <c r="B185" s="441"/>
      <c r="C185" s="444" t="s">
        <v>362</v>
      </c>
      <c r="D185" s="688" t="s">
        <v>396</v>
      </c>
      <c r="E185" s="745"/>
      <c r="F185" s="746">
        <f t="shared" si="35"/>
        <v>0</v>
      </c>
      <c r="G185" s="742">
        <v>20.5</v>
      </c>
      <c r="H185" s="602">
        <f t="shared" si="34"/>
        <v>0</v>
      </c>
      <c r="I185" s="605">
        <f t="shared" si="36"/>
        <v>0</v>
      </c>
      <c r="J185" s="355"/>
    </row>
    <row r="186" spans="1:10" ht="23.4" x14ac:dyDescent="0.3">
      <c r="A186" s="1068"/>
      <c r="B186" s="441"/>
      <c r="C186" s="444" t="s">
        <v>345</v>
      </c>
      <c r="D186" s="688" t="s">
        <v>286</v>
      </c>
      <c r="E186" s="745"/>
      <c r="F186" s="746">
        <f t="shared" si="35"/>
        <v>0</v>
      </c>
      <c r="G186" s="742">
        <v>18.84</v>
      </c>
      <c r="H186" s="602">
        <f t="shared" si="34"/>
        <v>0</v>
      </c>
      <c r="I186" s="605">
        <f t="shared" si="36"/>
        <v>0</v>
      </c>
      <c r="J186" s="355"/>
    </row>
    <row r="187" spans="1:10" ht="23.4" x14ac:dyDescent="0.3">
      <c r="A187" s="1068"/>
      <c r="B187" s="441"/>
      <c r="C187" s="444" t="s">
        <v>357</v>
      </c>
      <c r="D187" s="688" t="s">
        <v>252</v>
      </c>
      <c r="E187" s="745"/>
      <c r="F187" s="746">
        <f t="shared" si="35"/>
        <v>0</v>
      </c>
      <c r="G187" s="742">
        <v>21.18</v>
      </c>
      <c r="H187" s="602">
        <f t="shared" si="34"/>
        <v>0</v>
      </c>
      <c r="I187" s="605">
        <f t="shared" si="36"/>
        <v>0</v>
      </c>
      <c r="J187" s="355"/>
    </row>
    <row r="188" spans="1:10" ht="23.4" x14ac:dyDescent="0.3">
      <c r="A188" s="1068"/>
      <c r="B188" s="441"/>
      <c r="C188" s="444" t="s">
        <v>359</v>
      </c>
      <c r="D188" s="688" t="s">
        <v>360</v>
      </c>
      <c r="E188" s="745"/>
      <c r="F188" s="746">
        <f t="shared" si="35"/>
        <v>0</v>
      </c>
      <c r="G188" s="742">
        <v>21.28</v>
      </c>
      <c r="H188" s="602">
        <f t="shared" si="34"/>
        <v>0</v>
      </c>
      <c r="I188" s="605">
        <f t="shared" si="36"/>
        <v>0</v>
      </c>
      <c r="J188" s="355"/>
    </row>
    <row r="189" spans="1:10" ht="23.4" x14ac:dyDescent="0.3">
      <c r="A189" s="1068"/>
      <c r="B189" s="441"/>
      <c r="C189" s="444" t="s">
        <v>321</v>
      </c>
      <c r="D189" s="688" t="s">
        <v>396</v>
      </c>
      <c r="E189" s="745"/>
      <c r="F189" s="746">
        <f t="shared" si="35"/>
        <v>0</v>
      </c>
      <c r="G189" s="742">
        <v>139.04</v>
      </c>
      <c r="H189" s="602">
        <f t="shared" si="34"/>
        <v>0</v>
      </c>
      <c r="I189" s="605">
        <f t="shared" si="36"/>
        <v>0</v>
      </c>
      <c r="J189" s="355"/>
    </row>
    <row r="190" spans="1:10" ht="23.4" x14ac:dyDescent="0.3">
      <c r="A190" s="1068"/>
      <c r="B190" s="441"/>
      <c r="C190" s="444" t="s">
        <v>403</v>
      </c>
      <c r="D190" s="687" t="s">
        <v>190</v>
      </c>
      <c r="E190" s="745"/>
      <c r="F190" s="746">
        <f t="shared" si="35"/>
        <v>0</v>
      </c>
      <c r="G190" s="742">
        <v>14.55</v>
      </c>
      <c r="H190" s="602">
        <f t="shared" si="34"/>
        <v>0</v>
      </c>
      <c r="I190" s="605">
        <f t="shared" si="36"/>
        <v>0</v>
      </c>
      <c r="J190" s="355"/>
    </row>
    <row r="191" spans="1:10" ht="23.4" x14ac:dyDescent="0.3">
      <c r="A191" s="1068"/>
      <c r="B191" s="441"/>
      <c r="C191" s="444" t="s">
        <v>362</v>
      </c>
      <c r="D191" s="688" t="s">
        <v>202</v>
      </c>
      <c r="E191" s="745"/>
      <c r="F191" s="746">
        <f t="shared" si="35"/>
        <v>0</v>
      </c>
      <c r="G191" s="742">
        <v>21.28</v>
      </c>
      <c r="H191" s="602">
        <f t="shared" si="34"/>
        <v>0</v>
      </c>
      <c r="I191" s="605">
        <f t="shared" si="36"/>
        <v>0</v>
      </c>
      <c r="J191" s="355"/>
    </row>
    <row r="192" spans="1:10" ht="24" thickBot="1" x14ac:dyDescent="0.35">
      <c r="A192" s="1068"/>
      <c r="B192" s="441"/>
      <c r="C192" s="444" t="s">
        <v>374</v>
      </c>
      <c r="D192" s="689" t="s">
        <v>191</v>
      </c>
      <c r="E192" s="745"/>
      <c r="F192" s="697">
        <f t="shared" si="35"/>
        <v>0</v>
      </c>
      <c r="G192" s="742">
        <v>36.44</v>
      </c>
      <c r="H192" s="602">
        <f t="shared" si="34"/>
        <v>0</v>
      </c>
      <c r="I192" s="605">
        <f t="shared" si="36"/>
        <v>0</v>
      </c>
      <c r="J192" s="355"/>
    </row>
    <row r="193" spans="1:10" ht="24" thickBot="1" x14ac:dyDescent="0.35">
      <c r="A193" s="1068"/>
      <c r="B193" s="1063" t="s">
        <v>287</v>
      </c>
      <c r="C193" s="1064"/>
      <c r="D193" s="720"/>
      <c r="E193" s="329">
        <f>SUM(E179:E192)</f>
        <v>134640</v>
      </c>
      <c r="F193" s="743">
        <f>SUM(F179:F192)</f>
        <v>404560</v>
      </c>
      <c r="G193" s="329"/>
      <c r="H193" s="597">
        <f>SUM(H179:H192)</f>
        <v>2760120</v>
      </c>
      <c r="I193" s="589">
        <f>SUM(I179:I192)</f>
        <v>8369345.5999999996</v>
      </c>
      <c r="J193" s="352"/>
    </row>
    <row r="194" spans="1:10" ht="23.4" x14ac:dyDescent="0.3">
      <c r="A194" s="1068"/>
      <c r="B194" s="718"/>
      <c r="C194" s="282" t="s">
        <v>293</v>
      </c>
      <c r="D194" s="437" t="s">
        <v>258</v>
      </c>
      <c r="E194" s="283"/>
      <c r="F194" s="438">
        <f t="shared" si="35"/>
        <v>0</v>
      </c>
      <c r="G194" s="587">
        <v>160.44999999999999</v>
      </c>
      <c r="H194" s="603">
        <f t="shared" ref="H194:H204" si="37">E194*G194</f>
        <v>0</v>
      </c>
      <c r="I194" s="606">
        <f t="shared" ref="I194:I204" si="38">+G194*F194</f>
        <v>0</v>
      </c>
      <c r="J194" s="376"/>
    </row>
    <row r="195" spans="1:10" ht="23.4" x14ac:dyDescent="0.3">
      <c r="A195" s="1068"/>
      <c r="B195" s="718"/>
      <c r="C195" s="282" t="s">
        <v>309</v>
      </c>
      <c r="D195" s="437" t="s">
        <v>258</v>
      </c>
      <c r="E195" s="283"/>
      <c r="F195" s="438">
        <f t="shared" si="35"/>
        <v>0</v>
      </c>
      <c r="G195" s="587">
        <v>160.44999999999999</v>
      </c>
      <c r="H195" s="603">
        <f t="shared" si="37"/>
        <v>0</v>
      </c>
      <c r="I195" s="606">
        <f t="shared" si="38"/>
        <v>0</v>
      </c>
      <c r="J195" s="376"/>
    </row>
    <row r="196" spans="1:10" ht="23.4" x14ac:dyDescent="0.3">
      <c r="A196" s="1068"/>
      <c r="B196" s="718"/>
      <c r="C196" s="282" t="s">
        <v>310</v>
      </c>
      <c r="D196" s="437" t="s">
        <v>258</v>
      </c>
      <c r="E196" s="283"/>
      <c r="F196" s="438">
        <f t="shared" si="35"/>
        <v>0</v>
      </c>
      <c r="G196" s="587">
        <v>160.44999999999999</v>
      </c>
      <c r="H196" s="603">
        <f t="shared" si="37"/>
        <v>0</v>
      </c>
      <c r="I196" s="606">
        <f t="shared" si="38"/>
        <v>0</v>
      </c>
      <c r="J196" s="376"/>
    </row>
    <row r="197" spans="1:10" ht="23.4" x14ac:dyDescent="0.3">
      <c r="A197" s="1068"/>
      <c r="B197" s="718"/>
      <c r="C197" s="282" t="s">
        <v>311</v>
      </c>
      <c r="D197" s="437" t="s">
        <v>100</v>
      </c>
      <c r="E197" s="283"/>
      <c r="F197" s="438">
        <f t="shared" si="35"/>
        <v>0</v>
      </c>
      <c r="G197" s="587">
        <v>27</v>
      </c>
      <c r="H197" s="603">
        <f t="shared" si="37"/>
        <v>0</v>
      </c>
      <c r="I197" s="606">
        <f t="shared" si="38"/>
        <v>0</v>
      </c>
      <c r="J197" s="376"/>
    </row>
    <row r="198" spans="1:10" ht="23.4" x14ac:dyDescent="0.3">
      <c r="A198" s="1068"/>
      <c r="B198" s="718"/>
      <c r="C198" s="282" t="s">
        <v>311</v>
      </c>
      <c r="D198" s="437" t="s">
        <v>318</v>
      </c>
      <c r="E198" s="283">
        <v>0</v>
      </c>
      <c r="F198" s="438">
        <f t="shared" si="35"/>
        <v>55440</v>
      </c>
      <c r="G198" s="587">
        <v>27.5</v>
      </c>
      <c r="H198" s="603">
        <f t="shared" si="37"/>
        <v>0</v>
      </c>
      <c r="I198" s="606">
        <f t="shared" si="38"/>
        <v>1524600</v>
      </c>
      <c r="J198" s="376"/>
    </row>
    <row r="199" spans="1:10" ht="23.4" x14ac:dyDescent="0.3">
      <c r="A199" s="1068"/>
      <c r="B199" s="718"/>
      <c r="C199" s="282" t="s">
        <v>299</v>
      </c>
      <c r="D199" s="437" t="s">
        <v>318</v>
      </c>
      <c r="E199" s="283">
        <v>0</v>
      </c>
      <c r="F199" s="438">
        <f t="shared" si="35"/>
        <v>1848</v>
      </c>
      <c r="G199" s="587">
        <v>34.5</v>
      </c>
      <c r="H199" s="603">
        <f t="shared" si="37"/>
        <v>0</v>
      </c>
      <c r="I199" s="606">
        <f t="shared" si="38"/>
        <v>63756</v>
      </c>
      <c r="J199" s="376"/>
    </row>
    <row r="200" spans="1:10" ht="23.4" x14ac:dyDescent="0.3">
      <c r="A200" s="1068"/>
      <c r="B200" s="718"/>
      <c r="C200" s="282" t="s">
        <v>331</v>
      </c>
      <c r="D200" s="437" t="s">
        <v>258</v>
      </c>
      <c r="E200" s="283"/>
      <c r="F200" s="438">
        <f t="shared" si="35"/>
        <v>0</v>
      </c>
      <c r="G200" s="587">
        <v>160.44999999999999</v>
      </c>
      <c r="H200" s="603">
        <f t="shared" si="37"/>
        <v>0</v>
      </c>
      <c r="I200" s="606">
        <f t="shared" si="38"/>
        <v>0</v>
      </c>
      <c r="J200" s="376"/>
    </row>
    <row r="201" spans="1:10" ht="23.4" x14ac:dyDescent="0.3">
      <c r="A201" s="1068"/>
      <c r="B201" s="718"/>
      <c r="C201" s="282" t="s">
        <v>388</v>
      </c>
      <c r="D201" s="437" t="s">
        <v>258</v>
      </c>
      <c r="E201" s="283"/>
      <c r="F201" s="438">
        <f t="shared" si="35"/>
        <v>0</v>
      </c>
      <c r="G201" s="587">
        <v>160.44999999999999</v>
      </c>
      <c r="H201" s="603">
        <f t="shared" si="37"/>
        <v>0</v>
      </c>
      <c r="I201" s="606">
        <f t="shared" si="38"/>
        <v>0</v>
      </c>
      <c r="J201" s="376"/>
    </row>
    <row r="202" spans="1:10" ht="23.4" x14ac:dyDescent="0.3">
      <c r="A202" s="1068"/>
      <c r="B202" s="718"/>
      <c r="C202" s="282" t="s">
        <v>342</v>
      </c>
      <c r="D202" s="437" t="s">
        <v>258</v>
      </c>
      <c r="E202" s="283"/>
      <c r="F202" s="438">
        <f t="shared" si="35"/>
        <v>0</v>
      </c>
      <c r="G202" s="587">
        <v>160.44999999999999</v>
      </c>
      <c r="H202" s="603">
        <f t="shared" si="37"/>
        <v>0</v>
      </c>
      <c r="I202" s="606">
        <f t="shared" si="38"/>
        <v>0</v>
      </c>
      <c r="J202" s="376"/>
    </row>
    <row r="203" spans="1:10" ht="23.4" x14ac:dyDescent="0.3">
      <c r="A203" s="1068"/>
      <c r="B203" s="718"/>
      <c r="C203" s="282" t="s">
        <v>343</v>
      </c>
      <c r="D203" s="437" t="s">
        <v>258</v>
      </c>
      <c r="E203" s="283"/>
      <c r="F203" s="438">
        <f t="shared" si="35"/>
        <v>0</v>
      </c>
      <c r="G203" s="587">
        <v>160.44999999999999</v>
      </c>
      <c r="H203" s="603">
        <f t="shared" si="37"/>
        <v>0</v>
      </c>
      <c r="I203" s="606">
        <f t="shared" si="38"/>
        <v>0</v>
      </c>
      <c r="J203" s="376"/>
    </row>
    <row r="204" spans="1:10" ht="24" thickBot="1" x14ac:dyDescent="0.35">
      <c r="A204" s="1068"/>
      <c r="B204" s="718"/>
      <c r="C204" s="282" t="s">
        <v>340</v>
      </c>
      <c r="D204" s="437" t="s">
        <v>258</v>
      </c>
      <c r="E204" s="283"/>
      <c r="F204" s="438">
        <f t="shared" si="35"/>
        <v>0</v>
      </c>
      <c r="G204" s="587">
        <v>160.44999999999999</v>
      </c>
      <c r="H204" s="603">
        <f t="shared" si="37"/>
        <v>0</v>
      </c>
      <c r="I204" s="606">
        <f t="shared" si="38"/>
        <v>0</v>
      </c>
      <c r="J204" s="376"/>
    </row>
    <row r="205" spans="1:10" ht="24" thickBot="1" x14ac:dyDescent="0.35">
      <c r="A205" s="1068"/>
      <c r="B205" s="1063" t="s">
        <v>288</v>
      </c>
      <c r="C205" s="1064"/>
      <c r="D205" s="720"/>
      <c r="E205" s="329">
        <f>SUM(E194:E204)</f>
        <v>0</v>
      </c>
      <c r="F205" s="329">
        <f>SUM(F194:F204)</f>
        <v>57288</v>
      </c>
      <c r="G205" s="329"/>
      <c r="H205" s="597">
        <f>SUM(H194:H204)</f>
        <v>0</v>
      </c>
      <c r="I205" s="589">
        <f>SUM(I194:I204)</f>
        <v>1588356</v>
      </c>
      <c r="J205" s="352"/>
    </row>
    <row r="206" spans="1:10" ht="23.4" x14ac:dyDescent="0.3">
      <c r="A206" s="1068"/>
      <c r="B206" s="718"/>
      <c r="C206" s="282" t="s">
        <v>434</v>
      </c>
      <c r="D206" s="437" t="s">
        <v>435</v>
      </c>
      <c r="E206" s="283"/>
      <c r="F206" s="438">
        <v>250</v>
      </c>
      <c r="G206" s="587">
        <v>5.34</v>
      </c>
      <c r="H206" s="603">
        <f t="shared" ref="H206:H208" si="39">E206*G206</f>
        <v>0</v>
      </c>
      <c r="I206" s="606">
        <f t="shared" ref="I206" si="40">+G206*F206</f>
        <v>1335</v>
      </c>
      <c r="J206" s="376"/>
    </row>
    <row r="207" spans="1:10" ht="23.4" x14ac:dyDescent="0.3">
      <c r="A207" s="1068"/>
      <c r="B207" s="718"/>
      <c r="C207" s="282" t="s">
        <v>300</v>
      </c>
      <c r="D207" s="437" t="s">
        <v>301</v>
      </c>
      <c r="E207" s="283"/>
      <c r="F207" s="438">
        <f t="shared" si="35"/>
        <v>0</v>
      </c>
      <c r="G207" s="587">
        <v>2500</v>
      </c>
      <c r="H207" s="603">
        <f t="shared" si="39"/>
        <v>0</v>
      </c>
      <c r="I207" s="606">
        <f>+G207*F207</f>
        <v>0</v>
      </c>
      <c r="J207" s="376"/>
    </row>
    <row r="208" spans="1:10" ht="24" thickBot="1" x14ac:dyDescent="0.35">
      <c r="A208" s="1068"/>
      <c r="B208" s="718"/>
      <c r="C208" s="282" t="s">
        <v>332</v>
      </c>
      <c r="D208" s="437" t="s">
        <v>333</v>
      </c>
      <c r="E208" s="283"/>
      <c r="F208" s="438">
        <f t="shared" si="35"/>
        <v>0</v>
      </c>
      <c r="G208" s="588">
        <v>360</v>
      </c>
      <c r="H208" s="603">
        <f t="shared" si="39"/>
        <v>0</v>
      </c>
      <c r="I208" s="606">
        <f t="shared" ref="I208" si="41">+G208*F208</f>
        <v>0</v>
      </c>
      <c r="J208" s="376"/>
    </row>
    <row r="209" spans="1:10" ht="24" thickBot="1" x14ac:dyDescent="0.35">
      <c r="A209" s="1068"/>
      <c r="B209" s="1063" t="s">
        <v>294</v>
      </c>
      <c r="C209" s="1064"/>
      <c r="D209" s="720"/>
      <c r="E209" s="329">
        <f>SUM(E206:E208)</f>
        <v>0</v>
      </c>
      <c r="F209" s="329">
        <f>SUM(F206:F208)</f>
        <v>250</v>
      </c>
      <c r="G209" s="329"/>
      <c r="H209" s="597">
        <f>SUM(H206:H208)</f>
        <v>0</v>
      </c>
      <c r="I209" s="589">
        <f>SUM(I206:I208)</f>
        <v>1335</v>
      </c>
      <c r="J209" s="376"/>
    </row>
    <row r="210" spans="1:10" ht="24" thickBot="1" x14ac:dyDescent="0.35">
      <c r="A210" s="1068"/>
      <c r="B210" s="718"/>
      <c r="C210" s="282"/>
      <c r="D210" s="437"/>
      <c r="E210" s="283"/>
      <c r="F210" s="320"/>
      <c r="G210" s="588"/>
      <c r="H210" s="598"/>
      <c r="I210" s="285">
        <f t="shared" ref="I210" si="42">+G210*F210</f>
        <v>0</v>
      </c>
      <c r="J210" s="376"/>
    </row>
    <row r="211" spans="1:10" ht="24" thickBot="1" x14ac:dyDescent="0.35">
      <c r="A211" s="1069"/>
      <c r="B211" s="1063" t="s">
        <v>290</v>
      </c>
      <c r="C211" s="1064"/>
      <c r="D211" s="716"/>
      <c r="E211" s="329">
        <f>+E209+E205+E193</f>
        <v>134640</v>
      </c>
      <c r="F211" s="329">
        <f>+F209+F205+F193</f>
        <v>462098</v>
      </c>
      <c r="G211" s="329"/>
      <c r="H211" s="589">
        <f>+H205+H193+H209</f>
        <v>2760120</v>
      </c>
      <c r="I211" s="589">
        <f>+I205+I193+I209</f>
        <v>9959036.5999999996</v>
      </c>
      <c r="J211" s="376"/>
    </row>
    <row r="212" spans="1:10" ht="23.4" x14ac:dyDescent="0.3">
      <c r="A212" s="1067" t="s">
        <v>108</v>
      </c>
      <c r="B212" s="718"/>
      <c r="C212" s="282" t="s">
        <v>304</v>
      </c>
      <c r="D212" s="437" t="s">
        <v>191</v>
      </c>
      <c r="E212" s="283"/>
      <c r="F212" s="438">
        <f t="shared" ref="F212:F231" si="43">+F130+E212</f>
        <v>0</v>
      </c>
      <c r="G212" s="612">
        <v>13.25</v>
      </c>
      <c r="H212" s="607">
        <f t="shared" ref="H212:H231" si="44">E212*G212</f>
        <v>0</v>
      </c>
      <c r="I212" s="606">
        <f t="shared" ref="I212:I231" si="45">+G212*F212</f>
        <v>0</v>
      </c>
      <c r="J212" s="376"/>
    </row>
    <row r="213" spans="1:10" ht="23.4" x14ac:dyDescent="0.3">
      <c r="A213" s="1068"/>
      <c r="B213" s="718"/>
      <c r="C213" s="282" t="s">
        <v>305</v>
      </c>
      <c r="D213" s="437"/>
      <c r="E213" s="283">
        <v>1</v>
      </c>
      <c r="F213" s="438">
        <f t="shared" si="43"/>
        <v>1</v>
      </c>
      <c r="G213" s="613">
        <v>5000</v>
      </c>
      <c r="H213" s="607">
        <f t="shared" si="44"/>
        <v>5000</v>
      </c>
      <c r="I213" s="606">
        <f t="shared" si="45"/>
        <v>5000</v>
      </c>
      <c r="J213" s="376"/>
    </row>
    <row r="214" spans="1:10" ht="23.4" x14ac:dyDescent="0.3">
      <c r="A214" s="1068"/>
      <c r="B214" s="718"/>
      <c r="C214" s="282" t="s">
        <v>305</v>
      </c>
      <c r="D214" s="437"/>
      <c r="E214" s="283"/>
      <c r="F214" s="438">
        <f t="shared" si="43"/>
        <v>0</v>
      </c>
      <c r="G214" s="613">
        <v>18000</v>
      </c>
      <c r="H214" s="607">
        <f t="shared" si="44"/>
        <v>0</v>
      </c>
      <c r="I214" s="606">
        <f t="shared" si="45"/>
        <v>0</v>
      </c>
      <c r="J214" s="376"/>
    </row>
    <row r="215" spans="1:10" ht="23.4" x14ac:dyDescent="0.3">
      <c r="A215" s="1068"/>
      <c r="B215" s="718"/>
      <c r="C215" s="282" t="s">
        <v>317</v>
      </c>
      <c r="D215" s="437" t="s">
        <v>191</v>
      </c>
      <c r="E215" s="283"/>
      <c r="F215" s="438">
        <f t="shared" si="43"/>
        <v>0</v>
      </c>
      <c r="G215" s="612">
        <v>24.93</v>
      </c>
      <c r="H215" s="607">
        <f t="shared" si="44"/>
        <v>0</v>
      </c>
      <c r="I215" s="606">
        <f t="shared" si="45"/>
        <v>0</v>
      </c>
      <c r="J215" s="376"/>
    </row>
    <row r="216" spans="1:10" ht="23.4" x14ac:dyDescent="0.3">
      <c r="A216" s="1068"/>
      <c r="B216" s="718"/>
      <c r="C216" s="282" t="s">
        <v>324</v>
      </c>
      <c r="D216" s="437" t="s">
        <v>99</v>
      </c>
      <c r="E216" s="283"/>
      <c r="F216" s="438">
        <f t="shared" si="43"/>
        <v>0</v>
      </c>
      <c r="G216" s="612">
        <v>26</v>
      </c>
      <c r="H216" s="607">
        <f t="shared" si="44"/>
        <v>0</v>
      </c>
      <c r="I216" s="606">
        <f t="shared" si="45"/>
        <v>0</v>
      </c>
      <c r="J216" s="376"/>
    </row>
    <row r="217" spans="1:10" ht="23.4" x14ac:dyDescent="0.3">
      <c r="A217" s="1068"/>
      <c r="B217" s="718"/>
      <c r="C217" s="282" t="s">
        <v>325</v>
      </c>
      <c r="D217" s="437" t="s">
        <v>191</v>
      </c>
      <c r="E217" s="283"/>
      <c r="F217" s="438">
        <f t="shared" si="43"/>
        <v>0</v>
      </c>
      <c r="G217" s="612">
        <v>25.49</v>
      </c>
      <c r="H217" s="607">
        <f t="shared" si="44"/>
        <v>0</v>
      </c>
      <c r="I217" s="606">
        <f t="shared" si="45"/>
        <v>0</v>
      </c>
      <c r="J217" s="376"/>
    </row>
    <row r="218" spans="1:10" ht="23.4" x14ac:dyDescent="0.3">
      <c r="A218" s="1068"/>
      <c r="B218" s="718"/>
      <c r="C218" s="282" t="s">
        <v>326</v>
      </c>
      <c r="D218" s="437" t="s">
        <v>114</v>
      </c>
      <c r="E218" s="283"/>
      <c r="F218" s="438">
        <f t="shared" si="43"/>
        <v>0</v>
      </c>
      <c r="G218" s="612">
        <v>24.93</v>
      </c>
      <c r="H218" s="607">
        <f t="shared" si="44"/>
        <v>0</v>
      </c>
      <c r="I218" s="606">
        <f t="shared" si="45"/>
        <v>0</v>
      </c>
      <c r="J218" s="376"/>
    </row>
    <row r="219" spans="1:10" ht="23.4" x14ac:dyDescent="0.3">
      <c r="A219" s="1068"/>
      <c r="B219" s="718"/>
      <c r="C219" s="282" t="s">
        <v>327</v>
      </c>
      <c r="D219" s="437" t="s">
        <v>303</v>
      </c>
      <c r="E219" s="283"/>
      <c r="F219" s="438">
        <f t="shared" si="43"/>
        <v>0</v>
      </c>
      <c r="G219" s="612">
        <v>24.93</v>
      </c>
      <c r="H219" s="607">
        <f t="shared" si="44"/>
        <v>0</v>
      </c>
      <c r="I219" s="606">
        <f t="shared" si="45"/>
        <v>0</v>
      </c>
      <c r="J219" s="376"/>
    </row>
    <row r="220" spans="1:10" ht="23.4" x14ac:dyDescent="0.3">
      <c r="A220" s="1068"/>
      <c r="B220" s="718"/>
      <c r="C220" s="282" t="s">
        <v>328</v>
      </c>
      <c r="D220" s="437" t="s">
        <v>99</v>
      </c>
      <c r="E220" s="283"/>
      <c r="F220" s="438">
        <f t="shared" si="43"/>
        <v>0</v>
      </c>
      <c r="G220" s="612">
        <v>20.89</v>
      </c>
      <c r="H220" s="607">
        <f t="shared" si="44"/>
        <v>0</v>
      </c>
      <c r="I220" s="606">
        <f t="shared" si="45"/>
        <v>0</v>
      </c>
      <c r="J220" s="376"/>
    </row>
    <row r="221" spans="1:10" ht="23.4" x14ac:dyDescent="0.3">
      <c r="A221" s="1068"/>
      <c r="B221" s="718"/>
      <c r="C221" s="282" t="s">
        <v>394</v>
      </c>
      <c r="D221" s="437" t="s">
        <v>338</v>
      </c>
      <c r="E221" s="283"/>
      <c r="F221" s="438">
        <f t="shared" si="43"/>
        <v>0</v>
      </c>
      <c r="G221" s="612">
        <v>37.4566666666</v>
      </c>
      <c r="H221" s="607">
        <f t="shared" si="44"/>
        <v>0</v>
      </c>
      <c r="I221" s="606">
        <f t="shared" si="45"/>
        <v>0</v>
      </c>
      <c r="J221" s="376"/>
    </row>
    <row r="222" spans="1:10" ht="23.4" x14ac:dyDescent="0.3">
      <c r="A222" s="1068"/>
      <c r="B222" s="718"/>
      <c r="C222" s="282" t="s">
        <v>395</v>
      </c>
      <c r="D222" s="437" t="s">
        <v>338</v>
      </c>
      <c r="E222" s="283"/>
      <c r="F222" s="438">
        <f t="shared" si="43"/>
        <v>0</v>
      </c>
      <c r="G222" s="612">
        <v>37.89</v>
      </c>
      <c r="H222" s="607">
        <f t="shared" si="44"/>
        <v>0</v>
      </c>
      <c r="I222" s="606">
        <f t="shared" si="45"/>
        <v>0</v>
      </c>
      <c r="J222" s="376"/>
    </row>
    <row r="223" spans="1:10" ht="23.4" x14ac:dyDescent="0.3">
      <c r="A223" s="1068"/>
      <c r="B223" s="718"/>
      <c r="C223" s="282" t="s">
        <v>326</v>
      </c>
      <c r="D223" s="437" t="s">
        <v>302</v>
      </c>
      <c r="E223" s="283"/>
      <c r="F223" s="438">
        <f t="shared" si="43"/>
        <v>0</v>
      </c>
      <c r="G223" s="612">
        <v>24.93</v>
      </c>
      <c r="H223" s="607">
        <f t="shared" si="44"/>
        <v>0</v>
      </c>
      <c r="I223" s="606">
        <f t="shared" si="45"/>
        <v>0</v>
      </c>
      <c r="J223" s="376"/>
    </row>
    <row r="224" spans="1:10" ht="23.4" x14ac:dyDescent="0.3">
      <c r="A224" s="1068"/>
      <c r="B224" s="718"/>
      <c r="C224" s="282" t="s">
        <v>402</v>
      </c>
      <c r="D224" s="437" t="s">
        <v>376</v>
      </c>
      <c r="E224" s="283"/>
      <c r="F224" s="438">
        <f t="shared" si="43"/>
        <v>0</v>
      </c>
      <c r="G224" s="612">
        <v>24.93</v>
      </c>
      <c r="H224" s="607">
        <f t="shared" si="44"/>
        <v>0</v>
      </c>
      <c r="I224" s="606">
        <f t="shared" si="45"/>
        <v>0</v>
      </c>
      <c r="J224" s="376"/>
    </row>
    <row r="225" spans="1:10" ht="23.4" x14ac:dyDescent="0.3">
      <c r="A225" s="1068"/>
      <c r="B225" s="718"/>
      <c r="C225" s="282" t="s">
        <v>350</v>
      </c>
      <c r="D225" s="437" t="s">
        <v>313</v>
      </c>
      <c r="E225" s="283"/>
      <c r="F225" s="438">
        <f t="shared" si="43"/>
        <v>0</v>
      </c>
      <c r="G225" s="612">
        <v>34.26</v>
      </c>
      <c r="H225" s="607">
        <f t="shared" si="44"/>
        <v>0</v>
      </c>
      <c r="I225" s="606">
        <f t="shared" si="45"/>
        <v>0</v>
      </c>
      <c r="J225" s="376"/>
    </row>
    <row r="226" spans="1:10" ht="23.4" x14ac:dyDescent="0.3">
      <c r="A226" s="1068"/>
      <c r="B226" s="718"/>
      <c r="C226" s="282" t="s">
        <v>363</v>
      </c>
      <c r="D226" s="437" t="s">
        <v>401</v>
      </c>
      <c r="E226" s="283"/>
      <c r="F226" s="438">
        <f t="shared" si="43"/>
        <v>0</v>
      </c>
      <c r="G226" s="612">
        <v>37.89</v>
      </c>
      <c r="H226" s="607">
        <f t="shared" si="44"/>
        <v>0</v>
      </c>
      <c r="I226" s="606">
        <f t="shared" si="45"/>
        <v>0</v>
      </c>
      <c r="J226" s="376"/>
    </row>
    <row r="227" spans="1:10" ht="23.4" x14ac:dyDescent="0.3">
      <c r="A227" s="1068"/>
      <c r="B227" s="718"/>
      <c r="C227" s="282" t="s">
        <v>406</v>
      </c>
      <c r="D227" s="437" t="s">
        <v>376</v>
      </c>
      <c r="E227" s="283"/>
      <c r="F227" s="438">
        <f t="shared" si="43"/>
        <v>0</v>
      </c>
      <c r="G227" s="612">
        <v>39</v>
      </c>
      <c r="H227" s="607">
        <f t="shared" si="44"/>
        <v>0</v>
      </c>
      <c r="I227" s="606">
        <f t="shared" si="45"/>
        <v>0</v>
      </c>
      <c r="J227" s="376"/>
    </row>
    <row r="228" spans="1:10" ht="23.4" x14ac:dyDescent="0.3">
      <c r="A228" s="1068"/>
      <c r="B228" s="718"/>
      <c r="C228" s="282" t="s">
        <v>327</v>
      </c>
      <c r="D228" s="437" t="s">
        <v>190</v>
      </c>
      <c r="E228" s="283">
        <v>23868</v>
      </c>
      <c r="F228" s="438">
        <f t="shared" si="43"/>
        <v>23868</v>
      </c>
      <c r="G228" s="612">
        <v>21.22</v>
      </c>
      <c r="H228" s="607">
        <f t="shared" si="44"/>
        <v>506478.95999999996</v>
      </c>
      <c r="I228" s="606">
        <f t="shared" si="45"/>
        <v>506478.95999999996</v>
      </c>
      <c r="J228" s="376"/>
    </row>
    <row r="229" spans="1:10" ht="23.4" x14ac:dyDescent="0.3">
      <c r="A229" s="1068"/>
      <c r="B229" s="718"/>
      <c r="C229" s="282" t="s">
        <v>326</v>
      </c>
      <c r="D229" s="437" t="s">
        <v>190</v>
      </c>
      <c r="E229" s="283"/>
      <c r="F229" s="438">
        <f t="shared" si="43"/>
        <v>0</v>
      </c>
      <c r="G229" s="612">
        <v>21.22</v>
      </c>
      <c r="H229" s="607">
        <f t="shared" si="44"/>
        <v>0</v>
      </c>
      <c r="I229" s="606">
        <f t="shared" si="45"/>
        <v>0</v>
      </c>
      <c r="J229" s="376"/>
    </row>
    <row r="230" spans="1:10" ht="23.4" x14ac:dyDescent="0.3">
      <c r="A230" s="1068"/>
      <c r="B230" s="718"/>
      <c r="C230" s="282" t="s">
        <v>377</v>
      </c>
      <c r="D230" s="437" t="s">
        <v>333</v>
      </c>
      <c r="E230" s="283"/>
      <c r="F230" s="438">
        <f t="shared" si="43"/>
        <v>0</v>
      </c>
      <c r="G230" s="612">
        <v>10000</v>
      </c>
      <c r="H230" s="607">
        <f t="shared" si="44"/>
        <v>0</v>
      </c>
      <c r="I230" s="606">
        <f t="shared" si="45"/>
        <v>0</v>
      </c>
      <c r="J230" s="376"/>
    </row>
    <row r="231" spans="1:10" ht="24" thickBot="1" x14ac:dyDescent="0.35">
      <c r="A231" s="1068"/>
      <c r="B231" s="718"/>
      <c r="C231" s="282" t="s">
        <v>332</v>
      </c>
      <c r="D231" s="437" t="s">
        <v>333</v>
      </c>
      <c r="E231" s="283"/>
      <c r="F231" s="438">
        <f t="shared" si="43"/>
        <v>0</v>
      </c>
      <c r="G231" s="612">
        <v>360</v>
      </c>
      <c r="H231" s="607">
        <f t="shared" si="44"/>
        <v>0</v>
      </c>
      <c r="I231" s="606">
        <f t="shared" si="45"/>
        <v>0</v>
      </c>
      <c r="J231" s="376"/>
    </row>
    <row r="232" spans="1:10" ht="24" thickBot="1" x14ac:dyDescent="0.35">
      <c r="A232" s="1069"/>
      <c r="B232" s="1063" t="s">
        <v>289</v>
      </c>
      <c r="C232" s="1064"/>
      <c r="D232" s="720"/>
      <c r="E232" s="329">
        <f>SUM(E212:E231)</f>
        <v>23869</v>
      </c>
      <c r="F232" s="329">
        <f>SUM(F212:F231)</f>
        <v>23869</v>
      </c>
      <c r="G232" s="329"/>
      <c r="H232" s="597"/>
      <c r="I232" s="589">
        <f>SUM(I212:I231)</f>
        <v>511478.95999999996</v>
      </c>
      <c r="J232" s="376"/>
    </row>
    <row r="233" spans="1:10" ht="23.4" x14ac:dyDescent="0.3">
      <c r="A233" s="1067" t="s">
        <v>109</v>
      </c>
      <c r="B233" s="718"/>
      <c r="C233" s="282" t="s">
        <v>296</v>
      </c>
      <c r="D233" s="437" t="s">
        <v>258</v>
      </c>
      <c r="E233" s="283">
        <v>1463</v>
      </c>
      <c r="F233" s="438">
        <f t="shared" ref="F233:F252" si="46">+F151+E233</f>
        <v>4023</v>
      </c>
      <c r="G233" s="612">
        <v>430.02</v>
      </c>
      <c r="H233" s="603">
        <f>E233*G233</f>
        <v>629119.26</v>
      </c>
      <c r="I233" s="606">
        <f t="shared" ref="I233:I252" si="47">+G233*F233</f>
        <v>1729970.46</v>
      </c>
      <c r="J233" s="376"/>
    </row>
    <row r="234" spans="1:10" ht="23.4" x14ac:dyDescent="0.3">
      <c r="A234" s="1068"/>
      <c r="B234" s="718"/>
      <c r="C234" s="282" t="s">
        <v>297</v>
      </c>
      <c r="D234" s="437" t="s">
        <v>258</v>
      </c>
      <c r="E234" s="283"/>
      <c r="F234" s="438">
        <f t="shared" si="46"/>
        <v>0</v>
      </c>
      <c r="G234" s="612">
        <v>445.38</v>
      </c>
      <c r="H234" s="603">
        <f t="shared" ref="H234:H252" si="48">E234*G234</f>
        <v>0</v>
      </c>
      <c r="I234" s="606">
        <f t="shared" si="47"/>
        <v>0</v>
      </c>
      <c r="J234" s="376"/>
    </row>
    <row r="235" spans="1:10" ht="23.4" x14ac:dyDescent="0.3">
      <c r="A235" s="1068"/>
      <c r="B235" s="718"/>
      <c r="C235" s="282" t="s">
        <v>330</v>
      </c>
      <c r="D235" s="437" t="s">
        <v>258</v>
      </c>
      <c r="E235" s="283"/>
      <c r="F235" s="438">
        <f t="shared" si="46"/>
        <v>0</v>
      </c>
      <c r="G235" s="612">
        <v>63.55</v>
      </c>
      <c r="H235" s="603">
        <f t="shared" si="48"/>
        <v>0</v>
      </c>
      <c r="I235" s="606">
        <f t="shared" si="47"/>
        <v>0</v>
      </c>
      <c r="J235" s="376"/>
    </row>
    <row r="236" spans="1:10" ht="23.4" x14ac:dyDescent="0.3">
      <c r="A236" s="1068"/>
      <c r="B236" s="718"/>
      <c r="C236" s="282" t="s">
        <v>298</v>
      </c>
      <c r="D236" s="437" t="s">
        <v>258</v>
      </c>
      <c r="E236" s="283">
        <v>11760</v>
      </c>
      <c r="F236" s="438">
        <f t="shared" si="46"/>
        <v>21156</v>
      </c>
      <c r="G236" s="612">
        <v>71.44</v>
      </c>
      <c r="H236" s="603">
        <f t="shared" si="48"/>
        <v>840134.4</v>
      </c>
      <c r="I236" s="606">
        <f t="shared" si="47"/>
        <v>1511384.64</v>
      </c>
      <c r="J236" s="376"/>
    </row>
    <row r="237" spans="1:10" ht="23.4" x14ac:dyDescent="0.3">
      <c r="A237" s="1068"/>
      <c r="B237" s="718"/>
      <c r="C237" s="282" t="s">
        <v>299</v>
      </c>
      <c r="D237" s="437" t="s">
        <v>258</v>
      </c>
      <c r="E237" s="283"/>
      <c r="F237" s="438">
        <f t="shared" si="46"/>
        <v>0</v>
      </c>
      <c r="G237" s="612">
        <v>36.5</v>
      </c>
      <c r="H237" s="603">
        <f t="shared" si="48"/>
        <v>0</v>
      </c>
      <c r="I237" s="606">
        <f t="shared" si="47"/>
        <v>0</v>
      </c>
      <c r="J237" s="376"/>
    </row>
    <row r="238" spans="1:10" ht="23.4" x14ac:dyDescent="0.3">
      <c r="A238" s="1068"/>
      <c r="B238" s="718"/>
      <c r="C238" s="282" t="s">
        <v>308</v>
      </c>
      <c r="D238" s="437" t="s">
        <v>258</v>
      </c>
      <c r="E238" s="283">
        <v>2240</v>
      </c>
      <c r="F238" s="438">
        <f t="shared" si="46"/>
        <v>2240</v>
      </c>
      <c r="G238" s="612">
        <v>320.35000000000002</v>
      </c>
      <c r="H238" s="603">
        <f t="shared" si="48"/>
        <v>717584</v>
      </c>
      <c r="I238" s="606">
        <f t="shared" si="47"/>
        <v>717584</v>
      </c>
      <c r="J238" s="376"/>
    </row>
    <row r="239" spans="1:10" ht="23.4" x14ac:dyDescent="0.3">
      <c r="A239" s="1068"/>
      <c r="B239" s="718"/>
      <c r="C239" s="282" t="s">
        <v>322</v>
      </c>
      <c r="D239" s="437" t="s">
        <v>258</v>
      </c>
      <c r="E239" s="283"/>
      <c r="F239" s="438">
        <f t="shared" si="46"/>
        <v>0</v>
      </c>
      <c r="G239" s="612">
        <v>434.41</v>
      </c>
      <c r="H239" s="603">
        <f t="shared" si="48"/>
        <v>0</v>
      </c>
      <c r="I239" s="606">
        <f t="shared" si="47"/>
        <v>0</v>
      </c>
      <c r="J239" s="376"/>
    </row>
    <row r="240" spans="1:10" ht="23.4" x14ac:dyDescent="0.3">
      <c r="A240" s="1068"/>
      <c r="B240" s="718"/>
      <c r="C240" s="282" t="s">
        <v>305</v>
      </c>
      <c r="D240" s="437" t="s">
        <v>258</v>
      </c>
      <c r="E240" s="283"/>
      <c r="F240" s="438">
        <f t="shared" si="46"/>
        <v>0</v>
      </c>
      <c r="G240" s="612">
        <v>29690</v>
      </c>
      <c r="H240" s="603">
        <f t="shared" si="48"/>
        <v>0</v>
      </c>
      <c r="I240" s="606">
        <f t="shared" si="47"/>
        <v>0</v>
      </c>
      <c r="J240" s="376"/>
    </row>
    <row r="241" spans="1:10" ht="23.4" x14ac:dyDescent="0.3">
      <c r="A241" s="1068"/>
      <c r="B241" s="718"/>
      <c r="C241" s="282" t="s">
        <v>305</v>
      </c>
      <c r="D241" s="437" t="s">
        <v>258</v>
      </c>
      <c r="E241" s="283">
        <v>1</v>
      </c>
      <c r="F241" s="438">
        <f t="shared" si="46"/>
        <v>1</v>
      </c>
      <c r="G241" s="612">
        <v>26445</v>
      </c>
      <c r="H241" s="603">
        <f t="shared" si="48"/>
        <v>26445</v>
      </c>
      <c r="I241" s="606">
        <f t="shared" si="47"/>
        <v>26445</v>
      </c>
      <c r="J241" s="376"/>
    </row>
    <row r="242" spans="1:10" ht="23.4" x14ac:dyDescent="0.3">
      <c r="A242" s="1068"/>
      <c r="B242" s="718"/>
      <c r="C242" s="282" t="s">
        <v>341</v>
      </c>
      <c r="D242" s="437" t="s">
        <v>375</v>
      </c>
      <c r="E242" s="283"/>
      <c r="F242" s="438">
        <f t="shared" si="46"/>
        <v>0</v>
      </c>
      <c r="G242" s="612">
        <v>50</v>
      </c>
      <c r="H242" s="603">
        <f t="shared" si="48"/>
        <v>0</v>
      </c>
      <c r="I242" s="606">
        <f t="shared" si="47"/>
        <v>0</v>
      </c>
      <c r="J242" s="376"/>
    </row>
    <row r="243" spans="1:10" ht="23.4" x14ac:dyDescent="0.3">
      <c r="A243" s="1068"/>
      <c r="B243" s="718"/>
      <c r="C243" s="282" t="s">
        <v>341</v>
      </c>
      <c r="D243" s="437" t="s">
        <v>375</v>
      </c>
      <c r="E243" s="283"/>
      <c r="F243" s="438">
        <f t="shared" si="46"/>
        <v>0</v>
      </c>
      <c r="G243" s="612">
        <v>45</v>
      </c>
      <c r="H243" s="603">
        <f t="shared" si="48"/>
        <v>0</v>
      </c>
      <c r="I243" s="606">
        <f t="shared" si="47"/>
        <v>0</v>
      </c>
      <c r="J243" s="376"/>
    </row>
    <row r="244" spans="1:10" ht="23.4" x14ac:dyDescent="0.3">
      <c r="A244" s="1068"/>
      <c r="B244" s="718"/>
      <c r="C244" s="282" t="s">
        <v>364</v>
      </c>
      <c r="D244" s="437" t="s">
        <v>428</v>
      </c>
      <c r="E244" s="283">
        <v>0</v>
      </c>
      <c r="F244" s="438">
        <f t="shared" si="46"/>
        <v>700</v>
      </c>
      <c r="G244" s="612">
        <v>57.64</v>
      </c>
      <c r="H244" s="603">
        <f t="shared" si="48"/>
        <v>0</v>
      </c>
      <c r="I244" s="606">
        <f t="shared" si="47"/>
        <v>40348</v>
      </c>
      <c r="J244" s="376"/>
    </row>
    <row r="245" spans="1:10" ht="23.4" x14ac:dyDescent="0.3">
      <c r="A245" s="1068"/>
      <c r="B245" s="718"/>
      <c r="C245" s="282" t="s">
        <v>364</v>
      </c>
      <c r="D245" s="437" t="s">
        <v>407</v>
      </c>
      <c r="E245" s="283"/>
      <c r="F245" s="438">
        <f t="shared" si="46"/>
        <v>0</v>
      </c>
      <c r="G245" s="612">
        <v>57.64</v>
      </c>
      <c r="H245" s="603">
        <f t="shared" si="48"/>
        <v>0</v>
      </c>
      <c r="I245" s="606">
        <f t="shared" si="47"/>
        <v>0</v>
      </c>
      <c r="J245" s="376"/>
    </row>
    <row r="246" spans="1:10" ht="23.4" x14ac:dyDescent="0.3">
      <c r="A246" s="1068"/>
      <c r="B246" s="718"/>
      <c r="C246" s="282" t="s">
        <v>365</v>
      </c>
      <c r="D246" s="437" t="s">
        <v>366</v>
      </c>
      <c r="E246" s="283"/>
      <c r="F246" s="438">
        <f t="shared" si="46"/>
        <v>0</v>
      </c>
      <c r="G246" s="612">
        <v>434.41</v>
      </c>
      <c r="H246" s="603">
        <f t="shared" si="48"/>
        <v>0</v>
      </c>
      <c r="I246" s="606">
        <f t="shared" si="47"/>
        <v>0</v>
      </c>
      <c r="J246" s="376"/>
    </row>
    <row r="247" spans="1:10" ht="23.4" x14ac:dyDescent="0.3">
      <c r="A247" s="1068"/>
      <c r="B247" s="718"/>
      <c r="C247" s="282" t="s">
        <v>381</v>
      </c>
      <c r="D247" s="437" t="s">
        <v>258</v>
      </c>
      <c r="E247" s="283"/>
      <c r="F247" s="438">
        <f t="shared" si="46"/>
        <v>0</v>
      </c>
      <c r="G247" s="612">
        <v>624.26</v>
      </c>
      <c r="H247" s="603">
        <f t="shared" si="48"/>
        <v>0</v>
      </c>
      <c r="I247" s="606">
        <f t="shared" si="47"/>
        <v>0</v>
      </c>
      <c r="J247" s="376"/>
    </row>
    <row r="248" spans="1:10" ht="23.4" x14ac:dyDescent="0.3">
      <c r="A248" s="1068"/>
      <c r="B248" s="718"/>
      <c r="C248" s="282" t="s">
        <v>367</v>
      </c>
      <c r="D248" s="437" t="s">
        <v>366</v>
      </c>
      <c r="E248" s="283"/>
      <c r="F248" s="438">
        <f t="shared" si="46"/>
        <v>0</v>
      </c>
      <c r="G248" s="612">
        <v>63.55</v>
      </c>
      <c r="H248" s="603">
        <f t="shared" si="48"/>
        <v>0</v>
      </c>
      <c r="I248" s="606">
        <f t="shared" si="47"/>
        <v>0</v>
      </c>
      <c r="J248" s="376"/>
    </row>
    <row r="249" spans="1:10" ht="23.4" x14ac:dyDescent="0.3">
      <c r="A249" s="1068"/>
      <c r="B249" s="718"/>
      <c r="C249" s="282" t="s">
        <v>429</v>
      </c>
      <c r="D249" s="437" t="s">
        <v>258</v>
      </c>
      <c r="E249" s="283">
        <v>5760</v>
      </c>
      <c r="F249" s="438">
        <f t="shared" si="46"/>
        <v>11520</v>
      </c>
      <c r="G249" s="612">
        <v>59.96</v>
      </c>
      <c r="H249" s="603">
        <f t="shared" si="48"/>
        <v>345369.59999999998</v>
      </c>
      <c r="I249" s="606">
        <f t="shared" si="47"/>
        <v>690739.19999999995</v>
      </c>
      <c r="J249" s="376"/>
    </row>
    <row r="250" spans="1:10" ht="23.4" x14ac:dyDescent="0.3">
      <c r="A250" s="1068"/>
      <c r="B250" s="718"/>
      <c r="C250" s="282" t="s">
        <v>385</v>
      </c>
      <c r="D250" s="437" t="s">
        <v>375</v>
      </c>
      <c r="E250" s="283"/>
      <c r="F250" s="438">
        <f t="shared" si="46"/>
        <v>0</v>
      </c>
      <c r="G250" s="612">
        <v>45</v>
      </c>
      <c r="H250" s="603">
        <f t="shared" si="48"/>
        <v>0</v>
      </c>
      <c r="I250" s="606">
        <f t="shared" si="47"/>
        <v>0</v>
      </c>
      <c r="J250" s="376"/>
    </row>
    <row r="251" spans="1:10" ht="23.4" x14ac:dyDescent="0.3">
      <c r="A251" s="1068"/>
      <c r="B251" s="718"/>
      <c r="C251" s="282" t="s">
        <v>305</v>
      </c>
      <c r="D251" s="437"/>
      <c r="E251" s="283"/>
      <c r="F251" s="438">
        <f t="shared" si="46"/>
        <v>0</v>
      </c>
      <c r="G251" s="612">
        <v>39450</v>
      </c>
      <c r="H251" s="603">
        <f t="shared" si="48"/>
        <v>0</v>
      </c>
      <c r="I251" s="606">
        <f t="shared" si="47"/>
        <v>0</v>
      </c>
      <c r="J251" s="376"/>
    </row>
    <row r="252" spans="1:10" ht="24" thickBot="1" x14ac:dyDescent="0.35">
      <c r="A252" s="1068"/>
      <c r="B252" s="718"/>
      <c r="C252" s="282" t="s">
        <v>364</v>
      </c>
      <c r="D252" s="437" t="s">
        <v>258</v>
      </c>
      <c r="E252" s="283"/>
      <c r="F252" s="438">
        <f t="shared" si="46"/>
        <v>0</v>
      </c>
      <c r="G252" s="612">
        <v>57.64</v>
      </c>
      <c r="H252" s="603">
        <f t="shared" si="48"/>
        <v>0</v>
      </c>
      <c r="I252" s="606">
        <f t="shared" si="47"/>
        <v>0</v>
      </c>
      <c r="J252" s="376"/>
    </row>
    <row r="253" spans="1:10" ht="24" thickBot="1" x14ac:dyDescent="0.35">
      <c r="A253" s="1069"/>
      <c r="B253" s="1063" t="s">
        <v>291</v>
      </c>
      <c r="C253" s="1064"/>
      <c r="D253" s="720"/>
      <c r="E253" s="329">
        <f>SUM(E233:E252)</f>
        <v>21224</v>
      </c>
      <c r="F253" s="329">
        <f>SUM(F233:F252)</f>
        <v>39640</v>
      </c>
      <c r="G253" s="329"/>
      <c r="H253" s="600">
        <f>SUM(H233:H252)</f>
        <v>2558652.2600000002</v>
      </c>
      <c r="I253" s="589">
        <f>SUM(I233:I252)</f>
        <v>4716471.3</v>
      </c>
      <c r="J253" s="375"/>
    </row>
    <row r="254" spans="1:10" ht="24" thickBot="1" x14ac:dyDescent="0.35">
      <c r="A254" s="723"/>
      <c r="B254" s="440"/>
      <c r="C254" s="282"/>
      <c r="D254" s="437"/>
      <c r="E254" s="283"/>
      <c r="F254" s="284"/>
      <c r="G254" s="337"/>
      <c r="H254" s="599"/>
      <c r="I254" s="285"/>
      <c r="J254" s="376"/>
    </row>
    <row r="255" spans="1:10" ht="24" thickBot="1" x14ac:dyDescent="0.35">
      <c r="A255" s="723"/>
      <c r="B255" s="1063" t="s">
        <v>238</v>
      </c>
      <c r="C255" s="1064"/>
      <c r="D255" s="716"/>
      <c r="E255" s="329"/>
      <c r="F255" s="330"/>
      <c r="G255" s="329"/>
      <c r="H255" s="597"/>
      <c r="I255" s="327"/>
      <c r="J255" s="352"/>
    </row>
    <row r="256" spans="1:10" ht="24.6" thickBot="1" x14ac:dyDescent="0.35">
      <c r="A256" s="322"/>
      <c r="B256" s="1065" t="s">
        <v>182</v>
      </c>
      <c r="C256" s="1066"/>
      <c r="D256" s="717"/>
      <c r="E256" s="377">
        <f>+E253+E232+E211+E209</f>
        <v>179733</v>
      </c>
      <c r="F256" s="377">
        <f>+F253+F232+F211+F209</f>
        <v>525857</v>
      </c>
      <c r="G256" s="377"/>
      <c r="H256" s="377"/>
      <c r="I256" s="377">
        <f>+I253+I232+I211</f>
        <v>15186986.859999999</v>
      </c>
      <c r="J256" s="378"/>
    </row>
    <row r="257" spans="1:10" ht="23.4" x14ac:dyDescent="0.3">
      <c r="A257" s="991" t="s">
        <v>1</v>
      </c>
      <c r="B257" s="994" t="s">
        <v>2</v>
      </c>
      <c r="C257" s="1072" t="s">
        <v>3</v>
      </c>
      <c r="D257" s="1043" t="s">
        <v>93</v>
      </c>
      <c r="E257" s="1076">
        <v>44536</v>
      </c>
      <c r="F257" s="1001"/>
      <c r="G257" s="1001"/>
      <c r="H257" s="1001"/>
      <c r="I257" s="1001"/>
      <c r="J257" s="1002"/>
    </row>
    <row r="258" spans="1:10" ht="23.4" x14ac:dyDescent="0.3">
      <c r="A258" s="1070"/>
      <c r="B258" s="1071"/>
      <c r="C258" s="1073"/>
      <c r="D258" s="1044"/>
      <c r="E258" s="1077" t="s">
        <v>94</v>
      </c>
      <c r="F258" s="1078"/>
      <c r="G258" s="1077" t="s">
        <v>247</v>
      </c>
      <c r="H258" s="1079"/>
      <c r="I258" s="1079"/>
      <c r="J258" s="1078"/>
    </row>
    <row r="259" spans="1:10" x14ac:dyDescent="0.3">
      <c r="A259" s="992"/>
      <c r="B259" s="995"/>
      <c r="C259" s="1074"/>
      <c r="D259" s="1044"/>
      <c r="E259" s="1003" t="s">
        <v>95</v>
      </c>
      <c r="F259" s="1005" t="s">
        <v>96</v>
      </c>
      <c r="G259" s="1081" t="s">
        <v>97</v>
      </c>
      <c r="H259" s="1083" t="s">
        <v>98</v>
      </c>
      <c r="I259" s="1083" t="s">
        <v>98</v>
      </c>
      <c r="J259" s="1085" t="s">
        <v>12</v>
      </c>
    </row>
    <row r="260" spans="1:10" ht="14.4" thickBot="1" x14ac:dyDescent="0.35">
      <c r="A260" s="993"/>
      <c r="B260" s="996"/>
      <c r="C260" s="1075"/>
      <c r="D260" s="1045"/>
      <c r="E260" s="1004"/>
      <c r="F260" s="1080"/>
      <c r="G260" s="1082"/>
      <c r="H260" s="1084"/>
      <c r="I260" s="1084"/>
      <c r="J260" s="1086"/>
    </row>
    <row r="261" spans="1:10" ht="23.4" x14ac:dyDescent="0.3">
      <c r="A261" s="1067" t="s">
        <v>110</v>
      </c>
      <c r="B261" s="442"/>
      <c r="C261" s="584" t="s">
        <v>292</v>
      </c>
      <c r="D261" s="686" t="s">
        <v>284</v>
      </c>
      <c r="E261" s="744">
        <v>0</v>
      </c>
      <c r="F261" s="695">
        <f>+F179+E261</f>
        <v>0</v>
      </c>
      <c r="G261" s="741">
        <v>111.09</v>
      </c>
      <c r="H261" s="601">
        <f t="shared" ref="H261:H274" si="49">E261*G261</f>
        <v>0</v>
      </c>
      <c r="I261" s="604">
        <f>+G261*F261</f>
        <v>0</v>
      </c>
      <c r="J261" s="354"/>
    </row>
    <row r="262" spans="1:10" ht="23.4" x14ac:dyDescent="0.3">
      <c r="A262" s="1068"/>
      <c r="B262" s="441"/>
      <c r="C262" s="444" t="s">
        <v>285</v>
      </c>
      <c r="D262" s="687" t="s">
        <v>286</v>
      </c>
      <c r="E262" s="745">
        <v>0</v>
      </c>
      <c r="F262" s="746">
        <f t="shared" ref="F262:F274" si="50">+F180+E262</f>
        <v>0</v>
      </c>
      <c r="G262" s="742">
        <v>11</v>
      </c>
      <c r="H262" s="602">
        <f t="shared" si="49"/>
        <v>0</v>
      </c>
      <c r="I262" s="605">
        <f>+G262*F262</f>
        <v>0</v>
      </c>
      <c r="J262" s="355"/>
    </row>
    <row r="263" spans="1:10" ht="23.4" x14ac:dyDescent="0.3">
      <c r="A263" s="1068"/>
      <c r="B263" s="441"/>
      <c r="C263" s="444" t="s">
        <v>321</v>
      </c>
      <c r="D263" s="687" t="s">
        <v>400</v>
      </c>
      <c r="E263" s="745">
        <v>0</v>
      </c>
      <c r="F263" s="746">
        <f t="shared" si="50"/>
        <v>0</v>
      </c>
      <c r="G263" s="742">
        <v>139.04</v>
      </c>
      <c r="H263" s="602">
        <f t="shared" si="49"/>
        <v>0</v>
      </c>
      <c r="I263" s="605">
        <f t="shared" ref="I263:I274" si="51">+G263*F263</f>
        <v>0</v>
      </c>
      <c r="J263" s="355"/>
    </row>
    <row r="264" spans="1:10" ht="23.4" x14ac:dyDescent="0.3">
      <c r="A264" s="1068"/>
      <c r="B264" s="441"/>
      <c r="C264" s="444" t="s">
        <v>397</v>
      </c>
      <c r="D264" s="687" t="s">
        <v>398</v>
      </c>
      <c r="E264" s="745">
        <f>30600+36720+30600+36720</f>
        <v>134640</v>
      </c>
      <c r="F264" s="746">
        <f t="shared" si="50"/>
        <v>538560</v>
      </c>
      <c r="G264" s="742">
        <v>20.5</v>
      </c>
      <c r="H264" s="602">
        <f t="shared" si="49"/>
        <v>2760120</v>
      </c>
      <c r="I264" s="605">
        <f t="shared" si="51"/>
        <v>11040480</v>
      </c>
      <c r="J264" s="355"/>
    </row>
    <row r="265" spans="1:10" ht="23.4" x14ac:dyDescent="0.3">
      <c r="A265" s="1068"/>
      <c r="B265" s="441"/>
      <c r="C265" s="444" t="s">
        <v>312</v>
      </c>
      <c r="D265" s="687" t="s">
        <v>190</v>
      </c>
      <c r="E265" s="745">
        <v>0</v>
      </c>
      <c r="F265" s="746">
        <f t="shared" si="50"/>
        <v>0</v>
      </c>
      <c r="G265" s="742">
        <v>14.79</v>
      </c>
      <c r="H265" s="602">
        <f t="shared" si="49"/>
        <v>0</v>
      </c>
      <c r="I265" s="605">
        <f t="shared" si="51"/>
        <v>0</v>
      </c>
      <c r="J265" s="355"/>
    </row>
    <row r="266" spans="1:10" ht="23.4" x14ac:dyDescent="0.3">
      <c r="A266" s="1068"/>
      <c r="B266" s="441"/>
      <c r="C266" s="444" t="s">
        <v>321</v>
      </c>
      <c r="D266" s="687" t="s">
        <v>286</v>
      </c>
      <c r="E266" s="745">
        <v>640</v>
      </c>
      <c r="F266" s="746">
        <f t="shared" si="50"/>
        <v>1280</v>
      </c>
      <c r="G266" s="742">
        <v>139.04</v>
      </c>
      <c r="H266" s="602">
        <f t="shared" si="49"/>
        <v>88985.599999999991</v>
      </c>
      <c r="I266" s="605">
        <f t="shared" si="51"/>
        <v>177971.19999999998</v>
      </c>
      <c r="J266" s="355"/>
    </row>
    <row r="267" spans="1:10" ht="23.4" x14ac:dyDescent="0.3">
      <c r="A267" s="1068"/>
      <c r="B267" s="441"/>
      <c r="C267" s="444" t="s">
        <v>362</v>
      </c>
      <c r="D267" s="688" t="s">
        <v>396</v>
      </c>
      <c r="E267" s="745">
        <v>0</v>
      </c>
      <c r="F267" s="746">
        <f t="shared" si="50"/>
        <v>0</v>
      </c>
      <c r="G267" s="742">
        <v>20.5</v>
      </c>
      <c r="H267" s="602">
        <f t="shared" si="49"/>
        <v>0</v>
      </c>
      <c r="I267" s="605">
        <f t="shared" si="51"/>
        <v>0</v>
      </c>
      <c r="J267" s="355"/>
    </row>
    <row r="268" spans="1:10" ht="23.4" x14ac:dyDescent="0.3">
      <c r="A268" s="1068"/>
      <c r="B268" s="441"/>
      <c r="C268" s="444" t="s">
        <v>345</v>
      </c>
      <c r="D268" s="688" t="s">
        <v>286</v>
      </c>
      <c r="E268" s="745">
        <v>0</v>
      </c>
      <c r="F268" s="746">
        <f t="shared" si="50"/>
        <v>0</v>
      </c>
      <c r="G268" s="742">
        <v>18.84</v>
      </c>
      <c r="H268" s="602">
        <f t="shared" si="49"/>
        <v>0</v>
      </c>
      <c r="I268" s="605">
        <f t="shared" si="51"/>
        <v>0</v>
      </c>
      <c r="J268" s="355"/>
    </row>
    <row r="269" spans="1:10" ht="23.4" x14ac:dyDescent="0.3">
      <c r="A269" s="1068"/>
      <c r="B269" s="441"/>
      <c r="C269" s="444" t="s">
        <v>357</v>
      </c>
      <c r="D269" s="688" t="s">
        <v>252</v>
      </c>
      <c r="E269" s="745">
        <v>0</v>
      </c>
      <c r="F269" s="746">
        <f t="shared" si="50"/>
        <v>0</v>
      </c>
      <c r="G269" s="742">
        <v>21.18</v>
      </c>
      <c r="H269" s="602">
        <f t="shared" si="49"/>
        <v>0</v>
      </c>
      <c r="I269" s="605">
        <f t="shared" si="51"/>
        <v>0</v>
      </c>
      <c r="J269" s="355"/>
    </row>
    <row r="270" spans="1:10" ht="23.4" x14ac:dyDescent="0.3">
      <c r="A270" s="1068"/>
      <c r="B270" s="441"/>
      <c r="C270" s="444" t="s">
        <v>359</v>
      </c>
      <c r="D270" s="688" t="s">
        <v>360</v>
      </c>
      <c r="E270" s="745">
        <v>0</v>
      </c>
      <c r="F270" s="746">
        <f t="shared" si="50"/>
        <v>0</v>
      </c>
      <c r="G270" s="742">
        <v>21.28</v>
      </c>
      <c r="H270" s="602">
        <f t="shared" si="49"/>
        <v>0</v>
      </c>
      <c r="I270" s="605">
        <f t="shared" si="51"/>
        <v>0</v>
      </c>
      <c r="J270" s="355"/>
    </row>
    <row r="271" spans="1:10" ht="23.4" x14ac:dyDescent="0.3">
      <c r="A271" s="1068"/>
      <c r="B271" s="441"/>
      <c r="C271" s="444" t="s">
        <v>445</v>
      </c>
      <c r="D271" s="688" t="s">
        <v>436</v>
      </c>
      <c r="E271" s="745">
        <v>9920</v>
      </c>
      <c r="F271" s="746">
        <f t="shared" si="50"/>
        <v>9920</v>
      </c>
      <c r="G271" s="742">
        <v>143.28</v>
      </c>
      <c r="H271" s="602">
        <f t="shared" si="49"/>
        <v>1421337.6000000001</v>
      </c>
      <c r="I271" s="605">
        <f t="shared" si="51"/>
        <v>1421337.6000000001</v>
      </c>
      <c r="J271" s="355"/>
    </row>
    <row r="272" spans="1:10" ht="23.4" x14ac:dyDescent="0.3">
      <c r="A272" s="1068"/>
      <c r="B272" s="441"/>
      <c r="C272" s="444" t="s">
        <v>403</v>
      </c>
      <c r="D272" s="687" t="s">
        <v>190</v>
      </c>
      <c r="E272" s="745">
        <v>0</v>
      </c>
      <c r="F272" s="746">
        <f t="shared" si="50"/>
        <v>0</v>
      </c>
      <c r="G272" s="742">
        <v>14.55</v>
      </c>
      <c r="H272" s="602">
        <f t="shared" si="49"/>
        <v>0</v>
      </c>
      <c r="I272" s="605">
        <f t="shared" si="51"/>
        <v>0</v>
      </c>
      <c r="J272" s="355"/>
    </row>
    <row r="273" spans="1:10" ht="23.4" x14ac:dyDescent="0.3">
      <c r="A273" s="1068"/>
      <c r="B273" s="441"/>
      <c r="C273" s="444" t="s">
        <v>362</v>
      </c>
      <c r="D273" s="688" t="s">
        <v>202</v>
      </c>
      <c r="E273" s="745">
        <v>0</v>
      </c>
      <c r="F273" s="746">
        <f t="shared" si="50"/>
        <v>0</v>
      </c>
      <c r="G273" s="742">
        <v>21.28</v>
      </c>
      <c r="H273" s="602">
        <f t="shared" si="49"/>
        <v>0</v>
      </c>
      <c r="I273" s="605">
        <f t="shared" si="51"/>
        <v>0</v>
      </c>
      <c r="J273" s="355"/>
    </row>
    <row r="274" spans="1:10" ht="24" thickBot="1" x14ac:dyDescent="0.35">
      <c r="A274" s="1068"/>
      <c r="B274" s="441"/>
      <c r="C274" s="444" t="s">
        <v>374</v>
      </c>
      <c r="D274" s="689" t="s">
        <v>191</v>
      </c>
      <c r="E274" s="745">
        <v>0</v>
      </c>
      <c r="F274" s="697">
        <f t="shared" si="50"/>
        <v>0</v>
      </c>
      <c r="G274" s="742">
        <v>36.44</v>
      </c>
      <c r="H274" s="602">
        <f t="shared" si="49"/>
        <v>0</v>
      </c>
      <c r="I274" s="605">
        <f t="shared" si="51"/>
        <v>0</v>
      </c>
      <c r="J274" s="355"/>
    </row>
    <row r="275" spans="1:10" ht="24" thickBot="1" x14ac:dyDescent="0.35">
      <c r="A275" s="1068"/>
      <c r="B275" s="1063" t="s">
        <v>287</v>
      </c>
      <c r="C275" s="1064"/>
      <c r="D275" s="751"/>
      <c r="E275" s="329">
        <f>SUM(E261:E274)</f>
        <v>145200</v>
      </c>
      <c r="F275" s="743">
        <f>SUM(F261:F274)</f>
        <v>549760</v>
      </c>
      <c r="G275" s="329"/>
      <c r="H275" s="597">
        <f>SUM(H261:H274)</f>
        <v>4270443.2</v>
      </c>
      <c r="I275" s="589">
        <f>SUM(I261:I274)</f>
        <v>12639788.799999999</v>
      </c>
      <c r="J275" s="352"/>
    </row>
    <row r="276" spans="1:10" ht="23.4" x14ac:dyDescent="0.3">
      <c r="A276" s="1068"/>
      <c r="B276" s="749"/>
      <c r="C276" s="282" t="s">
        <v>293</v>
      </c>
      <c r="D276" s="437" t="s">
        <v>258</v>
      </c>
      <c r="E276" s="283">
        <v>0</v>
      </c>
      <c r="F276" s="438">
        <f t="shared" ref="F276:F286" si="52">+F194+E276</f>
        <v>0</v>
      </c>
      <c r="G276" s="587">
        <v>160.44999999999999</v>
      </c>
      <c r="H276" s="603">
        <f t="shared" ref="H276:H286" si="53">E276*G276</f>
        <v>0</v>
      </c>
      <c r="I276" s="606">
        <f t="shared" ref="I276:I286" si="54">+G276*F276</f>
        <v>0</v>
      </c>
      <c r="J276" s="376"/>
    </row>
    <row r="277" spans="1:10" ht="23.4" x14ac:dyDescent="0.3">
      <c r="A277" s="1068"/>
      <c r="B277" s="749"/>
      <c r="C277" s="282" t="s">
        <v>309</v>
      </c>
      <c r="D277" s="437" t="s">
        <v>258</v>
      </c>
      <c r="E277" s="283">
        <v>0</v>
      </c>
      <c r="F277" s="438">
        <f t="shared" si="52"/>
        <v>0</v>
      </c>
      <c r="G277" s="587">
        <v>160.44999999999999</v>
      </c>
      <c r="H277" s="603">
        <f t="shared" si="53"/>
        <v>0</v>
      </c>
      <c r="I277" s="606">
        <f t="shared" si="54"/>
        <v>0</v>
      </c>
      <c r="J277" s="376"/>
    </row>
    <row r="278" spans="1:10" ht="23.4" x14ac:dyDescent="0.3">
      <c r="A278" s="1068"/>
      <c r="B278" s="749"/>
      <c r="C278" s="282" t="s">
        <v>310</v>
      </c>
      <c r="D278" s="437" t="s">
        <v>258</v>
      </c>
      <c r="E278" s="283">
        <v>0</v>
      </c>
      <c r="F278" s="438">
        <f t="shared" si="52"/>
        <v>0</v>
      </c>
      <c r="G278" s="587">
        <v>160.44999999999999</v>
      </c>
      <c r="H278" s="603">
        <f t="shared" si="53"/>
        <v>0</v>
      </c>
      <c r="I278" s="606">
        <f t="shared" si="54"/>
        <v>0</v>
      </c>
      <c r="J278" s="376"/>
    </row>
    <row r="279" spans="1:10" ht="23.4" x14ac:dyDescent="0.3">
      <c r="A279" s="1068"/>
      <c r="B279" s="749"/>
      <c r="C279" s="282" t="s">
        <v>311</v>
      </c>
      <c r="D279" s="437" t="s">
        <v>100</v>
      </c>
      <c r="E279" s="283">
        <v>0</v>
      </c>
      <c r="F279" s="438">
        <f t="shared" si="52"/>
        <v>0</v>
      </c>
      <c r="G279" s="587">
        <v>27</v>
      </c>
      <c r="H279" s="603">
        <f t="shared" si="53"/>
        <v>0</v>
      </c>
      <c r="I279" s="606">
        <f t="shared" si="54"/>
        <v>0</v>
      </c>
      <c r="J279" s="376"/>
    </row>
    <row r="280" spans="1:10" ht="23.4" x14ac:dyDescent="0.3">
      <c r="A280" s="1068"/>
      <c r="B280" s="749"/>
      <c r="C280" s="282" t="s">
        <v>311</v>
      </c>
      <c r="D280" s="437" t="s">
        <v>318</v>
      </c>
      <c r="E280" s="283">
        <v>79200</v>
      </c>
      <c r="F280" s="438">
        <f t="shared" si="52"/>
        <v>134640</v>
      </c>
      <c r="G280" s="587">
        <v>27.5</v>
      </c>
      <c r="H280" s="603">
        <f t="shared" si="53"/>
        <v>2178000</v>
      </c>
      <c r="I280" s="606">
        <f t="shared" si="54"/>
        <v>3702600</v>
      </c>
      <c r="J280" s="376"/>
    </row>
    <row r="281" spans="1:10" ht="23.4" x14ac:dyDescent="0.3">
      <c r="A281" s="1068"/>
      <c r="B281" s="749"/>
      <c r="C281" s="282" t="s">
        <v>299</v>
      </c>
      <c r="D281" s="437" t="s">
        <v>318</v>
      </c>
      <c r="E281" s="283">
        <v>2648</v>
      </c>
      <c r="F281" s="438">
        <f t="shared" si="52"/>
        <v>4496</v>
      </c>
      <c r="G281" s="587">
        <v>34.5</v>
      </c>
      <c r="H281" s="603">
        <f t="shared" si="53"/>
        <v>91356</v>
      </c>
      <c r="I281" s="606">
        <f t="shared" si="54"/>
        <v>155112</v>
      </c>
      <c r="J281" s="376"/>
    </row>
    <row r="282" spans="1:10" ht="23.4" x14ac:dyDescent="0.3">
      <c r="A282" s="1068"/>
      <c r="B282" s="749"/>
      <c r="C282" s="282" t="s">
        <v>331</v>
      </c>
      <c r="D282" s="437" t="s">
        <v>258</v>
      </c>
      <c r="E282" s="283">
        <v>0</v>
      </c>
      <c r="F282" s="438">
        <f t="shared" si="52"/>
        <v>0</v>
      </c>
      <c r="G282" s="587">
        <v>160.44999999999999</v>
      </c>
      <c r="H282" s="603">
        <f t="shared" si="53"/>
        <v>0</v>
      </c>
      <c r="I282" s="606">
        <f t="shared" si="54"/>
        <v>0</v>
      </c>
      <c r="J282" s="376"/>
    </row>
    <row r="283" spans="1:10" ht="23.4" x14ac:dyDescent="0.3">
      <c r="A283" s="1068"/>
      <c r="B283" s="749"/>
      <c r="C283" s="282" t="s">
        <v>388</v>
      </c>
      <c r="D283" s="437" t="s">
        <v>258</v>
      </c>
      <c r="E283" s="283">
        <v>0</v>
      </c>
      <c r="F283" s="438">
        <f t="shared" si="52"/>
        <v>0</v>
      </c>
      <c r="G283" s="587">
        <v>160.44999999999999</v>
      </c>
      <c r="H283" s="603">
        <f t="shared" si="53"/>
        <v>0</v>
      </c>
      <c r="I283" s="606">
        <f t="shared" si="54"/>
        <v>0</v>
      </c>
      <c r="J283" s="376"/>
    </row>
    <row r="284" spans="1:10" ht="23.4" x14ac:dyDescent="0.3">
      <c r="A284" s="1068"/>
      <c r="B284" s="749"/>
      <c r="C284" s="282" t="s">
        <v>342</v>
      </c>
      <c r="D284" s="437" t="s">
        <v>258</v>
      </c>
      <c r="E284" s="283">
        <v>0</v>
      </c>
      <c r="F284" s="438">
        <f t="shared" si="52"/>
        <v>0</v>
      </c>
      <c r="G284" s="587">
        <v>160.44999999999999</v>
      </c>
      <c r="H284" s="603">
        <f t="shared" si="53"/>
        <v>0</v>
      </c>
      <c r="I284" s="606">
        <f t="shared" si="54"/>
        <v>0</v>
      </c>
      <c r="J284" s="376"/>
    </row>
    <row r="285" spans="1:10" ht="23.4" x14ac:dyDescent="0.3">
      <c r="A285" s="1068"/>
      <c r="B285" s="749"/>
      <c r="C285" s="282" t="s">
        <v>343</v>
      </c>
      <c r="D285" s="437" t="s">
        <v>258</v>
      </c>
      <c r="E285" s="283">
        <v>0</v>
      </c>
      <c r="F285" s="438">
        <f t="shared" si="52"/>
        <v>0</v>
      </c>
      <c r="G285" s="587">
        <v>160.44999999999999</v>
      </c>
      <c r="H285" s="603">
        <f t="shared" si="53"/>
        <v>0</v>
      </c>
      <c r="I285" s="606">
        <f t="shared" si="54"/>
        <v>0</v>
      </c>
      <c r="J285" s="376"/>
    </row>
    <row r="286" spans="1:10" ht="24" thickBot="1" x14ac:dyDescent="0.35">
      <c r="A286" s="1068"/>
      <c r="B286" s="749"/>
      <c r="C286" s="282" t="s">
        <v>340</v>
      </c>
      <c r="D286" s="437" t="s">
        <v>258</v>
      </c>
      <c r="E286" s="283">
        <v>0</v>
      </c>
      <c r="F286" s="438">
        <f t="shared" si="52"/>
        <v>0</v>
      </c>
      <c r="G286" s="587">
        <v>160.44999999999999</v>
      </c>
      <c r="H286" s="603">
        <f t="shared" si="53"/>
        <v>0</v>
      </c>
      <c r="I286" s="606">
        <f t="shared" si="54"/>
        <v>0</v>
      </c>
      <c r="J286" s="376"/>
    </row>
    <row r="287" spans="1:10" ht="24" thickBot="1" x14ac:dyDescent="0.35">
      <c r="A287" s="1068"/>
      <c r="B287" s="1063" t="s">
        <v>288</v>
      </c>
      <c r="C287" s="1064"/>
      <c r="D287" s="751"/>
      <c r="E287" s="329">
        <f>SUM(E276:E286)</f>
        <v>81848</v>
      </c>
      <c r="F287" s="329">
        <f>SUM(F276:F286)</f>
        <v>139136</v>
      </c>
      <c r="G287" s="329"/>
      <c r="H287" s="597">
        <f>SUM(H276:H286)</f>
        <v>2269356</v>
      </c>
      <c r="I287" s="589">
        <f>SUM(I276:I286)</f>
        <v>3857712</v>
      </c>
      <c r="J287" s="352"/>
    </row>
    <row r="288" spans="1:10" ht="23.4" x14ac:dyDescent="0.3">
      <c r="A288" s="1068"/>
      <c r="B288" s="749"/>
      <c r="C288" s="282" t="s">
        <v>434</v>
      </c>
      <c r="D288" s="437" t="s">
        <v>435</v>
      </c>
      <c r="E288" s="283">
        <v>0</v>
      </c>
      <c r="F288" s="438">
        <v>250</v>
      </c>
      <c r="G288" s="587">
        <v>5.34</v>
      </c>
      <c r="H288" s="603">
        <f t="shared" ref="H288:H290" si="55">E288*G288</f>
        <v>0</v>
      </c>
      <c r="I288" s="606">
        <f t="shared" ref="I288" si="56">+G288*F288</f>
        <v>1335</v>
      </c>
      <c r="J288" s="376"/>
    </row>
    <row r="289" spans="1:11" ht="23.4" x14ac:dyDescent="0.3">
      <c r="A289" s="1068"/>
      <c r="B289" s="749"/>
      <c r="C289" s="282" t="s">
        <v>300</v>
      </c>
      <c r="D289" s="437" t="s">
        <v>301</v>
      </c>
      <c r="E289" s="283">
        <v>1</v>
      </c>
      <c r="F289" s="438">
        <f t="shared" ref="F289:F290" si="57">+F207+E289</f>
        <v>1</v>
      </c>
      <c r="G289" s="587">
        <v>2500</v>
      </c>
      <c r="H289" s="603">
        <f t="shared" si="55"/>
        <v>2500</v>
      </c>
      <c r="I289" s="606">
        <f>+G289*F289</f>
        <v>2500</v>
      </c>
      <c r="J289" s="376"/>
    </row>
    <row r="290" spans="1:11" ht="24" thickBot="1" x14ac:dyDescent="0.35">
      <c r="A290" s="1068"/>
      <c r="B290" s="749"/>
      <c r="C290" s="282" t="s">
        <v>332</v>
      </c>
      <c r="D290" s="437" t="s">
        <v>333</v>
      </c>
      <c r="E290" s="283">
        <v>0</v>
      </c>
      <c r="F290" s="438">
        <f t="shared" si="57"/>
        <v>0</v>
      </c>
      <c r="G290" s="588">
        <v>360</v>
      </c>
      <c r="H290" s="603">
        <f t="shared" si="55"/>
        <v>0</v>
      </c>
      <c r="I290" s="606">
        <f t="shared" ref="I290" si="58">+G290*F290</f>
        <v>0</v>
      </c>
      <c r="J290" s="376"/>
    </row>
    <row r="291" spans="1:11" ht="24" thickBot="1" x14ac:dyDescent="0.35">
      <c r="A291" s="1068"/>
      <c r="B291" s="1063" t="s">
        <v>294</v>
      </c>
      <c r="C291" s="1064"/>
      <c r="D291" s="751"/>
      <c r="E291" s="329">
        <f>SUM(E288:E290)</f>
        <v>1</v>
      </c>
      <c r="F291" s="329">
        <f>SUM(F288:F290)</f>
        <v>251</v>
      </c>
      <c r="G291" s="329"/>
      <c r="H291" s="597">
        <f>SUM(H288:H290)</f>
        <v>2500</v>
      </c>
      <c r="I291" s="589">
        <f>SUM(I288:I290)</f>
        <v>3835</v>
      </c>
      <c r="J291" s="376"/>
    </row>
    <row r="292" spans="1:11" ht="24" thickBot="1" x14ac:dyDescent="0.35">
      <c r="A292" s="1068"/>
      <c r="B292" s="749"/>
      <c r="C292" s="282"/>
      <c r="D292" s="437"/>
      <c r="E292" s="283"/>
      <c r="F292" s="320"/>
      <c r="G292" s="588"/>
      <c r="H292" s="598"/>
      <c r="I292" s="285">
        <f t="shared" ref="I292" si="59">+G292*F292</f>
        <v>0</v>
      </c>
      <c r="J292" s="376"/>
    </row>
    <row r="293" spans="1:11" ht="24" thickBot="1" x14ac:dyDescent="0.35">
      <c r="A293" s="1069"/>
      <c r="B293" s="1063" t="s">
        <v>290</v>
      </c>
      <c r="C293" s="1064"/>
      <c r="D293" s="747"/>
      <c r="E293" s="329">
        <f>+E291+E287+E275</f>
        <v>227049</v>
      </c>
      <c r="F293" s="329">
        <f>+F291+F287+F275</f>
        <v>689147</v>
      </c>
      <c r="G293" s="329"/>
      <c r="H293" s="589">
        <f>+H287+H275+H291</f>
        <v>6542299.2000000002</v>
      </c>
      <c r="I293" s="589">
        <f>+I287+I275+I291</f>
        <v>16501335.799999999</v>
      </c>
      <c r="J293" s="376"/>
      <c r="K293" s="757"/>
    </row>
    <row r="294" spans="1:11" ht="23.4" x14ac:dyDescent="0.3">
      <c r="A294" s="1067" t="s">
        <v>108</v>
      </c>
      <c r="B294" s="749"/>
      <c r="C294" s="282" t="s">
        <v>304</v>
      </c>
      <c r="D294" s="437" t="s">
        <v>191</v>
      </c>
      <c r="E294" s="283">
        <v>0</v>
      </c>
      <c r="F294" s="438">
        <f t="shared" ref="F294:F313" si="60">+F212+E294</f>
        <v>0</v>
      </c>
      <c r="G294" s="612">
        <v>13.25</v>
      </c>
      <c r="H294" s="607">
        <f t="shared" ref="H294:H313" si="61">E294*G294</f>
        <v>0</v>
      </c>
      <c r="I294" s="606">
        <f t="shared" ref="I294:I313" si="62">+G294*F294</f>
        <v>0</v>
      </c>
      <c r="J294" s="376"/>
    </row>
    <row r="295" spans="1:11" ht="23.4" x14ac:dyDescent="0.3">
      <c r="A295" s="1068"/>
      <c r="B295" s="749"/>
      <c r="C295" s="282" t="s">
        <v>305</v>
      </c>
      <c r="D295" s="437"/>
      <c r="E295" s="283">
        <v>0</v>
      </c>
      <c r="F295" s="438">
        <f t="shared" si="60"/>
        <v>1</v>
      </c>
      <c r="G295" s="613">
        <v>5000</v>
      </c>
      <c r="H295" s="607">
        <f t="shared" si="61"/>
        <v>0</v>
      </c>
      <c r="I295" s="606">
        <f t="shared" si="62"/>
        <v>5000</v>
      </c>
      <c r="J295" s="376"/>
    </row>
    <row r="296" spans="1:11" ht="23.4" x14ac:dyDescent="0.3">
      <c r="A296" s="1068"/>
      <c r="B296" s="749"/>
      <c r="C296" s="282" t="s">
        <v>305</v>
      </c>
      <c r="D296" s="437"/>
      <c r="E296" s="283">
        <v>0</v>
      </c>
      <c r="F296" s="438">
        <f t="shared" si="60"/>
        <v>0</v>
      </c>
      <c r="G296" s="613">
        <v>18000</v>
      </c>
      <c r="H296" s="607">
        <f t="shared" si="61"/>
        <v>0</v>
      </c>
      <c r="I296" s="606">
        <f t="shared" si="62"/>
        <v>0</v>
      </c>
      <c r="J296" s="376"/>
    </row>
    <row r="297" spans="1:11" ht="23.4" x14ac:dyDescent="0.3">
      <c r="A297" s="1068"/>
      <c r="B297" s="749"/>
      <c r="C297" s="282" t="s">
        <v>317</v>
      </c>
      <c r="D297" s="437" t="s">
        <v>191</v>
      </c>
      <c r="E297" s="283">
        <v>0</v>
      </c>
      <c r="F297" s="438">
        <f t="shared" si="60"/>
        <v>0</v>
      </c>
      <c r="G297" s="612">
        <v>24.93</v>
      </c>
      <c r="H297" s="607">
        <f t="shared" si="61"/>
        <v>0</v>
      </c>
      <c r="I297" s="606">
        <f t="shared" si="62"/>
        <v>0</v>
      </c>
      <c r="J297" s="376"/>
    </row>
    <row r="298" spans="1:11" ht="23.4" x14ac:dyDescent="0.3">
      <c r="A298" s="1068"/>
      <c r="B298" s="749"/>
      <c r="C298" s="282" t="s">
        <v>324</v>
      </c>
      <c r="D298" s="437" t="s">
        <v>99</v>
      </c>
      <c r="E298" s="283">
        <v>0</v>
      </c>
      <c r="F298" s="438">
        <f t="shared" si="60"/>
        <v>0</v>
      </c>
      <c r="G298" s="612">
        <v>26</v>
      </c>
      <c r="H298" s="607">
        <f t="shared" si="61"/>
        <v>0</v>
      </c>
      <c r="I298" s="606">
        <f t="shared" si="62"/>
        <v>0</v>
      </c>
      <c r="J298" s="376"/>
    </row>
    <row r="299" spans="1:11" ht="23.4" x14ac:dyDescent="0.3">
      <c r="A299" s="1068"/>
      <c r="B299" s="749"/>
      <c r="C299" s="282" t="s">
        <v>325</v>
      </c>
      <c r="D299" s="437" t="s">
        <v>191</v>
      </c>
      <c r="E299" s="283">
        <v>0</v>
      </c>
      <c r="F299" s="438">
        <f t="shared" si="60"/>
        <v>0</v>
      </c>
      <c r="G299" s="612">
        <v>25.49</v>
      </c>
      <c r="H299" s="607">
        <f t="shared" si="61"/>
        <v>0</v>
      </c>
      <c r="I299" s="606">
        <f t="shared" si="62"/>
        <v>0</v>
      </c>
      <c r="J299" s="376"/>
    </row>
    <row r="300" spans="1:11" ht="23.4" x14ac:dyDescent="0.3">
      <c r="A300" s="1068"/>
      <c r="B300" s="749"/>
      <c r="C300" s="282" t="s">
        <v>326</v>
      </c>
      <c r="D300" s="437" t="s">
        <v>114</v>
      </c>
      <c r="E300" s="283">
        <v>0</v>
      </c>
      <c r="F300" s="438">
        <f t="shared" si="60"/>
        <v>0</v>
      </c>
      <c r="G300" s="612">
        <v>24.93</v>
      </c>
      <c r="H300" s="607">
        <f t="shared" si="61"/>
        <v>0</v>
      </c>
      <c r="I300" s="606">
        <f t="shared" si="62"/>
        <v>0</v>
      </c>
      <c r="J300" s="376"/>
    </row>
    <row r="301" spans="1:11" ht="23.4" x14ac:dyDescent="0.3">
      <c r="A301" s="1068"/>
      <c r="B301" s="749"/>
      <c r="C301" s="282" t="s">
        <v>327</v>
      </c>
      <c r="D301" s="437" t="s">
        <v>303</v>
      </c>
      <c r="E301" s="283">
        <v>0</v>
      </c>
      <c r="F301" s="438">
        <f t="shared" si="60"/>
        <v>0</v>
      </c>
      <c r="G301" s="612">
        <v>24.93</v>
      </c>
      <c r="H301" s="607">
        <f t="shared" si="61"/>
        <v>0</v>
      </c>
      <c r="I301" s="606">
        <f t="shared" si="62"/>
        <v>0</v>
      </c>
      <c r="J301" s="376"/>
    </row>
    <row r="302" spans="1:11" ht="23.4" x14ac:dyDescent="0.3">
      <c r="A302" s="1068"/>
      <c r="B302" s="749"/>
      <c r="C302" s="282" t="s">
        <v>328</v>
      </c>
      <c r="D302" s="437" t="s">
        <v>99</v>
      </c>
      <c r="E302" s="283">
        <v>0</v>
      </c>
      <c r="F302" s="438">
        <f t="shared" si="60"/>
        <v>0</v>
      </c>
      <c r="G302" s="612">
        <v>20.89</v>
      </c>
      <c r="H302" s="607">
        <f t="shared" si="61"/>
        <v>0</v>
      </c>
      <c r="I302" s="606">
        <f t="shared" si="62"/>
        <v>0</v>
      </c>
      <c r="J302" s="376"/>
    </row>
    <row r="303" spans="1:11" ht="23.4" x14ac:dyDescent="0.3">
      <c r="A303" s="1068"/>
      <c r="B303" s="749"/>
      <c r="C303" s="282" t="s">
        <v>394</v>
      </c>
      <c r="D303" s="437" t="s">
        <v>338</v>
      </c>
      <c r="E303" s="283">
        <v>0</v>
      </c>
      <c r="F303" s="438">
        <f t="shared" si="60"/>
        <v>0</v>
      </c>
      <c r="G303" s="612">
        <v>37.4566666666</v>
      </c>
      <c r="H303" s="607">
        <f t="shared" si="61"/>
        <v>0</v>
      </c>
      <c r="I303" s="606">
        <f t="shared" si="62"/>
        <v>0</v>
      </c>
      <c r="J303" s="376"/>
    </row>
    <row r="304" spans="1:11" ht="23.4" x14ac:dyDescent="0.3">
      <c r="A304" s="1068"/>
      <c r="B304" s="749"/>
      <c r="C304" s="282" t="s">
        <v>395</v>
      </c>
      <c r="D304" s="437" t="s">
        <v>338</v>
      </c>
      <c r="E304" s="283">
        <v>0</v>
      </c>
      <c r="F304" s="438">
        <f t="shared" si="60"/>
        <v>0</v>
      </c>
      <c r="G304" s="612">
        <v>37.89</v>
      </c>
      <c r="H304" s="607">
        <f t="shared" si="61"/>
        <v>0</v>
      </c>
      <c r="I304" s="606">
        <f t="shared" si="62"/>
        <v>0</v>
      </c>
      <c r="J304" s="376"/>
    </row>
    <row r="305" spans="1:10" ht="23.4" x14ac:dyDescent="0.3">
      <c r="A305" s="1068"/>
      <c r="B305" s="749"/>
      <c r="C305" s="282" t="s">
        <v>326</v>
      </c>
      <c r="D305" s="437" t="s">
        <v>302</v>
      </c>
      <c r="E305" s="283">
        <v>0</v>
      </c>
      <c r="F305" s="438">
        <f t="shared" si="60"/>
        <v>0</v>
      </c>
      <c r="G305" s="612">
        <v>24.93</v>
      </c>
      <c r="H305" s="607">
        <f t="shared" si="61"/>
        <v>0</v>
      </c>
      <c r="I305" s="606">
        <f t="shared" si="62"/>
        <v>0</v>
      </c>
      <c r="J305" s="376"/>
    </row>
    <row r="306" spans="1:10" ht="23.4" x14ac:dyDescent="0.3">
      <c r="A306" s="1068"/>
      <c r="B306" s="749"/>
      <c r="C306" s="282" t="s">
        <v>402</v>
      </c>
      <c r="D306" s="437" t="s">
        <v>376</v>
      </c>
      <c r="E306" s="283">
        <v>0</v>
      </c>
      <c r="F306" s="438">
        <f t="shared" si="60"/>
        <v>0</v>
      </c>
      <c r="G306" s="612">
        <v>24.93</v>
      </c>
      <c r="H306" s="607">
        <f t="shared" si="61"/>
        <v>0</v>
      </c>
      <c r="I306" s="606">
        <f t="shared" si="62"/>
        <v>0</v>
      </c>
      <c r="J306" s="376"/>
    </row>
    <row r="307" spans="1:10" ht="23.4" x14ac:dyDescent="0.3">
      <c r="A307" s="1068"/>
      <c r="B307" s="749"/>
      <c r="C307" s="282" t="s">
        <v>350</v>
      </c>
      <c r="D307" s="437" t="s">
        <v>313</v>
      </c>
      <c r="E307" s="283">
        <v>0</v>
      </c>
      <c r="F307" s="438">
        <f t="shared" si="60"/>
        <v>0</v>
      </c>
      <c r="G307" s="612">
        <v>34.26</v>
      </c>
      <c r="H307" s="607">
        <f t="shared" si="61"/>
        <v>0</v>
      </c>
      <c r="I307" s="606">
        <f t="shared" si="62"/>
        <v>0</v>
      </c>
      <c r="J307" s="376"/>
    </row>
    <row r="308" spans="1:10" ht="23.4" x14ac:dyDescent="0.3">
      <c r="A308" s="1068"/>
      <c r="B308" s="749"/>
      <c r="C308" s="282" t="s">
        <v>363</v>
      </c>
      <c r="D308" s="437" t="s">
        <v>401</v>
      </c>
      <c r="E308" s="283">
        <v>0</v>
      </c>
      <c r="F308" s="438">
        <f t="shared" si="60"/>
        <v>0</v>
      </c>
      <c r="G308" s="612">
        <v>37.89</v>
      </c>
      <c r="H308" s="607">
        <f t="shared" si="61"/>
        <v>0</v>
      </c>
      <c r="I308" s="606">
        <f t="shared" si="62"/>
        <v>0</v>
      </c>
      <c r="J308" s="376"/>
    </row>
    <row r="309" spans="1:10" ht="23.4" x14ac:dyDescent="0.3">
      <c r="A309" s="1068"/>
      <c r="B309" s="749"/>
      <c r="C309" s="282" t="s">
        <v>406</v>
      </c>
      <c r="D309" s="437" t="s">
        <v>376</v>
      </c>
      <c r="E309" s="283">
        <v>0</v>
      </c>
      <c r="F309" s="438">
        <f t="shared" si="60"/>
        <v>0</v>
      </c>
      <c r="G309" s="612">
        <v>39</v>
      </c>
      <c r="H309" s="607">
        <f t="shared" si="61"/>
        <v>0</v>
      </c>
      <c r="I309" s="606">
        <f t="shared" si="62"/>
        <v>0</v>
      </c>
      <c r="J309" s="376"/>
    </row>
    <row r="310" spans="1:10" ht="23.4" x14ac:dyDescent="0.3">
      <c r="A310" s="1068"/>
      <c r="B310" s="749"/>
      <c r="C310" s="282" t="s">
        <v>327</v>
      </c>
      <c r="D310" s="437" t="s">
        <v>190</v>
      </c>
      <c r="E310" s="283">
        <v>0</v>
      </c>
      <c r="F310" s="438">
        <f t="shared" si="60"/>
        <v>23868</v>
      </c>
      <c r="G310" s="612">
        <v>21.22</v>
      </c>
      <c r="H310" s="607">
        <f t="shared" si="61"/>
        <v>0</v>
      </c>
      <c r="I310" s="606">
        <f t="shared" si="62"/>
        <v>506478.95999999996</v>
      </c>
      <c r="J310" s="376"/>
    </row>
    <row r="311" spans="1:10" ht="23.4" x14ac:dyDescent="0.3">
      <c r="A311" s="1068"/>
      <c r="B311" s="749"/>
      <c r="C311" s="282" t="s">
        <v>326</v>
      </c>
      <c r="D311" s="437" t="s">
        <v>190</v>
      </c>
      <c r="E311" s="283">
        <v>0</v>
      </c>
      <c r="F311" s="438">
        <f t="shared" si="60"/>
        <v>0</v>
      </c>
      <c r="G311" s="612">
        <v>21.22</v>
      </c>
      <c r="H311" s="607">
        <f t="shared" si="61"/>
        <v>0</v>
      </c>
      <c r="I311" s="606">
        <f t="shared" si="62"/>
        <v>0</v>
      </c>
      <c r="J311" s="376"/>
    </row>
    <row r="312" spans="1:10" ht="23.4" x14ac:dyDescent="0.3">
      <c r="A312" s="1068"/>
      <c r="B312" s="749"/>
      <c r="C312" s="282" t="s">
        <v>377</v>
      </c>
      <c r="D312" s="437" t="s">
        <v>333</v>
      </c>
      <c r="E312" s="283">
        <v>0</v>
      </c>
      <c r="F312" s="438">
        <f t="shared" si="60"/>
        <v>0</v>
      </c>
      <c r="G312" s="612">
        <v>10000</v>
      </c>
      <c r="H312" s="607">
        <f t="shared" si="61"/>
        <v>0</v>
      </c>
      <c r="I312" s="606">
        <f t="shared" si="62"/>
        <v>0</v>
      </c>
      <c r="J312" s="376"/>
    </row>
    <row r="313" spans="1:10" ht="24" thickBot="1" x14ac:dyDescent="0.35">
      <c r="A313" s="1068"/>
      <c r="B313" s="749"/>
      <c r="C313" s="282" t="s">
        <v>332</v>
      </c>
      <c r="D313" s="437" t="s">
        <v>333</v>
      </c>
      <c r="E313" s="283">
        <v>0</v>
      </c>
      <c r="F313" s="438">
        <f t="shared" si="60"/>
        <v>0</v>
      </c>
      <c r="G313" s="612">
        <v>360</v>
      </c>
      <c r="H313" s="607">
        <f t="shared" si="61"/>
        <v>0</v>
      </c>
      <c r="I313" s="606">
        <f t="shared" si="62"/>
        <v>0</v>
      </c>
      <c r="J313" s="376"/>
    </row>
    <row r="314" spans="1:10" ht="24" thickBot="1" x14ac:dyDescent="0.35">
      <c r="A314" s="1069"/>
      <c r="B314" s="1063" t="s">
        <v>289</v>
      </c>
      <c r="C314" s="1064"/>
      <c r="D314" s="751"/>
      <c r="E314" s="329">
        <f>SUM(E294:E313)</f>
        <v>0</v>
      </c>
      <c r="F314" s="329">
        <f>SUM(F294:F313)</f>
        <v>23869</v>
      </c>
      <c r="G314" s="329"/>
      <c r="H314" s="597"/>
      <c r="I314" s="589">
        <f>SUM(I294:I313)</f>
        <v>511478.95999999996</v>
      </c>
      <c r="J314" s="376"/>
    </row>
    <row r="315" spans="1:10" ht="23.4" x14ac:dyDescent="0.3">
      <c r="A315" s="1067" t="s">
        <v>109</v>
      </c>
      <c r="B315" s="749"/>
      <c r="C315" s="282" t="s">
        <v>296</v>
      </c>
      <c r="D315" s="437" t="s">
        <v>258</v>
      </c>
      <c r="E315" s="283">
        <v>0</v>
      </c>
      <c r="F315" s="438">
        <f t="shared" ref="F315:F336" si="63">+F233+E315</f>
        <v>4023</v>
      </c>
      <c r="G315" s="612">
        <v>430.02</v>
      </c>
      <c r="H315" s="603">
        <f>E315*G315</f>
        <v>0</v>
      </c>
      <c r="I315" s="606">
        <f t="shared" ref="I315:I336" si="64">+G315*F315</f>
        <v>1729970.46</v>
      </c>
      <c r="J315" s="376"/>
    </row>
    <row r="316" spans="1:10" ht="23.4" x14ac:dyDescent="0.3">
      <c r="A316" s="1068"/>
      <c r="B316" s="749"/>
      <c r="C316" s="282" t="s">
        <v>297</v>
      </c>
      <c r="D316" s="437" t="s">
        <v>258</v>
      </c>
      <c r="E316" s="283">
        <v>0</v>
      </c>
      <c r="F316" s="438">
        <f t="shared" si="63"/>
        <v>0</v>
      </c>
      <c r="G316" s="612">
        <v>445.38</v>
      </c>
      <c r="H316" s="603">
        <f t="shared" ref="H316:H336" si="65">E316*G316</f>
        <v>0</v>
      </c>
      <c r="I316" s="606">
        <f t="shared" si="64"/>
        <v>0</v>
      </c>
      <c r="J316" s="376"/>
    </row>
    <row r="317" spans="1:10" ht="23.4" x14ac:dyDescent="0.3">
      <c r="A317" s="1068"/>
      <c r="B317" s="749"/>
      <c r="C317" s="282" t="s">
        <v>330</v>
      </c>
      <c r="D317" s="437" t="s">
        <v>258</v>
      </c>
      <c r="E317" s="283">
        <v>0</v>
      </c>
      <c r="F317" s="438">
        <f t="shared" si="63"/>
        <v>0</v>
      </c>
      <c r="G317" s="612">
        <v>63.55</v>
      </c>
      <c r="H317" s="603">
        <f t="shared" si="65"/>
        <v>0</v>
      </c>
      <c r="I317" s="606">
        <f t="shared" si="64"/>
        <v>0</v>
      </c>
      <c r="J317" s="376"/>
    </row>
    <row r="318" spans="1:10" ht="23.4" x14ac:dyDescent="0.3">
      <c r="A318" s="1068"/>
      <c r="B318" s="749"/>
      <c r="C318" s="282" t="s">
        <v>298</v>
      </c>
      <c r="D318" s="437" t="s">
        <v>258</v>
      </c>
      <c r="E318" s="283">
        <v>0</v>
      </c>
      <c r="F318" s="438">
        <f t="shared" si="63"/>
        <v>21156</v>
      </c>
      <c r="G318" s="612">
        <v>71.44</v>
      </c>
      <c r="H318" s="603">
        <f t="shared" si="65"/>
        <v>0</v>
      </c>
      <c r="I318" s="606">
        <f t="shared" si="64"/>
        <v>1511384.64</v>
      </c>
      <c r="J318" s="376"/>
    </row>
    <row r="319" spans="1:10" ht="23.4" x14ac:dyDescent="0.3">
      <c r="A319" s="1068"/>
      <c r="B319" s="749"/>
      <c r="C319" s="282" t="s">
        <v>299</v>
      </c>
      <c r="D319" s="437" t="s">
        <v>258</v>
      </c>
      <c r="E319" s="283">
        <v>0</v>
      </c>
      <c r="F319" s="438">
        <f t="shared" si="63"/>
        <v>0</v>
      </c>
      <c r="G319" s="612">
        <v>36.5</v>
      </c>
      <c r="H319" s="603">
        <f t="shared" si="65"/>
        <v>0</v>
      </c>
      <c r="I319" s="606">
        <f t="shared" si="64"/>
        <v>0</v>
      </c>
      <c r="J319" s="376"/>
    </row>
    <row r="320" spans="1:10" ht="23.4" x14ac:dyDescent="0.3">
      <c r="A320" s="1068"/>
      <c r="B320" s="749"/>
      <c r="C320" s="282" t="s">
        <v>308</v>
      </c>
      <c r="D320" s="437" t="s">
        <v>258</v>
      </c>
      <c r="E320" s="283">
        <v>0</v>
      </c>
      <c r="F320" s="438">
        <f t="shared" si="63"/>
        <v>2240</v>
      </c>
      <c r="G320" s="612">
        <v>320.35000000000002</v>
      </c>
      <c r="H320" s="603">
        <f t="shared" si="65"/>
        <v>0</v>
      </c>
      <c r="I320" s="606">
        <f t="shared" si="64"/>
        <v>717584</v>
      </c>
      <c r="J320" s="376"/>
    </row>
    <row r="321" spans="1:10" ht="23.4" x14ac:dyDescent="0.3">
      <c r="A321" s="1068"/>
      <c r="B321" s="749"/>
      <c r="C321" s="282" t="s">
        <v>322</v>
      </c>
      <c r="D321" s="437" t="s">
        <v>258</v>
      </c>
      <c r="E321" s="283">
        <v>0</v>
      </c>
      <c r="F321" s="438">
        <f t="shared" si="63"/>
        <v>0</v>
      </c>
      <c r="G321" s="612">
        <v>434.41</v>
      </c>
      <c r="H321" s="603">
        <f t="shared" si="65"/>
        <v>0</v>
      </c>
      <c r="I321" s="606">
        <f t="shared" si="64"/>
        <v>0</v>
      </c>
      <c r="J321" s="376"/>
    </row>
    <row r="322" spans="1:10" ht="23.4" x14ac:dyDescent="0.3">
      <c r="A322" s="1068"/>
      <c r="B322" s="749"/>
      <c r="C322" s="282" t="s">
        <v>305</v>
      </c>
      <c r="D322" s="437" t="s">
        <v>258</v>
      </c>
      <c r="E322" s="283">
        <v>0</v>
      </c>
      <c r="F322" s="438">
        <f t="shared" si="63"/>
        <v>0</v>
      </c>
      <c r="G322" s="612">
        <v>29690</v>
      </c>
      <c r="H322" s="603">
        <f t="shared" si="65"/>
        <v>0</v>
      </c>
      <c r="I322" s="606">
        <f t="shared" si="64"/>
        <v>0</v>
      </c>
      <c r="J322" s="376"/>
    </row>
    <row r="323" spans="1:10" ht="23.4" x14ac:dyDescent="0.3">
      <c r="A323" s="1068"/>
      <c r="B323" s="749"/>
      <c r="C323" s="282" t="s">
        <v>305</v>
      </c>
      <c r="D323" s="437" t="s">
        <v>258</v>
      </c>
      <c r="E323" s="283">
        <v>0</v>
      </c>
      <c r="F323" s="438">
        <f t="shared" si="63"/>
        <v>1</v>
      </c>
      <c r="G323" s="612">
        <v>26445</v>
      </c>
      <c r="H323" s="603">
        <f t="shared" si="65"/>
        <v>0</v>
      </c>
      <c r="I323" s="606">
        <f t="shared" si="64"/>
        <v>26445</v>
      </c>
      <c r="J323" s="376"/>
    </row>
    <row r="324" spans="1:10" ht="23.4" x14ac:dyDescent="0.3">
      <c r="A324" s="1068"/>
      <c r="B324" s="749"/>
      <c r="C324" s="282" t="s">
        <v>341</v>
      </c>
      <c r="D324" s="437" t="s">
        <v>375</v>
      </c>
      <c r="E324" s="283">
        <v>0</v>
      </c>
      <c r="F324" s="438">
        <f t="shared" si="63"/>
        <v>0</v>
      </c>
      <c r="G324" s="612">
        <v>50</v>
      </c>
      <c r="H324" s="603">
        <f t="shared" si="65"/>
        <v>0</v>
      </c>
      <c r="I324" s="606">
        <f t="shared" si="64"/>
        <v>0</v>
      </c>
      <c r="J324" s="376"/>
    </row>
    <row r="325" spans="1:10" ht="23.4" x14ac:dyDescent="0.3">
      <c r="A325" s="1068"/>
      <c r="B325" s="749"/>
      <c r="C325" s="282" t="s">
        <v>341</v>
      </c>
      <c r="D325" s="437" t="s">
        <v>375</v>
      </c>
      <c r="E325" s="283">
        <v>0</v>
      </c>
      <c r="F325" s="438">
        <f t="shared" si="63"/>
        <v>0</v>
      </c>
      <c r="G325" s="612">
        <v>45</v>
      </c>
      <c r="H325" s="603">
        <f t="shared" si="65"/>
        <v>0</v>
      </c>
      <c r="I325" s="606">
        <f t="shared" si="64"/>
        <v>0</v>
      </c>
      <c r="J325" s="376"/>
    </row>
    <row r="326" spans="1:10" ht="23.4" x14ac:dyDescent="0.3">
      <c r="A326" s="1068"/>
      <c r="B326" s="749"/>
      <c r="C326" s="282" t="s">
        <v>364</v>
      </c>
      <c r="D326" s="437" t="s">
        <v>428</v>
      </c>
      <c r="E326" s="283">
        <v>0</v>
      </c>
      <c r="F326" s="438">
        <f t="shared" si="63"/>
        <v>700</v>
      </c>
      <c r="G326" s="612">
        <v>57.64</v>
      </c>
      <c r="H326" s="603">
        <f t="shared" si="65"/>
        <v>0</v>
      </c>
      <c r="I326" s="606">
        <f t="shared" si="64"/>
        <v>40348</v>
      </c>
      <c r="J326" s="376"/>
    </row>
    <row r="327" spans="1:10" ht="23.4" x14ac:dyDescent="0.3">
      <c r="A327" s="1068"/>
      <c r="B327" s="749"/>
      <c r="C327" s="282" t="s">
        <v>364</v>
      </c>
      <c r="D327" s="437" t="s">
        <v>407</v>
      </c>
      <c r="E327" s="283">
        <v>0</v>
      </c>
      <c r="F327" s="438">
        <f t="shared" si="63"/>
        <v>0</v>
      </c>
      <c r="G327" s="612">
        <v>57.64</v>
      </c>
      <c r="H327" s="603">
        <f t="shared" si="65"/>
        <v>0</v>
      </c>
      <c r="I327" s="606">
        <f t="shared" si="64"/>
        <v>0</v>
      </c>
      <c r="J327" s="376"/>
    </row>
    <row r="328" spans="1:10" ht="23.4" x14ac:dyDescent="0.3">
      <c r="A328" s="1068"/>
      <c r="B328" s="749"/>
      <c r="C328" s="282" t="s">
        <v>365</v>
      </c>
      <c r="D328" s="437" t="s">
        <v>366</v>
      </c>
      <c r="E328" s="283">
        <v>0</v>
      </c>
      <c r="F328" s="438">
        <f t="shared" si="63"/>
        <v>0</v>
      </c>
      <c r="G328" s="612">
        <v>434.41</v>
      </c>
      <c r="H328" s="603">
        <f t="shared" si="65"/>
        <v>0</v>
      </c>
      <c r="I328" s="606">
        <f t="shared" si="64"/>
        <v>0</v>
      </c>
      <c r="J328" s="376"/>
    </row>
    <row r="329" spans="1:10" ht="23.4" x14ac:dyDescent="0.3">
      <c r="A329" s="1068"/>
      <c r="B329" s="749"/>
      <c r="C329" s="282" t="s">
        <v>381</v>
      </c>
      <c r="D329" s="437" t="s">
        <v>258</v>
      </c>
      <c r="E329" s="283">
        <v>0</v>
      </c>
      <c r="F329" s="438">
        <f t="shared" si="63"/>
        <v>0</v>
      </c>
      <c r="G329" s="612">
        <v>624.26</v>
      </c>
      <c r="H329" s="603">
        <f t="shared" si="65"/>
        <v>0</v>
      </c>
      <c r="I329" s="606">
        <f t="shared" si="64"/>
        <v>0</v>
      </c>
      <c r="J329" s="376"/>
    </row>
    <row r="330" spans="1:10" ht="23.4" x14ac:dyDescent="0.3">
      <c r="A330" s="1068"/>
      <c r="B330" s="749"/>
      <c r="C330" s="282" t="s">
        <v>367</v>
      </c>
      <c r="D330" s="437" t="s">
        <v>366</v>
      </c>
      <c r="E330" s="283">
        <v>0</v>
      </c>
      <c r="F330" s="438">
        <f t="shared" si="63"/>
        <v>0</v>
      </c>
      <c r="G330" s="612">
        <v>63.55</v>
      </c>
      <c r="H330" s="603">
        <f t="shared" si="65"/>
        <v>0</v>
      </c>
      <c r="I330" s="606">
        <f t="shared" si="64"/>
        <v>0</v>
      </c>
      <c r="J330" s="376"/>
    </row>
    <row r="331" spans="1:10" ht="23.4" x14ac:dyDescent="0.3">
      <c r="A331" s="1068"/>
      <c r="B331" s="749"/>
      <c r="C331" s="282" t="s">
        <v>429</v>
      </c>
      <c r="D331" s="437" t="s">
        <v>258</v>
      </c>
      <c r="E331" s="283">
        <v>17280</v>
      </c>
      <c r="F331" s="438">
        <f t="shared" si="63"/>
        <v>28800</v>
      </c>
      <c r="G331" s="612">
        <v>59.96</v>
      </c>
      <c r="H331" s="603">
        <f t="shared" si="65"/>
        <v>1036108.8</v>
      </c>
      <c r="I331" s="606">
        <f t="shared" si="64"/>
        <v>1726848</v>
      </c>
      <c r="J331" s="376"/>
    </row>
    <row r="332" spans="1:10" ht="23.4" x14ac:dyDescent="0.3">
      <c r="A332" s="1068"/>
      <c r="B332" s="749"/>
      <c r="C332" s="282" t="s">
        <v>446</v>
      </c>
      <c r="D332" s="437"/>
      <c r="E332" s="283">
        <v>8318</v>
      </c>
      <c r="F332" s="438">
        <f t="shared" si="63"/>
        <v>8318</v>
      </c>
      <c r="G332" s="612">
        <v>360</v>
      </c>
      <c r="H332" s="603">
        <f t="shared" si="65"/>
        <v>2994480</v>
      </c>
      <c r="I332" s="606">
        <f t="shared" si="64"/>
        <v>2994480</v>
      </c>
      <c r="J332" s="376"/>
    </row>
    <row r="333" spans="1:10" ht="23.4" x14ac:dyDescent="0.3">
      <c r="A333" s="1068"/>
      <c r="B333" s="749"/>
      <c r="C333" s="282" t="s">
        <v>305</v>
      </c>
      <c r="D333" s="437"/>
      <c r="E333" s="283">
        <v>0</v>
      </c>
      <c r="F333" s="438">
        <f t="shared" si="63"/>
        <v>0</v>
      </c>
      <c r="G333" s="612">
        <v>39450</v>
      </c>
      <c r="H333" s="603">
        <f t="shared" si="65"/>
        <v>0</v>
      </c>
      <c r="I333" s="606">
        <f t="shared" si="64"/>
        <v>0</v>
      </c>
      <c r="J333" s="376"/>
    </row>
    <row r="334" spans="1:10" ht="24" thickBot="1" x14ac:dyDescent="0.35">
      <c r="A334" s="1068"/>
      <c r="B334" s="749"/>
      <c r="C334" s="282" t="s">
        <v>364</v>
      </c>
      <c r="D334" s="437" t="s">
        <v>258</v>
      </c>
      <c r="E334" s="283">
        <v>0</v>
      </c>
      <c r="F334" s="438">
        <f t="shared" si="63"/>
        <v>0</v>
      </c>
      <c r="G334" s="612">
        <v>57.64</v>
      </c>
      <c r="H334" s="603">
        <f t="shared" si="65"/>
        <v>0</v>
      </c>
      <c r="I334" s="606">
        <f t="shared" si="64"/>
        <v>0</v>
      </c>
      <c r="J334" s="376"/>
    </row>
    <row r="335" spans="1:10" ht="24" thickBot="1" x14ac:dyDescent="0.35">
      <c r="A335" s="1069"/>
      <c r="B335" s="1063" t="s">
        <v>291</v>
      </c>
      <c r="C335" s="1064"/>
      <c r="D335" s="751"/>
      <c r="E335" s="329">
        <f>SUM(E315:E334)</f>
        <v>25598</v>
      </c>
      <c r="F335" s="329">
        <f>SUM(F315:F334)</f>
        <v>65238</v>
      </c>
      <c r="G335" s="329"/>
      <c r="H335" s="600">
        <f>SUM(H315:H334)</f>
        <v>4030588.8</v>
      </c>
      <c r="I335" s="589">
        <f>SUM(I315:I334)</f>
        <v>8747060.0999999996</v>
      </c>
      <c r="J335" s="375"/>
    </row>
    <row r="336" spans="1:10" ht="24" thickBot="1" x14ac:dyDescent="0.35">
      <c r="A336" s="754"/>
      <c r="B336" s="440"/>
      <c r="C336" s="282" t="s">
        <v>446</v>
      </c>
      <c r="D336" s="437"/>
      <c r="E336" s="283"/>
      <c r="F336" s="284">
        <f t="shared" si="63"/>
        <v>0</v>
      </c>
      <c r="G336" s="337"/>
      <c r="H336" s="599">
        <f t="shared" si="65"/>
        <v>0</v>
      </c>
      <c r="I336" s="285">
        <f t="shared" si="64"/>
        <v>0</v>
      </c>
      <c r="J336" s="376"/>
    </row>
    <row r="337" spans="1:10" ht="24" thickBot="1" x14ac:dyDescent="0.35">
      <c r="A337" s="754"/>
      <c r="B337" s="1063" t="s">
        <v>238</v>
      </c>
      <c r="C337" s="1064"/>
      <c r="D337" s="747"/>
      <c r="E337" s="329"/>
      <c r="F337" s="330"/>
      <c r="G337" s="329"/>
      <c r="H337" s="597"/>
      <c r="I337" s="327">
        <f>SUM(I336)</f>
        <v>0</v>
      </c>
      <c r="J337" s="352"/>
    </row>
    <row r="338" spans="1:10" ht="24.6" thickBot="1" x14ac:dyDescent="0.35">
      <c r="A338" s="322"/>
      <c r="B338" s="1065" t="s">
        <v>182</v>
      </c>
      <c r="C338" s="1066"/>
      <c r="D338" s="748"/>
      <c r="E338" s="377">
        <f>+E335+E314+E293+E291</f>
        <v>252648</v>
      </c>
      <c r="F338" s="377">
        <f>+F335+F314+F293+F291</f>
        <v>778505</v>
      </c>
      <c r="G338" s="377"/>
      <c r="H338" s="377"/>
      <c r="I338" s="377">
        <f>+I335+I314+I293+I337</f>
        <v>25759874.859999999</v>
      </c>
      <c r="J338" s="378"/>
    </row>
    <row r="339" spans="1:10" ht="23.4" x14ac:dyDescent="0.3">
      <c r="A339" s="991" t="s">
        <v>1</v>
      </c>
      <c r="B339" s="994" t="s">
        <v>2</v>
      </c>
      <c r="C339" s="1072" t="s">
        <v>3</v>
      </c>
      <c r="D339" s="1043" t="s">
        <v>93</v>
      </c>
      <c r="E339" s="1076">
        <v>44537</v>
      </c>
      <c r="F339" s="1001"/>
      <c r="G339" s="1001"/>
      <c r="H339" s="1001"/>
      <c r="I339" s="1001"/>
      <c r="J339" s="1002"/>
    </row>
    <row r="340" spans="1:10" ht="23.4" x14ac:dyDescent="0.3">
      <c r="A340" s="1070"/>
      <c r="B340" s="1071"/>
      <c r="C340" s="1073"/>
      <c r="D340" s="1044"/>
      <c r="E340" s="1077" t="s">
        <v>94</v>
      </c>
      <c r="F340" s="1078"/>
      <c r="G340" s="1077" t="s">
        <v>247</v>
      </c>
      <c r="H340" s="1079"/>
      <c r="I340" s="1079"/>
      <c r="J340" s="1078"/>
    </row>
    <row r="341" spans="1:10" x14ac:dyDescent="0.3">
      <c r="A341" s="992"/>
      <c r="B341" s="995"/>
      <c r="C341" s="1074"/>
      <c r="D341" s="1044"/>
      <c r="E341" s="1003" t="s">
        <v>95</v>
      </c>
      <c r="F341" s="1005" t="s">
        <v>96</v>
      </c>
      <c r="G341" s="1081" t="s">
        <v>97</v>
      </c>
      <c r="H341" s="1083" t="s">
        <v>98</v>
      </c>
      <c r="I341" s="1083" t="s">
        <v>98</v>
      </c>
      <c r="J341" s="1085" t="s">
        <v>12</v>
      </c>
    </row>
    <row r="342" spans="1:10" ht="14.4" thickBot="1" x14ac:dyDescent="0.35">
      <c r="A342" s="993"/>
      <c r="B342" s="996"/>
      <c r="C342" s="1075"/>
      <c r="D342" s="1045"/>
      <c r="E342" s="1004"/>
      <c r="F342" s="1080"/>
      <c r="G342" s="1082"/>
      <c r="H342" s="1084"/>
      <c r="I342" s="1084"/>
      <c r="J342" s="1086"/>
    </row>
    <row r="343" spans="1:10" ht="23.4" x14ac:dyDescent="0.3">
      <c r="A343" s="1067" t="s">
        <v>110</v>
      </c>
      <c r="B343" s="442"/>
      <c r="C343" s="584" t="s">
        <v>292</v>
      </c>
      <c r="D343" s="686" t="s">
        <v>284</v>
      </c>
      <c r="E343" s="744">
        <v>0</v>
      </c>
      <c r="F343" s="695">
        <f>+F261+E343</f>
        <v>0</v>
      </c>
      <c r="G343" s="741">
        <v>111.09</v>
      </c>
      <c r="H343" s="601">
        <f t="shared" ref="H343:H356" si="66">E343*G343</f>
        <v>0</v>
      </c>
      <c r="I343" s="604">
        <f>+G343*F343</f>
        <v>0</v>
      </c>
      <c r="J343" s="354"/>
    </row>
    <row r="344" spans="1:10" ht="23.4" x14ac:dyDescent="0.3">
      <c r="A344" s="1068"/>
      <c r="B344" s="441"/>
      <c r="C344" s="444" t="s">
        <v>285</v>
      </c>
      <c r="D344" s="687" t="s">
        <v>286</v>
      </c>
      <c r="E344" s="745">
        <v>0</v>
      </c>
      <c r="F344" s="746">
        <f t="shared" ref="F344:F356" si="67">+F262+E344</f>
        <v>0</v>
      </c>
      <c r="G344" s="742">
        <v>11</v>
      </c>
      <c r="H344" s="602">
        <f t="shared" si="66"/>
        <v>0</v>
      </c>
      <c r="I344" s="605">
        <f>+G344*F344</f>
        <v>0</v>
      </c>
      <c r="J344" s="355"/>
    </row>
    <row r="345" spans="1:10" ht="23.4" x14ac:dyDescent="0.3">
      <c r="A345" s="1068"/>
      <c r="B345" s="441"/>
      <c r="C345" s="444" t="s">
        <v>321</v>
      </c>
      <c r="D345" s="687" t="s">
        <v>400</v>
      </c>
      <c r="E345" s="745">
        <v>0</v>
      </c>
      <c r="F345" s="746">
        <f t="shared" si="67"/>
        <v>0</v>
      </c>
      <c r="G345" s="742">
        <v>139.04</v>
      </c>
      <c r="H345" s="602">
        <f t="shared" si="66"/>
        <v>0</v>
      </c>
      <c r="I345" s="605">
        <f t="shared" ref="I345:I356" si="68">+G345*F345</f>
        <v>0</v>
      </c>
      <c r="J345" s="355"/>
    </row>
    <row r="346" spans="1:10" ht="23.4" x14ac:dyDescent="0.3">
      <c r="A346" s="1068"/>
      <c r="B346" s="441"/>
      <c r="C346" s="444" t="s">
        <v>397</v>
      </c>
      <c r="D346" s="687" t="s">
        <v>398</v>
      </c>
      <c r="E346" s="745">
        <f>30600+36720</f>
        <v>67320</v>
      </c>
      <c r="F346" s="746">
        <f t="shared" si="67"/>
        <v>605880</v>
      </c>
      <c r="G346" s="742">
        <v>20.5</v>
      </c>
      <c r="H346" s="602">
        <f t="shared" si="66"/>
        <v>1380060</v>
      </c>
      <c r="I346" s="605">
        <f t="shared" si="68"/>
        <v>12420540</v>
      </c>
      <c r="J346" s="355"/>
    </row>
    <row r="347" spans="1:10" ht="23.4" x14ac:dyDescent="0.3">
      <c r="A347" s="1068"/>
      <c r="B347" s="441"/>
      <c r="C347" s="444" t="s">
        <v>312</v>
      </c>
      <c r="D347" s="687" t="s">
        <v>190</v>
      </c>
      <c r="E347" s="745">
        <v>0</v>
      </c>
      <c r="F347" s="746">
        <f t="shared" si="67"/>
        <v>0</v>
      </c>
      <c r="G347" s="742">
        <v>14.79</v>
      </c>
      <c r="H347" s="602">
        <f t="shared" si="66"/>
        <v>0</v>
      </c>
      <c r="I347" s="605">
        <f t="shared" si="68"/>
        <v>0</v>
      </c>
      <c r="J347" s="355"/>
    </row>
    <row r="348" spans="1:10" ht="23.4" x14ac:dyDescent="0.3">
      <c r="A348" s="1068"/>
      <c r="B348" s="441"/>
      <c r="C348" s="444" t="s">
        <v>321</v>
      </c>
      <c r="D348" s="687" t="s">
        <v>286</v>
      </c>
      <c r="E348" s="745">
        <v>0</v>
      </c>
      <c r="F348" s="746">
        <f t="shared" si="67"/>
        <v>1280</v>
      </c>
      <c r="G348" s="742">
        <v>139.04</v>
      </c>
      <c r="H348" s="602">
        <f t="shared" si="66"/>
        <v>0</v>
      </c>
      <c r="I348" s="605">
        <f t="shared" si="68"/>
        <v>177971.19999999998</v>
      </c>
      <c r="J348" s="355"/>
    </row>
    <row r="349" spans="1:10" ht="23.4" x14ac:dyDescent="0.3">
      <c r="A349" s="1068"/>
      <c r="B349" s="441"/>
      <c r="C349" s="444" t="s">
        <v>362</v>
      </c>
      <c r="D349" s="688" t="s">
        <v>396</v>
      </c>
      <c r="E349" s="745">
        <v>0</v>
      </c>
      <c r="F349" s="746">
        <f t="shared" si="67"/>
        <v>0</v>
      </c>
      <c r="G349" s="742">
        <v>20.5</v>
      </c>
      <c r="H349" s="602">
        <f t="shared" si="66"/>
        <v>0</v>
      </c>
      <c r="I349" s="605">
        <f t="shared" si="68"/>
        <v>0</v>
      </c>
      <c r="J349" s="355"/>
    </row>
    <row r="350" spans="1:10" ht="23.4" x14ac:dyDescent="0.3">
      <c r="A350" s="1068"/>
      <c r="B350" s="441"/>
      <c r="C350" s="444" t="s">
        <v>345</v>
      </c>
      <c r="D350" s="688" t="s">
        <v>286</v>
      </c>
      <c r="E350" s="745">
        <v>0</v>
      </c>
      <c r="F350" s="746">
        <f t="shared" si="67"/>
        <v>0</v>
      </c>
      <c r="G350" s="742">
        <v>18.84</v>
      </c>
      <c r="H350" s="602">
        <f t="shared" si="66"/>
        <v>0</v>
      </c>
      <c r="I350" s="605">
        <f t="shared" si="68"/>
        <v>0</v>
      </c>
      <c r="J350" s="355"/>
    </row>
    <row r="351" spans="1:10" ht="23.4" x14ac:dyDescent="0.3">
      <c r="A351" s="1068"/>
      <c r="B351" s="441"/>
      <c r="C351" s="444" t="s">
        <v>357</v>
      </c>
      <c r="D351" s="688" t="s">
        <v>252</v>
      </c>
      <c r="E351" s="745">
        <v>0</v>
      </c>
      <c r="F351" s="746">
        <f t="shared" si="67"/>
        <v>0</v>
      </c>
      <c r="G351" s="742">
        <v>21.18</v>
      </c>
      <c r="H351" s="602">
        <f t="shared" si="66"/>
        <v>0</v>
      </c>
      <c r="I351" s="605">
        <f t="shared" si="68"/>
        <v>0</v>
      </c>
      <c r="J351" s="355"/>
    </row>
    <row r="352" spans="1:10" ht="23.4" x14ac:dyDescent="0.3">
      <c r="A352" s="1068"/>
      <c r="B352" s="441"/>
      <c r="C352" s="444" t="s">
        <v>359</v>
      </c>
      <c r="D352" s="688" t="s">
        <v>360</v>
      </c>
      <c r="E352" s="745">
        <v>0</v>
      </c>
      <c r="F352" s="746">
        <f t="shared" si="67"/>
        <v>0</v>
      </c>
      <c r="G352" s="742">
        <v>21.28</v>
      </c>
      <c r="H352" s="602">
        <f t="shared" si="66"/>
        <v>0</v>
      </c>
      <c r="I352" s="605">
        <f t="shared" si="68"/>
        <v>0</v>
      </c>
      <c r="J352" s="355"/>
    </row>
    <row r="353" spans="1:10" ht="23.4" x14ac:dyDescent="0.3">
      <c r="A353" s="1068"/>
      <c r="B353" s="441"/>
      <c r="C353" s="444" t="s">
        <v>445</v>
      </c>
      <c r="D353" s="688" t="s">
        <v>436</v>
      </c>
      <c r="E353" s="745">
        <v>0</v>
      </c>
      <c r="F353" s="746">
        <f t="shared" si="67"/>
        <v>9920</v>
      </c>
      <c r="G353" s="742">
        <v>143.28</v>
      </c>
      <c r="H353" s="602">
        <f t="shared" si="66"/>
        <v>0</v>
      </c>
      <c r="I353" s="605">
        <f t="shared" si="68"/>
        <v>1421337.6000000001</v>
      </c>
      <c r="J353" s="355"/>
    </row>
    <row r="354" spans="1:10" ht="23.4" x14ac:dyDescent="0.3">
      <c r="A354" s="1068"/>
      <c r="B354" s="441"/>
      <c r="C354" s="444" t="s">
        <v>403</v>
      </c>
      <c r="D354" s="687" t="s">
        <v>190</v>
      </c>
      <c r="E354" s="745">
        <v>0</v>
      </c>
      <c r="F354" s="746">
        <f t="shared" si="67"/>
        <v>0</v>
      </c>
      <c r="G354" s="742">
        <v>14.55</v>
      </c>
      <c r="H354" s="602">
        <f t="shared" si="66"/>
        <v>0</v>
      </c>
      <c r="I354" s="605">
        <f t="shared" si="68"/>
        <v>0</v>
      </c>
      <c r="J354" s="355"/>
    </row>
    <row r="355" spans="1:10" ht="23.4" x14ac:dyDescent="0.3">
      <c r="A355" s="1068"/>
      <c r="B355" s="441"/>
      <c r="C355" s="444" t="s">
        <v>362</v>
      </c>
      <c r="D355" s="688" t="s">
        <v>202</v>
      </c>
      <c r="E355" s="745">
        <v>0</v>
      </c>
      <c r="F355" s="746">
        <f t="shared" si="67"/>
        <v>0</v>
      </c>
      <c r="G355" s="742">
        <v>21.28</v>
      </c>
      <c r="H355" s="602">
        <f t="shared" si="66"/>
        <v>0</v>
      </c>
      <c r="I355" s="605">
        <f t="shared" si="68"/>
        <v>0</v>
      </c>
      <c r="J355" s="355"/>
    </row>
    <row r="356" spans="1:10" ht="24" thickBot="1" x14ac:dyDescent="0.35">
      <c r="A356" s="1068"/>
      <c r="B356" s="441"/>
      <c r="C356" s="444" t="s">
        <v>374</v>
      </c>
      <c r="D356" s="689" t="s">
        <v>191</v>
      </c>
      <c r="E356" s="745">
        <v>0</v>
      </c>
      <c r="F356" s="697">
        <f t="shared" si="67"/>
        <v>0</v>
      </c>
      <c r="G356" s="742">
        <v>36.44</v>
      </c>
      <c r="H356" s="602">
        <f t="shared" si="66"/>
        <v>0</v>
      </c>
      <c r="I356" s="605">
        <f t="shared" si="68"/>
        <v>0</v>
      </c>
      <c r="J356" s="355"/>
    </row>
    <row r="357" spans="1:10" ht="24" thickBot="1" x14ac:dyDescent="0.35">
      <c r="A357" s="1068"/>
      <c r="B357" s="1063" t="s">
        <v>287</v>
      </c>
      <c r="C357" s="1064"/>
      <c r="D357" s="764"/>
      <c r="E357" s="329">
        <f>SUM(E343:E356)</f>
        <v>67320</v>
      </c>
      <c r="F357" s="743">
        <f>SUM(F343:F356)</f>
        <v>617080</v>
      </c>
      <c r="G357" s="329"/>
      <c r="H357" s="597">
        <f>SUM(H343:H356)</f>
        <v>1380060</v>
      </c>
      <c r="I357" s="589">
        <f>SUM(I343:I356)</f>
        <v>14019848.799999999</v>
      </c>
      <c r="J357" s="352"/>
    </row>
    <row r="358" spans="1:10" ht="23.4" x14ac:dyDescent="0.3">
      <c r="A358" s="1068"/>
      <c r="B358" s="762"/>
      <c r="C358" s="282" t="s">
        <v>293</v>
      </c>
      <c r="D358" s="437" t="s">
        <v>258</v>
      </c>
      <c r="E358" s="283">
        <v>0</v>
      </c>
      <c r="F358" s="438">
        <f t="shared" ref="F358:F368" si="69">+F276+E358</f>
        <v>0</v>
      </c>
      <c r="G358" s="587">
        <v>160.44999999999999</v>
      </c>
      <c r="H358" s="603">
        <f t="shared" ref="H358:H368" si="70">E358*G358</f>
        <v>0</v>
      </c>
      <c r="I358" s="606">
        <f t="shared" ref="I358:I368" si="71">+G358*F358</f>
        <v>0</v>
      </c>
      <c r="J358" s="376"/>
    </row>
    <row r="359" spans="1:10" ht="23.4" x14ac:dyDescent="0.3">
      <c r="A359" s="1068"/>
      <c r="B359" s="762"/>
      <c r="C359" s="282" t="s">
        <v>309</v>
      </c>
      <c r="D359" s="437" t="s">
        <v>258</v>
      </c>
      <c r="E359" s="283">
        <v>0</v>
      </c>
      <c r="F359" s="438">
        <f t="shared" si="69"/>
        <v>0</v>
      </c>
      <c r="G359" s="587">
        <v>160.44999999999999</v>
      </c>
      <c r="H359" s="603">
        <f t="shared" si="70"/>
        <v>0</v>
      </c>
      <c r="I359" s="606">
        <f t="shared" si="71"/>
        <v>0</v>
      </c>
      <c r="J359" s="376"/>
    </row>
    <row r="360" spans="1:10" ht="23.4" x14ac:dyDescent="0.3">
      <c r="A360" s="1068"/>
      <c r="B360" s="762"/>
      <c r="C360" s="282" t="s">
        <v>310</v>
      </c>
      <c r="D360" s="437" t="s">
        <v>258</v>
      </c>
      <c r="E360" s="283">
        <v>0</v>
      </c>
      <c r="F360" s="438">
        <f t="shared" si="69"/>
        <v>0</v>
      </c>
      <c r="G360" s="587">
        <v>160.44999999999999</v>
      </c>
      <c r="H360" s="603">
        <f t="shared" si="70"/>
        <v>0</v>
      </c>
      <c r="I360" s="606">
        <f t="shared" si="71"/>
        <v>0</v>
      </c>
      <c r="J360" s="376"/>
    </row>
    <row r="361" spans="1:10" ht="23.4" x14ac:dyDescent="0.3">
      <c r="A361" s="1068"/>
      <c r="B361" s="762"/>
      <c r="C361" s="282" t="s">
        <v>311</v>
      </c>
      <c r="D361" s="437" t="s">
        <v>100</v>
      </c>
      <c r="E361" s="283">
        <v>0</v>
      </c>
      <c r="F361" s="438">
        <f t="shared" si="69"/>
        <v>0</v>
      </c>
      <c r="G361" s="587">
        <v>27</v>
      </c>
      <c r="H361" s="603">
        <f t="shared" si="70"/>
        <v>0</v>
      </c>
      <c r="I361" s="606">
        <f t="shared" si="71"/>
        <v>0</v>
      </c>
      <c r="J361" s="376"/>
    </row>
    <row r="362" spans="1:10" ht="23.4" x14ac:dyDescent="0.3">
      <c r="A362" s="1068"/>
      <c r="B362" s="762"/>
      <c r="C362" s="282" t="s">
        <v>311</v>
      </c>
      <c r="D362" s="437" t="s">
        <v>318</v>
      </c>
      <c r="E362" s="283">
        <v>55440</v>
      </c>
      <c r="F362" s="438">
        <f t="shared" si="69"/>
        <v>190080</v>
      </c>
      <c r="G362" s="587">
        <v>27.5</v>
      </c>
      <c r="H362" s="603">
        <f t="shared" si="70"/>
        <v>1524600</v>
      </c>
      <c r="I362" s="606">
        <f t="shared" si="71"/>
        <v>5227200</v>
      </c>
      <c r="J362" s="376"/>
    </row>
    <row r="363" spans="1:10" ht="23.4" x14ac:dyDescent="0.3">
      <c r="A363" s="1068"/>
      <c r="B363" s="762"/>
      <c r="C363" s="282" t="s">
        <v>299</v>
      </c>
      <c r="D363" s="437" t="s">
        <v>318</v>
      </c>
      <c r="E363" s="283">
        <v>1848</v>
      </c>
      <c r="F363" s="438">
        <f t="shared" si="69"/>
        <v>6344</v>
      </c>
      <c r="G363" s="587">
        <v>34.5</v>
      </c>
      <c r="H363" s="603">
        <f t="shared" si="70"/>
        <v>63756</v>
      </c>
      <c r="I363" s="606">
        <f t="shared" si="71"/>
        <v>218868</v>
      </c>
      <c r="J363" s="376"/>
    </row>
    <row r="364" spans="1:10" ht="23.4" x14ac:dyDescent="0.3">
      <c r="A364" s="1068"/>
      <c r="B364" s="762"/>
      <c r="C364" s="282" t="s">
        <v>331</v>
      </c>
      <c r="D364" s="437" t="s">
        <v>258</v>
      </c>
      <c r="E364" s="283">
        <v>0</v>
      </c>
      <c r="F364" s="438">
        <f t="shared" si="69"/>
        <v>0</v>
      </c>
      <c r="G364" s="587">
        <v>160.44999999999999</v>
      </c>
      <c r="H364" s="603">
        <f t="shared" si="70"/>
        <v>0</v>
      </c>
      <c r="I364" s="606">
        <f t="shared" si="71"/>
        <v>0</v>
      </c>
      <c r="J364" s="376"/>
    </row>
    <row r="365" spans="1:10" ht="23.4" x14ac:dyDescent="0.3">
      <c r="A365" s="1068"/>
      <c r="B365" s="762"/>
      <c r="C365" s="282" t="s">
        <v>388</v>
      </c>
      <c r="D365" s="437" t="s">
        <v>258</v>
      </c>
      <c r="E365" s="283">
        <v>0</v>
      </c>
      <c r="F365" s="438">
        <f t="shared" si="69"/>
        <v>0</v>
      </c>
      <c r="G365" s="587">
        <v>160.44999999999999</v>
      </c>
      <c r="H365" s="603">
        <f t="shared" si="70"/>
        <v>0</v>
      </c>
      <c r="I365" s="606">
        <f t="shared" si="71"/>
        <v>0</v>
      </c>
      <c r="J365" s="376"/>
    </row>
    <row r="366" spans="1:10" ht="23.4" x14ac:dyDescent="0.3">
      <c r="A366" s="1068"/>
      <c r="B366" s="762"/>
      <c r="C366" s="282" t="s">
        <v>342</v>
      </c>
      <c r="D366" s="437" t="s">
        <v>258</v>
      </c>
      <c r="E366" s="283">
        <v>0</v>
      </c>
      <c r="F366" s="438">
        <f t="shared" si="69"/>
        <v>0</v>
      </c>
      <c r="G366" s="587">
        <v>160.44999999999999</v>
      </c>
      <c r="H366" s="603">
        <f t="shared" si="70"/>
        <v>0</v>
      </c>
      <c r="I366" s="606">
        <f t="shared" si="71"/>
        <v>0</v>
      </c>
      <c r="J366" s="376"/>
    </row>
    <row r="367" spans="1:10" ht="23.4" x14ac:dyDescent="0.3">
      <c r="A367" s="1068"/>
      <c r="B367" s="762"/>
      <c r="C367" s="282" t="s">
        <v>343</v>
      </c>
      <c r="D367" s="437" t="s">
        <v>258</v>
      </c>
      <c r="E367" s="283">
        <v>0</v>
      </c>
      <c r="F367" s="438">
        <f t="shared" si="69"/>
        <v>0</v>
      </c>
      <c r="G367" s="587">
        <v>160.44999999999999</v>
      </c>
      <c r="H367" s="603">
        <f t="shared" si="70"/>
        <v>0</v>
      </c>
      <c r="I367" s="606">
        <f t="shared" si="71"/>
        <v>0</v>
      </c>
      <c r="J367" s="376"/>
    </row>
    <row r="368" spans="1:10" ht="24" thickBot="1" x14ac:dyDescent="0.35">
      <c r="A368" s="1068"/>
      <c r="B368" s="762"/>
      <c r="C368" s="282" t="s">
        <v>340</v>
      </c>
      <c r="D368" s="437" t="s">
        <v>258</v>
      </c>
      <c r="E368" s="283">
        <v>0</v>
      </c>
      <c r="F368" s="438">
        <f t="shared" si="69"/>
        <v>0</v>
      </c>
      <c r="G368" s="587">
        <v>160.44999999999999</v>
      </c>
      <c r="H368" s="603">
        <f t="shared" si="70"/>
        <v>0</v>
      </c>
      <c r="I368" s="606">
        <f t="shared" si="71"/>
        <v>0</v>
      </c>
      <c r="J368" s="376"/>
    </row>
    <row r="369" spans="1:11" ht="24" thickBot="1" x14ac:dyDescent="0.35">
      <c r="A369" s="1068"/>
      <c r="B369" s="1063" t="s">
        <v>288</v>
      </c>
      <c r="C369" s="1064"/>
      <c r="D369" s="764"/>
      <c r="E369" s="329">
        <f>SUM(E358:E368)</f>
        <v>57288</v>
      </c>
      <c r="F369" s="329">
        <f>SUM(F358:F368)</f>
        <v>196424</v>
      </c>
      <c r="G369" s="329"/>
      <c r="H369" s="597">
        <f>SUM(H358:H368)</f>
        <v>1588356</v>
      </c>
      <c r="I369" s="589">
        <f>SUM(I358:I368)</f>
        <v>5446068</v>
      </c>
      <c r="J369" s="352"/>
    </row>
    <row r="370" spans="1:11" ht="23.4" x14ac:dyDescent="0.3">
      <c r="A370" s="1068"/>
      <c r="B370" s="762"/>
      <c r="C370" s="282" t="s">
        <v>434</v>
      </c>
      <c r="D370" s="437" t="s">
        <v>435</v>
      </c>
      <c r="E370" s="283">
        <v>0</v>
      </c>
      <c r="F370" s="438">
        <v>250</v>
      </c>
      <c r="G370" s="587">
        <v>5.34</v>
      </c>
      <c r="H370" s="603">
        <f t="shared" ref="H370:H372" si="72">E370*G370</f>
        <v>0</v>
      </c>
      <c r="I370" s="606">
        <f t="shared" ref="I370" si="73">+G370*F370</f>
        <v>1335</v>
      </c>
      <c r="J370" s="376"/>
    </row>
    <row r="371" spans="1:11" ht="23.4" x14ac:dyDescent="0.3">
      <c r="A371" s="1068"/>
      <c r="B371" s="762"/>
      <c r="C371" s="282" t="s">
        <v>300</v>
      </c>
      <c r="D371" s="437" t="s">
        <v>301</v>
      </c>
      <c r="E371" s="283">
        <v>0</v>
      </c>
      <c r="F371" s="438">
        <f t="shared" ref="F371:F372" si="74">+F289+E371</f>
        <v>1</v>
      </c>
      <c r="G371" s="587">
        <v>2500</v>
      </c>
      <c r="H371" s="603">
        <f t="shared" si="72"/>
        <v>0</v>
      </c>
      <c r="I371" s="606">
        <f>+G371*F371</f>
        <v>2500</v>
      </c>
      <c r="J371" s="376"/>
    </row>
    <row r="372" spans="1:11" ht="24" thickBot="1" x14ac:dyDescent="0.35">
      <c r="A372" s="1068"/>
      <c r="B372" s="762"/>
      <c r="C372" s="282" t="s">
        <v>332</v>
      </c>
      <c r="D372" s="437" t="s">
        <v>333</v>
      </c>
      <c r="E372" s="283">
        <v>0</v>
      </c>
      <c r="F372" s="438">
        <f t="shared" si="74"/>
        <v>0</v>
      </c>
      <c r="G372" s="588">
        <v>360</v>
      </c>
      <c r="H372" s="603">
        <f t="shared" si="72"/>
        <v>0</v>
      </c>
      <c r="I372" s="606">
        <f t="shared" ref="I372" si="75">+G372*F372</f>
        <v>0</v>
      </c>
      <c r="J372" s="376"/>
    </row>
    <row r="373" spans="1:11" ht="24" thickBot="1" x14ac:dyDescent="0.35">
      <c r="A373" s="1068"/>
      <c r="B373" s="1063" t="s">
        <v>294</v>
      </c>
      <c r="C373" s="1064"/>
      <c r="D373" s="764"/>
      <c r="E373" s="329">
        <f>SUM(E370:E372)</f>
        <v>0</v>
      </c>
      <c r="F373" s="329">
        <f>SUM(F370:F372)</f>
        <v>251</v>
      </c>
      <c r="G373" s="329"/>
      <c r="H373" s="597">
        <f>SUM(H370:H372)</f>
        <v>0</v>
      </c>
      <c r="I373" s="589">
        <f>SUM(I370:I372)</f>
        <v>3835</v>
      </c>
      <c r="J373" s="376"/>
    </row>
    <row r="374" spans="1:11" ht="24" thickBot="1" x14ac:dyDescent="0.35">
      <c r="A374" s="1068"/>
      <c r="B374" s="762"/>
      <c r="C374" s="282"/>
      <c r="D374" s="437"/>
      <c r="E374" s="283"/>
      <c r="F374" s="320"/>
      <c r="G374" s="588"/>
      <c r="H374" s="598"/>
      <c r="I374" s="285">
        <f t="shared" ref="I374" si="76">+G374*F374</f>
        <v>0</v>
      </c>
      <c r="J374" s="376"/>
    </row>
    <row r="375" spans="1:11" ht="24" thickBot="1" x14ac:dyDescent="0.35">
      <c r="A375" s="1069"/>
      <c r="B375" s="1063" t="s">
        <v>290</v>
      </c>
      <c r="C375" s="1064"/>
      <c r="D375" s="760"/>
      <c r="E375" s="329">
        <f>+E373+E369+E357</f>
        <v>124608</v>
      </c>
      <c r="F375" s="329">
        <f>+F373+F369+F357</f>
        <v>813755</v>
      </c>
      <c r="G375" s="329"/>
      <c r="H375" s="589">
        <f>+H369+H357+H373</f>
        <v>2968416</v>
      </c>
      <c r="I375" s="589">
        <f>+I369+I357+I373</f>
        <v>19469751.799999997</v>
      </c>
      <c r="J375" s="376"/>
      <c r="K375" s="757"/>
    </row>
    <row r="376" spans="1:11" ht="23.4" x14ac:dyDescent="0.3">
      <c r="A376" s="1067" t="s">
        <v>108</v>
      </c>
      <c r="B376" s="762"/>
      <c r="C376" s="282" t="s">
        <v>304</v>
      </c>
      <c r="D376" s="437" t="s">
        <v>191</v>
      </c>
      <c r="E376" s="283">
        <v>0</v>
      </c>
      <c r="F376" s="438">
        <f t="shared" ref="F376:F395" si="77">+F294+E376</f>
        <v>0</v>
      </c>
      <c r="G376" s="612">
        <v>13.25</v>
      </c>
      <c r="H376" s="607">
        <f t="shared" ref="H376:H395" si="78">E376*G376</f>
        <v>0</v>
      </c>
      <c r="I376" s="606">
        <f t="shared" ref="I376:I395" si="79">+G376*F376</f>
        <v>0</v>
      </c>
      <c r="J376" s="376"/>
    </row>
    <row r="377" spans="1:11" ht="23.4" x14ac:dyDescent="0.3">
      <c r="A377" s="1068"/>
      <c r="B377" s="762"/>
      <c r="C377" s="282" t="s">
        <v>305</v>
      </c>
      <c r="D377" s="437"/>
      <c r="E377" s="283">
        <v>0</v>
      </c>
      <c r="F377" s="438">
        <f t="shared" si="77"/>
        <v>1</v>
      </c>
      <c r="G377" s="613">
        <v>5000</v>
      </c>
      <c r="H377" s="607">
        <f t="shared" si="78"/>
        <v>0</v>
      </c>
      <c r="I377" s="606">
        <f t="shared" si="79"/>
        <v>5000</v>
      </c>
      <c r="J377" s="376"/>
    </row>
    <row r="378" spans="1:11" ht="23.4" x14ac:dyDescent="0.3">
      <c r="A378" s="1068"/>
      <c r="B378" s="762"/>
      <c r="C378" s="282" t="s">
        <v>305</v>
      </c>
      <c r="D378" s="437"/>
      <c r="E378" s="283">
        <v>0</v>
      </c>
      <c r="F378" s="438">
        <f t="shared" si="77"/>
        <v>0</v>
      </c>
      <c r="G378" s="613">
        <v>18000</v>
      </c>
      <c r="H378" s="607">
        <f t="shared" si="78"/>
        <v>0</v>
      </c>
      <c r="I378" s="606">
        <f t="shared" si="79"/>
        <v>0</v>
      </c>
      <c r="J378" s="376"/>
    </row>
    <row r="379" spans="1:11" ht="23.4" x14ac:dyDescent="0.3">
      <c r="A379" s="1068"/>
      <c r="B379" s="762"/>
      <c r="C379" s="282" t="s">
        <v>317</v>
      </c>
      <c r="D379" s="437" t="s">
        <v>191</v>
      </c>
      <c r="E379" s="283">
        <v>0</v>
      </c>
      <c r="F379" s="438">
        <f t="shared" si="77"/>
        <v>0</v>
      </c>
      <c r="G379" s="612">
        <v>24.93</v>
      </c>
      <c r="H379" s="607">
        <f t="shared" si="78"/>
        <v>0</v>
      </c>
      <c r="I379" s="606">
        <f t="shared" si="79"/>
        <v>0</v>
      </c>
      <c r="J379" s="376"/>
    </row>
    <row r="380" spans="1:11" ht="23.4" x14ac:dyDescent="0.3">
      <c r="A380" s="1068"/>
      <c r="B380" s="762"/>
      <c r="C380" s="282" t="s">
        <v>324</v>
      </c>
      <c r="D380" s="437" t="s">
        <v>99</v>
      </c>
      <c r="E380" s="283">
        <v>0</v>
      </c>
      <c r="F380" s="438">
        <f t="shared" si="77"/>
        <v>0</v>
      </c>
      <c r="G380" s="612">
        <v>26</v>
      </c>
      <c r="H380" s="607">
        <f t="shared" si="78"/>
        <v>0</v>
      </c>
      <c r="I380" s="606">
        <f t="shared" si="79"/>
        <v>0</v>
      </c>
      <c r="J380" s="376"/>
    </row>
    <row r="381" spans="1:11" ht="23.4" x14ac:dyDescent="0.3">
      <c r="A381" s="1068"/>
      <c r="B381" s="762"/>
      <c r="C381" s="282" t="s">
        <v>325</v>
      </c>
      <c r="D381" s="437" t="s">
        <v>191</v>
      </c>
      <c r="E381" s="283">
        <v>0</v>
      </c>
      <c r="F381" s="438">
        <f t="shared" si="77"/>
        <v>0</v>
      </c>
      <c r="G381" s="612">
        <v>25.49</v>
      </c>
      <c r="H381" s="607">
        <f t="shared" si="78"/>
        <v>0</v>
      </c>
      <c r="I381" s="606">
        <f t="shared" si="79"/>
        <v>0</v>
      </c>
      <c r="J381" s="376"/>
    </row>
    <row r="382" spans="1:11" ht="23.4" x14ac:dyDescent="0.3">
      <c r="A382" s="1068"/>
      <c r="B382" s="762"/>
      <c r="C382" s="282" t="s">
        <v>326</v>
      </c>
      <c r="D382" s="437" t="s">
        <v>114</v>
      </c>
      <c r="E382" s="283">
        <v>0</v>
      </c>
      <c r="F382" s="438">
        <f t="shared" si="77"/>
        <v>0</v>
      </c>
      <c r="G382" s="612">
        <v>24.93</v>
      </c>
      <c r="H382" s="607">
        <f t="shared" si="78"/>
        <v>0</v>
      </c>
      <c r="I382" s="606">
        <f t="shared" si="79"/>
        <v>0</v>
      </c>
      <c r="J382" s="376"/>
    </row>
    <row r="383" spans="1:11" ht="23.4" x14ac:dyDescent="0.3">
      <c r="A383" s="1068"/>
      <c r="B383" s="762"/>
      <c r="C383" s="282" t="s">
        <v>327</v>
      </c>
      <c r="D383" s="437" t="s">
        <v>303</v>
      </c>
      <c r="E383" s="283">
        <v>0</v>
      </c>
      <c r="F383" s="438">
        <f t="shared" si="77"/>
        <v>0</v>
      </c>
      <c r="G383" s="612">
        <v>24.93</v>
      </c>
      <c r="H383" s="607">
        <f t="shared" si="78"/>
        <v>0</v>
      </c>
      <c r="I383" s="606">
        <f t="shared" si="79"/>
        <v>0</v>
      </c>
      <c r="J383" s="376"/>
    </row>
    <row r="384" spans="1:11" ht="23.4" x14ac:dyDescent="0.3">
      <c r="A384" s="1068"/>
      <c r="B384" s="762"/>
      <c r="C384" s="282" t="s">
        <v>328</v>
      </c>
      <c r="D384" s="437" t="s">
        <v>99</v>
      </c>
      <c r="E384" s="283">
        <v>0</v>
      </c>
      <c r="F384" s="438">
        <f t="shared" si="77"/>
        <v>0</v>
      </c>
      <c r="G384" s="612">
        <v>20.89</v>
      </c>
      <c r="H384" s="607">
        <f t="shared" si="78"/>
        <v>0</v>
      </c>
      <c r="I384" s="606">
        <f t="shared" si="79"/>
        <v>0</v>
      </c>
      <c r="J384" s="376"/>
    </row>
    <row r="385" spans="1:10" ht="23.4" x14ac:dyDescent="0.3">
      <c r="A385" s="1068"/>
      <c r="B385" s="762"/>
      <c r="C385" s="282" t="s">
        <v>394</v>
      </c>
      <c r="D385" s="437" t="s">
        <v>338</v>
      </c>
      <c r="E385" s="283">
        <v>0</v>
      </c>
      <c r="F385" s="438">
        <f t="shared" si="77"/>
        <v>0</v>
      </c>
      <c r="G385" s="612">
        <v>37.4566666666</v>
      </c>
      <c r="H385" s="607">
        <f t="shared" si="78"/>
        <v>0</v>
      </c>
      <c r="I385" s="606">
        <f t="shared" si="79"/>
        <v>0</v>
      </c>
      <c r="J385" s="376"/>
    </row>
    <row r="386" spans="1:10" ht="23.4" x14ac:dyDescent="0.3">
      <c r="A386" s="1068"/>
      <c r="B386" s="762"/>
      <c r="C386" s="282" t="s">
        <v>395</v>
      </c>
      <c r="D386" s="437" t="s">
        <v>338</v>
      </c>
      <c r="E386" s="283">
        <v>0</v>
      </c>
      <c r="F386" s="438">
        <f t="shared" si="77"/>
        <v>0</v>
      </c>
      <c r="G386" s="612">
        <v>37.89</v>
      </c>
      <c r="H386" s="607">
        <f t="shared" si="78"/>
        <v>0</v>
      </c>
      <c r="I386" s="606">
        <f t="shared" si="79"/>
        <v>0</v>
      </c>
      <c r="J386" s="376"/>
    </row>
    <row r="387" spans="1:10" ht="23.4" x14ac:dyDescent="0.3">
      <c r="A387" s="1068"/>
      <c r="B387" s="762"/>
      <c r="C387" s="282" t="s">
        <v>326</v>
      </c>
      <c r="D387" s="437" t="s">
        <v>302</v>
      </c>
      <c r="E387" s="283">
        <v>0</v>
      </c>
      <c r="F387" s="438">
        <f t="shared" si="77"/>
        <v>0</v>
      </c>
      <c r="G387" s="612">
        <v>24.93</v>
      </c>
      <c r="H387" s="607">
        <f t="shared" si="78"/>
        <v>0</v>
      </c>
      <c r="I387" s="606">
        <f t="shared" si="79"/>
        <v>0</v>
      </c>
      <c r="J387" s="376"/>
    </row>
    <row r="388" spans="1:10" ht="23.4" x14ac:dyDescent="0.3">
      <c r="A388" s="1068"/>
      <c r="B388" s="762"/>
      <c r="C388" s="282" t="s">
        <v>402</v>
      </c>
      <c r="D388" s="437" t="s">
        <v>376</v>
      </c>
      <c r="E388" s="283">
        <v>0</v>
      </c>
      <c r="F388" s="438">
        <f t="shared" si="77"/>
        <v>0</v>
      </c>
      <c r="G388" s="612">
        <v>24.93</v>
      </c>
      <c r="H388" s="607">
        <f t="shared" si="78"/>
        <v>0</v>
      </c>
      <c r="I388" s="606">
        <f t="shared" si="79"/>
        <v>0</v>
      </c>
      <c r="J388" s="376"/>
    </row>
    <row r="389" spans="1:10" ht="23.4" x14ac:dyDescent="0.3">
      <c r="A389" s="1068"/>
      <c r="B389" s="762"/>
      <c r="C389" s="282" t="s">
        <v>350</v>
      </c>
      <c r="D389" s="437" t="s">
        <v>313</v>
      </c>
      <c r="E389" s="283">
        <v>0</v>
      </c>
      <c r="F389" s="438">
        <f t="shared" si="77"/>
        <v>0</v>
      </c>
      <c r="G389" s="612">
        <v>34.26</v>
      </c>
      <c r="H389" s="607">
        <f t="shared" si="78"/>
        <v>0</v>
      </c>
      <c r="I389" s="606">
        <f t="shared" si="79"/>
        <v>0</v>
      </c>
      <c r="J389" s="376"/>
    </row>
    <row r="390" spans="1:10" ht="23.4" x14ac:dyDescent="0.3">
      <c r="A390" s="1068"/>
      <c r="B390" s="762"/>
      <c r="C390" s="282" t="s">
        <v>363</v>
      </c>
      <c r="D390" s="437" t="s">
        <v>401</v>
      </c>
      <c r="E390" s="283">
        <v>0</v>
      </c>
      <c r="F390" s="438">
        <f t="shared" si="77"/>
        <v>0</v>
      </c>
      <c r="G390" s="612">
        <v>37.89</v>
      </c>
      <c r="H390" s="607">
        <f t="shared" si="78"/>
        <v>0</v>
      </c>
      <c r="I390" s="606">
        <f t="shared" si="79"/>
        <v>0</v>
      </c>
      <c r="J390" s="376"/>
    </row>
    <row r="391" spans="1:10" ht="23.4" x14ac:dyDescent="0.3">
      <c r="A391" s="1068"/>
      <c r="B391" s="762"/>
      <c r="C391" s="282" t="s">
        <v>406</v>
      </c>
      <c r="D391" s="437" t="s">
        <v>376</v>
      </c>
      <c r="E391" s="283">
        <v>0</v>
      </c>
      <c r="F391" s="438">
        <f t="shared" si="77"/>
        <v>0</v>
      </c>
      <c r="G391" s="612">
        <v>39</v>
      </c>
      <c r="H391" s="607">
        <f t="shared" si="78"/>
        <v>0</v>
      </c>
      <c r="I391" s="606">
        <f t="shared" si="79"/>
        <v>0</v>
      </c>
      <c r="J391" s="376"/>
    </row>
    <row r="392" spans="1:10" ht="23.4" x14ac:dyDescent="0.3">
      <c r="A392" s="1068"/>
      <c r="B392" s="762"/>
      <c r="C392" s="282" t="s">
        <v>327</v>
      </c>
      <c r="D392" s="437" t="s">
        <v>190</v>
      </c>
      <c r="E392" s="283">
        <v>0</v>
      </c>
      <c r="F392" s="438">
        <f t="shared" si="77"/>
        <v>23868</v>
      </c>
      <c r="G392" s="612">
        <v>21.22</v>
      </c>
      <c r="H392" s="607">
        <f t="shared" si="78"/>
        <v>0</v>
      </c>
      <c r="I392" s="606">
        <f t="shared" si="79"/>
        <v>506478.95999999996</v>
      </c>
      <c r="J392" s="376"/>
    </row>
    <row r="393" spans="1:10" ht="23.4" x14ac:dyDescent="0.3">
      <c r="A393" s="1068"/>
      <c r="B393" s="762"/>
      <c r="C393" s="282" t="s">
        <v>326</v>
      </c>
      <c r="D393" s="437" t="s">
        <v>190</v>
      </c>
      <c r="E393" s="283">
        <v>0</v>
      </c>
      <c r="F393" s="438">
        <f t="shared" si="77"/>
        <v>0</v>
      </c>
      <c r="G393" s="612">
        <v>21.22</v>
      </c>
      <c r="H393" s="607">
        <f t="shared" si="78"/>
        <v>0</v>
      </c>
      <c r="I393" s="606">
        <f t="shared" si="79"/>
        <v>0</v>
      </c>
      <c r="J393" s="376"/>
    </row>
    <row r="394" spans="1:10" ht="23.4" x14ac:dyDescent="0.3">
      <c r="A394" s="1068"/>
      <c r="B394" s="762"/>
      <c r="C394" s="282" t="s">
        <v>377</v>
      </c>
      <c r="D394" s="437" t="s">
        <v>333</v>
      </c>
      <c r="E394" s="283">
        <v>0</v>
      </c>
      <c r="F394" s="438">
        <f t="shared" si="77"/>
        <v>0</v>
      </c>
      <c r="G394" s="612">
        <v>10000</v>
      </c>
      <c r="H394" s="607">
        <f t="shared" si="78"/>
        <v>0</v>
      </c>
      <c r="I394" s="606">
        <f t="shared" si="79"/>
        <v>0</v>
      </c>
      <c r="J394" s="376"/>
    </row>
    <row r="395" spans="1:10" ht="24" thickBot="1" x14ac:dyDescent="0.35">
      <c r="A395" s="1068"/>
      <c r="B395" s="762"/>
      <c r="C395" s="282" t="s">
        <v>332</v>
      </c>
      <c r="D395" s="437" t="s">
        <v>333</v>
      </c>
      <c r="E395" s="283">
        <v>0</v>
      </c>
      <c r="F395" s="438">
        <f t="shared" si="77"/>
        <v>0</v>
      </c>
      <c r="G395" s="612">
        <v>360</v>
      </c>
      <c r="H395" s="607">
        <f t="shared" si="78"/>
        <v>0</v>
      </c>
      <c r="I395" s="606">
        <f t="shared" si="79"/>
        <v>0</v>
      </c>
      <c r="J395" s="376"/>
    </row>
    <row r="396" spans="1:10" ht="24" thickBot="1" x14ac:dyDescent="0.35">
      <c r="A396" s="1069"/>
      <c r="B396" s="1063" t="s">
        <v>289</v>
      </c>
      <c r="C396" s="1064"/>
      <c r="D396" s="764"/>
      <c r="E396" s="329">
        <f>SUM(E376:E395)</f>
        <v>0</v>
      </c>
      <c r="F396" s="329">
        <f>SUM(F376:F395)</f>
        <v>23869</v>
      </c>
      <c r="G396" s="329"/>
      <c r="H396" s="597"/>
      <c r="I396" s="589">
        <f>SUM(I376:I395)</f>
        <v>511478.95999999996</v>
      </c>
      <c r="J396" s="376"/>
    </row>
    <row r="397" spans="1:10" ht="23.4" x14ac:dyDescent="0.3">
      <c r="A397" s="1067" t="s">
        <v>109</v>
      </c>
      <c r="B397" s="762"/>
      <c r="C397" s="282" t="s">
        <v>296</v>
      </c>
      <c r="D397" s="437" t="s">
        <v>258</v>
      </c>
      <c r="E397" s="283">
        <v>0</v>
      </c>
      <c r="F397" s="438">
        <f t="shared" ref="F397:F416" si="80">+F315+E397</f>
        <v>4023</v>
      </c>
      <c r="G397" s="612">
        <v>430.02</v>
      </c>
      <c r="H397" s="603">
        <f>E397*G397</f>
        <v>0</v>
      </c>
      <c r="I397" s="606">
        <f t="shared" ref="I397:I416" si="81">+G397*F397</f>
        <v>1729970.46</v>
      </c>
      <c r="J397" s="376"/>
    </row>
    <row r="398" spans="1:10" ht="23.4" x14ac:dyDescent="0.3">
      <c r="A398" s="1068"/>
      <c r="B398" s="762"/>
      <c r="C398" s="282" t="s">
        <v>297</v>
      </c>
      <c r="D398" s="437" t="s">
        <v>258</v>
      </c>
      <c r="E398" s="283">
        <v>4480</v>
      </c>
      <c r="F398" s="438">
        <f t="shared" si="80"/>
        <v>4480</v>
      </c>
      <c r="G398" s="612">
        <v>445.38</v>
      </c>
      <c r="H398" s="603">
        <f t="shared" ref="H398:H416" si="82">E398*G398</f>
        <v>1995302.4</v>
      </c>
      <c r="I398" s="606">
        <f t="shared" si="81"/>
        <v>1995302.4</v>
      </c>
      <c r="J398" s="376"/>
    </row>
    <row r="399" spans="1:10" ht="23.4" x14ac:dyDescent="0.3">
      <c r="A399" s="1068"/>
      <c r="B399" s="762"/>
      <c r="C399" s="282" t="s">
        <v>330</v>
      </c>
      <c r="D399" s="437" t="s">
        <v>258</v>
      </c>
      <c r="E399" s="283">
        <v>0</v>
      </c>
      <c r="F399" s="438">
        <f t="shared" si="80"/>
        <v>0</v>
      </c>
      <c r="G399" s="612">
        <v>63.55</v>
      </c>
      <c r="H399" s="603">
        <f t="shared" si="82"/>
        <v>0</v>
      </c>
      <c r="I399" s="606">
        <f t="shared" si="81"/>
        <v>0</v>
      </c>
      <c r="J399" s="376"/>
    </row>
    <row r="400" spans="1:10" ht="23.4" x14ac:dyDescent="0.3">
      <c r="A400" s="1068"/>
      <c r="B400" s="762"/>
      <c r="C400" s="282" t="s">
        <v>298</v>
      </c>
      <c r="D400" s="437" t="s">
        <v>258</v>
      </c>
      <c r="E400" s="283">
        <v>0</v>
      </c>
      <c r="F400" s="438">
        <f t="shared" si="80"/>
        <v>21156</v>
      </c>
      <c r="G400" s="612">
        <v>71.44</v>
      </c>
      <c r="H400" s="603">
        <f t="shared" si="82"/>
        <v>0</v>
      </c>
      <c r="I400" s="606">
        <f t="shared" si="81"/>
        <v>1511384.64</v>
      </c>
      <c r="J400" s="376"/>
    </row>
    <row r="401" spans="1:10" ht="23.4" x14ac:dyDescent="0.3">
      <c r="A401" s="1068"/>
      <c r="B401" s="762"/>
      <c r="C401" s="282" t="s">
        <v>299</v>
      </c>
      <c r="D401" s="437" t="s">
        <v>258</v>
      </c>
      <c r="E401" s="283">
        <v>0</v>
      </c>
      <c r="F401" s="438">
        <f t="shared" si="80"/>
        <v>0</v>
      </c>
      <c r="G401" s="612">
        <v>36.5</v>
      </c>
      <c r="H401" s="603">
        <f t="shared" si="82"/>
        <v>0</v>
      </c>
      <c r="I401" s="606">
        <f t="shared" si="81"/>
        <v>0</v>
      </c>
      <c r="J401" s="376"/>
    </row>
    <row r="402" spans="1:10" ht="23.4" x14ac:dyDescent="0.3">
      <c r="A402" s="1068"/>
      <c r="B402" s="762"/>
      <c r="C402" s="282" t="s">
        <v>308</v>
      </c>
      <c r="D402" s="437" t="s">
        <v>258</v>
      </c>
      <c r="E402" s="283">
        <v>0</v>
      </c>
      <c r="F402" s="438">
        <f t="shared" si="80"/>
        <v>2240</v>
      </c>
      <c r="G402" s="612">
        <v>320.35000000000002</v>
      </c>
      <c r="H402" s="603">
        <f t="shared" si="82"/>
        <v>0</v>
      </c>
      <c r="I402" s="606">
        <f t="shared" si="81"/>
        <v>717584</v>
      </c>
      <c r="J402" s="376"/>
    </row>
    <row r="403" spans="1:10" ht="23.4" x14ac:dyDescent="0.3">
      <c r="A403" s="1068"/>
      <c r="B403" s="762"/>
      <c r="C403" s="282" t="s">
        <v>322</v>
      </c>
      <c r="D403" s="437" t="s">
        <v>258</v>
      </c>
      <c r="E403" s="283">
        <v>0</v>
      </c>
      <c r="F403" s="438">
        <f t="shared" si="80"/>
        <v>0</v>
      </c>
      <c r="G403" s="612">
        <v>434.41</v>
      </c>
      <c r="H403" s="603">
        <f t="shared" si="82"/>
        <v>0</v>
      </c>
      <c r="I403" s="606">
        <f t="shared" si="81"/>
        <v>0</v>
      </c>
      <c r="J403" s="376"/>
    </row>
    <row r="404" spans="1:10" ht="23.4" x14ac:dyDescent="0.3">
      <c r="A404" s="1068"/>
      <c r="B404" s="762"/>
      <c r="C404" s="282" t="s">
        <v>305</v>
      </c>
      <c r="D404" s="437" t="s">
        <v>258</v>
      </c>
      <c r="E404" s="283">
        <v>0</v>
      </c>
      <c r="F404" s="438">
        <f t="shared" si="80"/>
        <v>0</v>
      </c>
      <c r="G404" s="612">
        <v>29690</v>
      </c>
      <c r="H404" s="603">
        <f t="shared" si="82"/>
        <v>0</v>
      </c>
      <c r="I404" s="606">
        <f t="shared" si="81"/>
        <v>0</v>
      </c>
      <c r="J404" s="376"/>
    </row>
    <row r="405" spans="1:10" ht="23.4" x14ac:dyDescent="0.3">
      <c r="A405" s="1068"/>
      <c r="B405" s="762"/>
      <c r="C405" s="282" t="s">
        <v>305</v>
      </c>
      <c r="D405" s="437" t="s">
        <v>258</v>
      </c>
      <c r="E405" s="283">
        <v>1</v>
      </c>
      <c r="F405" s="438">
        <f t="shared" si="80"/>
        <v>2</v>
      </c>
      <c r="G405" s="612">
        <v>26445</v>
      </c>
      <c r="H405" s="603">
        <f t="shared" si="82"/>
        <v>26445</v>
      </c>
      <c r="I405" s="606">
        <f t="shared" si="81"/>
        <v>52890</v>
      </c>
      <c r="J405" s="376"/>
    </row>
    <row r="406" spans="1:10" ht="23.4" x14ac:dyDescent="0.3">
      <c r="A406" s="1068"/>
      <c r="B406" s="762"/>
      <c r="C406" s="282" t="s">
        <v>341</v>
      </c>
      <c r="D406" s="437" t="s">
        <v>375</v>
      </c>
      <c r="E406" s="283">
        <v>0</v>
      </c>
      <c r="F406" s="438">
        <f t="shared" si="80"/>
        <v>0</v>
      </c>
      <c r="G406" s="612">
        <v>50</v>
      </c>
      <c r="H406" s="603">
        <f t="shared" si="82"/>
        <v>0</v>
      </c>
      <c r="I406" s="606">
        <f t="shared" si="81"/>
        <v>0</v>
      </c>
      <c r="J406" s="376"/>
    </row>
    <row r="407" spans="1:10" ht="23.4" x14ac:dyDescent="0.3">
      <c r="A407" s="1068"/>
      <c r="B407" s="762"/>
      <c r="C407" s="282" t="s">
        <v>341</v>
      </c>
      <c r="D407" s="437" t="s">
        <v>375</v>
      </c>
      <c r="E407" s="283">
        <v>0</v>
      </c>
      <c r="F407" s="438">
        <f t="shared" si="80"/>
        <v>0</v>
      </c>
      <c r="G407" s="612">
        <v>45</v>
      </c>
      <c r="H407" s="603">
        <f t="shared" si="82"/>
        <v>0</v>
      </c>
      <c r="I407" s="606">
        <f t="shared" si="81"/>
        <v>0</v>
      </c>
      <c r="J407" s="376"/>
    </row>
    <row r="408" spans="1:10" ht="23.4" x14ac:dyDescent="0.3">
      <c r="A408" s="1068"/>
      <c r="B408" s="762"/>
      <c r="C408" s="282" t="s">
        <v>364</v>
      </c>
      <c r="D408" s="437" t="s">
        <v>428</v>
      </c>
      <c r="E408" s="283">
        <v>0</v>
      </c>
      <c r="F408" s="438">
        <f t="shared" si="80"/>
        <v>700</v>
      </c>
      <c r="G408" s="612">
        <v>57.64</v>
      </c>
      <c r="H408" s="603">
        <f t="shared" si="82"/>
        <v>0</v>
      </c>
      <c r="I408" s="606">
        <f t="shared" si="81"/>
        <v>40348</v>
      </c>
      <c r="J408" s="376"/>
    </row>
    <row r="409" spans="1:10" ht="23.4" x14ac:dyDescent="0.3">
      <c r="A409" s="1068"/>
      <c r="B409" s="762"/>
      <c r="C409" s="282" t="s">
        <v>364</v>
      </c>
      <c r="D409" s="437" t="s">
        <v>407</v>
      </c>
      <c r="E409" s="283">
        <v>0</v>
      </c>
      <c r="F409" s="438">
        <f t="shared" si="80"/>
        <v>0</v>
      </c>
      <c r="G409" s="612">
        <v>57.64</v>
      </c>
      <c r="H409" s="603">
        <f t="shared" si="82"/>
        <v>0</v>
      </c>
      <c r="I409" s="606">
        <f t="shared" si="81"/>
        <v>0</v>
      </c>
      <c r="J409" s="376"/>
    </row>
    <row r="410" spans="1:10" ht="23.4" x14ac:dyDescent="0.3">
      <c r="A410" s="1068"/>
      <c r="B410" s="762"/>
      <c r="C410" s="282" t="s">
        <v>365</v>
      </c>
      <c r="D410" s="437" t="s">
        <v>366</v>
      </c>
      <c r="E410" s="283">
        <v>0</v>
      </c>
      <c r="F410" s="438">
        <f t="shared" si="80"/>
        <v>0</v>
      </c>
      <c r="G410" s="612">
        <v>434.41</v>
      </c>
      <c r="H410" s="603">
        <f t="shared" si="82"/>
        <v>0</v>
      </c>
      <c r="I410" s="606">
        <f t="shared" si="81"/>
        <v>0</v>
      </c>
      <c r="J410" s="376"/>
    </row>
    <row r="411" spans="1:10" ht="23.4" x14ac:dyDescent="0.3">
      <c r="A411" s="1068"/>
      <c r="B411" s="762"/>
      <c r="C411" s="282" t="s">
        <v>381</v>
      </c>
      <c r="D411" s="437" t="s">
        <v>258</v>
      </c>
      <c r="E411" s="283">
        <v>0</v>
      </c>
      <c r="F411" s="438">
        <f t="shared" si="80"/>
        <v>0</v>
      </c>
      <c r="G411" s="612">
        <v>624.26</v>
      </c>
      <c r="H411" s="603">
        <f t="shared" si="82"/>
        <v>0</v>
      </c>
      <c r="I411" s="606">
        <f t="shared" si="81"/>
        <v>0</v>
      </c>
      <c r="J411" s="376"/>
    </row>
    <row r="412" spans="1:10" ht="23.4" x14ac:dyDescent="0.3">
      <c r="A412" s="1068"/>
      <c r="B412" s="762"/>
      <c r="C412" s="282" t="s">
        <v>367</v>
      </c>
      <c r="D412" s="437" t="s">
        <v>366</v>
      </c>
      <c r="E412" s="283">
        <v>0</v>
      </c>
      <c r="F412" s="438">
        <f t="shared" si="80"/>
        <v>0</v>
      </c>
      <c r="G412" s="612">
        <v>63.55</v>
      </c>
      <c r="H412" s="603">
        <f t="shared" si="82"/>
        <v>0</v>
      </c>
      <c r="I412" s="606">
        <f t="shared" si="81"/>
        <v>0</v>
      </c>
      <c r="J412" s="376"/>
    </row>
    <row r="413" spans="1:10" ht="23.4" x14ac:dyDescent="0.3">
      <c r="A413" s="1068"/>
      <c r="B413" s="762"/>
      <c r="C413" s="282" t="s">
        <v>429</v>
      </c>
      <c r="D413" s="437" t="s">
        <v>258</v>
      </c>
      <c r="E413" s="283">
        <v>5760</v>
      </c>
      <c r="F413" s="438">
        <f t="shared" si="80"/>
        <v>34560</v>
      </c>
      <c r="G413" s="612">
        <v>59.96</v>
      </c>
      <c r="H413" s="603">
        <f t="shared" si="82"/>
        <v>345369.59999999998</v>
      </c>
      <c r="I413" s="606">
        <f t="shared" si="81"/>
        <v>2072217.6000000001</v>
      </c>
      <c r="J413" s="376"/>
    </row>
    <row r="414" spans="1:10" ht="23.4" x14ac:dyDescent="0.3">
      <c r="A414" s="1068"/>
      <c r="B414" s="762"/>
      <c r="C414" s="282" t="s">
        <v>446</v>
      </c>
      <c r="D414" s="437"/>
      <c r="E414" s="283">
        <v>0</v>
      </c>
      <c r="F414" s="438">
        <f t="shared" si="80"/>
        <v>8318</v>
      </c>
      <c r="G414" s="612">
        <v>360</v>
      </c>
      <c r="H414" s="603">
        <f t="shared" si="82"/>
        <v>0</v>
      </c>
      <c r="I414" s="606">
        <f t="shared" si="81"/>
        <v>2994480</v>
      </c>
      <c r="J414" s="376"/>
    </row>
    <row r="415" spans="1:10" ht="23.4" x14ac:dyDescent="0.3">
      <c r="A415" s="1068"/>
      <c r="B415" s="762"/>
      <c r="C415" s="282" t="s">
        <v>305</v>
      </c>
      <c r="D415" s="437"/>
      <c r="E415" s="283">
        <v>0</v>
      </c>
      <c r="F415" s="438">
        <f t="shared" si="80"/>
        <v>0</v>
      </c>
      <c r="G415" s="612">
        <v>39450</v>
      </c>
      <c r="H415" s="603">
        <f t="shared" si="82"/>
        <v>0</v>
      </c>
      <c r="I415" s="606">
        <f t="shared" si="81"/>
        <v>0</v>
      </c>
      <c r="J415" s="376"/>
    </row>
    <row r="416" spans="1:10" ht="24" thickBot="1" x14ac:dyDescent="0.35">
      <c r="A416" s="1068"/>
      <c r="B416" s="762"/>
      <c r="C416" s="282" t="s">
        <v>364</v>
      </c>
      <c r="D416" s="437" t="s">
        <v>258</v>
      </c>
      <c r="E416" s="283">
        <v>0</v>
      </c>
      <c r="F416" s="438">
        <f t="shared" si="80"/>
        <v>0</v>
      </c>
      <c r="G416" s="612">
        <v>57.64</v>
      </c>
      <c r="H416" s="603">
        <f t="shared" si="82"/>
        <v>0</v>
      </c>
      <c r="I416" s="606">
        <f t="shared" si="81"/>
        <v>0</v>
      </c>
      <c r="J416" s="376"/>
    </row>
    <row r="417" spans="1:10" ht="24" thickBot="1" x14ac:dyDescent="0.35">
      <c r="A417" s="1069"/>
      <c r="B417" s="1063" t="s">
        <v>291</v>
      </c>
      <c r="C417" s="1064"/>
      <c r="D417" s="764"/>
      <c r="E417" s="329">
        <f>SUM(E397:E416)</f>
        <v>10241</v>
      </c>
      <c r="F417" s="329">
        <f>SUM(F397:F416)</f>
        <v>75479</v>
      </c>
      <c r="G417" s="329"/>
      <c r="H417" s="600">
        <f>SUM(H397:H416)</f>
        <v>2367117</v>
      </c>
      <c r="I417" s="589">
        <f>SUM(I397:I416)</f>
        <v>11114177.1</v>
      </c>
      <c r="J417" s="375"/>
    </row>
    <row r="418" spans="1:10" ht="24" thickBot="1" x14ac:dyDescent="0.35">
      <c r="A418" s="768"/>
      <c r="B418" s="440"/>
      <c r="C418" s="282" t="s">
        <v>446</v>
      </c>
      <c r="D418" s="437"/>
      <c r="E418" s="283"/>
      <c r="F418" s="284">
        <f t="shared" ref="F418" si="83">+F336+E418</f>
        <v>0</v>
      </c>
      <c r="G418" s="337"/>
      <c r="H418" s="599">
        <f t="shared" ref="H418" si="84">E418*G418</f>
        <v>0</v>
      </c>
      <c r="I418" s="285">
        <f t="shared" ref="I418" si="85">+G418*F418</f>
        <v>0</v>
      </c>
      <c r="J418" s="376"/>
    </row>
    <row r="419" spans="1:10" ht="24" thickBot="1" x14ac:dyDescent="0.35">
      <c r="A419" s="768"/>
      <c r="B419" s="1063" t="s">
        <v>238</v>
      </c>
      <c r="C419" s="1064"/>
      <c r="D419" s="760"/>
      <c r="E419" s="329"/>
      <c r="F419" s="330"/>
      <c r="G419" s="329"/>
      <c r="H419" s="597"/>
      <c r="I419" s="327">
        <f>SUM(I418)</f>
        <v>0</v>
      </c>
      <c r="J419" s="352"/>
    </row>
    <row r="420" spans="1:10" ht="24.6" thickBot="1" x14ac:dyDescent="0.35">
      <c r="A420" s="322"/>
      <c r="B420" s="1065" t="s">
        <v>182</v>
      </c>
      <c r="C420" s="1066"/>
      <c r="D420" s="761"/>
      <c r="E420" s="377">
        <f>+E417+E396+E375+E373</f>
        <v>134849</v>
      </c>
      <c r="F420" s="377">
        <f>+F417+F396+F375+F373</f>
        <v>913354</v>
      </c>
      <c r="G420" s="377"/>
      <c r="H420" s="377"/>
      <c r="I420" s="377">
        <f>+I417+I396+I375+I419</f>
        <v>31095407.859999996</v>
      </c>
      <c r="J420" s="378"/>
    </row>
    <row r="421" spans="1:10" ht="23.4" x14ac:dyDescent="0.3">
      <c r="A421" s="991" t="s">
        <v>1</v>
      </c>
      <c r="B421" s="994" t="s">
        <v>2</v>
      </c>
      <c r="C421" s="1072" t="s">
        <v>3</v>
      </c>
      <c r="D421" s="1043" t="s">
        <v>93</v>
      </c>
      <c r="E421" s="1076">
        <v>44538</v>
      </c>
      <c r="F421" s="1001"/>
      <c r="G421" s="1001"/>
      <c r="H421" s="1001"/>
      <c r="I421" s="1001"/>
      <c r="J421" s="1002"/>
    </row>
    <row r="422" spans="1:10" ht="23.4" x14ac:dyDescent="0.3">
      <c r="A422" s="1070"/>
      <c r="B422" s="1071"/>
      <c r="C422" s="1073"/>
      <c r="D422" s="1044"/>
      <c r="E422" s="1077" t="s">
        <v>94</v>
      </c>
      <c r="F422" s="1078"/>
      <c r="G422" s="1077" t="s">
        <v>247</v>
      </c>
      <c r="H422" s="1079"/>
      <c r="I422" s="1079"/>
      <c r="J422" s="1078"/>
    </row>
    <row r="423" spans="1:10" x14ac:dyDescent="0.3">
      <c r="A423" s="992"/>
      <c r="B423" s="995"/>
      <c r="C423" s="1074"/>
      <c r="D423" s="1044"/>
      <c r="E423" s="1003" t="s">
        <v>95</v>
      </c>
      <c r="F423" s="1005" t="s">
        <v>96</v>
      </c>
      <c r="G423" s="1081" t="s">
        <v>97</v>
      </c>
      <c r="H423" s="1083" t="s">
        <v>98</v>
      </c>
      <c r="I423" s="1083" t="s">
        <v>98</v>
      </c>
      <c r="J423" s="1085" t="s">
        <v>12</v>
      </c>
    </row>
    <row r="424" spans="1:10" ht="14.4" thickBot="1" x14ac:dyDescent="0.35">
      <c r="A424" s="993"/>
      <c r="B424" s="996"/>
      <c r="C424" s="1075"/>
      <c r="D424" s="1045"/>
      <c r="E424" s="1004"/>
      <c r="F424" s="1080"/>
      <c r="G424" s="1082"/>
      <c r="H424" s="1084"/>
      <c r="I424" s="1084"/>
      <c r="J424" s="1086"/>
    </row>
    <row r="425" spans="1:10" ht="23.4" x14ac:dyDescent="0.3">
      <c r="A425" s="1067" t="s">
        <v>110</v>
      </c>
      <c r="B425" s="442"/>
      <c r="C425" s="584" t="s">
        <v>292</v>
      </c>
      <c r="D425" s="686" t="s">
        <v>284</v>
      </c>
      <c r="E425" s="744">
        <v>0</v>
      </c>
      <c r="F425" s="695">
        <f>+F343+E425</f>
        <v>0</v>
      </c>
      <c r="G425" s="741">
        <v>111.09</v>
      </c>
      <c r="H425" s="601">
        <f t="shared" ref="H425:H438" si="86">E425*G425</f>
        <v>0</v>
      </c>
      <c r="I425" s="604">
        <f>+G425*F425</f>
        <v>0</v>
      </c>
      <c r="J425" s="354"/>
    </row>
    <row r="426" spans="1:10" ht="23.4" x14ac:dyDescent="0.3">
      <c r="A426" s="1068"/>
      <c r="B426" s="441"/>
      <c r="C426" s="444" t="s">
        <v>285</v>
      </c>
      <c r="D426" s="687" t="s">
        <v>286</v>
      </c>
      <c r="E426" s="745">
        <v>0</v>
      </c>
      <c r="F426" s="746">
        <f t="shared" ref="F426:F438" si="87">+F344+E426</f>
        <v>0</v>
      </c>
      <c r="G426" s="742">
        <v>11</v>
      </c>
      <c r="H426" s="602">
        <f t="shared" si="86"/>
        <v>0</v>
      </c>
      <c r="I426" s="605">
        <f>+G426*F426</f>
        <v>0</v>
      </c>
      <c r="J426" s="355"/>
    </row>
    <row r="427" spans="1:10" ht="23.4" x14ac:dyDescent="0.3">
      <c r="A427" s="1068"/>
      <c r="B427" s="441"/>
      <c r="C427" s="444" t="s">
        <v>321</v>
      </c>
      <c r="D427" s="687" t="s">
        <v>400</v>
      </c>
      <c r="E427" s="745">
        <v>0</v>
      </c>
      <c r="F427" s="746">
        <f t="shared" si="87"/>
        <v>0</v>
      </c>
      <c r="G427" s="742">
        <v>139.04</v>
      </c>
      <c r="H427" s="602">
        <f t="shared" si="86"/>
        <v>0</v>
      </c>
      <c r="I427" s="605">
        <f t="shared" ref="I427:I438" si="88">+G427*F427</f>
        <v>0</v>
      </c>
      <c r="J427" s="355"/>
    </row>
    <row r="428" spans="1:10" ht="23.4" x14ac:dyDescent="0.3">
      <c r="A428" s="1068"/>
      <c r="B428" s="441"/>
      <c r="C428" s="444" t="s">
        <v>397</v>
      </c>
      <c r="D428" s="687" t="s">
        <v>398</v>
      </c>
      <c r="E428" s="745">
        <v>67320</v>
      </c>
      <c r="F428" s="746">
        <f t="shared" si="87"/>
        <v>673200</v>
      </c>
      <c r="G428" s="795">
        <v>20.5</v>
      </c>
      <c r="H428" s="602">
        <f t="shared" si="86"/>
        <v>1380060</v>
      </c>
      <c r="I428" s="605">
        <f t="shared" si="88"/>
        <v>13800600</v>
      </c>
      <c r="J428" s="355"/>
    </row>
    <row r="429" spans="1:10" ht="23.4" x14ac:dyDescent="0.3">
      <c r="A429" s="1068"/>
      <c r="B429" s="441"/>
      <c r="C429" s="444" t="s">
        <v>312</v>
      </c>
      <c r="D429" s="687" t="s">
        <v>190</v>
      </c>
      <c r="E429" s="745">
        <v>0</v>
      </c>
      <c r="F429" s="746">
        <f t="shared" si="87"/>
        <v>0</v>
      </c>
      <c r="G429" s="742">
        <v>14.79</v>
      </c>
      <c r="H429" s="602">
        <f t="shared" si="86"/>
        <v>0</v>
      </c>
      <c r="I429" s="605">
        <f t="shared" si="88"/>
        <v>0</v>
      </c>
      <c r="J429" s="355"/>
    </row>
    <row r="430" spans="1:10" ht="23.4" x14ac:dyDescent="0.3">
      <c r="A430" s="1068"/>
      <c r="B430" s="441"/>
      <c r="C430" s="444" t="s">
        <v>321</v>
      </c>
      <c r="D430" s="687" t="s">
        <v>286</v>
      </c>
      <c r="E430" s="745">
        <v>0</v>
      </c>
      <c r="F430" s="746">
        <f t="shared" si="87"/>
        <v>1280</v>
      </c>
      <c r="G430" s="742">
        <v>139.04</v>
      </c>
      <c r="H430" s="602">
        <f t="shared" si="86"/>
        <v>0</v>
      </c>
      <c r="I430" s="605">
        <f t="shared" si="88"/>
        <v>177971.19999999998</v>
      </c>
      <c r="J430" s="355"/>
    </row>
    <row r="431" spans="1:10" ht="23.4" x14ac:dyDescent="0.3">
      <c r="A431" s="1068"/>
      <c r="B431" s="441"/>
      <c r="C431" s="444" t="s">
        <v>362</v>
      </c>
      <c r="D431" s="688" t="s">
        <v>396</v>
      </c>
      <c r="E431" s="745">
        <v>0</v>
      </c>
      <c r="F431" s="746">
        <f t="shared" si="87"/>
        <v>0</v>
      </c>
      <c r="G431" s="742">
        <v>20.5</v>
      </c>
      <c r="H431" s="602">
        <f t="shared" si="86"/>
        <v>0</v>
      </c>
      <c r="I431" s="605">
        <f t="shared" si="88"/>
        <v>0</v>
      </c>
      <c r="J431" s="355"/>
    </row>
    <row r="432" spans="1:10" ht="23.4" x14ac:dyDescent="0.3">
      <c r="A432" s="1068"/>
      <c r="B432" s="441"/>
      <c r="C432" s="444" t="s">
        <v>345</v>
      </c>
      <c r="D432" s="688" t="s">
        <v>286</v>
      </c>
      <c r="E432" s="745">
        <v>0</v>
      </c>
      <c r="F432" s="746">
        <f t="shared" si="87"/>
        <v>0</v>
      </c>
      <c r="G432" s="742">
        <v>18.84</v>
      </c>
      <c r="H432" s="602">
        <f t="shared" si="86"/>
        <v>0</v>
      </c>
      <c r="I432" s="605">
        <f t="shared" si="88"/>
        <v>0</v>
      </c>
      <c r="J432" s="355"/>
    </row>
    <row r="433" spans="1:10" ht="23.4" x14ac:dyDescent="0.3">
      <c r="A433" s="1068"/>
      <c r="B433" s="441"/>
      <c r="C433" s="444" t="s">
        <v>357</v>
      </c>
      <c r="D433" s="688" t="s">
        <v>252</v>
      </c>
      <c r="E433" s="745">
        <v>0</v>
      </c>
      <c r="F433" s="746">
        <f t="shared" si="87"/>
        <v>0</v>
      </c>
      <c r="G433" s="742">
        <v>21.18</v>
      </c>
      <c r="H433" s="602">
        <f t="shared" si="86"/>
        <v>0</v>
      </c>
      <c r="I433" s="605">
        <f t="shared" si="88"/>
        <v>0</v>
      </c>
      <c r="J433" s="355"/>
    </row>
    <row r="434" spans="1:10" ht="23.4" x14ac:dyDescent="0.3">
      <c r="A434" s="1068"/>
      <c r="B434" s="441"/>
      <c r="C434" s="444" t="s">
        <v>359</v>
      </c>
      <c r="D434" s="688" t="s">
        <v>360</v>
      </c>
      <c r="E434" s="745">
        <v>0</v>
      </c>
      <c r="F434" s="746">
        <f t="shared" si="87"/>
        <v>0</v>
      </c>
      <c r="G434" s="742">
        <v>21.28</v>
      </c>
      <c r="H434" s="602">
        <f t="shared" si="86"/>
        <v>0</v>
      </c>
      <c r="I434" s="605">
        <f t="shared" si="88"/>
        <v>0</v>
      </c>
      <c r="J434" s="355"/>
    </row>
    <row r="435" spans="1:10" ht="23.4" x14ac:dyDescent="0.3">
      <c r="A435" s="1068"/>
      <c r="B435" s="441"/>
      <c r="C435" s="444" t="s">
        <v>445</v>
      </c>
      <c r="D435" s="688" t="s">
        <v>436</v>
      </c>
      <c r="E435" s="745">
        <v>9920</v>
      </c>
      <c r="F435" s="746">
        <f t="shared" si="87"/>
        <v>19840</v>
      </c>
      <c r="G435" s="742">
        <v>143.28</v>
      </c>
      <c r="H435" s="602">
        <f t="shared" si="86"/>
        <v>1421337.6000000001</v>
      </c>
      <c r="I435" s="605">
        <f t="shared" si="88"/>
        <v>2842675.2000000002</v>
      </c>
      <c r="J435" s="355"/>
    </row>
    <row r="436" spans="1:10" ht="23.4" x14ac:dyDescent="0.3">
      <c r="A436" s="1068"/>
      <c r="B436" s="441"/>
      <c r="C436" s="444" t="s">
        <v>403</v>
      </c>
      <c r="D436" s="687" t="s">
        <v>190</v>
      </c>
      <c r="E436" s="745">
        <v>0</v>
      </c>
      <c r="F436" s="746">
        <f t="shared" si="87"/>
        <v>0</v>
      </c>
      <c r="G436" s="742">
        <v>14.55</v>
      </c>
      <c r="H436" s="602">
        <f t="shared" si="86"/>
        <v>0</v>
      </c>
      <c r="I436" s="605">
        <f t="shared" si="88"/>
        <v>0</v>
      </c>
      <c r="J436" s="355"/>
    </row>
    <row r="437" spans="1:10" ht="23.4" x14ac:dyDescent="0.3">
      <c r="A437" s="1068"/>
      <c r="B437" s="441"/>
      <c r="C437" s="444" t="s">
        <v>362</v>
      </c>
      <c r="D437" s="688" t="s">
        <v>202</v>
      </c>
      <c r="E437" s="745">
        <v>0</v>
      </c>
      <c r="F437" s="746">
        <f t="shared" si="87"/>
        <v>0</v>
      </c>
      <c r="G437" s="742">
        <v>21.28</v>
      </c>
      <c r="H437" s="602">
        <f t="shared" si="86"/>
        <v>0</v>
      </c>
      <c r="I437" s="605">
        <f t="shared" si="88"/>
        <v>0</v>
      </c>
      <c r="J437" s="355"/>
    </row>
    <row r="438" spans="1:10" ht="24" thickBot="1" x14ac:dyDescent="0.35">
      <c r="A438" s="1068"/>
      <c r="B438" s="441"/>
      <c r="C438" s="444" t="s">
        <v>374</v>
      </c>
      <c r="D438" s="689" t="s">
        <v>191</v>
      </c>
      <c r="E438" s="745">
        <v>0</v>
      </c>
      <c r="F438" s="697">
        <f t="shared" si="87"/>
        <v>0</v>
      </c>
      <c r="G438" s="742">
        <v>36.44</v>
      </c>
      <c r="H438" s="602">
        <f t="shared" si="86"/>
        <v>0</v>
      </c>
      <c r="I438" s="605">
        <f t="shared" si="88"/>
        <v>0</v>
      </c>
      <c r="J438" s="355"/>
    </row>
    <row r="439" spans="1:10" ht="24" thickBot="1" x14ac:dyDescent="0.35">
      <c r="A439" s="1068"/>
      <c r="B439" s="1063" t="s">
        <v>287</v>
      </c>
      <c r="C439" s="1064"/>
      <c r="D439" s="779"/>
      <c r="E439" s="329">
        <f>SUM(E425:E438)</f>
        <v>77240</v>
      </c>
      <c r="F439" s="743">
        <f>SUM(F425:F438)</f>
        <v>694320</v>
      </c>
      <c r="G439" s="329"/>
      <c r="H439" s="597">
        <f>SUM(H425:H438)</f>
        <v>2801397.6</v>
      </c>
      <c r="I439" s="589">
        <f>SUM(I425:I438)</f>
        <v>16821246.399999999</v>
      </c>
      <c r="J439" s="352"/>
    </row>
    <row r="440" spans="1:10" ht="23.4" x14ac:dyDescent="0.3">
      <c r="A440" s="1068"/>
      <c r="B440" s="777"/>
      <c r="C440" s="282" t="s">
        <v>293</v>
      </c>
      <c r="D440" s="437" t="s">
        <v>258</v>
      </c>
      <c r="E440" s="283">
        <v>1750</v>
      </c>
      <c r="F440" s="438">
        <f t="shared" ref="F440:F450" si="89">+F358+E440</f>
        <v>1750</v>
      </c>
      <c r="G440" s="587">
        <v>160.44999999999999</v>
      </c>
      <c r="H440" s="603">
        <f t="shared" ref="H440:H450" si="90">E440*G440</f>
        <v>280787.5</v>
      </c>
      <c r="I440" s="606">
        <f t="shared" ref="I440:I450" si="91">+G440*F440</f>
        <v>280787.5</v>
      </c>
      <c r="J440" s="376"/>
    </row>
    <row r="441" spans="1:10" ht="23.4" x14ac:dyDescent="0.3">
      <c r="A441" s="1068"/>
      <c r="B441" s="777"/>
      <c r="C441" s="282" t="s">
        <v>309</v>
      </c>
      <c r="D441" s="437" t="s">
        <v>258</v>
      </c>
      <c r="E441" s="283">
        <v>0</v>
      </c>
      <c r="F441" s="438">
        <f t="shared" si="89"/>
        <v>0</v>
      </c>
      <c r="G441" s="587">
        <v>160.44999999999999</v>
      </c>
      <c r="H441" s="603">
        <f t="shared" si="90"/>
        <v>0</v>
      </c>
      <c r="I441" s="606">
        <f t="shared" si="91"/>
        <v>0</v>
      </c>
      <c r="J441" s="376"/>
    </row>
    <row r="442" spans="1:10" ht="23.4" x14ac:dyDescent="0.3">
      <c r="A442" s="1068"/>
      <c r="B442" s="777"/>
      <c r="C442" s="282" t="s">
        <v>310</v>
      </c>
      <c r="D442" s="437" t="s">
        <v>258</v>
      </c>
      <c r="E442" s="283">
        <v>0</v>
      </c>
      <c r="F442" s="438">
        <f t="shared" si="89"/>
        <v>0</v>
      </c>
      <c r="G442" s="587">
        <v>160.44999999999999</v>
      </c>
      <c r="H442" s="603">
        <f t="shared" si="90"/>
        <v>0</v>
      </c>
      <c r="I442" s="606">
        <f t="shared" si="91"/>
        <v>0</v>
      </c>
      <c r="J442" s="376"/>
    </row>
    <row r="443" spans="1:10" ht="23.4" x14ac:dyDescent="0.3">
      <c r="A443" s="1068"/>
      <c r="B443" s="777"/>
      <c r="C443" s="282" t="s">
        <v>311</v>
      </c>
      <c r="D443" s="437" t="s">
        <v>100</v>
      </c>
      <c r="E443" s="283">
        <v>0</v>
      </c>
      <c r="F443" s="438">
        <f t="shared" si="89"/>
        <v>0</v>
      </c>
      <c r="G443" s="587">
        <v>27</v>
      </c>
      <c r="H443" s="603">
        <f t="shared" si="90"/>
        <v>0</v>
      </c>
      <c r="I443" s="606">
        <f t="shared" si="91"/>
        <v>0</v>
      </c>
      <c r="J443" s="376"/>
    </row>
    <row r="444" spans="1:10" ht="23.4" x14ac:dyDescent="0.3">
      <c r="A444" s="1068"/>
      <c r="B444" s="777"/>
      <c r="C444" s="282" t="s">
        <v>311</v>
      </c>
      <c r="D444" s="437" t="s">
        <v>318</v>
      </c>
      <c r="E444" s="283">
        <v>134640</v>
      </c>
      <c r="F444" s="438">
        <f t="shared" si="89"/>
        <v>324720</v>
      </c>
      <c r="G444" s="587">
        <v>27.5</v>
      </c>
      <c r="H444" s="603">
        <f t="shared" si="90"/>
        <v>3702600</v>
      </c>
      <c r="I444" s="606">
        <f t="shared" si="91"/>
        <v>8929800</v>
      </c>
      <c r="J444" s="376"/>
    </row>
    <row r="445" spans="1:10" ht="23.4" x14ac:dyDescent="0.3">
      <c r="A445" s="1068"/>
      <c r="B445" s="777"/>
      <c r="C445" s="282" t="s">
        <v>299</v>
      </c>
      <c r="D445" s="437" t="s">
        <v>318</v>
      </c>
      <c r="E445" s="283">
        <v>4488</v>
      </c>
      <c r="F445" s="438">
        <f t="shared" si="89"/>
        <v>10832</v>
      </c>
      <c r="G445" s="587">
        <v>34.5</v>
      </c>
      <c r="H445" s="603">
        <f t="shared" si="90"/>
        <v>154836</v>
      </c>
      <c r="I445" s="606">
        <f t="shared" si="91"/>
        <v>373704</v>
      </c>
      <c r="J445" s="376"/>
    </row>
    <row r="446" spans="1:10" ht="23.4" x14ac:dyDescent="0.3">
      <c r="A446" s="1068"/>
      <c r="B446" s="777"/>
      <c r="C446" s="282" t="s">
        <v>331</v>
      </c>
      <c r="D446" s="437" t="s">
        <v>258</v>
      </c>
      <c r="E446" s="283">
        <v>0</v>
      </c>
      <c r="F446" s="438">
        <f t="shared" si="89"/>
        <v>0</v>
      </c>
      <c r="G446" s="587">
        <v>160.44999999999999</v>
      </c>
      <c r="H446" s="603">
        <f t="shared" si="90"/>
        <v>0</v>
      </c>
      <c r="I446" s="606">
        <f t="shared" si="91"/>
        <v>0</v>
      </c>
      <c r="J446" s="376"/>
    </row>
    <row r="447" spans="1:10" ht="23.4" x14ac:dyDescent="0.3">
      <c r="A447" s="1068"/>
      <c r="B447" s="777"/>
      <c r="C447" s="282" t="s">
        <v>388</v>
      </c>
      <c r="D447" s="437" t="s">
        <v>258</v>
      </c>
      <c r="E447" s="283">
        <v>10000</v>
      </c>
      <c r="F447" s="438">
        <f t="shared" si="89"/>
        <v>10000</v>
      </c>
      <c r="G447" s="587">
        <v>160.44999999999999</v>
      </c>
      <c r="H447" s="603">
        <f t="shared" si="90"/>
        <v>1604500</v>
      </c>
      <c r="I447" s="606">
        <f t="shared" si="91"/>
        <v>1604500</v>
      </c>
      <c r="J447" s="376"/>
    </row>
    <row r="448" spans="1:10" ht="23.4" x14ac:dyDescent="0.3">
      <c r="A448" s="1068"/>
      <c r="B448" s="777"/>
      <c r="C448" s="282" t="s">
        <v>461</v>
      </c>
      <c r="D448" s="437" t="s">
        <v>258</v>
      </c>
      <c r="E448" s="283">
        <v>6000</v>
      </c>
      <c r="F448" s="438">
        <f t="shared" si="89"/>
        <v>6000</v>
      </c>
      <c r="G448" s="587">
        <v>160.44999999999999</v>
      </c>
      <c r="H448" s="603">
        <f t="shared" si="90"/>
        <v>962699.99999999988</v>
      </c>
      <c r="I448" s="606">
        <f t="shared" si="91"/>
        <v>962699.99999999988</v>
      </c>
      <c r="J448" s="376"/>
    </row>
    <row r="449" spans="1:11" ht="23.4" x14ac:dyDescent="0.3">
      <c r="A449" s="1068"/>
      <c r="B449" s="777"/>
      <c r="C449" s="282" t="s">
        <v>343</v>
      </c>
      <c r="D449" s="437" t="s">
        <v>258</v>
      </c>
      <c r="E449" s="283">
        <v>0</v>
      </c>
      <c r="F449" s="438">
        <f t="shared" si="89"/>
        <v>0</v>
      </c>
      <c r="G449" s="587">
        <v>160.44999999999999</v>
      </c>
      <c r="H449" s="603">
        <f t="shared" si="90"/>
        <v>0</v>
      </c>
      <c r="I449" s="606">
        <f t="shared" si="91"/>
        <v>0</v>
      </c>
      <c r="J449" s="376"/>
    </row>
    <row r="450" spans="1:11" ht="24" thickBot="1" x14ac:dyDescent="0.35">
      <c r="A450" s="1068"/>
      <c r="B450" s="777"/>
      <c r="C450" s="282" t="s">
        <v>340</v>
      </c>
      <c r="D450" s="437" t="s">
        <v>258</v>
      </c>
      <c r="E450" s="283">
        <v>0</v>
      </c>
      <c r="F450" s="438">
        <f t="shared" si="89"/>
        <v>0</v>
      </c>
      <c r="G450" s="587">
        <v>160.44999999999999</v>
      </c>
      <c r="H450" s="603">
        <f t="shared" si="90"/>
        <v>0</v>
      </c>
      <c r="I450" s="606">
        <f t="shared" si="91"/>
        <v>0</v>
      </c>
      <c r="J450" s="376"/>
    </row>
    <row r="451" spans="1:11" ht="24" thickBot="1" x14ac:dyDescent="0.35">
      <c r="A451" s="1068"/>
      <c r="B451" s="1063" t="s">
        <v>288</v>
      </c>
      <c r="C451" s="1064"/>
      <c r="D451" s="779"/>
      <c r="E451" s="329">
        <f>SUM(E440:E450)</f>
        <v>156878</v>
      </c>
      <c r="F451" s="329">
        <f>SUM(F440:F450)</f>
        <v>353302</v>
      </c>
      <c r="G451" s="329"/>
      <c r="H451" s="597">
        <f>SUM(H440:H450)</f>
        <v>6705423.5</v>
      </c>
      <c r="I451" s="589">
        <f>SUM(I440:I450)</f>
        <v>12151491.5</v>
      </c>
      <c r="J451" s="352"/>
    </row>
    <row r="452" spans="1:11" ht="23.4" x14ac:dyDescent="0.3">
      <c r="A452" s="1068"/>
      <c r="B452" s="777"/>
      <c r="C452" s="282" t="s">
        <v>434</v>
      </c>
      <c r="D452" s="437" t="s">
        <v>435</v>
      </c>
      <c r="E452" s="283">
        <v>0</v>
      </c>
      <c r="F452" s="438">
        <v>250</v>
      </c>
      <c r="G452" s="587">
        <v>5.34</v>
      </c>
      <c r="H452" s="603">
        <f t="shared" ref="H452:H454" si="92">E452*G452</f>
        <v>0</v>
      </c>
      <c r="I452" s="606">
        <f t="shared" ref="I452" si="93">+G452*F452</f>
        <v>1335</v>
      </c>
      <c r="J452" s="376"/>
    </row>
    <row r="453" spans="1:11" ht="23.4" x14ac:dyDescent="0.3">
      <c r="A453" s="1068"/>
      <c r="B453" s="777"/>
      <c r="C453" s="282" t="s">
        <v>300</v>
      </c>
      <c r="D453" s="437" t="s">
        <v>301</v>
      </c>
      <c r="E453" s="283">
        <v>0</v>
      </c>
      <c r="F453" s="438">
        <f t="shared" ref="F453:F454" si="94">+F371+E453</f>
        <v>1</v>
      </c>
      <c r="G453" s="587">
        <v>2500</v>
      </c>
      <c r="H453" s="603">
        <f t="shared" si="92"/>
        <v>0</v>
      </c>
      <c r="I453" s="606">
        <f>+G453*F453</f>
        <v>2500</v>
      </c>
      <c r="J453" s="376"/>
    </row>
    <row r="454" spans="1:11" ht="24" thickBot="1" x14ac:dyDescent="0.35">
      <c r="A454" s="1068"/>
      <c r="B454" s="777"/>
      <c r="C454" s="282" t="s">
        <v>332</v>
      </c>
      <c r="D454" s="437" t="s">
        <v>333</v>
      </c>
      <c r="E454" s="283">
        <v>0</v>
      </c>
      <c r="F454" s="438">
        <f t="shared" si="94"/>
        <v>0</v>
      </c>
      <c r="G454" s="588">
        <v>360</v>
      </c>
      <c r="H454" s="603">
        <f t="shared" si="92"/>
        <v>0</v>
      </c>
      <c r="I454" s="606">
        <f t="shared" ref="I454" si="95">+G454*F454</f>
        <v>0</v>
      </c>
      <c r="J454" s="376"/>
    </row>
    <row r="455" spans="1:11" ht="24" thickBot="1" x14ac:dyDescent="0.35">
      <c r="A455" s="1068"/>
      <c r="B455" s="1063" t="s">
        <v>294</v>
      </c>
      <c r="C455" s="1064"/>
      <c r="D455" s="779"/>
      <c r="E455" s="329">
        <f>SUM(E452:E454)</f>
        <v>0</v>
      </c>
      <c r="F455" s="329">
        <f>SUM(F452:F454)</f>
        <v>251</v>
      </c>
      <c r="G455" s="329"/>
      <c r="H455" s="597">
        <f>SUM(H452:H454)</f>
        <v>0</v>
      </c>
      <c r="I455" s="589">
        <f>SUM(I452:I454)</f>
        <v>3835</v>
      </c>
      <c r="J455" s="376"/>
    </row>
    <row r="456" spans="1:11" ht="24" thickBot="1" x14ac:dyDescent="0.35">
      <c r="A456" s="1068"/>
      <c r="B456" s="777"/>
      <c r="C456" s="282"/>
      <c r="D456" s="437"/>
      <c r="E456" s="283"/>
      <c r="F456" s="320"/>
      <c r="G456" s="588"/>
      <c r="H456" s="598"/>
      <c r="I456" s="285">
        <f t="shared" ref="I456" si="96">+G456*F456</f>
        <v>0</v>
      </c>
      <c r="J456" s="376"/>
    </row>
    <row r="457" spans="1:11" ht="24" thickBot="1" x14ac:dyDescent="0.35">
      <c r="A457" s="1069"/>
      <c r="B457" s="1063" t="s">
        <v>290</v>
      </c>
      <c r="C457" s="1064"/>
      <c r="D457" s="775"/>
      <c r="E457" s="329">
        <f>+E455+E451+E439</f>
        <v>234118</v>
      </c>
      <c r="F457" s="329">
        <f>+F455+F451+F439</f>
        <v>1047873</v>
      </c>
      <c r="G457" s="329"/>
      <c r="H457" s="589">
        <f>+H451+H439+H455</f>
        <v>9506821.0999999996</v>
      </c>
      <c r="I457" s="589">
        <f>+I451+I439+I455</f>
        <v>28976572.899999999</v>
      </c>
      <c r="J457" s="376"/>
      <c r="K457" s="757"/>
    </row>
    <row r="458" spans="1:11" ht="23.4" x14ac:dyDescent="0.3">
      <c r="A458" s="1067" t="s">
        <v>108</v>
      </c>
      <c r="B458" s="777"/>
      <c r="C458" s="282" t="s">
        <v>304</v>
      </c>
      <c r="D458" s="437" t="s">
        <v>191</v>
      </c>
      <c r="E458" s="283">
        <v>0</v>
      </c>
      <c r="F458" s="438">
        <f t="shared" ref="F458:F477" si="97">+F376+E458</f>
        <v>0</v>
      </c>
      <c r="G458" s="612">
        <v>13.25</v>
      </c>
      <c r="H458" s="607">
        <f t="shared" ref="H458:H477" si="98">E458*G458</f>
        <v>0</v>
      </c>
      <c r="I458" s="606">
        <f t="shared" ref="I458:I477" si="99">+G458*F458</f>
        <v>0</v>
      </c>
      <c r="J458" s="376"/>
    </row>
    <row r="459" spans="1:11" ht="23.4" x14ac:dyDescent="0.3">
      <c r="A459" s="1068"/>
      <c r="B459" s="777"/>
      <c r="C459" s="282" t="s">
        <v>305</v>
      </c>
      <c r="D459" s="437"/>
      <c r="E459" s="283">
        <v>0</v>
      </c>
      <c r="F459" s="438">
        <f t="shared" si="97"/>
        <v>1</v>
      </c>
      <c r="G459" s="613">
        <v>5000</v>
      </c>
      <c r="H459" s="607">
        <f t="shared" si="98"/>
        <v>0</v>
      </c>
      <c r="I459" s="606">
        <f t="shared" si="99"/>
        <v>5000</v>
      </c>
      <c r="J459" s="376"/>
    </row>
    <row r="460" spans="1:11" ht="23.4" x14ac:dyDescent="0.3">
      <c r="A460" s="1068"/>
      <c r="B460" s="777"/>
      <c r="C460" s="282" t="s">
        <v>305</v>
      </c>
      <c r="D460" s="437"/>
      <c r="E460" s="283">
        <v>0</v>
      </c>
      <c r="F460" s="438">
        <f t="shared" si="97"/>
        <v>0</v>
      </c>
      <c r="G460" s="613">
        <v>18000</v>
      </c>
      <c r="H460" s="607">
        <f t="shared" si="98"/>
        <v>0</v>
      </c>
      <c r="I460" s="606">
        <f t="shared" si="99"/>
        <v>0</v>
      </c>
      <c r="J460" s="376"/>
    </row>
    <row r="461" spans="1:11" ht="23.4" x14ac:dyDescent="0.3">
      <c r="A461" s="1068"/>
      <c r="B461" s="777"/>
      <c r="C461" s="282" t="s">
        <v>317</v>
      </c>
      <c r="D461" s="437" t="s">
        <v>191</v>
      </c>
      <c r="E461" s="283">
        <v>0</v>
      </c>
      <c r="F461" s="438">
        <f t="shared" si="97"/>
        <v>0</v>
      </c>
      <c r="G461" s="612">
        <v>24.93</v>
      </c>
      <c r="H461" s="607">
        <f t="shared" si="98"/>
        <v>0</v>
      </c>
      <c r="I461" s="606">
        <f t="shared" si="99"/>
        <v>0</v>
      </c>
      <c r="J461" s="376"/>
    </row>
    <row r="462" spans="1:11" ht="23.4" x14ac:dyDescent="0.3">
      <c r="A462" s="1068"/>
      <c r="B462" s="777"/>
      <c r="C462" s="282" t="s">
        <v>324</v>
      </c>
      <c r="D462" s="437" t="s">
        <v>99</v>
      </c>
      <c r="E462" s="283">
        <v>0</v>
      </c>
      <c r="F462" s="438">
        <f t="shared" si="97"/>
        <v>0</v>
      </c>
      <c r="G462" s="612">
        <v>26</v>
      </c>
      <c r="H462" s="607">
        <f t="shared" si="98"/>
        <v>0</v>
      </c>
      <c r="I462" s="606">
        <f t="shared" si="99"/>
        <v>0</v>
      </c>
      <c r="J462" s="376"/>
    </row>
    <row r="463" spans="1:11" ht="23.4" x14ac:dyDescent="0.3">
      <c r="A463" s="1068"/>
      <c r="B463" s="777"/>
      <c r="C463" s="282" t="s">
        <v>325</v>
      </c>
      <c r="D463" s="437" t="s">
        <v>191</v>
      </c>
      <c r="E463" s="283">
        <v>0</v>
      </c>
      <c r="F463" s="438">
        <f t="shared" si="97"/>
        <v>0</v>
      </c>
      <c r="G463" s="612">
        <v>25.49</v>
      </c>
      <c r="H463" s="607">
        <f t="shared" si="98"/>
        <v>0</v>
      </c>
      <c r="I463" s="606">
        <f t="shared" si="99"/>
        <v>0</v>
      </c>
      <c r="J463" s="376"/>
    </row>
    <row r="464" spans="1:11" ht="23.4" x14ac:dyDescent="0.3">
      <c r="A464" s="1068"/>
      <c r="B464" s="777"/>
      <c r="C464" s="282" t="s">
        <v>326</v>
      </c>
      <c r="D464" s="437" t="s">
        <v>114</v>
      </c>
      <c r="E464" s="283">
        <v>0</v>
      </c>
      <c r="F464" s="438">
        <f t="shared" si="97"/>
        <v>0</v>
      </c>
      <c r="G464" s="612">
        <v>24.93</v>
      </c>
      <c r="H464" s="607">
        <f t="shared" si="98"/>
        <v>0</v>
      </c>
      <c r="I464" s="606">
        <f t="shared" si="99"/>
        <v>0</v>
      </c>
      <c r="J464" s="376"/>
    </row>
    <row r="465" spans="1:10" ht="23.4" x14ac:dyDescent="0.3">
      <c r="A465" s="1068"/>
      <c r="B465" s="777"/>
      <c r="C465" s="282" t="s">
        <v>327</v>
      </c>
      <c r="D465" s="437" t="s">
        <v>303</v>
      </c>
      <c r="E465" s="283">
        <v>0</v>
      </c>
      <c r="F465" s="438">
        <f t="shared" si="97"/>
        <v>0</v>
      </c>
      <c r="G465" s="612">
        <v>24.93</v>
      </c>
      <c r="H465" s="607">
        <f t="shared" si="98"/>
        <v>0</v>
      </c>
      <c r="I465" s="606">
        <f t="shared" si="99"/>
        <v>0</v>
      </c>
      <c r="J465" s="376"/>
    </row>
    <row r="466" spans="1:10" ht="23.4" x14ac:dyDescent="0.3">
      <c r="A466" s="1068"/>
      <c r="B466" s="777"/>
      <c r="C466" s="282" t="s">
        <v>328</v>
      </c>
      <c r="D466" s="437" t="s">
        <v>99</v>
      </c>
      <c r="E466" s="283">
        <v>0</v>
      </c>
      <c r="F466" s="438">
        <f t="shared" si="97"/>
        <v>0</v>
      </c>
      <c r="G466" s="612">
        <v>20.89</v>
      </c>
      <c r="H466" s="607">
        <f t="shared" si="98"/>
        <v>0</v>
      </c>
      <c r="I466" s="606">
        <f t="shared" si="99"/>
        <v>0</v>
      </c>
      <c r="J466" s="376"/>
    </row>
    <row r="467" spans="1:10" ht="23.4" x14ac:dyDescent="0.3">
      <c r="A467" s="1068"/>
      <c r="B467" s="777"/>
      <c r="C467" s="282" t="s">
        <v>394</v>
      </c>
      <c r="D467" s="437" t="s">
        <v>338</v>
      </c>
      <c r="E467" s="283">
        <v>0</v>
      </c>
      <c r="F467" s="438">
        <f t="shared" si="97"/>
        <v>0</v>
      </c>
      <c r="G467" s="612">
        <v>37.4566666666</v>
      </c>
      <c r="H467" s="607">
        <f t="shared" si="98"/>
        <v>0</v>
      </c>
      <c r="I467" s="606">
        <f t="shared" si="99"/>
        <v>0</v>
      </c>
      <c r="J467" s="376"/>
    </row>
    <row r="468" spans="1:10" ht="23.4" x14ac:dyDescent="0.3">
      <c r="A468" s="1068"/>
      <c r="B468" s="777"/>
      <c r="C468" s="282" t="s">
        <v>395</v>
      </c>
      <c r="D468" s="437" t="s">
        <v>338</v>
      </c>
      <c r="E468" s="283">
        <v>0</v>
      </c>
      <c r="F468" s="438">
        <f t="shared" si="97"/>
        <v>0</v>
      </c>
      <c r="G468" s="612">
        <v>37.89</v>
      </c>
      <c r="H468" s="607">
        <f t="shared" si="98"/>
        <v>0</v>
      </c>
      <c r="I468" s="606">
        <f t="shared" si="99"/>
        <v>0</v>
      </c>
      <c r="J468" s="376"/>
    </row>
    <row r="469" spans="1:10" ht="23.4" x14ac:dyDescent="0.3">
      <c r="A469" s="1068"/>
      <c r="B469" s="777"/>
      <c r="C469" s="282" t="s">
        <v>326</v>
      </c>
      <c r="D469" s="437" t="s">
        <v>302</v>
      </c>
      <c r="E469" s="283">
        <v>0</v>
      </c>
      <c r="F469" s="438">
        <f t="shared" si="97"/>
        <v>0</v>
      </c>
      <c r="G469" s="612">
        <v>24.93</v>
      </c>
      <c r="H469" s="607">
        <f t="shared" si="98"/>
        <v>0</v>
      </c>
      <c r="I469" s="606">
        <f t="shared" si="99"/>
        <v>0</v>
      </c>
      <c r="J469" s="376"/>
    </row>
    <row r="470" spans="1:10" ht="23.4" x14ac:dyDescent="0.3">
      <c r="A470" s="1068"/>
      <c r="B470" s="777"/>
      <c r="C470" s="282" t="s">
        <v>402</v>
      </c>
      <c r="D470" s="437" t="s">
        <v>376</v>
      </c>
      <c r="E470" s="283">
        <v>0</v>
      </c>
      <c r="F470" s="438">
        <f t="shared" si="97"/>
        <v>0</v>
      </c>
      <c r="G470" s="612">
        <v>24.93</v>
      </c>
      <c r="H470" s="607">
        <f t="shared" si="98"/>
        <v>0</v>
      </c>
      <c r="I470" s="606">
        <f t="shared" si="99"/>
        <v>0</v>
      </c>
      <c r="J470" s="376"/>
    </row>
    <row r="471" spans="1:10" ht="23.4" x14ac:dyDescent="0.3">
      <c r="A471" s="1068"/>
      <c r="B471" s="777"/>
      <c r="C471" s="282" t="s">
        <v>350</v>
      </c>
      <c r="D471" s="437" t="s">
        <v>313</v>
      </c>
      <c r="E471" s="283">
        <v>0</v>
      </c>
      <c r="F471" s="438">
        <f t="shared" si="97"/>
        <v>0</v>
      </c>
      <c r="G471" s="612">
        <v>34.26</v>
      </c>
      <c r="H471" s="607">
        <f t="shared" si="98"/>
        <v>0</v>
      </c>
      <c r="I471" s="606">
        <f t="shared" si="99"/>
        <v>0</v>
      </c>
      <c r="J471" s="376"/>
    </row>
    <row r="472" spans="1:10" ht="23.4" x14ac:dyDescent="0.3">
      <c r="A472" s="1068"/>
      <c r="B472" s="777"/>
      <c r="C472" s="282" t="s">
        <v>363</v>
      </c>
      <c r="D472" s="437" t="s">
        <v>401</v>
      </c>
      <c r="E472" s="283">
        <v>0</v>
      </c>
      <c r="F472" s="438">
        <f t="shared" si="97"/>
        <v>0</v>
      </c>
      <c r="G472" s="612">
        <v>37.89</v>
      </c>
      <c r="H472" s="607">
        <f t="shared" si="98"/>
        <v>0</v>
      </c>
      <c r="I472" s="606">
        <f t="shared" si="99"/>
        <v>0</v>
      </c>
      <c r="J472" s="376"/>
    </row>
    <row r="473" spans="1:10" ht="23.4" x14ac:dyDescent="0.3">
      <c r="A473" s="1068"/>
      <c r="B473" s="777"/>
      <c r="C473" s="282" t="s">
        <v>406</v>
      </c>
      <c r="D473" s="437" t="s">
        <v>376</v>
      </c>
      <c r="E473" s="283">
        <v>0</v>
      </c>
      <c r="F473" s="438">
        <f t="shared" si="97"/>
        <v>0</v>
      </c>
      <c r="G473" s="612">
        <v>39</v>
      </c>
      <c r="H473" s="607">
        <f t="shared" si="98"/>
        <v>0</v>
      </c>
      <c r="I473" s="606">
        <f t="shared" si="99"/>
        <v>0</v>
      </c>
      <c r="J473" s="376"/>
    </row>
    <row r="474" spans="1:10" ht="23.4" x14ac:dyDescent="0.3">
      <c r="A474" s="1068"/>
      <c r="B474" s="777"/>
      <c r="C474" s="282" t="s">
        <v>327</v>
      </c>
      <c r="D474" s="437" t="s">
        <v>190</v>
      </c>
      <c r="E474" s="283">
        <v>0</v>
      </c>
      <c r="F474" s="438">
        <f t="shared" si="97"/>
        <v>23868</v>
      </c>
      <c r="G474" s="612">
        <v>21.22</v>
      </c>
      <c r="H474" s="607">
        <f t="shared" si="98"/>
        <v>0</v>
      </c>
      <c r="I474" s="606">
        <f t="shared" si="99"/>
        <v>506478.95999999996</v>
      </c>
      <c r="J474" s="376"/>
    </row>
    <row r="475" spans="1:10" ht="23.4" x14ac:dyDescent="0.3">
      <c r="A475" s="1068"/>
      <c r="B475" s="777"/>
      <c r="C475" s="282" t="s">
        <v>326</v>
      </c>
      <c r="D475" s="437" t="s">
        <v>190</v>
      </c>
      <c r="E475" s="283">
        <v>0</v>
      </c>
      <c r="F475" s="438">
        <f t="shared" si="97"/>
        <v>0</v>
      </c>
      <c r="G475" s="612">
        <v>21.22</v>
      </c>
      <c r="H475" s="607">
        <f t="shared" si="98"/>
        <v>0</v>
      </c>
      <c r="I475" s="606">
        <f t="shared" si="99"/>
        <v>0</v>
      </c>
      <c r="J475" s="376"/>
    </row>
    <row r="476" spans="1:10" ht="23.4" x14ac:dyDescent="0.3">
      <c r="A476" s="1068"/>
      <c r="B476" s="777"/>
      <c r="C476" s="282" t="s">
        <v>377</v>
      </c>
      <c r="D476" s="437" t="s">
        <v>333</v>
      </c>
      <c r="E476" s="283">
        <v>0</v>
      </c>
      <c r="F476" s="438">
        <f t="shared" si="97"/>
        <v>0</v>
      </c>
      <c r="G476" s="612">
        <v>10000</v>
      </c>
      <c r="H476" s="607">
        <f t="shared" si="98"/>
        <v>0</v>
      </c>
      <c r="I476" s="606">
        <f t="shared" si="99"/>
        <v>0</v>
      </c>
      <c r="J476" s="376"/>
    </row>
    <row r="477" spans="1:10" ht="24" thickBot="1" x14ac:dyDescent="0.35">
      <c r="A477" s="1068"/>
      <c r="B477" s="777"/>
      <c r="C477" s="282" t="s">
        <v>332</v>
      </c>
      <c r="D477" s="437" t="s">
        <v>333</v>
      </c>
      <c r="E477" s="283">
        <v>0</v>
      </c>
      <c r="F477" s="438">
        <f t="shared" si="97"/>
        <v>0</v>
      </c>
      <c r="G477" s="612">
        <v>360</v>
      </c>
      <c r="H477" s="607">
        <f t="shared" si="98"/>
        <v>0</v>
      </c>
      <c r="I477" s="606">
        <f t="shared" si="99"/>
        <v>0</v>
      </c>
      <c r="J477" s="376"/>
    </row>
    <row r="478" spans="1:10" ht="24" thickBot="1" x14ac:dyDescent="0.35">
      <c r="A478" s="1069"/>
      <c r="B478" s="1063" t="s">
        <v>289</v>
      </c>
      <c r="C478" s="1064"/>
      <c r="D478" s="779"/>
      <c r="E478" s="329">
        <f>SUM(E458:E477)</f>
        <v>0</v>
      </c>
      <c r="F478" s="329">
        <f>SUM(F458:F477)</f>
        <v>23869</v>
      </c>
      <c r="G478" s="329"/>
      <c r="H478" s="597"/>
      <c r="I478" s="589">
        <f>SUM(I458:I477)</f>
        <v>511478.95999999996</v>
      </c>
      <c r="J478" s="376"/>
    </row>
    <row r="479" spans="1:10" ht="23.4" x14ac:dyDescent="0.3">
      <c r="A479" s="1067" t="s">
        <v>109</v>
      </c>
      <c r="B479" s="777"/>
      <c r="C479" s="282" t="s">
        <v>296</v>
      </c>
      <c r="D479" s="437" t="s">
        <v>258</v>
      </c>
      <c r="E479" s="283">
        <v>0</v>
      </c>
      <c r="F479" s="438">
        <f t="shared" ref="F479:F498" si="100">+F397+E479</f>
        <v>4023</v>
      </c>
      <c r="G479" s="612">
        <v>430.02</v>
      </c>
      <c r="H479" s="603">
        <f>E479*G479</f>
        <v>0</v>
      </c>
      <c r="I479" s="606">
        <f t="shared" ref="I479:I498" si="101">+G479*F479</f>
        <v>1729970.46</v>
      </c>
      <c r="J479" s="376"/>
    </row>
    <row r="480" spans="1:10" ht="23.4" x14ac:dyDescent="0.3">
      <c r="A480" s="1068"/>
      <c r="B480" s="777"/>
      <c r="C480" s="282" t="s">
        <v>297</v>
      </c>
      <c r="D480" s="437" t="s">
        <v>258</v>
      </c>
      <c r="E480" s="283">
        <v>0</v>
      </c>
      <c r="F480" s="438">
        <f t="shared" si="100"/>
        <v>4480</v>
      </c>
      <c r="G480" s="612">
        <v>445.38</v>
      </c>
      <c r="H480" s="603">
        <f t="shared" ref="H480:H498" si="102">E480*G480</f>
        <v>0</v>
      </c>
      <c r="I480" s="606">
        <f t="shared" si="101"/>
        <v>1995302.4</v>
      </c>
      <c r="J480" s="376"/>
    </row>
    <row r="481" spans="1:10" ht="23.4" x14ac:dyDescent="0.3">
      <c r="A481" s="1068"/>
      <c r="B481" s="777"/>
      <c r="C481" s="282" t="s">
        <v>330</v>
      </c>
      <c r="D481" s="437" t="s">
        <v>258</v>
      </c>
      <c r="E481" s="283">
        <v>0</v>
      </c>
      <c r="F481" s="438">
        <f t="shared" si="100"/>
        <v>0</v>
      </c>
      <c r="G481" s="612">
        <v>63.55</v>
      </c>
      <c r="H481" s="603">
        <f t="shared" si="102"/>
        <v>0</v>
      </c>
      <c r="I481" s="606">
        <f t="shared" si="101"/>
        <v>0</v>
      </c>
      <c r="J481" s="376"/>
    </row>
    <row r="482" spans="1:10" ht="23.4" x14ac:dyDescent="0.3">
      <c r="A482" s="1068"/>
      <c r="B482" s="777"/>
      <c r="C482" s="282" t="s">
        <v>298</v>
      </c>
      <c r="D482" s="437" t="s">
        <v>258</v>
      </c>
      <c r="E482" s="283">
        <v>0</v>
      </c>
      <c r="F482" s="438">
        <f t="shared" si="100"/>
        <v>21156</v>
      </c>
      <c r="G482" s="612">
        <v>71.44</v>
      </c>
      <c r="H482" s="603">
        <f t="shared" si="102"/>
        <v>0</v>
      </c>
      <c r="I482" s="606">
        <f t="shared" si="101"/>
        <v>1511384.64</v>
      </c>
      <c r="J482" s="376"/>
    </row>
    <row r="483" spans="1:10" ht="23.4" x14ac:dyDescent="0.3">
      <c r="A483" s="1068"/>
      <c r="B483" s="777"/>
      <c r="C483" s="282" t="s">
        <v>299</v>
      </c>
      <c r="D483" s="437" t="s">
        <v>258</v>
      </c>
      <c r="E483" s="283">
        <v>0</v>
      </c>
      <c r="F483" s="438">
        <f t="shared" si="100"/>
        <v>0</v>
      </c>
      <c r="G483" s="612">
        <v>36.5</v>
      </c>
      <c r="H483" s="603">
        <f t="shared" si="102"/>
        <v>0</v>
      </c>
      <c r="I483" s="606">
        <f t="shared" si="101"/>
        <v>0</v>
      </c>
      <c r="J483" s="376"/>
    </row>
    <row r="484" spans="1:10" ht="23.4" x14ac:dyDescent="0.3">
      <c r="A484" s="1068"/>
      <c r="B484" s="777"/>
      <c r="C484" s="282" t="s">
        <v>308</v>
      </c>
      <c r="D484" s="437" t="s">
        <v>258</v>
      </c>
      <c r="E484" s="283">
        <v>0</v>
      </c>
      <c r="F484" s="438">
        <f t="shared" si="100"/>
        <v>2240</v>
      </c>
      <c r="G484" s="612">
        <v>320.35000000000002</v>
      </c>
      <c r="H484" s="603">
        <f t="shared" si="102"/>
        <v>0</v>
      </c>
      <c r="I484" s="606">
        <f t="shared" si="101"/>
        <v>717584</v>
      </c>
      <c r="J484" s="376"/>
    </row>
    <row r="485" spans="1:10" ht="23.4" x14ac:dyDescent="0.3">
      <c r="A485" s="1068"/>
      <c r="B485" s="777"/>
      <c r="C485" s="282" t="s">
        <v>322</v>
      </c>
      <c r="D485" s="437" t="s">
        <v>258</v>
      </c>
      <c r="E485" s="283">
        <v>0</v>
      </c>
      <c r="F485" s="438">
        <f t="shared" si="100"/>
        <v>0</v>
      </c>
      <c r="G485" s="612">
        <v>434.41</v>
      </c>
      <c r="H485" s="603">
        <f t="shared" si="102"/>
        <v>0</v>
      </c>
      <c r="I485" s="606">
        <f t="shared" si="101"/>
        <v>0</v>
      </c>
      <c r="J485" s="376"/>
    </row>
    <row r="486" spans="1:10" ht="23.4" x14ac:dyDescent="0.3">
      <c r="A486" s="1068"/>
      <c r="B486" s="777"/>
      <c r="C486" s="282" t="s">
        <v>305</v>
      </c>
      <c r="D486" s="437" t="s">
        <v>258</v>
      </c>
      <c r="E486" s="283">
        <v>0</v>
      </c>
      <c r="F486" s="438">
        <f t="shared" si="100"/>
        <v>0</v>
      </c>
      <c r="G486" s="612">
        <v>29690</v>
      </c>
      <c r="H486" s="603">
        <f t="shared" si="102"/>
        <v>0</v>
      </c>
      <c r="I486" s="606">
        <f t="shared" si="101"/>
        <v>0</v>
      </c>
      <c r="J486" s="376"/>
    </row>
    <row r="487" spans="1:10" ht="23.4" x14ac:dyDescent="0.3">
      <c r="A487" s="1068"/>
      <c r="B487" s="777"/>
      <c r="C487" s="282" t="s">
        <v>305</v>
      </c>
      <c r="D487" s="437" t="s">
        <v>258</v>
      </c>
      <c r="E487" s="283">
        <v>0</v>
      </c>
      <c r="F487" s="438">
        <f t="shared" si="100"/>
        <v>2</v>
      </c>
      <c r="G487" s="612">
        <v>26445</v>
      </c>
      <c r="H487" s="603">
        <f t="shared" si="102"/>
        <v>0</v>
      </c>
      <c r="I487" s="606">
        <f t="shared" si="101"/>
        <v>52890</v>
      </c>
      <c r="J487" s="376"/>
    </row>
    <row r="488" spans="1:10" ht="23.4" x14ac:dyDescent="0.3">
      <c r="A488" s="1068"/>
      <c r="B488" s="777"/>
      <c r="C488" s="282" t="s">
        <v>341</v>
      </c>
      <c r="D488" s="437" t="s">
        <v>375</v>
      </c>
      <c r="E488" s="283">
        <v>0</v>
      </c>
      <c r="F488" s="438">
        <f t="shared" si="100"/>
        <v>0</v>
      </c>
      <c r="G488" s="612">
        <v>50</v>
      </c>
      <c r="H488" s="603">
        <f t="shared" si="102"/>
        <v>0</v>
      </c>
      <c r="I488" s="606">
        <f t="shared" si="101"/>
        <v>0</v>
      </c>
      <c r="J488" s="376"/>
    </row>
    <row r="489" spans="1:10" ht="23.4" x14ac:dyDescent="0.3">
      <c r="A489" s="1068"/>
      <c r="B489" s="777"/>
      <c r="C489" s="282" t="s">
        <v>341</v>
      </c>
      <c r="D489" s="437" t="s">
        <v>375</v>
      </c>
      <c r="E489" s="283">
        <v>0</v>
      </c>
      <c r="F489" s="438">
        <f t="shared" si="100"/>
        <v>0</v>
      </c>
      <c r="G489" s="612">
        <v>45</v>
      </c>
      <c r="H489" s="603">
        <f t="shared" si="102"/>
        <v>0</v>
      </c>
      <c r="I489" s="606">
        <f t="shared" si="101"/>
        <v>0</v>
      </c>
      <c r="J489" s="376"/>
    </row>
    <row r="490" spans="1:10" ht="23.4" x14ac:dyDescent="0.3">
      <c r="A490" s="1068"/>
      <c r="B490" s="777"/>
      <c r="C490" s="282" t="s">
        <v>364</v>
      </c>
      <c r="D490" s="437" t="s">
        <v>428</v>
      </c>
      <c r="E490" s="283">
        <v>0</v>
      </c>
      <c r="F490" s="438">
        <f t="shared" si="100"/>
        <v>700</v>
      </c>
      <c r="G490" s="612">
        <v>57.64</v>
      </c>
      <c r="H490" s="603">
        <f t="shared" si="102"/>
        <v>0</v>
      </c>
      <c r="I490" s="606">
        <f t="shared" si="101"/>
        <v>40348</v>
      </c>
      <c r="J490" s="376"/>
    </row>
    <row r="491" spans="1:10" ht="23.4" x14ac:dyDescent="0.3">
      <c r="A491" s="1068"/>
      <c r="B491" s="777"/>
      <c r="C491" s="282" t="s">
        <v>364</v>
      </c>
      <c r="D491" s="437" t="s">
        <v>407</v>
      </c>
      <c r="E491" s="283">
        <v>0</v>
      </c>
      <c r="F491" s="438">
        <f t="shared" si="100"/>
        <v>0</v>
      </c>
      <c r="G491" s="612">
        <v>57.64</v>
      </c>
      <c r="H491" s="603">
        <f t="shared" si="102"/>
        <v>0</v>
      </c>
      <c r="I491" s="606">
        <f t="shared" si="101"/>
        <v>0</v>
      </c>
      <c r="J491" s="376"/>
    </row>
    <row r="492" spans="1:10" ht="23.4" x14ac:dyDescent="0.3">
      <c r="A492" s="1068"/>
      <c r="B492" s="777"/>
      <c r="C492" s="282" t="s">
        <v>365</v>
      </c>
      <c r="D492" s="437" t="s">
        <v>366</v>
      </c>
      <c r="E492" s="283">
        <v>0</v>
      </c>
      <c r="F492" s="438">
        <f t="shared" si="100"/>
        <v>0</v>
      </c>
      <c r="G492" s="612">
        <v>434.41</v>
      </c>
      <c r="H492" s="603">
        <f t="shared" si="102"/>
        <v>0</v>
      </c>
      <c r="I492" s="606">
        <f t="shared" si="101"/>
        <v>0</v>
      </c>
      <c r="J492" s="376"/>
    </row>
    <row r="493" spans="1:10" ht="23.4" x14ac:dyDescent="0.3">
      <c r="A493" s="1068"/>
      <c r="B493" s="777"/>
      <c r="C493" s="282" t="s">
        <v>381</v>
      </c>
      <c r="D493" s="437" t="s">
        <v>258</v>
      </c>
      <c r="E493" s="283">
        <v>0</v>
      </c>
      <c r="F493" s="438">
        <f t="shared" si="100"/>
        <v>0</v>
      </c>
      <c r="G493" s="612">
        <v>624.26</v>
      </c>
      <c r="H493" s="603">
        <f t="shared" si="102"/>
        <v>0</v>
      </c>
      <c r="I493" s="606">
        <f t="shared" si="101"/>
        <v>0</v>
      </c>
      <c r="J493" s="376"/>
    </row>
    <row r="494" spans="1:10" ht="23.4" x14ac:dyDescent="0.3">
      <c r="A494" s="1068"/>
      <c r="B494" s="777"/>
      <c r="C494" s="282" t="s">
        <v>367</v>
      </c>
      <c r="D494" s="437" t="s">
        <v>366</v>
      </c>
      <c r="E494" s="283">
        <v>0</v>
      </c>
      <c r="F494" s="438">
        <f t="shared" si="100"/>
        <v>0</v>
      </c>
      <c r="G494" s="612">
        <v>63.55</v>
      </c>
      <c r="H494" s="603">
        <f t="shared" si="102"/>
        <v>0</v>
      </c>
      <c r="I494" s="606">
        <f t="shared" si="101"/>
        <v>0</v>
      </c>
      <c r="J494" s="376"/>
    </row>
    <row r="495" spans="1:10" ht="23.4" x14ac:dyDescent="0.3">
      <c r="A495" s="1068"/>
      <c r="B495" s="777"/>
      <c r="C495" s="282" t="s">
        <v>429</v>
      </c>
      <c r="D495" s="437" t="s">
        <v>258</v>
      </c>
      <c r="E495" s="283">
        <v>0</v>
      </c>
      <c r="F495" s="438">
        <f t="shared" si="100"/>
        <v>34560</v>
      </c>
      <c r="G495" s="612">
        <v>59.96</v>
      </c>
      <c r="H495" s="603">
        <f t="shared" si="102"/>
        <v>0</v>
      </c>
      <c r="I495" s="606">
        <f t="shared" si="101"/>
        <v>2072217.6000000001</v>
      </c>
      <c r="J495" s="376"/>
    </row>
    <row r="496" spans="1:10" ht="23.4" x14ac:dyDescent="0.3">
      <c r="A496" s="1068"/>
      <c r="B496" s="777"/>
      <c r="C496" s="282" t="s">
        <v>446</v>
      </c>
      <c r="D496" s="437"/>
      <c r="E496" s="283">
        <v>0</v>
      </c>
      <c r="F496" s="438">
        <f t="shared" si="100"/>
        <v>8318</v>
      </c>
      <c r="G496" s="612">
        <v>360</v>
      </c>
      <c r="H496" s="603">
        <f t="shared" si="102"/>
        <v>0</v>
      </c>
      <c r="I496" s="606">
        <f t="shared" si="101"/>
        <v>2994480</v>
      </c>
      <c r="J496" s="376"/>
    </row>
    <row r="497" spans="1:10" ht="23.4" x14ac:dyDescent="0.3">
      <c r="A497" s="1068"/>
      <c r="B497" s="777"/>
      <c r="C497" s="282" t="s">
        <v>305</v>
      </c>
      <c r="D497" s="437"/>
      <c r="E497" s="283">
        <v>0</v>
      </c>
      <c r="F497" s="438">
        <f t="shared" si="100"/>
        <v>0</v>
      </c>
      <c r="G497" s="612">
        <v>39450</v>
      </c>
      <c r="H497" s="603">
        <f t="shared" si="102"/>
        <v>0</v>
      </c>
      <c r="I497" s="606">
        <f t="shared" si="101"/>
        <v>0</v>
      </c>
      <c r="J497" s="376"/>
    </row>
    <row r="498" spans="1:10" ht="24" thickBot="1" x14ac:dyDescent="0.35">
      <c r="A498" s="1068"/>
      <c r="B498" s="777"/>
      <c r="C498" s="282" t="s">
        <v>364</v>
      </c>
      <c r="D498" s="437" t="s">
        <v>258</v>
      </c>
      <c r="E498" s="283">
        <v>0</v>
      </c>
      <c r="F498" s="438">
        <f t="shared" si="100"/>
        <v>0</v>
      </c>
      <c r="G498" s="612">
        <v>57.64</v>
      </c>
      <c r="H498" s="603">
        <f t="shared" si="102"/>
        <v>0</v>
      </c>
      <c r="I498" s="606">
        <f t="shared" si="101"/>
        <v>0</v>
      </c>
      <c r="J498" s="376"/>
    </row>
    <row r="499" spans="1:10" ht="24" thickBot="1" x14ac:dyDescent="0.35">
      <c r="A499" s="1069"/>
      <c r="B499" s="1063" t="s">
        <v>291</v>
      </c>
      <c r="C499" s="1064"/>
      <c r="D499" s="779"/>
      <c r="E499" s="329">
        <f>SUM(E479:E498)</f>
        <v>0</v>
      </c>
      <c r="F499" s="329">
        <f>SUM(F479:F498)</f>
        <v>75479</v>
      </c>
      <c r="G499" s="329"/>
      <c r="H499" s="600">
        <f>SUM(H479:H498)</f>
        <v>0</v>
      </c>
      <c r="I499" s="589">
        <f>SUM(I479:I498)</f>
        <v>11114177.1</v>
      </c>
      <c r="J499" s="375"/>
    </row>
    <row r="500" spans="1:10" ht="24" thickBot="1" x14ac:dyDescent="0.35">
      <c r="A500" s="783"/>
      <c r="B500" s="440"/>
      <c r="C500" s="282" t="s">
        <v>446</v>
      </c>
      <c r="D500" s="437"/>
      <c r="E500" s="283"/>
      <c r="F500" s="284">
        <f t="shared" ref="F500" si="103">+F418+E500</f>
        <v>0</v>
      </c>
      <c r="G500" s="337"/>
      <c r="H500" s="599">
        <f t="shared" ref="H500" si="104">E500*G500</f>
        <v>0</v>
      </c>
      <c r="I500" s="285">
        <f t="shared" ref="I500" si="105">+G500*F500</f>
        <v>0</v>
      </c>
      <c r="J500" s="376"/>
    </row>
    <row r="501" spans="1:10" ht="24" thickBot="1" x14ac:dyDescent="0.35">
      <c r="A501" s="783"/>
      <c r="B501" s="1063" t="s">
        <v>238</v>
      </c>
      <c r="C501" s="1064"/>
      <c r="D501" s="775"/>
      <c r="E501" s="329"/>
      <c r="F501" s="330"/>
      <c r="G501" s="329"/>
      <c r="H501" s="597"/>
      <c r="I501" s="327">
        <f>SUM(I500)</f>
        <v>0</v>
      </c>
      <c r="J501" s="352"/>
    </row>
    <row r="502" spans="1:10" ht="24.6" thickBot="1" x14ac:dyDescent="0.35">
      <c r="A502" s="322"/>
      <c r="B502" s="1065" t="s">
        <v>182</v>
      </c>
      <c r="C502" s="1066"/>
      <c r="D502" s="776"/>
      <c r="E502" s="377">
        <f>+E499+E478+E457+E455</f>
        <v>234118</v>
      </c>
      <c r="F502" s="377">
        <f>+F499+F478+F457+F455</f>
        <v>1147472</v>
      </c>
      <c r="G502" s="377"/>
      <c r="H502" s="377"/>
      <c r="I502" s="377">
        <f>+I499+I478+I457+I501</f>
        <v>40602228.959999993</v>
      </c>
      <c r="J502" s="378"/>
    </row>
    <row r="503" spans="1:10" ht="23.4" x14ac:dyDescent="0.3">
      <c r="A503" s="991" t="s">
        <v>1</v>
      </c>
      <c r="B503" s="994" t="s">
        <v>2</v>
      </c>
      <c r="C503" s="1072" t="s">
        <v>3</v>
      </c>
      <c r="D503" s="1043" t="s">
        <v>93</v>
      </c>
      <c r="E503" s="1076">
        <v>44539</v>
      </c>
      <c r="F503" s="1001"/>
      <c r="G503" s="1001"/>
      <c r="H503" s="1001"/>
      <c r="I503" s="1001"/>
      <c r="J503" s="1002"/>
    </row>
    <row r="504" spans="1:10" ht="23.4" x14ac:dyDescent="0.3">
      <c r="A504" s="1070"/>
      <c r="B504" s="1071"/>
      <c r="C504" s="1073"/>
      <c r="D504" s="1044"/>
      <c r="E504" s="1077" t="s">
        <v>94</v>
      </c>
      <c r="F504" s="1078"/>
      <c r="G504" s="1077" t="s">
        <v>247</v>
      </c>
      <c r="H504" s="1079"/>
      <c r="I504" s="1079"/>
      <c r="J504" s="1078"/>
    </row>
    <row r="505" spans="1:10" x14ac:dyDescent="0.3">
      <c r="A505" s="992"/>
      <c r="B505" s="995"/>
      <c r="C505" s="1074"/>
      <c r="D505" s="1044"/>
      <c r="E505" s="1003" t="s">
        <v>95</v>
      </c>
      <c r="F505" s="1005" t="s">
        <v>96</v>
      </c>
      <c r="G505" s="1081" t="s">
        <v>97</v>
      </c>
      <c r="H505" s="1083" t="s">
        <v>98</v>
      </c>
      <c r="I505" s="1083" t="s">
        <v>98</v>
      </c>
      <c r="J505" s="1085" t="s">
        <v>12</v>
      </c>
    </row>
    <row r="506" spans="1:10" ht="14.4" thickBot="1" x14ac:dyDescent="0.35">
      <c r="A506" s="993"/>
      <c r="B506" s="996"/>
      <c r="C506" s="1075"/>
      <c r="D506" s="1045"/>
      <c r="E506" s="1004"/>
      <c r="F506" s="1080"/>
      <c r="G506" s="1082"/>
      <c r="H506" s="1084"/>
      <c r="I506" s="1084"/>
      <c r="J506" s="1086"/>
    </row>
    <row r="507" spans="1:10" ht="23.4" x14ac:dyDescent="0.3">
      <c r="A507" s="1067" t="s">
        <v>110</v>
      </c>
      <c r="B507" s="442"/>
      <c r="C507" s="584" t="s">
        <v>292</v>
      </c>
      <c r="D507" s="686" t="s">
        <v>284</v>
      </c>
      <c r="E507" s="744"/>
      <c r="F507" s="695">
        <f>+F425+E507</f>
        <v>0</v>
      </c>
      <c r="G507" s="741">
        <v>111.09</v>
      </c>
      <c r="H507" s="601">
        <f t="shared" ref="H507:H520" si="106">E507*G507</f>
        <v>0</v>
      </c>
      <c r="I507" s="604">
        <f>+G507*F507</f>
        <v>0</v>
      </c>
      <c r="J507" s="354"/>
    </row>
    <row r="508" spans="1:10" ht="23.4" x14ac:dyDescent="0.3">
      <c r="A508" s="1068"/>
      <c r="B508" s="441"/>
      <c r="C508" s="444" t="s">
        <v>285</v>
      </c>
      <c r="D508" s="687" t="s">
        <v>286</v>
      </c>
      <c r="E508" s="745"/>
      <c r="F508" s="746">
        <f t="shared" ref="F508:F520" si="107">+F426+E508</f>
        <v>0</v>
      </c>
      <c r="G508" s="742">
        <v>11</v>
      </c>
      <c r="H508" s="602">
        <f t="shared" si="106"/>
        <v>0</v>
      </c>
      <c r="I508" s="605">
        <f>+G508*F508</f>
        <v>0</v>
      </c>
      <c r="J508" s="355"/>
    </row>
    <row r="509" spans="1:10" ht="23.4" x14ac:dyDescent="0.3">
      <c r="A509" s="1068"/>
      <c r="B509" s="441"/>
      <c r="C509" s="444" t="s">
        <v>321</v>
      </c>
      <c r="D509" s="687" t="s">
        <v>400</v>
      </c>
      <c r="E509" s="745"/>
      <c r="F509" s="746">
        <f t="shared" si="107"/>
        <v>0</v>
      </c>
      <c r="G509" s="742">
        <v>139.04</v>
      </c>
      <c r="H509" s="602">
        <f t="shared" si="106"/>
        <v>0</v>
      </c>
      <c r="I509" s="605">
        <f t="shared" ref="I509:I520" si="108">+G509*F509</f>
        <v>0</v>
      </c>
      <c r="J509" s="355"/>
    </row>
    <row r="510" spans="1:10" ht="23.4" x14ac:dyDescent="0.3">
      <c r="A510" s="1068"/>
      <c r="B510" s="441"/>
      <c r="C510" s="444" t="s">
        <v>397</v>
      </c>
      <c r="D510" s="687" t="s">
        <v>398</v>
      </c>
      <c r="E510" s="745">
        <v>183600</v>
      </c>
      <c r="F510" s="746">
        <f t="shared" si="107"/>
        <v>856800</v>
      </c>
      <c r="G510" s="795">
        <v>20.5</v>
      </c>
      <c r="H510" s="602">
        <f t="shared" si="106"/>
        <v>3763800</v>
      </c>
      <c r="I510" s="605">
        <f t="shared" si="108"/>
        <v>17564400</v>
      </c>
      <c r="J510" s="355"/>
    </row>
    <row r="511" spans="1:10" ht="23.4" x14ac:dyDescent="0.3">
      <c r="A511" s="1068"/>
      <c r="B511" s="441"/>
      <c r="C511" s="444" t="s">
        <v>312</v>
      </c>
      <c r="D511" s="687" t="s">
        <v>190</v>
      </c>
      <c r="E511" s="745"/>
      <c r="F511" s="746">
        <f t="shared" si="107"/>
        <v>0</v>
      </c>
      <c r="G511" s="742">
        <v>14.79</v>
      </c>
      <c r="H511" s="602">
        <f t="shared" si="106"/>
        <v>0</v>
      </c>
      <c r="I511" s="605">
        <f t="shared" si="108"/>
        <v>0</v>
      </c>
      <c r="J511" s="355"/>
    </row>
    <row r="512" spans="1:10" ht="23.4" x14ac:dyDescent="0.3">
      <c r="A512" s="1068"/>
      <c r="B512" s="441"/>
      <c r="C512" s="444" t="s">
        <v>321</v>
      </c>
      <c r="D512" s="687" t="s">
        <v>286</v>
      </c>
      <c r="E512" s="745">
        <v>1920</v>
      </c>
      <c r="F512" s="746">
        <f t="shared" si="107"/>
        <v>3200</v>
      </c>
      <c r="G512" s="742">
        <v>139.04</v>
      </c>
      <c r="H512" s="602">
        <f t="shared" si="106"/>
        <v>266956.79999999999</v>
      </c>
      <c r="I512" s="605">
        <f t="shared" si="108"/>
        <v>444928</v>
      </c>
      <c r="J512" s="355"/>
    </row>
    <row r="513" spans="1:10" ht="23.4" x14ac:dyDescent="0.3">
      <c r="A513" s="1068"/>
      <c r="B513" s="441"/>
      <c r="C513" s="444" t="s">
        <v>362</v>
      </c>
      <c r="D513" s="688" t="s">
        <v>396</v>
      </c>
      <c r="E513" s="745"/>
      <c r="F513" s="746">
        <f t="shared" si="107"/>
        <v>0</v>
      </c>
      <c r="G513" s="742">
        <v>20.5</v>
      </c>
      <c r="H513" s="602">
        <f t="shared" si="106"/>
        <v>0</v>
      </c>
      <c r="I513" s="605">
        <f t="shared" si="108"/>
        <v>0</v>
      </c>
      <c r="J513" s="355"/>
    </row>
    <row r="514" spans="1:10" ht="23.4" x14ac:dyDescent="0.3">
      <c r="A514" s="1068"/>
      <c r="B514" s="441"/>
      <c r="C514" s="444" t="s">
        <v>345</v>
      </c>
      <c r="D514" s="688" t="s">
        <v>286</v>
      </c>
      <c r="E514" s="745"/>
      <c r="F514" s="746">
        <f t="shared" si="107"/>
        <v>0</v>
      </c>
      <c r="G514" s="742">
        <v>18.84</v>
      </c>
      <c r="H514" s="602">
        <f t="shared" si="106"/>
        <v>0</v>
      </c>
      <c r="I514" s="605">
        <f t="shared" si="108"/>
        <v>0</v>
      </c>
      <c r="J514" s="355"/>
    </row>
    <row r="515" spans="1:10" ht="23.4" x14ac:dyDescent="0.3">
      <c r="A515" s="1068"/>
      <c r="B515" s="441"/>
      <c r="C515" s="444" t="s">
        <v>357</v>
      </c>
      <c r="D515" s="688" t="s">
        <v>252</v>
      </c>
      <c r="E515" s="745"/>
      <c r="F515" s="746">
        <f t="shared" si="107"/>
        <v>0</v>
      </c>
      <c r="G515" s="742">
        <v>21.18</v>
      </c>
      <c r="H515" s="602">
        <f t="shared" si="106"/>
        <v>0</v>
      </c>
      <c r="I515" s="605">
        <f t="shared" si="108"/>
        <v>0</v>
      </c>
      <c r="J515" s="355"/>
    </row>
    <row r="516" spans="1:10" ht="23.4" x14ac:dyDescent="0.3">
      <c r="A516" s="1068"/>
      <c r="B516" s="441"/>
      <c r="C516" s="444" t="s">
        <v>359</v>
      </c>
      <c r="D516" s="688" t="s">
        <v>360</v>
      </c>
      <c r="E516" s="745"/>
      <c r="F516" s="746">
        <f t="shared" si="107"/>
        <v>0</v>
      </c>
      <c r="G516" s="742">
        <v>21.28</v>
      </c>
      <c r="H516" s="602">
        <f t="shared" si="106"/>
        <v>0</v>
      </c>
      <c r="I516" s="605">
        <f t="shared" si="108"/>
        <v>0</v>
      </c>
      <c r="J516" s="355"/>
    </row>
    <row r="517" spans="1:10" ht="23.4" x14ac:dyDescent="0.3">
      <c r="A517" s="1068"/>
      <c r="B517" s="441"/>
      <c r="C517" s="444" t="s">
        <v>445</v>
      </c>
      <c r="D517" s="688" t="s">
        <v>436</v>
      </c>
      <c r="E517" s="745"/>
      <c r="F517" s="746">
        <f t="shared" si="107"/>
        <v>19840</v>
      </c>
      <c r="G517" s="742">
        <v>143.28</v>
      </c>
      <c r="H517" s="602">
        <f t="shared" si="106"/>
        <v>0</v>
      </c>
      <c r="I517" s="605">
        <f t="shared" si="108"/>
        <v>2842675.2000000002</v>
      </c>
      <c r="J517" s="355"/>
    </row>
    <row r="518" spans="1:10" ht="23.4" x14ac:dyDescent="0.3">
      <c r="A518" s="1068"/>
      <c r="B518" s="441"/>
      <c r="C518" s="444" t="s">
        <v>403</v>
      </c>
      <c r="D518" s="687" t="s">
        <v>190</v>
      </c>
      <c r="E518" s="745"/>
      <c r="F518" s="746">
        <f t="shared" si="107"/>
        <v>0</v>
      </c>
      <c r="G518" s="742">
        <v>14.55</v>
      </c>
      <c r="H518" s="602">
        <f t="shared" si="106"/>
        <v>0</v>
      </c>
      <c r="I518" s="605">
        <f t="shared" si="108"/>
        <v>0</v>
      </c>
      <c r="J518" s="355"/>
    </row>
    <row r="519" spans="1:10" ht="23.4" x14ac:dyDescent="0.3">
      <c r="A519" s="1068"/>
      <c r="B519" s="441"/>
      <c r="C519" s="444" t="s">
        <v>362</v>
      </c>
      <c r="D519" s="688" t="s">
        <v>202</v>
      </c>
      <c r="E519" s="745"/>
      <c r="F519" s="746">
        <f t="shared" si="107"/>
        <v>0</v>
      </c>
      <c r="G519" s="742">
        <v>21.28</v>
      </c>
      <c r="H519" s="602">
        <f t="shared" si="106"/>
        <v>0</v>
      </c>
      <c r="I519" s="605">
        <f t="shared" si="108"/>
        <v>0</v>
      </c>
      <c r="J519" s="355"/>
    </row>
    <row r="520" spans="1:10" ht="24" thickBot="1" x14ac:dyDescent="0.35">
      <c r="A520" s="1068"/>
      <c r="B520" s="441"/>
      <c r="C520" s="444" t="s">
        <v>374</v>
      </c>
      <c r="D520" s="689" t="s">
        <v>191</v>
      </c>
      <c r="E520" s="745"/>
      <c r="F520" s="697">
        <f t="shared" si="107"/>
        <v>0</v>
      </c>
      <c r="G520" s="742">
        <v>36.44</v>
      </c>
      <c r="H520" s="602">
        <f t="shared" si="106"/>
        <v>0</v>
      </c>
      <c r="I520" s="605">
        <f t="shared" si="108"/>
        <v>0</v>
      </c>
      <c r="J520" s="355"/>
    </row>
    <row r="521" spans="1:10" ht="24" thickBot="1" x14ac:dyDescent="0.35">
      <c r="A521" s="1068"/>
      <c r="B521" s="1063" t="s">
        <v>287</v>
      </c>
      <c r="C521" s="1064"/>
      <c r="D521" s="789"/>
      <c r="E521" s="329">
        <f>SUM(E507:E520)</f>
        <v>185520</v>
      </c>
      <c r="F521" s="743">
        <f>SUM(F507:F520)</f>
        <v>879840</v>
      </c>
      <c r="G521" s="329"/>
      <c r="H521" s="597">
        <f>SUM(H507:H520)</f>
        <v>4030756.8</v>
      </c>
      <c r="I521" s="589">
        <f>SUM(I507:I520)</f>
        <v>20852003.199999999</v>
      </c>
      <c r="J521" s="352"/>
    </row>
    <row r="522" spans="1:10" ht="23.4" x14ac:dyDescent="0.3">
      <c r="A522" s="1068"/>
      <c r="B522" s="787"/>
      <c r="C522" s="282" t="s">
        <v>293</v>
      </c>
      <c r="D522" s="437" t="s">
        <v>258</v>
      </c>
      <c r="E522" s="283">
        <v>1750</v>
      </c>
      <c r="F522" s="438">
        <f t="shared" ref="F522:F532" si="109">+F440+E522</f>
        <v>3500</v>
      </c>
      <c r="G522" s="587">
        <v>160.44999999999999</v>
      </c>
      <c r="H522" s="603">
        <f t="shared" ref="H522:H532" si="110">E522*G522</f>
        <v>280787.5</v>
      </c>
      <c r="I522" s="606">
        <f t="shared" ref="I522:I532" si="111">+G522*F522</f>
        <v>561575</v>
      </c>
      <c r="J522" s="376"/>
    </row>
    <row r="523" spans="1:10" ht="23.4" x14ac:dyDescent="0.3">
      <c r="A523" s="1068"/>
      <c r="B523" s="787"/>
      <c r="C523" s="282" t="s">
        <v>309</v>
      </c>
      <c r="D523" s="437" t="s">
        <v>258</v>
      </c>
      <c r="E523" s="283"/>
      <c r="F523" s="438">
        <f t="shared" si="109"/>
        <v>0</v>
      </c>
      <c r="G523" s="587">
        <v>160.44999999999999</v>
      </c>
      <c r="H523" s="603">
        <f t="shared" si="110"/>
        <v>0</v>
      </c>
      <c r="I523" s="606">
        <f t="shared" si="111"/>
        <v>0</v>
      </c>
      <c r="J523" s="376"/>
    </row>
    <row r="524" spans="1:10" ht="23.4" x14ac:dyDescent="0.3">
      <c r="A524" s="1068"/>
      <c r="B524" s="787"/>
      <c r="C524" s="282" t="s">
        <v>463</v>
      </c>
      <c r="D524" s="437" t="s">
        <v>258</v>
      </c>
      <c r="E524" s="283">
        <v>5250</v>
      </c>
      <c r="F524" s="438">
        <f t="shared" si="109"/>
        <v>5250</v>
      </c>
      <c r="G524" s="587">
        <v>160.44999999999999</v>
      </c>
      <c r="H524" s="603">
        <f t="shared" si="110"/>
        <v>842362.49999999988</v>
      </c>
      <c r="I524" s="606">
        <f t="shared" si="111"/>
        <v>842362.49999999988</v>
      </c>
      <c r="J524" s="376"/>
    </row>
    <row r="525" spans="1:10" ht="23.4" x14ac:dyDescent="0.3">
      <c r="A525" s="1068"/>
      <c r="B525" s="787"/>
      <c r="C525" s="282" t="s">
        <v>311</v>
      </c>
      <c r="D525" s="437" t="s">
        <v>100</v>
      </c>
      <c r="E525" s="283"/>
      <c r="F525" s="438">
        <f t="shared" si="109"/>
        <v>0</v>
      </c>
      <c r="G525" s="587">
        <v>27</v>
      </c>
      <c r="H525" s="603">
        <f t="shared" si="110"/>
        <v>0</v>
      </c>
      <c r="I525" s="606">
        <f t="shared" si="111"/>
        <v>0</v>
      </c>
      <c r="J525" s="376"/>
    </row>
    <row r="526" spans="1:10" ht="23.4" x14ac:dyDescent="0.3">
      <c r="A526" s="1068"/>
      <c r="B526" s="787"/>
      <c r="C526" s="282" t="s">
        <v>311</v>
      </c>
      <c r="D526" s="437" t="s">
        <v>318</v>
      </c>
      <c r="E526" s="283"/>
      <c r="F526" s="438">
        <f t="shared" si="109"/>
        <v>324720</v>
      </c>
      <c r="G526" s="587">
        <v>27.5</v>
      </c>
      <c r="H526" s="603">
        <f t="shared" si="110"/>
        <v>0</v>
      </c>
      <c r="I526" s="606">
        <f t="shared" si="111"/>
        <v>8929800</v>
      </c>
      <c r="J526" s="376"/>
    </row>
    <row r="527" spans="1:10" ht="23.4" x14ac:dyDescent="0.3">
      <c r="A527" s="1068"/>
      <c r="B527" s="787"/>
      <c r="C527" s="282" t="s">
        <v>299</v>
      </c>
      <c r="D527" s="437" t="s">
        <v>318</v>
      </c>
      <c r="E527" s="283"/>
      <c r="F527" s="438">
        <f t="shared" si="109"/>
        <v>10832</v>
      </c>
      <c r="G527" s="587">
        <v>34.5</v>
      </c>
      <c r="H527" s="603">
        <f t="shared" si="110"/>
        <v>0</v>
      </c>
      <c r="I527" s="606">
        <f t="shared" si="111"/>
        <v>373704</v>
      </c>
      <c r="J527" s="376"/>
    </row>
    <row r="528" spans="1:10" ht="23.4" x14ac:dyDescent="0.3">
      <c r="A528" s="1068"/>
      <c r="B528" s="787"/>
      <c r="C528" s="282" t="s">
        <v>331</v>
      </c>
      <c r="D528" s="437" t="s">
        <v>258</v>
      </c>
      <c r="E528" s="283"/>
      <c r="F528" s="438">
        <f t="shared" si="109"/>
        <v>0</v>
      </c>
      <c r="G528" s="587">
        <v>160.44999999999999</v>
      </c>
      <c r="H528" s="603">
        <f t="shared" si="110"/>
        <v>0</v>
      </c>
      <c r="I528" s="606">
        <f t="shared" si="111"/>
        <v>0</v>
      </c>
      <c r="J528" s="376"/>
    </row>
    <row r="529" spans="1:11" ht="23.4" x14ac:dyDescent="0.3">
      <c r="A529" s="1068"/>
      <c r="B529" s="787"/>
      <c r="C529" s="282" t="s">
        <v>388</v>
      </c>
      <c r="D529" s="437" t="s">
        <v>258</v>
      </c>
      <c r="E529" s="283">
        <v>5250</v>
      </c>
      <c r="F529" s="438">
        <f t="shared" si="109"/>
        <v>15250</v>
      </c>
      <c r="G529" s="587">
        <v>160.44999999999999</v>
      </c>
      <c r="H529" s="603">
        <f t="shared" si="110"/>
        <v>842362.49999999988</v>
      </c>
      <c r="I529" s="606">
        <f t="shared" si="111"/>
        <v>2446862.5</v>
      </c>
      <c r="J529" s="376"/>
    </row>
    <row r="530" spans="1:11" ht="23.4" x14ac:dyDescent="0.3">
      <c r="A530" s="1068"/>
      <c r="B530" s="787"/>
      <c r="C530" s="282" t="s">
        <v>461</v>
      </c>
      <c r="D530" s="437" t="s">
        <v>258</v>
      </c>
      <c r="E530" s="283"/>
      <c r="F530" s="438">
        <f t="shared" si="109"/>
        <v>6000</v>
      </c>
      <c r="G530" s="587">
        <v>160.44999999999999</v>
      </c>
      <c r="H530" s="603">
        <f t="shared" si="110"/>
        <v>0</v>
      </c>
      <c r="I530" s="606">
        <f t="shared" si="111"/>
        <v>962699.99999999988</v>
      </c>
      <c r="J530" s="376"/>
    </row>
    <row r="531" spans="1:11" ht="23.4" x14ac:dyDescent="0.3">
      <c r="A531" s="1068"/>
      <c r="B531" s="787"/>
      <c r="C531" s="282" t="s">
        <v>343</v>
      </c>
      <c r="D531" s="437" t="s">
        <v>258</v>
      </c>
      <c r="E531" s="283"/>
      <c r="F531" s="438">
        <f t="shared" si="109"/>
        <v>0</v>
      </c>
      <c r="G531" s="587">
        <v>160.44999999999999</v>
      </c>
      <c r="H531" s="603">
        <f t="shared" si="110"/>
        <v>0</v>
      </c>
      <c r="I531" s="606">
        <f t="shared" si="111"/>
        <v>0</v>
      </c>
      <c r="J531" s="376"/>
    </row>
    <row r="532" spans="1:11" ht="24" thickBot="1" x14ac:dyDescent="0.35">
      <c r="A532" s="1068"/>
      <c r="B532" s="787"/>
      <c r="C532" s="282" t="s">
        <v>340</v>
      </c>
      <c r="D532" s="437" t="s">
        <v>258</v>
      </c>
      <c r="E532" s="283"/>
      <c r="F532" s="438">
        <f t="shared" si="109"/>
        <v>0</v>
      </c>
      <c r="G532" s="587">
        <v>160.44999999999999</v>
      </c>
      <c r="H532" s="603">
        <f t="shared" si="110"/>
        <v>0</v>
      </c>
      <c r="I532" s="606">
        <f t="shared" si="111"/>
        <v>0</v>
      </c>
      <c r="J532" s="376"/>
    </row>
    <row r="533" spans="1:11" ht="24" thickBot="1" x14ac:dyDescent="0.35">
      <c r="A533" s="1068"/>
      <c r="B533" s="1063" t="s">
        <v>288</v>
      </c>
      <c r="C533" s="1064"/>
      <c r="D533" s="789"/>
      <c r="E533" s="329">
        <f>SUM(E522:E532)</f>
        <v>12250</v>
      </c>
      <c r="F533" s="329">
        <f>SUM(F522:F532)</f>
        <v>365552</v>
      </c>
      <c r="G533" s="329"/>
      <c r="H533" s="597">
        <f>SUM(H522:H532)</f>
        <v>1965512.5</v>
      </c>
      <c r="I533" s="589">
        <f>SUM(I522:I532)</f>
        <v>14117004</v>
      </c>
      <c r="J533" s="352"/>
    </row>
    <row r="534" spans="1:11" ht="23.4" x14ac:dyDescent="0.3">
      <c r="A534" s="1068"/>
      <c r="B534" s="787"/>
      <c r="C534" s="282" t="s">
        <v>434</v>
      </c>
      <c r="D534" s="437" t="s">
        <v>435</v>
      </c>
      <c r="E534" s="283"/>
      <c r="F534" s="438">
        <v>250</v>
      </c>
      <c r="G534" s="587">
        <v>5.34</v>
      </c>
      <c r="H534" s="603">
        <f t="shared" ref="H534:H537" si="112">E534*G534</f>
        <v>0</v>
      </c>
      <c r="I534" s="606">
        <f t="shared" ref="I534" si="113">+G534*F534</f>
        <v>1335</v>
      </c>
      <c r="J534" s="376"/>
    </row>
    <row r="535" spans="1:11" ht="23.4" x14ac:dyDescent="0.3">
      <c r="A535" s="1068"/>
      <c r="B535" s="796"/>
      <c r="C535" s="282" t="s">
        <v>464</v>
      </c>
      <c r="D535" s="437" t="s">
        <v>286</v>
      </c>
      <c r="E535" s="283">
        <v>50</v>
      </c>
      <c r="F535" s="438">
        <f>+E535</f>
        <v>50</v>
      </c>
      <c r="G535" s="587">
        <v>31.73</v>
      </c>
      <c r="H535" s="603">
        <f t="shared" ref="H535" si="114">E535*G535</f>
        <v>1586.5</v>
      </c>
      <c r="I535" s="606">
        <f>+G535*F535</f>
        <v>1586.5</v>
      </c>
      <c r="J535" s="376"/>
    </row>
    <row r="536" spans="1:11" ht="23.4" x14ac:dyDescent="0.3">
      <c r="A536" s="1068"/>
      <c r="B536" s="787"/>
      <c r="C536" s="282" t="s">
        <v>300</v>
      </c>
      <c r="D536" s="437" t="s">
        <v>301</v>
      </c>
      <c r="E536" s="283"/>
      <c r="F536" s="438">
        <f>+F453+E536</f>
        <v>1</v>
      </c>
      <c r="G536" s="587">
        <v>2500</v>
      </c>
      <c r="H536" s="603">
        <f t="shared" si="112"/>
        <v>0</v>
      </c>
      <c r="I536" s="606">
        <f>+G536*F536</f>
        <v>2500</v>
      </c>
      <c r="J536" s="376"/>
    </row>
    <row r="537" spans="1:11" ht="24" thickBot="1" x14ac:dyDescent="0.35">
      <c r="A537" s="1068"/>
      <c r="B537" s="787"/>
      <c r="C537" s="282" t="s">
        <v>332</v>
      </c>
      <c r="D537" s="437" t="s">
        <v>333</v>
      </c>
      <c r="E537" s="283"/>
      <c r="F537" s="438">
        <f>+F454+E537</f>
        <v>0</v>
      </c>
      <c r="G537" s="588">
        <v>360</v>
      </c>
      <c r="H537" s="603">
        <f t="shared" si="112"/>
        <v>0</v>
      </c>
      <c r="I537" s="606">
        <f t="shared" ref="I537" si="115">+G537*F537</f>
        <v>0</v>
      </c>
      <c r="J537" s="376"/>
    </row>
    <row r="538" spans="1:11" ht="24" thickBot="1" x14ac:dyDescent="0.35">
      <c r="A538" s="1068"/>
      <c r="B538" s="1063" t="s">
        <v>294</v>
      </c>
      <c r="C538" s="1064"/>
      <c r="D538" s="789"/>
      <c r="E538" s="329">
        <f>SUM(E534:E537)</f>
        <v>50</v>
      </c>
      <c r="F538" s="329">
        <f>SUM(F534:F537)</f>
        <v>301</v>
      </c>
      <c r="G538" s="329"/>
      <c r="H538" s="597">
        <f>SUM(H534:H537)</f>
        <v>1586.5</v>
      </c>
      <c r="I538" s="589">
        <f>SUM(I534:I537)</f>
        <v>5421.5</v>
      </c>
      <c r="J538" s="376"/>
    </row>
    <row r="539" spans="1:11" ht="24" thickBot="1" x14ac:dyDescent="0.35">
      <c r="A539" s="1068"/>
      <c r="B539" s="787"/>
      <c r="C539" s="282"/>
      <c r="D539" s="437"/>
      <c r="E539" s="283"/>
      <c r="F539" s="320"/>
      <c r="G539" s="588"/>
      <c r="H539" s="598"/>
      <c r="I539" s="285">
        <f t="shared" ref="I539" si="116">+G539*F539</f>
        <v>0</v>
      </c>
      <c r="J539" s="376"/>
    </row>
    <row r="540" spans="1:11" ht="24" thickBot="1" x14ac:dyDescent="0.35">
      <c r="A540" s="1069"/>
      <c r="B540" s="1063" t="s">
        <v>290</v>
      </c>
      <c r="C540" s="1064"/>
      <c r="D540" s="785"/>
      <c r="E540" s="329">
        <f>+E538+E533+E521</f>
        <v>197820</v>
      </c>
      <c r="F540" s="329">
        <f>+F538+F533+F521</f>
        <v>1245693</v>
      </c>
      <c r="G540" s="329"/>
      <c r="H540" s="589">
        <f>+H533+H521+H538</f>
        <v>5997855.7999999998</v>
      </c>
      <c r="I540" s="589">
        <f>+I533+I521+I538</f>
        <v>34974428.700000003</v>
      </c>
      <c r="J540" s="376"/>
      <c r="K540" s="757"/>
    </row>
    <row r="541" spans="1:11" ht="23.4" x14ac:dyDescent="0.3">
      <c r="A541" s="1067" t="s">
        <v>108</v>
      </c>
      <c r="B541" s="787"/>
      <c r="C541" s="282" t="s">
        <v>304</v>
      </c>
      <c r="D541" s="437" t="s">
        <v>191</v>
      </c>
      <c r="E541" s="283"/>
      <c r="F541" s="438">
        <f t="shared" ref="F541:F560" si="117">+F458+E541</f>
        <v>0</v>
      </c>
      <c r="G541" s="612">
        <v>13.25</v>
      </c>
      <c r="H541" s="607">
        <f t="shared" ref="H541:H560" si="118">E541*G541</f>
        <v>0</v>
      </c>
      <c r="I541" s="606">
        <f t="shared" ref="I541:I560" si="119">+G541*F541</f>
        <v>0</v>
      </c>
      <c r="J541" s="376"/>
    </row>
    <row r="542" spans="1:11" ht="23.4" x14ac:dyDescent="0.3">
      <c r="A542" s="1068"/>
      <c r="B542" s="787"/>
      <c r="C542" s="282" t="s">
        <v>305</v>
      </c>
      <c r="D542" s="437"/>
      <c r="E542" s="283"/>
      <c r="F542" s="438">
        <f t="shared" si="117"/>
        <v>1</v>
      </c>
      <c r="G542" s="613">
        <v>5000</v>
      </c>
      <c r="H542" s="607">
        <f t="shared" si="118"/>
        <v>0</v>
      </c>
      <c r="I542" s="606">
        <f t="shared" si="119"/>
        <v>5000</v>
      </c>
      <c r="J542" s="376"/>
    </row>
    <row r="543" spans="1:11" ht="23.4" x14ac:dyDescent="0.3">
      <c r="A543" s="1068"/>
      <c r="B543" s="787"/>
      <c r="C543" s="282" t="s">
        <v>305</v>
      </c>
      <c r="D543" s="437"/>
      <c r="E543" s="283"/>
      <c r="F543" s="438">
        <f t="shared" si="117"/>
        <v>0</v>
      </c>
      <c r="G543" s="613">
        <v>18000</v>
      </c>
      <c r="H543" s="607">
        <f t="shared" si="118"/>
        <v>0</v>
      </c>
      <c r="I543" s="606">
        <f t="shared" si="119"/>
        <v>0</v>
      </c>
      <c r="J543" s="376"/>
    </row>
    <row r="544" spans="1:11" ht="23.4" x14ac:dyDescent="0.3">
      <c r="A544" s="1068"/>
      <c r="B544" s="787"/>
      <c r="C544" s="282" t="s">
        <v>317</v>
      </c>
      <c r="D544" s="437" t="s">
        <v>191</v>
      </c>
      <c r="E544" s="283"/>
      <c r="F544" s="438">
        <f t="shared" si="117"/>
        <v>0</v>
      </c>
      <c r="G544" s="612">
        <v>24.93</v>
      </c>
      <c r="H544" s="607">
        <f t="shared" si="118"/>
        <v>0</v>
      </c>
      <c r="I544" s="606">
        <f t="shared" si="119"/>
        <v>0</v>
      </c>
      <c r="J544" s="376"/>
    </row>
    <row r="545" spans="1:10" ht="23.4" x14ac:dyDescent="0.3">
      <c r="A545" s="1068"/>
      <c r="B545" s="787"/>
      <c r="C545" s="282" t="s">
        <v>324</v>
      </c>
      <c r="D545" s="437" t="s">
        <v>99</v>
      </c>
      <c r="E545" s="283"/>
      <c r="F545" s="438">
        <f t="shared" si="117"/>
        <v>0</v>
      </c>
      <c r="G545" s="612">
        <v>26</v>
      </c>
      <c r="H545" s="607">
        <f t="shared" si="118"/>
        <v>0</v>
      </c>
      <c r="I545" s="606">
        <f t="shared" si="119"/>
        <v>0</v>
      </c>
      <c r="J545" s="376"/>
    </row>
    <row r="546" spans="1:10" ht="23.4" x14ac:dyDescent="0.3">
      <c r="A546" s="1068"/>
      <c r="B546" s="787"/>
      <c r="C546" s="282" t="s">
        <v>325</v>
      </c>
      <c r="D546" s="437" t="s">
        <v>191</v>
      </c>
      <c r="E546" s="283"/>
      <c r="F546" s="438">
        <f t="shared" si="117"/>
        <v>0</v>
      </c>
      <c r="G546" s="612">
        <v>25.49</v>
      </c>
      <c r="H546" s="607">
        <f t="shared" si="118"/>
        <v>0</v>
      </c>
      <c r="I546" s="606">
        <f t="shared" si="119"/>
        <v>0</v>
      </c>
      <c r="J546" s="376"/>
    </row>
    <row r="547" spans="1:10" ht="23.4" x14ac:dyDescent="0.3">
      <c r="A547" s="1068"/>
      <c r="B547" s="787"/>
      <c r="C547" s="282" t="s">
        <v>326</v>
      </c>
      <c r="D547" s="437" t="s">
        <v>114</v>
      </c>
      <c r="E547" s="283"/>
      <c r="F547" s="438">
        <f t="shared" si="117"/>
        <v>0</v>
      </c>
      <c r="G547" s="612">
        <v>24.93</v>
      </c>
      <c r="H547" s="607">
        <f t="shared" si="118"/>
        <v>0</v>
      </c>
      <c r="I547" s="606">
        <f t="shared" si="119"/>
        <v>0</v>
      </c>
      <c r="J547" s="376"/>
    </row>
    <row r="548" spans="1:10" ht="23.4" x14ac:dyDescent="0.3">
      <c r="A548" s="1068"/>
      <c r="B548" s="787"/>
      <c r="C548" s="282" t="s">
        <v>327</v>
      </c>
      <c r="D548" s="437" t="s">
        <v>303</v>
      </c>
      <c r="E548" s="283"/>
      <c r="F548" s="438">
        <f t="shared" si="117"/>
        <v>0</v>
      </c>
      <c r="G548" s="612">
        <v>24.93</v>
      </c>
      <c r="H548" s="607">
        <f t="shared" si="118"/>
        <v>0</v>
      </c>
      <c r="I548" s="606">
        <f t="shared" si="119"/>
        <v>0</v>
      </c>
      <c r="J548" s="376"/>
    </row>
    <row r="549" spans="1:10" ht="23.4" x14ac:dyDescent="0.3">
      <c r="A549" s="1068"/>
      <c r="B549" s="787"/>
      <c r="C549" s="282" t="s">
        <v>328</v>
      </c>
      <c r="D549" s="437" t="s">
        <v>99</v>
      </c>
      <c r="E549" s="283"/>
      <c r="F549" s="438">
        <f t="shared" si="117"/>
        <v>0</v>
      </c>
      <c r="G549" s="612">
        <v>20.89</v>
      </c>
      <c r="H549" s="607">
        <f t="shared" si="118"/>
        <v>0</v>
      </c>
      <c r="I549" s="606">
        <f t="shared" si="119"/>
        <v>0</v>
      </c>
      <c r="J549" s="376"/>
    </row>
    <row r="550" spans="1:10" ht="23.4" x14ac:dyDescent="0.3">
      <c r="A550" s="1068"/>
      <c r="B550" s="787"/>
      <c r="C550" s="282" t="s">
        <v>394</v>
      </c>
      <c r="D550" s="437" t="s">
        <v>338</v>
      </c>
      <c r="E550" s="283"/>
      <c r="F550" s="438">
        <f t="shared" si="117"/>
        <v>0</v>
      </c>
      <c r="G550" s="612">
        <v>37.4566666666</v>
      </c>
      <c r="H550" s="607">
        <f t="shared" si="118"/>
        <v>0</v>
      </c>
      <c r="I550" s="606">
        <f t="shared" si="119"/>
        <v>0</v>
      </c>
      <c r="J550" s="376"/>
    </row>
    <row r="551" spans="1:10" ht="23.4" x14ac:dyDescent="0.3">
      <c r="A551" s="1068"/>
      <c r="B551" s="787"/>
      <c r="C551" s="282" t="s">
        <v>395</v>
      </c>
      <c r="D551" s="437" t="s">
        <v>338</v>
      </c>
      <c r="E551" s="283"/>
      <c r="F551" s="438">
        <f t="shared" si="117"/>
        <v>0</v>
      </c>
      <c r="G551" s="612">
        <v>37.89</v>
      </c>
      <c r="H551" s="607">
        <f t="shared" si="118"/>
        <v>0</v>
      </c>
      <c r="I551" s="606">
        <f t="shared" si="119"/>
        <v>0</v>
      </c>
      <c r="J551" s="376"/>
    </row>
    <row r="552" spans="1:10" ht="23.4" x14ac:dyDescent="0.3">
      <c r="A552" s="1068"/>
      <c r="B552" s="787"/>
      <c r="C552" s="282" t="s">
        <v>326</v>
      </c>
      <c r="D552" s="437" t="s">
        <v>302</v>
      </c>
      <c r="E552" s="283"/>
      <c r="F552" s="438">
        <f t="shared" si="117"/>
        <v>0</v>
      </c>
      <c r="G552" s="612">
        <v>24.93</v>
      </c>
      <c r="H552" s="607">
        <f t="shared" si="118"/>
        <v>0</v>
      </c>
      <c r="I552" s="606">
        <f t="shared" si="119"/>
        <v>0</v>
      </c>
      <c r="J552" s="376"/>
    </row>
    <row r="553" spans="1:10" ht="23.4" x14ac:dyDescent="0.3">
      <c r="A553" s="1068"/>
      <c r="B553" s="787"/>
      <c r="C553" s="282" t="s">
        <v>402</v>
      </c>
      <c r="D553" s="437" t="s">
        <v>376</v>
      </c>
      <c r="E553" s="283"/>
      <c r="F553" s="438">
        <f t="shared" si="117"/>
        <v>0</v>
      </c>
      <c r="G553" s="612">
        <v>24.93</v>
      </c>
      <c r="H553" s="607">
        <f t="shared" si="118"/>
        <v>0</v>
      </c>
      <c r="I553" s="606">
        <f t="shared" si="119"/>
        <v>0</v>
      </c>
      <c r="J553" s="376"/>
    </row>
    <row r="554" spans="1:10" ht="23.4" x14ac:dyDescent="0.3">
      <c r="A554" s="1068"/>
      <c r="B554" s="787"/>
      <c r="C554" s="282" t="s">
        <v>350</v>
      </c>
      <c r="D554" s="437" t="s">
        <v>313</v>
      </c>
      <c r="E554" s="283"/>
      <c r="F554" s="438">
        <f t="shared" si="117"/>
        <v>0</v>
      </c>
      <c r="G554" s="612">
        <v>34.26</v>
      </c>
      <c r="H554" s="607">
        <f t="shared" si="118"/>
        <v>0</v>
      </c>
      <c r="I554" s="606">
        <f t="shared" si="119"/>
        <v>0</v>
      </c>
      <c r="J554" s="376"/>
    </row>
    <row r="555" spans="1:10" ht="23.4" x14ac:dyDescent="0.3">
      <c r="A555" s="1068"/>
      <c r="B555" s="787"/>
      <c r="C555" s="282" t="s">
        <v>363</v>
      </c>
      <c r="D555" s="437" t="s">
        <v>401</v>
      </c>
      <c r="E555" s="283"/>
      <c r="F555" s="438">
        <f t="shared" si="117"/>
        <v>0</v>
      </c>
      <c r="G555" s="612">
        <v>37.89</v>
      </c>
      <c r="H555" s="607">
        <f t="shared" si="118"/>
        <v>0</v>
      </c>
      <c r="I555" s="606">
        <f t="shared" si="119"/>
        <v>0</v>
      </c>
      <c r="J555" s="376"/>
    </row>
    <row r="556" spans="1:10" ht="23.4" x14ac:dyDescent="0.3">
      <c r="A556" s="1068"/>
      <c r="B556" s="787"/>
      <c r="C556" s="282" t="s">
        <v>406</v>
      </c>
      <c r="D556" s="437" t="s">
        <v>376</v>
      </c>
      <c r="E556" s="283"/>
      <c r="F556" s="438">
        <f t="shared" si="117"/>
        <v>0</v>
      </c>
      <c r="G556" s="612">
        <v>39</v>
      </c>
      <c r="H556" s="607">
        <f t="shared" si="118"/>
        <v>0</v>
      </c>
      <c r="I556" s="606">
        <f t="shared" si="119"/>
        <v>0</v>
      </c>
      <c r="J556" s="376"/>
    </row>
    <row r="557" spans="1:10" ht="23.4" x14ac:dyDescent="0.3">
      <c r="A557" s="1068"/>
      <c r="B557" s="787"/>
      <c r="C557" s="282" t="s">
        <v>327</v>
      </c>
      <c r="D557" s="437" t="s">
        <v>190</v>
      </c>
      <c r="E557" s="283"/>
      <c r="F557" s="438">
        <f t="shared" si="117"/>
        <v>23868</v>
      </c>
      <c r="G557" s="612">
        <v>21.22</v>
      </c>
      <c r="H557" s="607">
        <f t="shared" si="118"/>
        <v>0</v>
      </c>
      <c r="I557" s="606">
        <f t="shared" si="119"/>
        <v>506478.95999999996</v>
      </c>
      <c r="J557" s="376"/>
    </row>
    <row r="558" spans="1:10" ht="23.4" x14ac:dyDescent="0.3">
      <c r="A558" s="1068"/>
      <c r="B558" s="787"/>
      <c r="C558" s="282" t="s">
        <v>326</v>
      </c>
      <c r="D558" s="437" t="s">
        <v>190</v>
      </c>
      <c r="E558" s="283"/>
      <c r="F558" s="438">
        <f t="shared" si="117"/>
        <v>0</v>
      </c>
      <c r="G558" s="612">
        <v>21.22</v>
      </c>
      <c r="H558" s="607">
        <f t="shared" si="118"/>
        <v>0</v>
      </c>
      <c r="I558" s="606">
        <f t="shared" si="119"/>
        <v>0</v>
      </c>
      <c r="J558" s="376"/>
    </row>
    <row r="559" spans="1:10" ht="23.4" x14ac:dyDescent="0.3">
      <c r="A559" s="1068"/>
      <c r="B559" s="787"/>
      <c r="C559" s="282" t="s">
        <v>377</v>
      </c>
      <c r="D559" s="437" t="s">
        <v>333</v>
      </c>
      <c r="E559" s="283"/>
      <c r="F559" s="438">
        <f t="shared" si="117"/>
        <v>0</v>
      </c>
      <c r="G559" s="612">
        <v>10000</v>
      </c>
      <c r="H559" s="607">
        <f t="shared" si="118"/>
        <v>0</v>
      </c>
      <c r="I559" s="606">
        <f t="shared" si="119"/>
        <v>0</v>
      </c>
      <c r="J559" s="376"/>
    </row>
    <row r="560" spans="1:10" ht="24" thickBot="1" x14ac:dyDescent="0.35">
      <c r="A560" s="1068"/>
      <c r="B560" s="787"/>
      <c r="C560" s="282" t="s">
        <v>332</v>
      </c>
      <c r="D560" s="437" t="s">
        <v>333</v>
      </c>
      <c r="E560" s="283"/>
      <c r="F560" s="438">
        <f t="shared" si="117"/>
        <v>0</v>
      </c>
      <c r="G560" s="612">
        <v>360</v>
      </c>
      <c r="H560" s="607">
        <f t="shared" si="118"/>
        <v>0</v>
      </c>
      <c r="I560" s="606">
        <f t="shared" si="119"/>
        <v>0</v>
      </c>
      <c r="J560" s="376"/>
    </row>
    <row r="561" spans="1:10" ht="24" thickBot="1" x14ac:dyDescent="0.35">
      <c r="A561" s="1069"/>
      <c r="B561" s="1063" t="s">
        <v>289</v>
      </c>
      <c r="C561" s="1064"/>
      <c r="D561" s="789"/>
      <c r="E561" s="329">
        <f>SUM(E541:E560)</f>
        <v>0</v>
      </c>
      <c r="F561" s="329">
        <f>SUM(F541:F560)</f>
        <v>23869</v>
      </c>
      <c r="G561" s="329"/>
      <c r="H561" s="597"/>
      <c r="I561" s="589">
        <f>SUM(I541:I560)</f>
        <v>511478.95999999996</v>
      </c>
      <c r="J561" s="376"/>
    </row>
    <row r="562" spans="1:10" ht="23.4" x14ac:dyDescent="0.3">
      <c r="A562" s="1067" t="s">
        <v>109</v>
      </c>
      <c r="B562" s="787"/>
      <c r="C562" s="282" t="s">
        <v>296</v>
      </c>
      <c r="D562" s="437" t="s">
        <v>258</v>
      </c>
      <c r="E562" s="283"/>
      <c r="F562" s="438">
        <f>+F479+E562</f>
        <v>4023</v>
      </c>
      <c r="G562" s="612">
        <v>430.02</v>
      </c>
      <c r="H562" s="603">
        <f>E562*G562</f>
        <v>0</v>
      </c>
      <c r="I562" s="606">
        <f t="shared" ref="I562:I582" si="120">+G562*F562</f>
        <v>1729970.46</v>
      </c>
      <c r="J562" s="376"/>
    </row>
    <row r="563" spans="1:10" ht="23.4" x14ac:dyDescent="0.3">
      <c r="A563" s="1068"/>
      <c r="B563" s="787"/>
      <c r="C563" s="282" t="s">
        <v>297</v>
      </c>
      <c r="D563" s="437" t="s">
        <v>258</v>
      </c>
      <c r="E563" s="283">
        <v>273</v>
      </c>
      <c r="F563" s="438">
        <f>+F480+E563</f>
        <v>4753</v>
      </c>
      <c r="G563" s="612">
        <v>445.38</v>
      </c>
      <c r="H563" s="603">
        <f t="shared" ref="H563:H582" si="121">E563*G563</f>
        <v>121588.74</v>
      </c>
      <c r="I563" s="606">
        <f t="shared" si="120"/>
        <v>2116891.14</v>
      </c>
      <c r="J563" s="376"/>
    </row>
    <row r="564" spans="1:10" ht="23.4" x14ac:dyDescent="0.3">
      <c r="A564" s="1068"/>
      <c r="B564" s="796"/>
      <c r="C564" s="282" t="s">
        <v>467</v>
      </c>
      <c r="D564" s="437" t="s">
        <v>258</v>
      </c>
      <c r="E564" s="283">
        <v>5120</v>
      </c>
      <c r="F564" s="438">
        <f>+F481+E564</f>
        <v>5120</v>
      </c>
      <c r="G564" s="612">
        <v>445.38</v>
      </c>
      <c r="H564" s="603">
        <f t="shared" ref="H564" si="122">E564*G564</f>
        <v>2280345.6000000001</v>
      </c>
      <c r="I564" s="606">
        <f t="shared" ref="I564" si="123">+G564*F564</f>
        <v>2280345.6000000001</v>
      </c>
      <c r="J564" s="376"/>
    </row>
    <row r="565" spans="1:10" ht="23.4" x14ac:dyDescent="0.3">
      <c r="A565" s="1068"/>
      <c r="B565" s="787"/>
      <c r="C565" s="282" t="s">
        <v>330</v>
      </c>
      <c r="D565" s="437" t="s">
        <v>258</v>
      </c>
      <c r="E565" s="283"/>
      <c r="F565" s="438">
        <f t="shared" ref="F565:F582" si="124">+F481+E565</f>
        <v>0</v>
      </c>
      <c r="G565" s="612">
        <v>63.55</v>
      </c>
      <c r="H565" s="603">
        <f t="shared" si="121"/>
        <v>0</v>
      </c>
      <c r="I565" s="606">
        <f t="shared" si="120"/>
        <v>0</v>
      </c>
      <c r="J565" s="376"/>
    </row>
    <row r="566" spans="1:10" ht="23.4" x14ac:dyDescent="0.3">
      <c r="A566" s="1068"/>
      <c r="B566" s="787"/>
      <c r="C566" s="282" t="s">
        <v>298</v>
      </c>
      <c r="D566" s="437" t="s">
        <v>258</v>
      </c>
      <c r="E566" s="283">
        <v>10080</v>
      </c>
      <c r="F566" s="438">
        <f t="shared" si="124"/>
        <v>31236</v>
      </c>
      <c r="G566" s="612">
        <v>71.44</v>
      </c>
      <c r="H566" s="603">
        <f t="shared" si="121"/>
        <v>720115.19999999995</v>
      </c>
      <c r="I566" s="606">
        <f t="shared" si="120"/>
        <v>2231499.84</v>
      </c>
      <c r="J566" s="376"/>
    </row>
    <row r="567" spans="1:10" ht="23.4" x14ac:dyDescent="0.3">
      <c r="A567" s="1068"/>
      <c r="B567" s="787"/>
      <c r="C567" s="282" t="s">
        <v>299</v>
      </c>
      <c r="D567" s="437" t="s">
        <v>258</v>
      </c>
      <c r="E567" s="283"/>
      <c r="F567" s="438">
        <f t="shared" si="124"/>
        <v>0</v>
      </c>
      <c r="G567" s="612">
        <v>36.5</v>
      </c>
      <c r="H567" s="603">
        <f t="shared" si="121"/>
        <v>0</v>
      </c>
      <c r="I567" s="606">
        <f t="shared" si="120"/>
        <v>0</v>
      </c>
      <c r="J567" s="376"/>
    </row>
    <row r="568" spans="1:10" ht="23.4" x14ac:dyDescent="0.3">
      <c r="A568" s="1068"/>
      <c r="B568" s="787"/>
      <c r="C568" s="282" t="s">
        <v>308</v>
      </c>
      <c r="D568" s="437" t="s">
        <v>258</v>
      </c>
      <c r="E568" s="283">
        <v>3400</v>
      </c>
      <c r="F568" s="438">
        <f t="shared" si="124"/>
        <v>5640</v>
      </c>
      <c r="G568" s="612">
        <v>320.35000000000002</v>
      </c>
      <c r="H568" s="603">
        <f t="shared" si="121"/>
        <v>1089190</v>
      </c>
      <c r="I568" s="606">
        <f t="shared" si="120"/>
        <v>1806774.0000000002</v>
      </c>
      <c r="J568" s="376"/>
    </row>
    <row r="569" spans="1:10" ht="23.4" x14ac:dyDescent="0.3">
      <c r="A569" s="1068"/>
      <c r="B569" s="787"/>
      <c r="C569" s="282" t="s">
        <v>322</v>
      </c>
      <c r="D569" s="437" t="s">
        <v>258</v>
      </c>
      <c r="E569" s="283"/>
      <c r="F569" s="438">
        <f t="shared" si="124"/>
        <v>0</v>
      </c>
      <c r="G569" s="612">
        <v>434.41</v>
      </c>
      <c r="H569" s="603">
        <f t="shared" si="121"/>
        <v>0</v>
      </c>
      <c r="I569" s="606">
        <f t="shared" si="120"/>
        <v>0</v>
      </c>
      <c r="J569" s="376"/>
    </row>
    <row r="570" spans="1:10" ht="23.4" x14ac:dyDescent="0.3">
      <c r="A570" s="1068"/>
      <c r="B570" s="787"/>
      <c r="C570" s="282" t="s">
        <v>305</v>
      </c>
      <c r="D570" s="437" t="s">
        <v>258</v>
      </c>
      <c r="E570" s="283"/>
      <c r="F570" s="438">
        <f t="shared" si="124"/>
        <v>0</v>
      </c>
      <c r="G570" s="612">
        <v>29690</v>
      </c>
      <c r="H570" s="603">
        <f t="shared" si="121"/>
        <v>0</v>
      </c>
      <c r="I570" s="606">
        <f t="shared" si="120"/>
        <v>0</v>
      </c>
      <c r="J570" s="376"/>
    </row>
    <row r="571" spans="1:10" ht="23.4" x14ac:dyDescent="0.3">
      <c r="A571" s="1068"/>
      <c r="B571" s="787"/>
      <c r="C571" s="282" t="s">
        <v>305</v>
      </c>
      <c r="D571" s="437" t="s">
        <v>258</v>
      </c>
      <c r="E571" s="283"/>
      <c r="F571" s="438">
        <f t="shared" si="124"/>
        <v>2</v>
      </c>
      <c r="G571" s="612">
        <v>26445</v>
      </c>
      <c r="H571" s="603">
        <f t="shared" si="121"/>
        <v>0</v>
      </c>
      <c r="I571" s="606">
        <f t="shared" si="120"/>
        <v>52890</v>
      </c>
      <c r="J571" s="376"/>
    </row>
    <row r="572" spans="1:10" ht="23.4" x14ac:dyDescent="0.3">
      <c r="A572" s="1068"/>
      <c r="B572" s="787"/>
      <c r="C572" s="282" t="s">
        <v>341</v>
      </c>
      <c r="D572" s="437" t="s">
        <v>375</v>
      </c>
      <c r="E572" s="283"/>
      <c r="F572" s="438">
        <f t="shared" si="124"/>
        <v>0</v>
      </c>
      <c r="G572" s="612">
        <v>50</v>
      </c>
      <c r="H572" s="603">
        <f t="shared" si="121"/>
        <v>0</v>
      </c>
      <c r="I572" s="606">
        <f t="shared" si="120"/>
        <v>0</v>
      </c>
      <c r="J572" s="376"/>
    </row>
    <row r="573" spans="1:10" ht="23.4" x14ac:dyDescent="0.3">
      <c r="A573" s="1068"/>
      <c r="B573" s="787"/>
      <c r="C573" s="282" t="s">
        <v>341</v>
      </c>
      <c r="D573" s="437" t="s">
        <v>375</v>
      </c>
      <c r="E573" s="283"/>
      <c r="F573" s="438">
        <f t="shared" si="124"/>
        <v>0</v>
      </c>
      <c r="G573" s="612">
        <v>45</v>
      </c>
      <c r="H573" s="603">
        <f t="shared" si="121"/>
        <v>0</v>
      </c>
      <c r="I573" s="606">
        <f t="shared" si="120"/>
        <v>0</v>
      </c>
      <c r="J573" s="376"/>
    </row>
    <row r="574" spans="1:10" ht="23.4" x14ac:dyDescent="0.3">
      <c r="A574" s="1068"/>
      <c r="B574" s="787"/>
      <c r="C574" s="282" t="s">
        <v>364</v>
      </c>
      <c r="D574" s="437" t="s">
        <v>428</v>
      </c>
      <c r="E574" s="283"/>
      <c r="F574" s="438">
        <f t="shared" si="124"/>
        <v>700</v>
      </c>
      <c r="G574" s="612">
        <v>57.64</v>
      </c>
      <c r="H574" s="603">
        <f t="shared" si="121"/>
        <v>0</v>
      </c>
      <c r="I574" s="606">
        <f t="shared" si="120"/>
        <v>40348</v>
      </c>
      <c r="J574" s="376"/>
    </row>
    <row r="575" spans="1:10" ht="23.4" x14ac:dyDescent="0.3">
      <c r="A575" s="1068"/>
      <c r="B575" s="787"/>
      <c r="C575" s="282" t="s">
        <v>364</v>
      </c>
      <c r="D575" s="437" t="s">
        <v>407</v>
      </c>
      <c r="E575" s="283"/>
      <c r="F575" s="438">
        <f t="shared" si="124"/>
        <v>0</v>
      </c>
      <c r="G575" s="612">
        <v>57.64</v>
      </c>
      <c r="H575" s="603">
        <f t="shared" si="121"/>
        <v>0</v>
      </c>
      <c r="I575" s="606">
        <f t="shared" si="120"/>
        <v>0</v>
      </c>
      <c r="J575" s="376"/>
    </row>
    <row r="576" spans="1:10" ht="23.4" x14ac:dyDescent="0.3">
      <c r="A576" s="1068"/>
      <c r="B576" s="787"/>
      <c r="C576" s="282" t="s">
        <v>365</v>
      </c>
      <c r="D576" s="437" t="s">
        <v>366</v>
      </c>
      <c r="E576" s="283"/>
      <c r="F576" s="438">
        <f t="shared" si="124"/>
        <v>0</v>
      </c>
      <c r="G576" s="612">
        <v>434.41</v>
      </c>
      <c r="H576" s="603">
        <f t="shared" si="121"/>
        <v>0</v>
      </c>
      <c r="I576" s="606">
        <f t="shared" si="120"/>
        <v>0</v>
      </c>
      <c r="J576" s="376"/>
    </row>
    <row r="577" spans="1:10" ht="23.4" x14ac:dyDescent="0.3">
      <c r="A577" s="1068"/>
      <c r="B577" s="787"/>
      <c r="C577" s="282" t="s">
        <v>381</v>
      </c>
      <c r="D577" s="437" t="s">
        <v>258</v>
      </c>
      <c r="E577" s="283"/>
      <c r="F577" s="438">
        <f t="shared" si="124"/>
        <v>0</v>
      </c>
      <c r="G577" s="612">
        <v>624.26</v>
      </c>
      <c r="H577" s="603">
        <f t="shared" si="121"/>
        <v>0</v>
      </c>
      <c r="I577" s="606">
        <f t="shared" si="120"/>
        <v>0</v>
      </c>
      <c r="J577" s="376"/>
    </row>
    <row r="578" spans="1:10" ht="23.4" x14ac:dyDescent="0.3">
      <c r="A578" s="1068"/>
      <c r="B578" s="787"/>
      <c r="C578" s="282" t="s">
        <v>367</v>
      </c>
      <c r="D578" s="437" t="s">
        <v>366</v>
      </c>
      <c r="E578" s="283"/>
      <c r="F578" s="438">
        <f t="shared" si="124"/>
        <v>0</v>
      </c>
      <c r="G578" s="612">
        <v>63.55</v>
      </c>
      <c r="H578" s="603">
        <f t="shared" si="121"/>
        <v>0</v>
      </c>
      <c r="I578" s="606">
        <f t="shared" si="120"/>
        <v>0</v>
      </c>
      <c r="J578" s="376"/>
    </row>
    <row r="579" spans="1:10" ht="23.4" x14ac:dyDescent="0.3">
      <c r="A579" s="1068"/>
      <c r="B579" s="787"/>
      <c r="C579" s="282" t="s">
        <v>429</v>
      </c>
      <c r="D579" s="437" t="s">
        <v>258</v>
      </c>
      <c r="E579" s="283">
        <v>13776</v>
      </c>
      <c r="F579" s="438">
        <f t="shared" si="124"/>
        <v>48336</v>
      </c>
      <c r="G579" s="612">
        <v>59.96</v>
      </c>
      <c r="H579" s="603">
        <f t="shared" si="121"/>
        <v>826008.96</v>
      </c>
      <c r="I579" s="606">
        <f t="shared" si="120"/>
        <v>2898226.56</v>
      </c>
      <c r="J579" s="376"/>
    </row>
    <row r="580" spans="1:10" ht="23.4" x14ac:dyDescent="0.3">
      <c r="A580" s="1068"/>
      <c r="B580" s="787"/>
      <c r="C580" s="282" t="s">
        <v>446</v>
      </c>
      <c r="D580" s="437"/>
      <c r="E580" s="283"/>
      <c r="F580" s="438">
        <f t="shared" si="124"/>
        <v>8318</v>
      </c>
      <c r="G580" s="612">
        <v>360</v>
      </c>
      <c r="H580" s="603">
        <f t="shared" si="121"/>
        <v>0</v>
      </c>
      <c r="I580" s="606">
        <f t="shared" si="120"/>
        <v>2994480</v>
      </c>
      <c r="J580" s="376"/>
    </row>
    <row r="581" spans="1:10" ht="23.4" x14ac:dyDescent="0.3">
      <c r="A581" s="1068"/>
      <c r="B581" s="787"/>
      <c r="C581" s="282" t="s">
        <v>305</v>
      </c>
      <c r="D581" s="437"/>
      <c r="E581" s="283"/>
      <c r="F581" s="438">
        <f t="shared" si="124"/>
        <v>0</v>
      </c>
      <c r="G581" s="612">
        <v>39450</v>
      </c>
      <c r="H581" s="603">
        <f t="shared" si="121"/>
        <v>0</v>
      </c>
      <c r="I581" s="606">
        <f t="shared" si="120"/>
        <v>0</v>
      </c>
      <c r="J581" s="376"/>
    </row>
    <row r="582" spans="1:10" ht="24" thickBot="1" x14ac:dyDescent="0.35">
      <c r="A582" s="1068"/>
      <c r="B582" s="787"/>
      <c r="C582" s="282" t="s">
        <v>364</v>
      </c>
      <c r="D582" s="437" t="s">
        <v>258</v>
      </c>
      <c r="E582" s="283"/>
      <c r="F582" s="438">
        <f t="shared" si="124"/>
        <v>0</v>
      </c>
      <c r="G582" s="612">
        <v>57.64</v>
      </c>
      <c r="H582" s="603">
        <f t="shared" si="121"/>
        <v>0</v>
      </c>
      <c r="I582" s="606">
        <f t="shared" si="120"/>
        <v>0</v>
      </c>
      <c r="J582" s="376"/>
    </row>
    <row r="583" spans="1:10" ht="24" thickBot="1" x14ac:dyDescent="0.35">
      <c r="A583" s="1069"/>
      <c r="B583" s="1063" t="s">
        <v>291</v>
      </c>
      <c r="C583" s="1064"/>
      <c r="D583" s="789"/>
      <c r="E583" s="329">
        <f>SUM(E562:E582)</f>
        <v>32649</v>
      </c>
      <c r="F583" s="329">
        <f>SUM(F562:F582)</f>
        <v>108128</v>
      </c>
      <c r="G583" s="329"/>
      <c r="H583" s="600">
        <f>SUM(H562:H582)</f>
        <v>5037248.5</v>
      </c>
      <c r="I583" s="589">
        <f>SUM(I562:I582)</f>
        <v>16151425.600000001</v>
      </c>
      <c r="J583" s="375"/>
    </row>
    <row r="584" spans="1:10" ht="24" thickBot="1" x14ac:dyDescent="0.35">
      <c r="A584" s="793"/>
      <c r="B584" s="440"/>
      <c r="C584" s="282" t="s">
        <v>446</v>
      </c>
      <c r="D584" s="437"/>
      <c r="E584" s="283"/>
      <c r="F584" s="284">
        <f>+F500+E584</f>
        <v>0</v>
      </c>
      <c r="G584" s="337"/>
      <c r="H584" s="599">
        <f t="shared" ref="H584" si="125">E584*G584</f>
        <v>0</v>
      </c>
      <c r="I584" s="285">
        <f t="shared" ref="I584" si="126">+G584*F584</f>
        <v>0</v>
      </c>
      <c r="J584" s="376"/>
    </row>
    <row r="585" spans="1:10" ht="24" thickBot="1" x14ac:dyDescent="0.35">
      <c r="A585" s="793"/>
      <c r="B585" s="1063" t="s">
        <v>238</v>
      </c>
      <c r="C585" s="1064"/>
      <c r="D585" s="785"/>
      <c r="E585" s="329"/>
      <c r="F585" s="330"/>
      <c r="G585" s="329"/>
      <c r="H585" s="597"/>
      <c r="I585" s="327">
        <f>SUM(I584)</f>
        <v>0</v>
      </c>
      <c r="J585" s="352"/>
    </row>
    <row r="586" spans="1:10" ht="24.6" thickBot="1" x14ac:dyDescent="0.35">
      <c r="A586" s="322"/>
      <c r="B586" s="1065" t="s">
        <v>182</v>
      </c>
      <c r="C586" s="1066"/>
      <c r="D586" s="786"/>
      <c r="E586" s="377">
        <f>+E583+E561+E540+E538</f>
        <v>230519</v>
      </c>
      <c r="F586" s="377">
        <f>+F583+F561+F540+F538</f>
        <v>1377991</v>
      </c>
      <c r="G586" s="377"/>
      <c r="H586" s="377"/>
      <c r="I586" s="377">
        <f>+I583+I561+I540+I585</f>
        <v>51637333.260000005</v>
      </c>
      <c r="J586" s="378"/>
    </row>
    <row r="587" spans="1:10" ht="23.4" x14ac:dyDescent="0.3">
      <c r="A587" s="991" t="s">
        <v>1</v>
      </c>
      <c r="B587" s="994" t="s">
        <v>2</v>
      </c>
      <c r="C587" s="1072" t="s">
        <v>477</v>
      </c>
      <c r="D587" s="1043" t="s">
        <v>478</v>
      </c>
      <c r="E587" s="1076">
        <v>44542</v>
      </c>
      <c r="F587" s="1001"/>
      <c r="G587" s="1001"/>
      <c r="H587" s="1001"/>
      <c r="I587" s="1001"/>
      <c r="J587" s="1002"/>
    </row>
    <row r="588" spans="1:10" ht="23.4" x14ac:dyDescent="0.3">
      <c r="A588" s="1070"/>
      <c r="B588" s="1071"/>
      <c r="C588" s="1073"/>
      <c r="D588" s="1044"/>
      <c r="E588" s="1077" t="s">
        <v>493</v>
      </c>
      <c r="F588" s="1078"/>
      <c r="G588" s="1077" t="s">
        <v>492</v>
      </c>
      <c r="H588" s="1079"/>
      <c r="I588" s="1079"/>
      <c r="J588" s="1078"/>
    </row>
    <row r="589" spans="1:10" x14ac:dyDescent="0.3">
      <c r="A589" s="992"/>
      <c r="B589" s="995"/>
      <c r="C589" s="1074"/>
      <c r="D589" s="1044"/>
      <c r="E589" s="1003" t="s">
        <v>494</v>
      </c>
      <c r="F589" s="1005" t="s">
        <v>495</v>
      </c>
      <c r="G589" s="1081" t="s">
        <v>97</v>
      </c>
      <c r="H589" s="1083" t="s">
        <v>98</v>
      </c>
      <c r="I589" s="1083" t="s">
        <v>98</v>
      </c>
      <c r="J589" s="1085" t="s">
        <v>12</v>
      </c>
    </row>
    <row r="590" spans="1:10" ht="14.4" thickBot="1" x14ac:dyDescent="0.35">
      <c r="A590" s="993"/>
      <c r="B590" s="996"/>
      <c r="C590" s="1075"/>
      <c r="D590" s="1045"/>
      <c r="E590" s="1004"/>
      <c r="F590" s="1080"/>
      <c r="G590" s="1082"/>
      <c r="H590" s="1084"/>
      <c r="I590" s="1084"/>
      <c r="J590" s="1086"/>
    </row>
    <row r="591" spans="1:10" ht="23.4" x14ac:dyDescent="0.3">
      <c r="A591" s="1067" t="s">
        <v>110</v>
      </c>
      <c r="B591" s="442"/>
      <c r="C591" s="584" t="s">
        <v>292</v>
      </c>
      <c r="D591" s="686" t="s">
        <v>284</v>
      </c>
      <c r="E591" s="744"/>
      <c r="F591" s="695">
        <f>+F507+E591</f>
        <v>0</v>
      </c>
      <c r="G591" s="741">
        <v>111.09</v>
      </c>
      <c r="H591" s="601">
        <f t="shared" ref="H591:H604" si="127">E591*G591</f>
        <v>0</v>
      </c>
      <c r="I591" s="604">
        <f>+G591*F591</f>
        <v>0</v>
      </c>
      <c r="J591" s="354"/>
    </row>
    <row r="592" spans="1:10" ht="23.4" x14ac:dyDescent="0.3">
      <c r="A592" s="1068"/>
      <c r="B592" s="441"/>
      <c r="C592" s="444" t="s">
        <v>285</v>
      </c>
      <c r="D592" s="687" t="s">
        <v>286</v>
      </c>
      <c r="E592" s="745"/>
      <c r="F592" s="746">
        <f t="shared" ref="F592:F595" si="128">+F508+E592</f>
        <v>0</v>
      </c>
      <c r="G592" s="742">
        <v>11</v>
      </c>
      <c r="H592" s="602">
        <f t="shared" si="127"/>
        <v>0</v>
      </c>
      <c r="I592" s="605">
        <f>+G592*F592</f>
        <v>0</v>
      </c>
      <c r="J592" s="355"/>
    </row>
    <row r="593" spans="1:10" ht="23.4" x14ac:dyDescent="0.3">
      <c r="A593" s="1068"/>
      <c r="B593" s="441"/>
      <c r="C593" s="444" t="s">
        <v>321</v>
      </c>
      <c r="D593" s="687" t="s">
        <v>400</v>
      </c>
      <c r="E593" s="745"/>
      <c r="F593" s="746">
        <f t="shared" si="128"/>
        <v>0</v>
      </c>
      <c r="G593" s="742">
        <v>139.04</v>
      </c>
      <c r="H593" s="602">
        <f t="shared" si="127"/>
        <v>0</v>
      </c>
      <c r="I593" s="605">
        <f t="shared" ref="I593:I604" si="129">+G593*F593</f>
        <v>0</v>
      </c>
      <c r="J593" s="355"/>
    </row>
    <row r="594" spans="1:10" ht="23.4" x14ac:dyDescent="0.3">
      <c r="A594" s="1068"/>
      <c r="B594" s="441"/>
      <c r="C594" s="444" t="s">
        <v>397</v>
      </c>
      <c r="D594" s="687" t="s">
        <v>398</v>
      </c>
      <c r="E594" s="745"/>
      <c r="F594" s="746">
        <f t="shared" si="128"/>
        <v>856800</v>
      </c>
      <c r="G594" s="795">
        <v>20.5</v>
      </c>
      <c r="H594" s="602">
        <f t="shared" si="127"/>
        <v>0</v>
      </c>
      <c r="I594" s="605">
        <f t="shared" si="129"/>
        <v>17564400</v>
      </c>
      <c r="J594" s="355"/>
    </row>
    <row r="595" spans="1:10" ht="23.4" x14ac:dyDescent="0.3">
      <c r="A595" s="1068"/>
      <c r="B595" s="441"/>
      <c r="C595" s="444" t="s">
        <v>312</v>
      </c>
      <c r="D595" s="687" t="s">
        <v>190</v>
      </c>
      <c r="E595" s="745"/>
      <c r="F595" s="746">
        <f t="shared" si="128"/>
        <v>0</v>
      </c>
      <c r="G595" s="742">
        <v>14.79</v>
      </c>
      <c r="H595" s="602">
        <f t="shared" si="127"/>
        <v>0</v>
      </c>
      <c r="I595" s="605">
        <f t="shared" si="129"/>
        <v>0</v>
      </c>
      <c r="J595" s="355"/>
    </row>
    <row r="596" spans="1:10" ht="23.4" x14ac:dyDescent="0.3">
      <c r="A596" s="1068"/>
      <c r="B596" s="441"/>
      <c r="C596" s="444" t="s">
        <v>321</v>
      </c>
      <c r="D596" s="687" t="s">
        <v>286</v>
      </c>
      <c r="E596" s="745">
        <v>395</v>
      </c>
      <c r="F596" s="746">
        <f t="shared" ref="F596:F604" si="130">+F512+E596</f>
        <v>3595</v>
      </c>
      <c r="G596" s="742">
        <v>139.04</v>
      </c>
      <c r="H596" s="602">
        <f t="shared" si="127"/>
        <v>54920.799999999996</v>
      </c>
      <c r="I596" s="605">
        <f t="shared" si="129"/>
        <v>499848.8</v>
      </c>
      <c r="J596" s="355"/>
    </row>
    <row r="597" spans="1:10" ht="23.4" x14ac:dyDescent="0.3">
      <c r="A597" s="1068"/>
      <c r="B597" s="441"/>
      <c r="C597" s="444" t="s">
        <v>472</v>
      </c>
      <c r="D597" s="688" t="s">
        <v>396</v>
      </c>
      <c r="E597" s="745">
        <v>9920</v>
      </c>
      <c r="F597" s="746">
        <f t="shared" si="130"/>
        <v>9920</v>
      </c>
      <c r="G597" s="742">
        <v>147.58000000000001</v>
      </c>
      <c r="H597" s="602">
        <f t="shared" si="127"/>
        <v>1463993.6</v>
      </c>
      <c r="I597" s="605">
        <f t="shared" si="129"/>
        <v>1463993.6</v>
      </c>
      <c r="J597" s="355"/>
    </row>
    <row r="598" spans="1:10" ht="23.4" x14ac:dyDescent="0.3">
      <c r="A598" s="1068"/>
      <c r="B598" s="441"/>
      <c r="C598" s="444" t="s">
        <v>345</v>
      </c>
      <c r="D598" s="688" t="s">
        <v>286</v>
      </c>
      <c r="E598" s="745"/>
      <c r="F598" s="746">
        <f t="shared" si="130"/>
        <v>0</v>
      </c>
      <c r="G598" s="742">
        <v>18.84</v>
      </c>
      <c r="H598" s="602">
        <f t="shared" si="127"/>
        <v>0</v>
      </c>
      <c r="I598" s="605">
        <f t="shared" si="129"/>
        <v>0</v>
      </c>
      <c r="J598" s="355"/>
    </row>
    <row r="599" spans="1:10" ht="23.4" x14ac:dyDescent="0.3">
      <c r="A599" s="1068"/>
      <c r="B599" s="441"/>
      <c r="C599" s="444" t="s">
        <v>357</v>
      </c>
      <c r="D599" s="688" t="s">
        <v>252</v>
      </c>
      <c r="E599" s="745">
        <v>183600</v>
      </c>
      <c r="F599" s="746">
        <f t="shared" si="130"/>
        <v>183600</v>
      </c>
      <c r="G599" s="742">
        <v>21.18</v>
      </c>
      <c r="H599" s="602">
        <f t="shared" si="127"/>
        <v>3888648</v>
      </c>
      <c r="I599" s="605">
        <f t="shared" si="129"/>
        <v>3888648</v>
      </c>
      <c r="J599" s="355"/>
    </row>
    <row r="600" spans="1:10" ht="23.4" x14ac:dyDescent="0.3">
      <c r="A600" s="1068"/>
      <c r="B600" s="441"/>
      <c r="C600" s="444" t="s">
        <v>359</v>
      </c>
      <c r="D600" s="688" t="s">
        <v>360</v>
      </c>
      <c r="E600" s="745"/>
      <c r="F600" s="746">
        <f t="shared" si="130"/>
        <v>0</v>
      </c>
      <c r="G600" s="742">
        <v>21.28</v>
      </c>
      <c r="H600" s="602">
        <f t="shared" si="127"/>
        <v>0</v>
      </c>
      <c r="I600" s="605">
        <f t="shared" si="129"/>
        <v>0</v>
      </c>
      <c r="J600" s="355"/>
    </row>
    <row r="601" spans="1:10" ht="23.4" x14ac:dyDescent="0.3">
      <c r="A601" s="1068"/>
      <c r="B601" s="441"/>
      <c r="C601" s="444" t="s">
        <v>445</v>
      </c>
      <c r="D601" s="688" t="s">
        <v>436</v>
      </c>
      <c r="E601" s="745"/>
      <c r="F601" s="746">
        <f t="shared" si="130"/>
        <v>19840</v>
      </c>
      <c r="G601" s="742">
        <v>143.28</v>
      </c>
      <c r="H601" s="602">
        <f t="shared" si="127"/>
        <v>0</v>
      </c>
      <c r="I601" s="605">
        <f t="shared" si="129"/>
        <v>2842675.2000000002</v>
      </c>
      <c r="J601" s="355"/>
    </row>
    <row r="602" spans="1:10" ht="23.4" x14ac:dyDescent="0.3">
      <c r="A602" s="1068"/>
      <c r="B602" s="441"/>
      <c r="C602" s="444" t="s">
        <v>403</v>
      </c>
      <c r="D602" s="687" t="s">
        <v>190</v>
      </c>
      <c r="E602" s="745"/>
      <c r="F602" s="746">
        <f t="shared" si="130"/>
        <v>0</v>
      </c>
      <c r="G602" s="742">
        <v>14.55</v>
      </c>
      <c r="H602" s="602">
        <f t="shared" si="127"/>
        <v>0</v>
      </c>
      <c r="I602" s="605">
        <f t="shared" si="129"/>
        <v>0</v>
      </c>
      <c r="J602" s="355"/>
    </row>
    <row r="603" spans="1:10" ht="23.4" x14ac:dyDescent="0.3">
      <c r="A603" s="1068"/>
      <c r="B603" s="441"/>
      <c r="C603" s="444" t="s">
        <v>362</v>
      </c>
      <c r="D603" s="688" t="s">
        <v>202</v>
      </c>
      <c r="E603" s="745"/>
      <c r="F603" s="746">
        <f t="shared" si="130"/>
        <v>0</v>
      </c>
      <c r="G603" s="742">
        <v>21.28</v>
      </c>
      <c r="H603" s="602">
        <f t="shared" si="127"/>
        <v>0</v>
      </c>
      <c r="I603" s="605">
        <f t="shared" si="129"/>
        <v>0</v>
      </c>
      <c r="J603" s="355"/>
    </row>
    <row r="604" spans="1:10" ht="24" thickBot="1" x14ac:dyDescent="0.35">
      <c r="A604" s="1068"/>
      <c r="B604" s="441"/>
      <c r="C604" s="444" t="s">
        <v>374</v>
      </c>
      <c r="D604" s="689" t="s">
        <v>191</v>
      </c>
      <c r="E604" s="745"/>
      <c r="F604" s="697">
        <f t="shared" si="130"/>
        <v>0</v>
      </c>
      <c r="G604" s="742">
        <v>36.44</v>
      </c>
      <c r="H604" s="602">
        <f t="shared" si="127"/>
        <v>0</v>
      </c>
      <c r="I604" s="605">
        <f t="shared" si="129"/>
        <v>0</v>
      </c>
      <c r="J604" s="355"/>
    </row>
    <row r="605" spans="1:10" ht="24" thickBot="1" x14ac:dyDescent="0.35">
      <c r="A605" s="1068"/>
      <c r="B605" s="1063" t="s">
        <v>287</v>
      </c>
      <c r="C605" s="1064"/>
      <c r="D605" s="801"/>
      <c r="E605" s="329">
        <f>SUM(E591:E604)</f>
        <v>193915</v>
      </c>
      <c r="F605" s="743">
        <f>SUM(F591:F604)</f>
        <v>1073755</v>
      </c>
      <c r="G605" s="329"/>
      <c r="H605" s="597">
        <f>SUM(H591:H604)</f>
        <v>5407562.4000000004</v>
      </c>
      <c r="I605" s="589">
        <f>SUM(I591:I604)</f>
        <v>26259565.600000001</v>
      </c>
      <c r="J605" s="352"/>
    </row>
    <row r="606" spans="1:10" ht="23.4" x14ac:dyDescent="0.3">
      <c r="A606" s="1068"/>
      <c r="B606" s="799"/>
      <c r="C606" s="282" t="s">
        <v>293</v>
      </c>
      <c r="D606" s="437" t="s">
        <v>258</v>
      </c>
      <c r="E606" s="283">
        <v>1750</v>
      </c>
      <c r="F606" s="438">
        <f t="shared" ref="F606:F616" si="131">+F522+E606</f>
        <v>5250</v>
      </c>
      <c r="G606" s="587">
        <v>160.44999999999999</v>
      </c>
      <c r="H606" s="603">
        <f t="shared" ref="H606:H616" si="132">E606*G606</f>
        <v>280787.5</v>
      </c>
      <c r="I606" s="606">
        <f t="shared" ref="I606:I616" si="133">+G606*F606</f>
        <v>842362.49999999988</v>
      </c>
      <c r="J606" s="376"/>
    </row>
    <row r="607" spans="1:10" ht="23.4" x14ac:dyDescent="0.3">
      <c r="A607" s="1068"/>
      <c r="B607" s="799"/>
      <c r="C607" s="282" t="s">
        <v>309</v>
      </c>
      <c r="D607" s="437" t="s">
        <v>258</v>
      </c>
      <c r="E607" s="283"/>
      <c r="F607" s="438">
        <f t="shared" si="131"/>
        <v>0</v>
      </c>
      <c r="G607" s="587">
        <v>160.44999999999999</v>
      </c>
      <c r="H607" s="603">
        <f t="shared" si="132"/>
        <v>0</v>
      </c>
      <c r="I607" s="606">
        <f t="shared" si="133"/>
        <v>0</v>
      </c>
      <c r="J607" s="376"/>
    </row>
    <row r="608" spans="1:10" ht="23.4" x14ac:dyDescent="0.3">
      <c r="A608" s="1068"/>
      <c r="B608" s="799"/>
      <c r="C608" s="282" t="s">
        <v>463</v>
      </c>
      <c r="D608" s="437" t="s">
        <v>258</v>
      </c>
      <c r="E608" s="283"/>
      <c r="F608" s="438">
        <f t="shared" si="131"/>
        <v>5250</v>
      </c>
      <c r="G608" s="587">
        <v>160.44999999999999</v>
      </c>
      <c r="H608" s="603">
        <f t="shared" si="132"/>
        <v>0</v>
      </c>
      <c r="I608" s="606">
        <f t="shared" si="133"/>
        <v>842362.49999999988</v>
      </c>
      <c r="J608" s="376"/>
    </row>
    <row r="609" spans="1:10" ht="23.4" x14ac:dyDescent="0.3">
      <c r="A609" s="1068"/>
      <c r="B609" s="799"/>
      <c r="C609" s="282" t="s">
        <v>311</v>
      </c>
      <c r="D609" s="437" t="s">
        <v>100</v>
      </c>
      <c r="E609" s="283"/>
      <c r="F609" s="438">
        <f t="shared" si="131"/>
        <v>0</v>
      </c>
      <c r="G609" s="587">
        <v>27</v>
      </c>
      <c r="H609" s="603">
        <f t="shared" si="132"/>
        <v>0</v>
      </c>
      <c r="I609" s="606">
        <f t="shared" si="133"/>
        <v>0</v>
      </c>
      <c r="J609" s="376"/>
    </row>
    <row r="610" spans="1:10" ht="23.4" x14ac:dyDescent="0.3">
      <c r="A610" s="1068"/>
      <c r="B610" s="799"/>
      <c r="C610" s="282" t="s">
        <v>311</v>
      </c>
      <c r="D610" s="437" t="s">
        <v>318</v>
      </c>
      <c r="E610" s="283"/>
      <c r="F610" s="438">
        <f t="shared" si="131"/>
        <v>324720</v>
      </c>
      <c r="G610" s="587">
        <v>27.5</v>
      </c>
      <c r="H610" s="603">
        <f t="shared" si="132"/>
        <v>0</v>
      </c>
      <c r="I610" s="606">
        <f t="shared" si="133"/>
        <v>8929800</v>
      </c>
      <c r="J610" s="376"/>
    </row>
    <row r="611" spans="1:10" ht="23.4" x14ac:dyDescent="0.3">
      <c r="A611" s="1068"/>
      <c r="B611" s="799"/>
      <c r="C611" s="282" t="s">
        <v>299</v>
      </c>
      <c r="D611" s="437" t="s">
        <v>318</v>
      </c>
      <c r="E611" s="283"/>
      <c r="F611" s="438">
        <f t="shared" si="131"/>
        <v>10832</v>
      </c>
      <c r="G611" s="587">
        <v>34.5</v>
      </c>
      <c r="H611" s="603">
        <f t="shared" si="132"/>
        <v>0</v>
      </c>
      <c r="I611" s="606">
        <f t="shared" si="133"/>
        <v>373704</v>
      </c>
      <c r="J611" s="376"/>
    </row>
    <row r="612" spans="1:10" ht="23.4" x14ac:dyDescent="0.3">
      <c r="A612" s="1068"/>
      <c r="B612" s="799"/>
      <c r="C612" s="282" t="s">
        <v>331</v>
      </c>
      <c r="D612" s="437" t="s">
        <v>258</v>
      </c>
      <c r="E612" s="283"/>
      <c r="F612" s="438">
        <f t="shared" si="131"/>
        <v>0</v>
      </c>
      <c r="G612" s="587">
        <v>160.44999999999999</v>
      </c>
      <c r="H612" s="603">
        <f t="shared" si="132"/>
        <v>0</v>
      </c>
      <c r="I612" s="606">
        <f t="shared" si="133"/>
        <v>0</v>
      </c>
      <c r="J612" s="376"/>
    </row>
    <row r="613" spans="1:10" ht="23.4" x14ac:dyDescent="0.3">
      <c r="A613" s="1068"/>
      <c r="B613" s="799"/>
      <c r="C613" s="282" t="s">
        <v>388</v>
      </c>
      <c r="D613" s="437" t="s">
        <v>258</v>
      </c>
      <c r="E613" s="283">
        <v>10500</v>
      </c>
      <c r="F613" s="438">
        <f t="shared" si="131"/>
        <v>25750</v>
      </c>
      <c r="G613" s="587">
        <v>160.44999999999999</v>
      </c>
      <c r="H613" s="603">
        <f t="shared" si="132"/>
        <v>1684724.9999999998</v>
      </c>
      <c r="I613" s="606">
        <f t="shared" si="133"/>
        <v>4131587.4999999995</v>
      </c>
      <c r="J613" s="376"/>
    </row>
    <row r="614" spans="1:10" ht="23.4" x14ac:dyDescent="0.3">
      <c r="A614" s="1068"/>
      <c r="B614" s="799"/>
      <c r="C614" s="282" t="s">
        <v>461</v>
      </c>
      <c r="D614" s="437" t="s">
        <v>258</v>
      </c>
      <c r="E614" s="283"/>
      <c r="F614" s="438">
        <f t="shared" si="131"/>
        <v>6000</v>
      </c>
      <c r="G614" s="587">
        <v>160.44999999999999</v>
      </c>
      <c r="H614" s="603">
        <f t="shared" si="132"/>
        <v>0</v>
      </c>
      <c r="I614" s="606">
        <f t="shared" si="133"/>
        <v>962699.99999999988</v>
      </c>
      <c r="J614" s="376"/>
    </row>
    <row r="615" spans="1:10" ht="23.4" x14ac:dyDescent="0.3">
      <c r="A615" s="1068"/>
      <c r="B615" s="799"/>
      <c r="C615" s="282" t="s">
        <v>343</v>
      </c>
      <c r="D615" s="437" t="s">
        <v>258</v>
      </c>
      <c r="E615" s="283"/>
      <c r="F615" s="438">
        <f t="shared" si="131"/>
        <v>0</v>
      </c>
      <c r="G615" s="587">
        <v>160.44999999999999</v>
      </c>
      <c r="H615" s="603">
        <f t="shared" si="132"/>
        <v>0</v>
      </c>
      <c r="I615" s="606">
        <f t="shared" si="133"/>
        <v>0</v>
      </c>
      <c r="J615" s="376"/>
    </row>
    <row r="616" spans="1:10" ht="24" thickBot="1" x14ac:dyDescent="0.35">
      <c r="A616" s="1068"/>
      <c r="B616" s="799"/>
      <c r="C616" s="282" t="s">
        <v>340</v>
      </c>
      <c r="D616" s="437" t="s">
        <v>258</v>
      </c>
      <c r="E616" s="283"/>
      <c r="F616" s="438">
        <f t="shared" si="131"/>
        <v>0</v>
      </c>
      <c r="G616" s="587">
        <v>160.44999999999999</v>
      </c>
      <c r="H616" s="603">
        <f t="shared" si="132"/>
        <v>0</v>
      </c>
      <c r="I616" s="606">
        <f t="shared" si="133"/>
        <v>0</v>
      </c>
      <c r="J616" s="376"/>
    </row>
    <row r="617" spans="1:10" ht="24" thickBot="1" x14ac:dyDescent="0.35">
      <c r="A617" s="1068"/>
      <c r="B617" s="1063" t="s">
        <v>288</v>
      </c>
      <c r="C617" s="1064"/>
      <c r="D617" s="801"/>
      <c r="E617" s="329">
        <f>SUM(E606:E616)</f>
        <v>12250</v>
      </c>
      <c r="F617" s="329">
        <f>SUM(F606:F616)</f>
        <v>377802</v>
      </c>
      <c r="G617" s="329"/>
      <c r="H617" s="597">
        <f>SUM(H606:H616)</f>
        <v>1965512.4999999998</v>
      </c>
      <c r="I617" s="589">
        <f>SUM(I606:I616)</f>
        <v>16082516.5</v>
      </c>
      <c r="J617" s="352"/>
    </row>
    <row r="618" spans="1:10" ht="23.4" x14ac:dyDescent="0.3">
      <c r="A618" s="1068"/>
      <c r="B618" s="799"/>
      <c r="C618" s="282" t="s">
        <v>434</v>
      </c>
      <c r="D618" s="437" t="s">
        <v>435</v>
      </c>
      <c r="E618" s="283"/>
      <c r="F618" s="438">
        <f>+F534+E618</f>
        <v>250</v>
      </c>
      <c r="G618" s="587">
        <v>5.34</v>
      </c>
      <c r="H618" s="603">
        <f t="shared" ref="H618:H622" si="134">E618*G618</f>
        <v>0</v>
      </c>
      <c r="I618" s="606">
        <f t="shared" ref="I618" si="135">+G618*F618</f>
        <v>1335</v>
      </c>
      <c r="J618" s="376"/>
    </row>
    <row r="619" spans="1:10" ht="23.4" x14ac:dyDescent="0.3">
      <c r="A619" s="1068"/>
      <c r="B619" s="799"/>
      <c r="C619" s="282" t="s">
        <v>464</v>
      </c>
      <c r="D619" s="437" t="s">
        <v>286</v>
      </c>
      <c r="E619" s="283"/>
      <c r="F619" s="438">
        <f>+F535+E619</f>
        <v>50</v>
      </c>
      <c r="G619" s="587">
        <v>31.73</v>
      </c>
      <c r="H619" s="603">
        <f t="shared" si="134"/>
        <v>0</v>
      </c>
      <c r="I619" s="606">
        <f>+G619*F619</f>
        <v>1586.5</v>
      </c>
      <c r="J619" s="376"/>
    </row>
    <row r="620" spans="1:10" ht="23.4" x14ac:dyDescent="0.3">
      <c r="A620" s="1068"/>
      <c r="B620" s="805"/>
      <c r="C620" s="282" t="s">
        <v>473</v>
      </c>
      <c r="D620" s="437" t="s">
        <v>474</v>
      </c>
      <c r="E620" s="283">
        <v>2500</v>
      </c>
      <c r="F620" s="438">
        <f>+E620</f>
        <v>2500</v>
      </c>
      <c r="G620" s="587">
        <v>10.58</v>
      </c>
      <c r="H620" s="603">
        <f t="shared" ref="H620" si="136">E620*G620</f>
        <v>26450</v>
      </c>
      <c r="I620" s="606">
        <f>+G620*F620</f>
        <v>26450</v>
      </c>
      <c r="J620" s="376"/>
    </row>
    <row r="621" spans="1:10" ht="23.4" x14ac:dyDescent="0.3">
      <c r="A621" s="1068"/>
      <c r="B621" s="799"/>
      <c r="C621" s="282" t="s">
        <v>300</v>
      </c>
      <c r="D621" s="437" t="s">
        <v>301</v>
      </c>
      <c r="E621" s="283"/>
      <c r="F621" s="438">
        <f>+F536+E621</f>
        <v>1</v>
      </c>
      <c r="G621" s="587">
        <v>2500</v>
      </c>
      <c r="H621" s="603">
        <f t="shared" si="134"/>
        <v>0</v>
      </c>
      <c r="I621" s="606">
        <f>+G621*F621</f>
        <v>2500</v>
      </c>
      <c r="J621" s="376"/>
    </row>
    <row r="622" spans="1:10" ht="24" thickBot="1" x14ac:dyDescent="0.35">
      <c r="A622" s="1068"/>
      <c r="B622" s="799"/>
      <c r="C622" s="282" t="s">
        <v>332</v>
      </c>
      <c r="D622" s="437" t="s">
        <v>333</v>
      </c>
      <c r="E622" s="283"/>
      <c r="F622" s="438">
        <f>+F537+E622</f>
        <v>0</v>
      </c>
      <c r="G622" s="588">
        <v>360</v>
      </c>
      <c r="H622" s="603">
        <f t="shared" si="134"/>
        <v>0</v>
      </c>
      <c r="I622" s="606">
        <f t="shared" ref="I622" si="137">+G622*F622</f>
        <v>0</v>
      </c>
      <c r="J622" s="376"/>
    </row>
    <row r="623" spans="1:10" ht="24" thickBot="1" x14ac:dyDescent="0.35">
      <c r="A623" s="1068"/>
      <c r="B623" s="1063" t="s">
        <v>294</v>
      </c>
      <c r="C623" s="1064"/>
      <c r="D623" s="801"/>
      <c r="E623" s="329">
        <f>SUM(E618:E622)</f>
        <v>2500</v>
      </c>
      <c r="F623" s="329">
        <f>SUM(F618:F622)</f>
        <v>2801</v>
      </c>
      <c r="G623" s="329"/>
      <c r="H623" s="597">
        <f>SUM(H618:H622)</f>
        <v>26450</v>
      </c>
      <c r="I623" s="589">
        <f>SUM(I618:I622)</f>
        <v>31871.5</v>
      </c>
      <c r="J623" s="376"/>
    </row>
    <row r="624" spans="1:10" ht="24" thickBot="1" x14ac:dyDescent="0.35">
      <c r="A624" s="1068"/>
      <c r="B624" s="799"/>
      <c r="C624" s="282"/>
      <c r="D624" s="437"/>
      <c r="E624" s="283"/>
      <c r="F624" s="320"/>
      <c r="G624" s="588"/>
      <c r="H624" s="598"/>
      <c r="I624" s="285">
        <f t="shared" ref="I624" si="138">+G624*F624</f>
        <v>0</v>
      </c>
      <c r="J624" s="376"/>
    </row>
    <row r="625" spans="1:11" ht="24" thickBot="1" x14ac:dyDescent="0.35">
      <c r="A625" s="1069"/>
      <c r="B625" s="1063" t="s">
        <v>290</v>
      </c>
      <c r="C625" s="1064"/>
      <c r="D625" s="797"/>
      <c r="E625" s="329">
        <f>+E623+E617+E605</f>
        <v>208665</v>
      </c>
      <c r="F625" s="329">
        <f>+F623+F617+F605</f>
        <v>1454358</v>
      </c>
      <c r="G625" s="329"/>
      <c r="H625" s="589">
        <f>+H617+H605+H623</f>
        <v>7399524.9000000004</v>
      </c>
      <c r="I625" s="589">
        <f>+I617+I605+I623</f>
        <v>42373953.600000001</v>
      </c>
      <c r="J625" s="376"/>
      <c r="K625" s="757"/>
    </row>
    <row r="626" spans="1:11" ht="23.4" x14ac:dyDescent="0.3">
      <c r="A626" s="1067" t="s">
        <v>108</v>
      </c>
      <c r="B626" s="799"/>
      <c r="C626" s="282" t="s">
        <v>304</v>
      </c>
      <c r="D626" s="437" t="s">
        <v>191</v>
      </c>
      <c r="E626" s="283"/>
      <c r="F626" s="438">
        <f t="shared" ref="F626:F645" si="139">+F541+E626</f>
        <v>0</v>
      </c>
      <c r="G626" s="612">
        <v>13.25</v>
      </c>
      <c r="H626" s="607">
        <f t="shared" ref="H626:H645" si="140">E626*G626</f>
        <v>0</v>
      </c>
      <c r="I626" s="606">
        <f t="shared" ref="I626:I645" si="141">+G626*F626</f>
        <v>0</v>
      </c>
      <c r="J626" s="376"/>
    </row>
    <row r="627" spans="1:11" ht="23.4" x14ac:dyDescent="0.3">
      <c r="A627" s="1068"/>
      <c r="B627" s="799"/>
      <c r="C627" s="282" t="s">
        <v>305</v>
      </c>
      <c r="D627" s="437"/>
      <c r="E627" s="283"/>
      <c r="F627" s="438">
        <f t="shared" si="139"/>
        <v>1</v>
      </c>
      <c r="G627" s="613">
        <v>5000</v>
      </c>
      <c r="H627" s="607">
        <f t="shared" si="140"/>
        <v>0</v>
      </c>
      <c r="I627" s="606">
        <f t="shared" si="141"/>
        <v>5000</v>
      </c>
      <c r="J627" s="376"/>
    </row>
    <row r="628" spans="1:11" ht="23.4" x14ac:dyDescent="0.3">
      <c r="A628" s="1068"/>
      <c r="B628" s="799"/>
      <c r="C628" s="282" t="s">
        <v>305</v>
      </c>
      <c r="D628" s="437"/>
      <c r="E628" s="283"/>
      <c r="F628" s="438">
        <f t="shared" si="139"/>
        <v>0</v>
      </c>
      <c r="G628" s="613">
        <v>18000</v>
      </c>
      <c r="H628" s="607">
        <f t="shared" si="140"/>
        <v>0</v>
      </c>
      <c r="I628" s="606">
        <f t="shared" si="141"/>
        <v>0</v>
      </c>
      <c r="J628" s="376"/>
    </row>
    <row r="629" spans="1:11" ht="23.4" x14ac:dyDescent="0.3">
      <c r="A629" s="1068"/>
      <c r="B629" s="799"/>
      <c r="C629" s="282" t="s">
        <v>317</v>
      </c>
      <c r="D629" s="437" t="s">
        <v>191</v>
      </c>
      <c r="E629" s="283"/>
      <c r="F629" s="438">
        <f t="shared" si="139"/>
        <v>0</v>
      </c>
      <c r="G629" s="612">
        <v>24.93</v>
      </c>
      <c r="H629" s="607">
        <f t="shared" si="140"/>
        <v>0</v>
      </c>
      <c r="I629" s="606">
        <f t="shared" si="141"/>
        <v>0</v>
      </c>
      <c r="J629" s="376"/>
    </row>
    <row r="630" spans="1:11" ht="23.4" x14ac:dyDescent="0.3">
      <c r="A630" s="1068"/>
      <c r="B630" s="799"/>
      <c r="C630" s="282" t="s">
        <v>324</v>
      </c>
      <c r="D630" s="437" t="s">
        <v>99</v>
      </c>
      <c r="E630" s="283"/>
      <c r="F630" s="438">
        <f t="shared" si="139"/>
        <v>0</v>
      </c>
      <c r="G630" s="612">
        <v>26</v>
      </c>
      <c r="H630" s="607">
        <f t="shared" si="140"/>
        <v>0</v>
      </c>
      <c r="I630" s="606">
        <f t="shared" si="141"/>
        <v>0</v>
      </c>
      <c r="J630" s="376"/>
    </row>
    <row r="631" spans="1:11" ht="23.4" x14ac:dyDescent="0.3">
      <c r="A631" s="1068"/>
      <c r="B631" s="799"/>
      <c r="C631" s="282" t="s">
        <v>325</v>
      </c>
      <c r="D631" s="437" t="s">
        <v>191</v>
      </c>
      <c r="E631" s="283"/>
      <c r="F631" s="438">
        <f t="shared" si="139"/>
        <v>0</v>
      </c>
      <c r="G631" s="612">
        <v>25.49</v>
      </c>
      <c r="H631" s="607">
        <f t="shared" si="140"/>
        <v>0</v>
      </c>
      <c r="I631" s="606">
        <f t="shared" si="141"/>
        <v>0</v>
      </c>
      <c r="J631" s="376"/>
    </row>
    <row r="632" spans="1:11" ht="23.4" x14ac:dyDescent="0.3">
      <c r="A632" s="1068"/>
      <c r="B632" s="799"/>
      <c r="C632" s="282" t="s">
        <v>326</v>
      </c>
      <c r="D632" s="437" t="s">
        <v>114</v>
      </c>
      <c r="E632" s="283"/>
      <c r="F632" s="438">
        <f t="shared" si="139"/>
        <v>0</v>
      </c>
      <c r="G632" s="612">
        <v>24.93</v>
      </c>
      <c r="H632" s="607">
        <f t="shared" si="140"/>
        <v>0</v>
      </c>
      <c r="I632" s="606">
        <f t="shared" si="141"/>
        <v>0</v>
      </c>
      <c r="J632" s="376"/>
    </row>
    <row r="633" spans="1:11" ht="23.4" x14ac:dyDescent="0.3">
      <c r="A633" s="1068"/>
      <c r="B633" s="799"/>
      <c r="C633" s="282" t="s">
        <v>327</v>
      </c>
      <c r="D633" s="437" t="s">
        <v>303</v>
      </c>
      <c r="E633" s="283"/>
      <c r="F633" s="438">
        <f t="shared" si="139"/>
        <v>0</v>
      </c>
      <c r="G633" s="612">
        <v>24.93</v>
      </c>
      <c r="H633" s="607">
        <f t="shared" si="140"/>
        <v>0</v>
      </c>
      <c r="I633" s="606">
        <f t="shared" si="141"/>
        <v>0</v>
      </c>
      <c r="J633" s="376"/>
    </row>
    <row r="634" spans="1:11" ht="23.4" x14ac:dyDescent="0.3">
      <c r="A634" s="1068"/>
      <c r="B634" s="799"/>
      <c r="C634" s="282" t="s">
        <v>328</v>
      </c>
      <c r="D634" s="437" t="s">
        <v>99</v>
      </c>
      <c r="E634" s="283"/>
      <c r="F634" s="438">
        <f t="shared" si="139"/>
        <v>0</v>
      </c>
      <c r="G634" s="612">
        <v>20.89</v>
      </c>
      <c r="H634" s="607">
        <f t="shared" si="140"/>
        <v>0</v>
      </c>
      <c r="I634" s="606">
        <f t="shared" si="141"/>
        <v>0</v>
      </c>
      <c r="J634" s="376"/>
    </row>
    <row r="635" spans="1:11" ht="23.4" x14ac:dyDescent="0.3">
      <c r="A635" s="1068"/>
      <c r="B635" s="799"/>
      <c r="C635" s="282" t="s">
        <v>394</v>
      </c>
      <c r="D635" s="437" t="s">
        <v>338</v>
      </c>
      <c r="E635" s="283"/>
      <c r="F635" s="438">
        <f t="shared" si="139"/>
        <v>0</v>
      </c>
      <c r="G635" s="612">
        <v>37.4566666666</v>
      </c>
      <c r="H635" s="607">
        <f t="shared" si="140"/>
        <v>0</v>
      </c>
      <c r="I635" s="606">
        <f t="shared" si="141"/>
        <v>0</v>
      </c>
      <c r="J635" s="376"/>
    </row>
    <row r="636" spans="1:11" ht="23.4" x14ac:dyDescent="0.3">
      <c r="A636" s="1068"/>
      <c r="B636" s="799"/>
      <c r="C636" s="282" t="s">
        <v>395</v>
      </c>
      <c r="D636" s="437" t="s">
        <v>338</v>
      </c>
      <c r="E636" s="283"/>
      <c r="F636" s="438">
        <f t="shared" si="139"/>
        <v>0</v>
      </c>
      <c r="G636" s="612">
        <v>37.89</v>
      </c>
      <c r="H636" s="607">
        <f t="shared" si="140"/>
        <v>0</v>
      </c>
      <c r="I636" s="606">
        <f t="shared" si="141"/>
        <v>0</v>
      </c>
      <c r="J636" s="376"/>
    </row>
    <row r="637" spans="1:11" ht="23.4" x14ac:dyDescent="0.3">
      <c r="A637" s="1068"/>
      <c r="B637" s="799"/>
      <c r="C637" s="282" t="s">
        <v>326</v>
      </c>
      <c r="D637" s="437" t="s">
        <v>302</v>
      </c>
      <c r="E637" s="283"/>
      <c r="F637" s="438">
        <f t="shared" si="139"/>
        <v>0</v>
      </c>
      <c r="G637" s="612">
        <v>24.93</v>
      </c>
      <c r="H637" s="607">
        <f t="shared" si="140"/>
        <v>0</v>
      </c>
      <c r="I637" s="606">
        <f t="shared" si="141"/>
        <v>0</v>
      </c>
      <c r="J637" s="376"/>
    </row>
    <row r="638" spans="1:11" ht="23.4" x14ac:dyDescent="0.3">
      <c r="A638" s="1068"/>
      <c r="B638" s="799"/>
      <c r="C638" s="282" t="s">
        <v>402</v>
      </c>
      <c r="D638" s="437" t="s">
        <v>376</v>
      </c>
      <c r="E638" s="283"/>
      <c r="F638" s="438">
        <f t="shared" si="139"/>
        <v>0</v>
      </c>
      <c r="G638" s="612">
        <v>24.93</v>
      </c>
      <c r="H638" s="607">
        <f t="shared" si="140"/>
        <v>0</v>
      </c>
      <c r="I638" s="606">
        <f t="shared" si="141"/>
        <v>0</v>
      </c>
      <c r="J638" s="376"/>
    </row>
    <row r="639" spans="1:11" ht="23.4" x14ac:dyDescent="0.3">
      <c r="A639" s="1068"/>
      <c r="B639" s="799"/>
      <c r="C639" s="282" t="s">
        <v>350</v>
      </c>
      <c r="D639" s="437" t="s">
        <v>313</v>
      </c>
      <c r="E639" s="283"/>
      <c r="F639" s="438">
        <f t="shared" si="139"/>
        <v>0</v>
      </c>
      <c r="G639" s="612">
        <v>34.26</v>
      </c>
      <c r="H639" s="607">
        <f t="shared" si="140"/>
        <v>0</v>
      </c>
      <c r="I639" s="606">
        <f t="shared" si="141"/>
        <v>0</v>
      </c>
      <c r="J639" s="376"/>
    </row>
    <row r="640" spans="1:11" ht="23.4" x14ac:dyDescent="0.3">
      <c r="A640" s="1068"/>
      <c r="B640" s="799"/>
      <c r="C640" s="282" t="s">
        <v>363</v>
      </c>
      <c r="D640" s="437" t="s">
        <v>401</v>
      </c>
      <c r="E640" s="283"/>
      <c r="F640" s="438">
        <f t="shared" si="139"/>
        <v>0</v>
      </c>
      <c r="G640" s="612">
        <v>37.89</v>
      </c>
      <c r="H640" s="607">
        <f t="shared" si="140"/>
        <v>0</v>
      </c>
      <c r="I640" s="606">
        <f t="shared" si="141"/>
        <v>0</v>
      </c>
      <c r="J640" s="376"/>
    </row>
    <row r="641" spans="1:10" ht="23.4" x14ac:dyDescent="0.3">
      <c r="A641" s="1068"/>
      <c r="B641" s="799"/>
      <c r="C641" s="282" t="s">
        <v>406</v>
      </c>
      <c r="D641" s="437" t="s">
        <v>376</v>
      </c>
      <c r="E641" s="283"/>
      <c r="F641" s="438">
        <f t="shared" si="139"/>
        <v>0</v>
      </c>
      <c r="G641" s="612">
        <v>39</v>
      </c>
      <c r="H641" s="607">
        <f t="shared" si="140"/>
        <v>0</v>
      </c>
      <c r="I641" s="606">
        <f t="shared" si="141"/>
        <v>0</v>
      </c>
      <c r="J641" s="376"/>
    </row>
    <row r="642" spans="1:10" ht="23.4" x14ac:dyDescent="0.3">
      <c r="A642" s="1068"/>
      <c r="B642" s="799"/>
      <c r="C642" s="282" t="s">
        <v>327</v>
      </c>
      <c r="D642" s="437" t="s">
        <v>190</v>
      </c>
      <c r="E642" s="283">
        <v>39780</v>
      </c>
      <c r="F642" s="438">
        <f t="shared" si="139"/>
        <v>63648</v>
      </c>
      <c r="G642" s="612">
        <v>21.22</v>
      </c>
      <c r="H642" s="607">
        <f t="shared" si="140"/>
        <v>844131.6</v>
      </c>
      <c r="I642" s="606">
        <f t="shared" si="141"/>
        <v>1350610.5599999998</v>
      </c>
      <c r="J642" s="376"/>
    </row>
    <row r="643" spans="1:10" ht="23.4" x14ac:dyDescent="0.3">
      <c r="A643" s="1068"/>
      <c r="B643" s="799"/>
      <c r="C643" s="282" t="s">
        <v>326</v>
      </c>
      <c r="D643" s="437" t="s">
        <v>190</v>
      </c>
      <c r="E643" s="283"/>
      <c r="F643" s="438">
        <f t="shared" si="139"/>
        <v>0</v>
      </c>
      <c r="G643" s="612">
        <v>21.22</v>
      </c>
      <c r="H643" s="607">
        <f t="shared" si="140"/>
        <v>0</v>
      </c>
      <c r="I643" s="606">
        <f t="shared" si="141"/>
        <v>0</v>
      </c>
      <c r="J643" s="376"/>
    </row>
    <row r="644" spans="1:10" ht="23.4" x14ac:dyDescent="0.3">
      <c r="A644" s="1068"/>
      <c r="B644" s="799"/>
      <c r="C644" s="282" t="s">
        <v>377</v>
      </c>
      <c r="D644" s="437" t="s">
        <v>333</v>
      </c>
      <c r="E644" s="283"/>
      <c r="F644" s="438">
        <f t="shared" si="139"/>
        <v>0</v>
      </c>
      <c r="G644" s="612">
        <v>10000</v>
      </c>
      <c r="H644" s="607">
        <f t="shared" si="140"/>
        <v>0</v>
      </c>
      <c r="I644" s="606">
        <f t="shared" si="141"/>
        <v>0</v>
      </c>
      <c r="J644" s="376"/>
    </row>
    <row r="645" spans="1:10" ht="24" thickBot="1" x14ac:dyDescent="0.35">
      <c r="A645" s="1068"/>
      <c r="B645" s="799"/>
      <c r="C645" s="282" t="s">
        <v>332</v>
      </c>
      <c r="D645" s="437" t="s">
        <v>333</v>
      </c>
      <c r="E645" s="283"/>
      <c r="F645" s="438">
        <f t="shared" si="139"/>
        <v>0</v>
      </c>
      <c r="G645" s="612">
        <v>360</v>
      </c>
      <c r="H645" s="607">
        <f t="shared" si="140"/>
        <v>0</v>
      </c>
      <c r="I645" s="606">
        <f t="shared" si="141"/>
        <v>0</v>
      </c>
      <c r="J645" s="376"/>
    </row>
    <row r="646" spans="1:10" ht="24" thickBot="1" x14ac:dyDescent="0.35">
      <c r="A646" s="1069"/>
      <c r="B646" s="1063" t="s">
        <v>289</v>
      </c>
      <c r="C646" s="1064"/>
      <c r="D646" s="801"/>
      <c r="E646" s="329">
        <f>SUM(E626:E645)</f>
        <v>39780</v>
      </c>
      <c r="F646" s="329">
        <f>SUM(F626:F645)</f>
        <v>63649</v>
      </c>
      <c r="G646" s="329"/>
      <c r="H646" s="597"/>
      <c r="I646" s="589">
        <f>SUM(I626:I645)</f>
        <v>1355610.5599999998</v>
      </c>
      <c r="J646" s="376"/>
    </row>
    <row r="647" spans="1:10" ht="23.4" x14ac:dyDescent="0.3">
      <c r="A647" s="1067" t="s">
        <v>109</v>
      </c>
      <c r="B647" s="799"/>
      <c r="C647" s="282" t="s">
        <v>296</v>
      </c>
      <c r="D647" s="437" t="s">
        <v>258</v>
      </c>
      <c r="E647" s="283"/>
      <c r="F647" s="438">
        <f t="shared" ref="F647:F667" si="142">+F562+E647</f>
        <v>4023</v>
      </c>
      <c r="G647" s="612">
        <v>430.02</v>
      </c>
      <c r="H647" s="603">
        <f>E647*G647</f>
        <v>0</v>
      </c>
      <c r="I647" s="606">
        <f t="shared" ref="I647:I667" si="143">+G647*F647</f>
        <v>1729970.46</v>
      </c>
      <c r="J647" s="376"/>
    </row>
    <row r="648" spans="1:10" ht="23.4" x14ac:dyDescent="0.3">
      <c r="A648" s="1068"/>
      <c r="B648" s="799"/>
      <c r="C648" s="282" t="s">
        <v>297</v>
      </c>
      <c r="D648" s="437" t="s">
        <v>258</v>
      </c>
      <c r="E648" s="283"/>
      <c r="F648" s="438">
        <f t="shared" si="142"/>
        <v>4753</v>
      </c>
      <c r="G648" s="612">
        <v>445.38</v>
      </c>
      <c r="H648" s="603">
        <f t="shared" ref="H648:H667" si="144">E648*G648</f>
        <v>0</v>
      </c>
      <c r="I648" s="606">
        <f t="shared" si="143"/>
        <v>2116891.14</v>
      </c>
      <c r="J648" s="376"/>
    </row>
    <row r="649" spans="1:10" ht="23.4" x14ac:dyDescent="0.3">
      <c r="A649" s="1068"/>
      <c r="B649" s="799"/>
      <c r="C649" s="282" t="s">
        <v>467</v>
      </c>
      <c r="D649" s="437" t="s">
        <v>258</v>
      </c>
      <c r="E649" s="283"/>
      <c r="F649" s="438">
        <f t="shared" si="142"/>
        <v>5120</v>
      </c>
      <c r="G649" s="612">
        <v>445.38</v>
      </c>
      <c r="H649" s="603">
        <f t="shared" si="144"/>
        <v>0</v>
      </c>
      <c r="I649" s="606">
        <f t="shared" si="143"/>
        <v>2280345.6000000001</v>
      </c>
      <c r="J649" s="376"/>
    </row>
    <row r="650" spans="1:10" ht="23.4" x14ac:dyDescent="0.3">
      <c r="A650" s="1068"/>
      <c r="B650" s="799"/>
      <c r="C650" s="282" t="s">
        <v>330</v>
      </c>
      <c r="D650" s="437" t="s">
        <v>258</v>
      </c>
      <c r="E650" s="283"/>
      <c r="F650" s="438">
        <f t="shared" si="142"/>
        <v>0</v>
      </c>
      <c r="G650" s="612">
        <v>63.55</v>
      </c>
      <c r="H650" s="603">
        <f t="shared" si="144"/>
        <v>0</v>
      </c>
      <c r="I650" s="606">
        <f t="shared" si="143"/>
        <v>0</v>
      </c>
      <c r="J650" s="376"/>
    </row>
    <row r="651" spans="1:10" ht="23.4" x14ac:dyDescent="0.3">
      <c r="A651" s="1068"/>
      <c r="B651" s="799"/>
      <c r="C651" s="282" t="s">
        <v>298</v>
      </c>
      <c r="D651" s="437" t="s">
        <v>258</v>
      </c>
      <c r="E651" s="283">
        <v>3360</v>
      </c>
      <c r="F651" s="438">
        <f t="shared" si="142"/>
        <v>34596</v>
      </c>
      <c r="G651" s="612">
        <v>71.44</v>
      </c>
      <c r="H651" s="603">
        <f t="shared" si="144"/>
        <v>240038.39999999999</v>
      </c>
      <c r="I651" s="606">
        <f t="shared" si="143"/>
        <v>2471538.2399999998</v>
      </c>
      <c r="J651" s="376"/>
    </row>
    <row r="652" spans="1:10" ht="23.4" x14ac:dyDescent="0.3">
      <c r="A652" s="1068"/>
      <c r="B652" s="799"/>
      <c r="C652" s="282" t="s">
        <v>299</v>
      </c>
      <c r="D652" s="437" t="s">
        <v>258</v>
      </c>
      <c r="E652" s="283"/>
      <c r="F652" s="438">
        <f t="shared" si="142"/>
        <v>0</v>
      </c>
      <c r="G652" s="612">
        <v>36.5</v>
      </c>
      <c r="H652" s="603">
        <f t="shared" si="144"/>
        <v>0</v>
      </c>
      <c r="I652" s="606">
        <f t="shared" si="143"/>
        <v>0</v>
      </c>
      <c r="J652" s="376"/>
    </row>
    <row r="653" spans="1:10" ht="23.4" x14ac:dyDescent="0.3">
      <c r="A653" s="1068"/>
      <c r="B653" s="799"/>
      <c r="C653" s="282" t="s">
        <v>308</v>
      </c>
      <c r="D653" s="437" t="s">
        <v>258</v>
      </c>
      <c r="E653" s="283"/>
      <c r="F653" s="438">
        <f t="shared" si="142"/>
        <v>5640</v>
      </c>
      <c r="G653" s="612">
        <v>320.35000000000002</v>
      </c>
      <c r="H653" s="603">
        <f t="shared" si="144"/>
        <v>0</v>
      </c>
      <c r="I653" s="606">
        <f t="shared" si="143"/>
        <v>1806774.0000000002</v>
      </c>
      <c r="J653" s="376"/>
    </row>
    <row r="654" spans="1:10" ht="23.4" x14ac:dyDescent="0.3">
      <c r="A654" s="1068"/>
      <c r="B654" s="799"/>
      <c r="C654" s="282" t="s">
        <v>322</v>
      </c>
      <c r="D654" s="437" t="s">
        <v>258</v>
      </c>
      <c r="E654" s="283"/>
      <c r="F654" s="438">
        <f t="shared" si="142"/>
        <v>0</v>
      </c>
      <c r="G654" s="612">
        <v>434.41</v>
      </c>
      <c r="H654" s="603">
        <f t="shared" si="144"/>
        <v>0</v>
      </c>
      <c r="I654" s="606">
        <f t="shared" si="143"/>
        <v>0</v>
      </c>
      <c r="J654" s="376"/>
    </row>
    <row r="655" spans="1:10" ht="23.4" x14ac:dyDescent="0.3">
      <c r="A655" s="1068"/>
      <c r="B655" s="799"/>
      <c r="C655" s="282" t="s">
        <v>305</v>
      </c>
      <c r="D655" s="437" t="s">
        <v>258</v>
      </c>
      <c r="E655" s="283"/>
      <c r="F655" s="438">
        <f t="shared" si="142"/>
        <v>0</v>
      </c>
      <c r="G655" s="612">
        <v>29690</v>
      </c>
      <c r="H655" s="603">
        <f t="shared" si="144"/>
        <v>0</v>
      </c>
      <c r="I655" s="606">
        <f t="shared" si="143"/>
        <v>0</v>
      </c>
      <c r="J655" s="376"/>
    </row>
    <row r="656" spans="1:10" ht="23.4" x14ac:dyDescent="0.3">
      <c r="A656" s="1068"/>
      <c r="B656" s="799"/>
      <c r="C656" s="282" t="s">
        <v>305</v>
      </c>
      <c r="D656" s="437" t="s">
        <v>258</v>
      </c>
      <c r="E656" s="283"/>
      <c r="F656" s="438">
        <f t="shared" si="142"/>
        <v>2</v>
      </c>
      <c r="G656" s="612">
        <v>26445</v>
      </c>
      <c r="H656" s="603">
        <f t="shared" si="144"/>
        <v>0</v>
      </c>
      <c r="I656" s="606">
        <f t="shared" si="143"/>
        <v>52890</v>
      </c>
      <c r="J656" s="376"/>
    </row>
    <row r="657" spans="1:10" ht="23.4" x14ac:dyDescent="0.3">
      <c r="A657" s="1068"/>
      <c r="B657" s="799"/>
      <c r="C657" s="282" t="s">
        <v>341</v>
      </c>
      <c r="D657" s="437" t="s">
        <v>375</v>
      </c>
      <c r="E657" s="283">
        <v>2835</v>
      </c>
      <c r="F657" s="438">
        <f t="shared" si="142"/>
        <v>2835</v>
      </c>
      <c r="G657" s="612">
        <v>50</v>
      </c>
      <c r="H657" s="603">
        <f t="shared" si="144"/>
        <v>141750</v>
      </c>
      <c r="I657" s="606">
        <f t="shared" si="143"/>
        <v>141750</v>
      </c>
      <c r="J657" s="376"/>
    </row>
    <row r="658" spans="1:10" ht="23.4" x14ac:dyDescent="0.3">
      <c r="A658" s="1068"/>
      <c r="B658" s="799"/>
      <c r="C658" s="282" t="s">
        <v>341</v>
      </c>
      <c r="D658" s="437" t="s">
        <v>375</v>
      </c>
      <c r="E658" s="283"/>
      <c r="F658" s="438">
        <f t="shared" si="142"/>
        <v>0</v>
      </c>
      <c r="G658" s="612">
        <v>45</v>
      </c>
      <c r="H658" s="603">
        <f t="shared" si="144"/>
        <v>0</v>
      </c>
      <c r="I658" s="606">
        <f t="shared" si="143"/>
        <v>0</v>
      </c>
      <c r="J658" s="376"/>
    </row>
    <row r="659" spans="1:10" ht="23.4" x14ac:dyDescent="0.3">
      <c r="A659" s="1068"/>
      <c r="B659" s="799"/>
      <c r="C659" s="282" t="s">
        <v>364</v>
      </c>
      <c r="D659" s="437" t="s">
        <v>428</v>
      </c>
      <c r="E659" s="283"/>
      <c r="F659" s="438">
        <f t="shared" si="142"/>
        <v>700</v>
      </c>
      <c r="G659" s="612">
        <v>57.64</v>
      </c>
      <c r="H659" s="603">
        <f t="shared" si="144"/>
        <v>0</v>
      </c>
      <c r="I659" s="606">
        <f t="shared" si="143"/>
        <v>40348</v>
      </c>
      <c r="J659" s="376"/>
    </row>
    <row r="660" spans="1:10" ht="23.4" x14ac:dyDescent="0.3">
      <c r="A660" s="1068"/>
      <c r="B660" s="799"/>
      <c r="C660" s="282" t="s">
        <v>364</v>
      </c>
      <c r="D660" s="437" t="s">
        <v>407</v>
      </c>
      <c r="E660" s="283"/>
      <c r="F660" s="438">
        <f t="shared" si="142"/>
        <v>0</v>
      </c>
      <c r="G660" s="612">
        <v>57.64</v>
      </c>
      <c r="H660" s="603">
        <f t="shared" si="144"/>
        <v>0</v>
      </c>
      <c r="I660" s="606">
        <f t="shared" si="143"/>
        <v>0</v>
      </c>
      <c r="J660" s="376"/>
    </row>
    <row r="661" spans="1:10" ht="23.4" x14ac:dyDescent="0.3">
      <c r="A661" s="1068"/>
      <c r="B661" s="799"/>
      <c r="C661" s="282" t="s">
        <v>365</v>
      </c>
      <c r="D661" s="437" t="s">
        <v>366</v>
      </c>
      <c r="E661" s="283"/>
      <c r="F661" s="438">
        <f t="shared" si="142"/>
        <v>0</v>
      </c>
      <c r="G661" s="612">
        <v>434.41</v>
      </c>
      <c r="H661" s="603">
        <f t="shared" si="144"/>
        <v>0</v>
      </c>
      <c r="I661" s="606">
        <f t="shared" si="143"/>
        <v>0</v>
      </c>
      <c r="J661" s="376"/>
    </row>
    <row r="662" spans="1:10" ht="23.4" x14ac:dyDescent="0.3">
      <c r="A662" s="1068"/>
      <c r="B662" s="799"/>
      <c r="C662" s="282" t="s">
        <v>381</v>
      </c>
      <c r="D662" s="437" t="s">
        <v>258</v>
      </c>
      <c r="E662" s="283"/>
      <c r="F662" s="438">
        <f t="shared" si="142"/>
        <v>0</v>
      </c>
      <c r="G662" s="612">
        <v>624.26</v>
      </c>
      <c r="H662" s="603">
        <f t="shared" si="144"/>
        <v>0</v>
      </c>
      <c r="I662" s="606">
        <f t="shared" si="143"/>
        <v>0</v>
      </c>
      <c r="J662" s="376"/>
    </row>
    <row r="663" spans="1:10" ht="23.4" x14ac:dyDescent="0.3">
      <c r="A663" s="1068"/>
      <c r="B663" s="799"/>
      <c r="C663" s="282" t="s">
        <v>367</v>
      </c>
      <c r="D663" s="437" t="s">
        <v>366</v>
      </c>
      <c r="E663" s="283"/>
      <c r="F663" s="438">
        <f t="shared" si="142"/>
        <v>0</v>
      </c>
      <c r="G663" s="612">
        <v>63.55</v>
      </c>
      <c r="H663" s="603">
        <f t="shared" si="144"/>
        <v>0</v>
      </c>
      <c r="I663" s="606">
        <f t="shared" si="143"/>
        <v>0</v>
      </c>
      <c r="J663" s="376"/>
    </row>
    <row r="664" spans="1:10" ht="23.4" x14ac:dyDescent="0.3">
      <c r="A664" s="1068"/>
      <c r="B664" s="799"/>
      <c r="C664" s="282" t="s">
        <v>429</v>
      </c>
      <c r="D664" s="437" t="s">
        <v>258</v>
      </c>
      <c r="E664" s="283">
        <v>17280</v>
      </c>
      <c r="F664" s="438">
        <f t="shared" si="142"/>
        <v>65616</v>
      </c>
      <c r="G664" s="612">
        <v>59.96</v>
      </c>
      <c r="H664" s="603">
        <f t="shared" si="144"/>
        <v>1036108.8</v>
      </c>
      <c r="I664" s="606">
        <f t="shared" si="143"/>
        <v>3934335.36</v>
      </c>
      <c r="J664" s="376"/>
    </row>
    <row r="665" spans="1:10" ht="23.4" x14ac:dyDescent="0.3">
      <c r="A665" s="1068"/>
      <c r="B665" s="799"/>
      <c r="C665" s="282" t="s">
        <v>446</v>
      </c>
      <c r="D665" s="437"/>
      <c r="E665" s="283"/>
      <c r="F665" s="438">
        <f t="shared" si="142"/>
        <v>8318</v>
      </c>
      <c r="G665" s="612">
        <v>360</v>
      </c>
      <c r="H665" s="603">
        <f t="shared" si="144"/>
        <v>0</v>
      </c>
      <c r="I665" s="606">
        <f t="shared" si="143"/>
        <v>2994480</v>
      </c>
      <c r="J665" s="376"/>
    </row>
    <row r="666" spans="1:10" ht="23.4" x14ac:dyDescent="0.3">
      <c r="A666" s="1068"/>
      <c r="B666" s="799"/>
      <c r="C666" s="282" t="s">
        <v>305</v>
      </c>
      <c r="D666" s="437"/>
      <c r="E666" s="283"/>
      <c r="F666" s="438">
        <f t="shared" si="142"/>
        <v>0</v>
      </c>
      <c r="G666" s="612">
        <v>39450</v>
      </c>
      <c r="H666" s="603">
        <f t="shared" si="144"/>
        <v>0</v>
      </c>
      <c r="I666" s="606">
        <f t="shared" si="143"/>
        <v>0</v>
      </c>
      <c r="J666" s="376"/>
    </row>
    <row r="667" spans="1:10" ht="24" thickBot="1" x14ac:dyDescent="0.35">
      <c r="A667" s="1068"/>
      <c r="B667" s="799"/>
      <c r="C667" s="282" t="s">
        <v>364</v>
      </c>
      <c r="D667" s="437" t="s">
        <v>258</v>
      </c>
      <c r="E667" s="283"/>
      <c r="F667" s="438">
        <f t="shared" si="142"/>
        <v>0</v>
      </c>
      <c r="G667" s="612">
        <v>57.64</v>
      </c>
      <c r="H667" s="603">
        <f t="shared" si="144"/>
        <v>0</v>
      </c>
      <c r="I667" s="606">
        <f t="shared" si="143"/>
        <v>0</v>
      </c>
      <c r="J667" s="376"/>
    </row>
    <row r="668" spans="1:10" ht="24" thickBot="1" x14ac:dyDescent="0.35">
      <c r="A668" s="1069"/>
      <c r="B668" s="1063" t="s">
        <v>291</v>
      </c>
      <c r="C668" s="1064"/>
      <c r="D668" s="801"/>
      <c r="E668" s="329">
        <f>SUM(E647:E667)</f>
        <v>23475</v>
      </c>
      <c r="F668" s="329">
        <f>SUM(F647:F667)</f>
        <v>131603</v>
      </c>
      <c r="G668" s="329"/>
      <c r="H668" s="600">
        <f>SUM(H647:H667)</f>
        <v>1417897.2000000002</v>
      </c>
      <c r="I668" s="589">
        <f>SUM(I647:I667)</f>
        <v>17569322.799999997</v>
      </c>
      <c r="J668" s="375"/>
    </row>
    <row r="669" spans="1:10" ht="24" thickBot="1" x14ac:dyDescent="0.35">
      <c r="A669" s="804"/>
      <c r="B669" s="440"/>
      <c r="C669" s="282" t="s">
        <v>446</v>
      </c>
      <c r="D669" s="437"/>
      <c r="E669" s="283"/>
      <c r="F669" s="284">
        <f>+F584+E669</f>
        <v>0</v>
      </c>
      <c r="G669" s="337"/>
      <c r="H669" s="599">
        <f t="shared" ref="H669" si="145">E669*G669</f>
        <v>0</v>
      </c>
      <c r="I669" s="285">
        <f t="shared" ref="I669" si="146">+G669*F669</f>
        <v>0</v>
      </c>
      <c r="J669" s="376"/>
    </row>
    <row r="670" spans="1:10" ht="24" thickBot="1" x14ac:dyDescent="0.35">
      <c r="A670" s="804"/>
      <c r="B670" s="1063" t="s">
        <v>238</v>
      </c>
      <c r="C670" s="1064"/>
      <c r="D670" s="797"/>
      <c r="E670" s="329"/>
      <c r="F670" s="330"/>
      <c r="G670" s="329"/>
      <c r="H670" s="597"/>
      <c r="I670" s="327">
        <f>SUM(I669)</f>
        <v>0</v>
      </c>
      <c r="J670" s="352"/>
    </row>
    <row r="671" spans="1:10" ht="24.6" thickBot="1" x14ac:dyDescent="0.35">
      <c r="A671" s="322"/>
      <c r="B671" s="1065" t="s">
        <v>182</v>
      </c>
      <c r="C671" s="1066"/>
      <c r="D671" s="798"/>
      <c r="E671" s="377">
        <f>+E668+E646+E625+E623</f>
        <v>274420</v>
      </c>
      <c r="F671" s="377">
        <f>+F668+F646+F625+F623</f>
        <v>1652411</v>
      </c>
      <c r="G671" s="377"/>
      <c r="H671" s="377"/>
      <c r="I671" s="377">
        <f>+I668+I646+I625+I670</f>
        <v>61298886.959999993</v>
      </c>
      <c r="J671" s="378"/>
    </row>
    <row r="672" spans="1:10" ht="23.4" x14ac:dyDescent="0.3">
      <c r="A672" s="991" t="s">
        <v>1</v>
      </c>
      <c r="B672" s="994" t="s">
        <v>2</v>
      </c>
      <c r="C672" s="1072" t="s">
        <v>477</v>
      </c>
      <c r="D672" s="1043" t="s">
        <v>478</v>
      </c>
      <c r="E672" s="1076">
        <v>44543</v>
      </c>
      <c r="F672" s="1001"/>
      <c r="G672" s="1001"/>
      <c r="H672" s="1001"/>
      <c r="I672" s="1001"/>
      <c r="J672" s="1002"/>
    </row>
    <row r="673" spans="1:10" ht="23.4" x14ac:dyDescent="0.3">
      <c r="A673" s="1070"/>
      <c r="B673" s="1071"/>
      <c r="C673" s="1073"/>
      <c r="D673" s="1044"/>
      <c r="E673" s="1077" t="s">
        <v>493</v>
      </c>
      <c r="F673" s="1078"/>
      <c r="G673" s="1077" t="s">
        <v>492</v>
      </c>
      <c r="H673" s="1079"/>
      <c r="I673" s="1079"/>
      <c r="J673" s="1078"/>
    </row>
    <row r="674" spans="1:10" x14ac:dyDescent="0.3">
      <c r="A674" s="992"/>
      <c r="B674" s="995"/>
      <c r="C674" s="1074"/>
      <c r="D674" s="1044"/>
      <c r="E674" s="1003" t="s">
        <v>494</v>
      </c>
      <c r="F674" s="1005" t="s">
        <v>495</v>
      </c>
      <c r="G674" s="1081" t="s">
        <v>97</v>
      </c>
      <c r="H674" s="1083" t="s">
        <v>98</v>
      </c>
      <c r="I674" s="1083" t="s">
        <v>98</v>
      </c>
      <c r="J674" s="1085" t="s">
        <v>12</v>
      </c>
    </row>
    <row r="675" spans="1:10" ht="14.4" thickBot="1" x14ac:dyDescent="0.35">
      <c r="A675" s="993"/>
      <c r="B675" s="996"/>
      <c r="C675" s="1075"/>
      <c r="D675" s="1045"/>
      <c r="E675" s="1004"/>
      <c r="F675" s="1080"/>
      <c r="G675" s="1082"/>
      <c r="H675" s="1084"/>
      <c r="I675" s="1084"/>
      <c r="J675" s="1086"/>
    </row>
    <row r="676" spans="1:10" ht="23.4" x14ac:dyDescent="0.3">
      <c r="A676" s="1067" t="s">
        <v>110</v>
      </c>
      <c r="B676" s="442"/>
      <c r="C676" s="584" t="s">
        <v>292</v>
      </c>
      <c r="D676" s="686" t="s">
        <v>284</v>
      </c>
      <c r="E676" s="744"/>
      <c r="F676" s="695">
        <f>+F591+E676</f>
        <v>0</v>
      </c>
      <c r="G676" s="741">
        <v>111.09</v>
      </c>
      <c r="H676" s="601">
        <f t="shared" ref="H676:H689" si="147">E676*G676</f>
        <v>0</v>
      </c>
      <c r="I676" s="604">
        <f>+G676*F676</f>
        <v>0</v>
      </c>
      <c r="J676" s="354"/>
    </row>
    <row r="677" spans="1:10" ht="23.4" x14ac:dyDescent="0.3">
      <c r="A677" s="1068"/>
      <c r="B677" s="441"/>
      <c r="C677" s="444" t="s">
        <v>285</v>
      </c>
      <c r="D677" s="687" t="s">
        <v>286</v>
      </c>
      <c r="E677" s="745"/>
      <c r="F677" s="746">
        <f t="shared" ref="F677:F689" si="148">+F592+E677</f>
        <v>0</v>
      </c>
      <c r="G677" s="742">
        <v>11</v>
      </c>
      <c r="H677" s="602">
        <f t="shared" si="147"/>
        <v>0</v>
      </c>
      <c r="I677" s="605">
        <f>+G677*F677</f>
        <v>0</v>
      </c>
      <c r="J677" s="355"/>
    </row>
    <row r="678" spans="1:10" ht="23.4" x14ac:dyDescent="0.3">
      <c r="A678" s="1068"/>
      <c r="B678" s="441"/>
      <c r="C678" s="444" t="s">
        <v>321</v>
      </c>
      <c r="D678" s="687" t="s">
        <v>400</v>
      </c>
      <c r="E678" s="745"/>
      <c r="F678" s="746">
        <f t="shared" si="148"/>
        <v>0</v>
      </c>
      <c r="G678" s="742">
        <v>139.04</v>
      </c>
      <c r="H678" s="602">
        <f t="shared" si="147"/>
        <v>0</v>
      </c>
      <c r="I678" s="605">
        <f t="shared" ref="I678:I689" si="149">+G678*F678</f>
        <v>0</v>
      </c>
      <c r="J678" s="355"/>
    </row>
    <row r="679" spans="1:10" ht="23.4" x14ac:dyDescent="0.3">
      <c r="A679" s="1068"/>
      <c r="B679" s="441"/>
      <c r="C679" s="444" t="s">
        <v>397</v>
      </c>
      <c r="D679" s="687" t="s">
        <v>398</v>
      </c>
      <c r="E679" s="745"/>
      <c r="F679" s="746">
        <f t="shared" si="148"/>
        <v>856800</v>
      </c>
      <c r="G679" s="795">
        <v>20.5</v>
      </c>
      <c r="H679" s="602">
        <f t="shared" si="147"/>
        <v>0</v>
      </c>
      <c r="I679" s="605">
        <f t="shared" si="149"/>
        <v>17564400</v>
      </c>
      <c r="J679" s="355"/>
    </row>
    <row r="680" spans="1:10" ht="23.4" x14ac:dyDescent="0.3">
      <c r="A680" s="1068"/>
      <c r="B680" s="441"/>
      <c r="C680" s="444" t="s">
        <v>312</v>
      </c>
      <c r="D680" s="687" t="s">
        <v>190</v>
      </c>
      <c r="E680" s="745"/>
      <c r="F680" s="746">
        <f t="shared" si="148"/>
        <v>0</v>
      </c>
      <c r="G680" s="742">
        <v>14.79</v>
      </c>
      <c r="H680" s="602">
        <f t="shared" si="147"/>
        <v>0</v>
      </c>
      <c r="I680" s="605">
        <f t="shared" si="149"/>
        <v>0</v>
      </c>
      <c r="J680" s="355"/>
    </row>
    <row r="681" spans="1:10" ht="23.4" x14ac:dyDescent="0.3">
      <c r="A681" s="1068"/>
      <c r="B681" s="441"/>
      <c r="C681" s="444" t="s">
        <v>321</v>
      </c>
      <c r="D681" s="687" t="s">
        <v>286</v>
      </c>
      <c r="E681" s="745"/>
      <c r="F681" s="746">
        <f t="shared" si="148"/>
        <v>3595</v>
      </c>
      <c r="G681" s="742">
        <v>139.04</v>
      </c>
      <c r="H681" s="602">
        <f t="shared" si="147"/>
        <v>0</v>
      </c>
      <c r="I681" s="605">
        <f t="shared" si="149"/>
        <v>499848.8</v>
      </c>
      <c r="J681" s="355"/>
    </row>
    <row r="682" spans="1:10" ht="23.4" x14ac:dyDescent="0.3">
      <c r="A682" s="1068"/>
      <c r="B682" s="441"/>
      <c r="C682" s="444" t="s">
        <v>472</v>
      </c>
      <c r="D682" s="688" t="s">
        <v>396</v>
      </c>
      <c r="E682" s="954">
        <f>9920+9920</f>
        <v>19840</v>
      </c>
      <c r="F682" s="746">
        <f t="shared" si="148"/>
        <v>29760</v>
      </c>
      <c r="G682" s="742">
        <v>147.58000000000001</v>
      </c>
      <c r="H682" s="602">
        <f t="shared" si="147"/>
        <v>2927987.2</v>
      </c>
      <c r="I682" s="605">
        <f t="shared" si="149"/>
        <v>4391980.8000000007</v>
      </c>
      <c r="J682" s="355"/>
    </row>
    <row r="683" spans="1:10" ht="23.4" x14ac:dyDescent="0.3">
      <c r="A683" s="1068"/>
      <c r="B683" s="441"/>
      <c r="C683" s="444" t="s">
        <v>345</v>
      </c>
      <c r="D683" s="688" t="s">
        <v>286</v>
      </c>
      <c r="E683" s="745"/>
      <c r="F683" s="746">
        <f t="shared" si="148"/>
        <v>0</v>
      </c>
      <c r="G683" s="742">
        <v>18.84</v>
      </c>
      <c r="H683" s="602">
        <f t="shared" si="147"/>
        <v>0</v>
      </c>
      <c r="I683" s="605">
        <f t="shared" si="149"/>
        <v>0</v>
      </c>
      <c r="J683" s="355"/>
    </row>
    <row r="684" spans="1:10" ht="23.4" x14ac:dyDescent="0.3">
      <c r="A684" s="1068"/>
      <c r="B684" s="441"/>
      <c r="C684" s="444" t="s">
        <v>357</v>
      </c>
      <c r="D684" s="688" t="s">
        <v>252</v>
      </c>
      <c r="E684" s="954">
        <v>183600</v>
      </c>
      <c r="F684" s="746">
        <f t="shared" si="148"/>
        <v>367200</v>
      </c>
      <c r="G684" s="742">
        <v>21.18</v>
      </c>
      <c r="H684" s="602">
        <f t="shared" si="147"/>
        <v>3888648</v>
      </c>
      <c r="I684" s="605">
        <f t="shared" si="149"/>
        <v>7777296</v>
      </c>
      <c r="J684" s="355"/>
    </row>
    <row r="685" spans="1:10" ht="23.4" x14ac:dyDescent="0.3">
      <c r="A685" s="1068"/>
      <c r="B685" s="441"/>
      <c r="C685" s="444" t="s">
        <v>359</v>
      </c>
      <c r="D685" s="688" t="s">
        <v>360</v>
      </c>
      <c r="E685" s="745"/>
      <c r="F685" s="746">
        <f t="shared" si="148"/>
        <v>0</v>
      </c>
      <c r="G685" s="742">
        <v>21.28</v>
      </c>
      <c r="H685" s="602">
        <f t="shared" si="147"/>
        <v>0</v>
      </c>
      <c r="I685" s="605">
        <f t="shared" si="149"/>
        <v>0</v>
      </c>
      <c r="J685" s="355"/>
    </row>
    <row r="686" spans="1:10" ht="23.4" x14ac:dyDescent="0.3">
      <c r="A686" s="1068"/>
      <c r="B686" s="441"/>
      <c r="C686" s="444" t="s">
        <v>445</v>
      </c>
      <c r="D686" s="688" t="s">
        <v>436</v>
      </c>
      <c r="E686" s="745"/>
      <c r="F686" s="746">
        <f t="shared" si="148"/>
        <v>19840</v>
      </c>
      <c r="G686" s="742">
        <v>143.28</v>
      </c>
      <c r="H686" s="602">
        <f t="shared" si="147"/>
        <v>0</v>
      </c>
      <c r="I686" s="605">
        <f t="shared" si="149"/>
        <v>2842675.2000000002</v>
      </c>
      <c r="J686" s="355"/>
    </row>
    <row r="687" spans="1:10" ht="23.4" x14ac:dyDescent="0.3">
      <c r="A687" s="1068"/>
      <c r="B687" s="441"/>
      <c r="C687" s="444" t="s">
        <v>403</v>
      </c>
      <c r="D687" s="687" t="s">
        <v>190</v>
      </c>
      <c r="E687" s="951">
        <v>135168</v>
      </c>
      <c r="F687" s="746">
        <f t="shared" si="148"/>
        <v>135168</v>
      </c>
      <c r="G687" s="742">
        <v>14.55</v>
      </c>
      <c r="H687" s="602">
        <f t="shared" si="147"/>
        <v>1966694.4000000001</v>
      </c>
      <c r="I687" s="605">
        <f t="shared" si="149"/>
        <v>1966694.4000000001</v>
      </c>
      <c r="J687" s="355"/>
    </row>
    <row r="688" spans="1:10" ht="23.4" x14ac:dyDescent="0.3">
      <c r="A688" s="1068"/>
      <c r="B688" s="441"/>
      <c r="C688" s="444" t="s">
        <v>362</v>
      </c>
      <c r="D688" s="688" t="s">
        <v>202</v>
      </c>
      <c r="E688" s="745"/>
      <c r="F688" s="746">
        <f t="shared" si="148"/>
        <v>0</v>
      </c>
      <c r="G688" s="742">
        <v>21.28</v>
      </c>
      <c r="H688" s="602">
        <f t="shared" si="147"/>
        <v>0</v>
      </c>
      <c r="I688" s="605">
        <f t="shared" si="149"/>
        <v>0</v>
      </c>
      <c r="J688" s="355"/>
    </row>
    <row r="689" spans="1:10" ht="24" thickBot="1" x14ac:dyDescent="0.35">
      <c r="A689" s="1068"/>
      <c r="B689" s="441"/>
      <c r="C689" s="444" t="s">
        <v>374</v>
      </c>
      <c r="D689" s="689" t="s">
        <v>191</v>
      </c>
      <c r="E689" s="745"/>
      <c r="F689" s="697">
        <f t="shared" si="148"/>
        <v>0</v>
      </c>
      <c r="G689" s="742">
        <v>36.44</v>
      </c>
      <c r="H689" s="602">
        <f t="shared" si="147"/>
        <v>0</v>
      </c>
      <c r="I689" s="605">
        <f t="shared" si="149"/>
        <v>0</v>
      </c>
      <c r="J689" s="355"/>
    </row>
    <row r="690" spans="1:10" ht="24" thickBot="1" x14ac:dyDescent="0.35">
      <c r="A690" s="1068"/>
      <c r="B690" s="1063" t="s">
        <v>287</v>
      </c>
      <c r="C690" s="1064"/>
      <c r="D690" s="811"/>
      <c r="E690" s="329">
        <f>SUM(E676:E689)</f>
        <v>338608</v>
      </c>
      <c r="F690" s="743">
        <f>SUM(F676:F689)</f>
        <v>1412363</v>
      </c>
      <c r="G690" s="329"/>
      <c r="H690" s="597">
        <f>SUM(H676:H689)</f>
        <v>8783329.5999999996</v>
      </c>
      <c r="I690" s="589">
        <f>SUM(I676:I689)</f>
        <v>35042895.200000003</v>
      </c>
      <c r="J690" s="352"/>
    </row>
    <row r="691" spans="1:10" ht="23.4" x14ac:dyDescent="0.3">
      <c r="A691" s="1068"/>
      <c r="B691" s="809"/>
      <c r="C691" s="282" t="s">
        <v>293</v>
      </c>
      <c r="D691" s="437" t="s">
        <v>258</v>
      </c>
      <c r="E691" s="955">
        <f>10500+10500</f>
        <v>21000</v>
      </c>
      <c r="F691" s="438">
        <f t="shared" ref="F691:F701" si="150">+F606+E691</f>
        <v>26250</v>
      </c>
      <c r="G691" s="587">
        <v>160.44999999999999</v>
      </c>
      <c r="H691" s="603">
        <f t="shared" ref="H691:H701" si="151">E691*G691</f>
        <v>3369449.9999999995</v>
      </c>
      <c r="I691" s="606">
        <f t="shared" ref="I691:I701" si="152">+G691*F691</f>
        <v>4211812.5</v>
      </c>
      <c r="J691" s="376"/>
    </row>
    <row r="692" spans="1:10" ht="23.4" x14ac:dyDescent="0.3">
      <c r="A692" s="1068"/>
      <c r="B692" s="809"/>
      <c r="C692" s="282" t="s">
        <v>309</v>
      </c>
      <c r="D692" s="437" t="s">
        <v>258</v>
      </c>
      <c r="E692" s="283"/>
      <c r="F692" s="438">
        <f t="shared" si="150"/>
        <v>0</v>
      </c>
      <c r="G692" s="587">
        <v>160.44999999999999</v>
      </c>
      <c r="H692" s="603">
        <f t="shared" si="151"/>
        <v>0</v>
      </c>
      <c r="I692" s="606">
        <f t="shared" si="152"/>
        <v>0</v>
      </c>
      <c r="J692" s="376"/>
    </row>
    <row r="693" spans="1:10" ht="23.4" x14ac:dyDescent="0.3">
      <c r="A693" s="1068"/>
      <c r="B693" s="809"/>
      <c r="C693" s="282" t="s">
        <v>463</v>
      </c>
      <c r="D693" s="437" t="s">
        <v>258</v>
      </c>
      <c r="E693" s="283"/>
      <c r="F693" s="438">
        <f t="shared" si="150"/>
        <v>5250</v>
      </c>
      <c r="G693" s="587">
        <v>160.44999999999999</v>
      </c>
      <c r="H693" s="603">
        <f t="shared" si="151"/>
        <v>0</v>
      </c>
      <c r="I693" s="606">
        <f t="shared" si="152"/>
        <v>842362.49999999988</v>
      </c>
      <c r="J693" s="376"/>
    </row>
    <row r="694" spans="1:10" ht="23.4" x14ac:dyDescent="0.3">
      <c r="A694" s="1068"/>
      <c r="B694" s="809"/>
      <c r="C694" s="282" t="s">
        <v>311</v>
      </c>
      <c r="D694" s="437" t="s">
        <v>100</v>
      </c>
      <c r="E694" s="283"/>
      <c r="F694" s="438">
        <f t="shared" si="150"/>
        <v>0</v>
      </c>
      <c r="G694" s="587">
        <v>27</v>
      </c>
      <c r="H694" s="603">
        <f t="shared" si="151"/>
        <v>0</v>
      </c>
      <c r="I694" s="606">
        <f t="shared" si="152"/>
        <v>0</v>
      </c>
      <c r="J694" s="376"/>
    </row>
    <row r="695" spans="1:10" ht="23.4" x14ac:dyDescent="0.3">
      <c r="A695" s="1068"/>
      <c r="B695" s="809"/>
      <c r="C695" s="282" t="s">
        <v>311</v>
      </c>
      <c r="D695" s="437" t="s">
        <v>318</v>
      </c>
      <c r="E695" s="283"/>
      <c r="F695" s="438">
        <f t="shared" si="150"/>
        <v>324720</v>
      </c>
      <c r="G695" s="587">
        <v>27.5</v>
      </c>
      <c r="H695" s="603">
        <f t="shared" si="151"/>
        <v>0</v>
      </c>
      <c r="I695" s="606">
        <f t="shared" si="152"/>
        <v>8929800</v>
      </c>
      <c r="J695" s="376"/>
    </row>
    <row r="696" spans="1:10" ht="23.4" x14ac:dyDescent="0.3">
      <c r="A696" s="1068"/>
      <c r="B696" s="809"/>
      <c r="C696" s="282" t="s">
        <v>299</v>
      </c>
      <c r="D696" s="437" t="s">
        <v>318</v>
      </c>
      <c r="E696" s="283"/>
      <c r="F696" s="438">
        <f t="shared" si="150"/>
        <v>10832</v>
      </c>
      <c r="G696" s="587">
        <v>34.5</v>
      </c>
      <c r="H696" s="603">
        <f t="shared" si="151"/>
        <v>0</v>
      </c>
      <c r="I696" s="606">
        <f t="shared" si="152"/>
        <v>373704</v>
      </c>
      <c r="J696" s="376"/>
    </row>
    <row r="697" spans="1:10" ht="23.4" x14ac:dyDescent="0.3">
      <c r="A697" s="1068"/>
      <c r="B697" s="809"/>
      <c r="C697" s="282" t="s">
        <v>505</v>
      </c>
      <c r="D697" s="437" t="s">
        <v>258</v>
      </c>
      <c r="E697" s="955">
        <f>1750+875</f>
        <v>2625</v>
      </c>
      <c r="F697" s="438">
        <f t="shared" si="150"/>
        <v>2625</v>
      </c>
      <c r="G697" s="587">
        <v>160.44999999999999</v>
      </c>
      <c r="H697" s="603">
        <f t="shared" si="151"/>
        <v>421181.24999999994</v>
      </c>
      <c r="I697" s="606">
        <f t="shared" si="152"/>
        <v>421181.24999999994</v>
      </c>
      <c r="J697" s="376"/>
    </row>
    <row r="698" spans="1:10" ht="23.4" x14ac:dyDescent="0.3">
      <c r="A698" s="1068"/>
      <c r="B698" s="809"/>
      <c r="C698" s="282" t="s">
        <v>388</v>
      </c>
      <c r="D698" s="437" t="s">
        <v>258</v>
      </c>
      <c r="E698" s="955">
        <v>875</v>
      </c>
      <c r="F698" s="438">
        <f t="shared" si="150"/>
        <v>26625</v>
      </c>
      <c r="G698" s="587">
        <v>160.44999999999999</v>
      </c>
      <c r="H698" s="603">
        <f t="shared" si="151"/>
        <v>140393.75</v>
      </c>
      <c r="I698" s="606">
        <f t="shared" si="152"/>
        <v>4271981.25</v>
      </c>
      <c r="J698" s="376"/>
    </row>
    <row r="699" spans="1:10" ht="23.4" x14ac:dyDescent="0.3">
      <c r="A699" s="1068"/>
      <c r="B699" s="809"/>
      <c r="C699" s="282" t="s">
        <v>461</v>
      </c>
      <c r="D699" s="437" t="s">
        <v>258</v>
      </c>
      <c r="E699" s="283"/>
      <c r="F699" s="438">
        <f t="shared" si="150"/>
        <v>6000</v>
      </c>
      <c r="G699" s="587">
        <v>160.44999999999999</v>
      </c>
      <c r="H699" s="603">
        <f t="shared" si="151"/>
        <v>0</v>
      </c>
      <c r="I699" s="606">
        <f t="shared" si="152"/>
        <v>962699.99999999988</v>
      </c>
      <c r="J699" s="376"/>
    </row>
    <row r="700" spans="1:10" ht="23.4" x14ac:dyDescent="0.3">
      <c r="A700" s="1068"/>
      <c r="B700" s="809"/>
      <c r="C700" s="282" t="s">
        <v>343</v>
      </c>
      <c r="D700" s="437" t="s">
        <v>258</v>
      </c>
      <c r="E700" s="283"/>
      <c r="F700" s="438">
        <f t="shared" si="150"/>
        <v>0</v>
      </c>
      <c r="G700" s="587">
        <v>160.44999999999999</v>
      </c>
      <c r="H700" s="603">
        <f t="shared" si="151"/>
        <v>0</v>
      </c>
      <c r="I700" s="606">
        <f t="shared" si="152"/>
        <v>0</v>
      </c>
      <c r="J700" s="376"/>
    </row>
    <row r="701" spans="1:10" ht="24" thickBot="1" x14ac:dyDescent="0.35">
      <c r="A701" s="1068"/>
      <c r="B701" s="809"/>
      <c r="C701" s="282" t="s">
        <v>340</v>
      </c>
      <c r="D701" s="437" t="s">
        <v>258</v>
      </c>
      <c r="E701" s="283"/>
      <c r="F701" s="438">
        <f t="shared" si="150"/>
        <v>0</v>
      </c>
      <c r="G701" s="587">
        <v>160.44999999999999</v>
      </c>
      <c r="H701" s="603">
        <f t="shared" si="151"/>
        <v>0</v>
      </c>
      <c r="I701" s="606">
        <f t="shared" si="152"/>
        <v>0</v>
      </c>
      <c r="J701" s="376"/>
    </row>
    <row r="702" spans="1:10" ht="24" thickBot="1" x14ac:dyDescent="0.35">
      <c r="A702" s="1068"/>
      <c r="B702" s="1063" t="s">
        <v>288</v>
      </c>
      <c r="C702" s="1064"/>
      <c r="D702" s="811"/>
      <c r="E702" s="329">
        <f>SUM(E691:E701)</f>
        <v>24500</v>
      </c>
      <c r="F702" s="329">
        <f>SUM(F691:F701)</f>
        <v>402302</v>
      </c>
      <c r="G702" s="329"/>
      <c r="H702" s="597">
        <f>SUM(H691:H701)</f>
        <v>3931024.9999999995</v>
      </c>
      <c r="I702" s="589">
        <f>SUM(I691:I701)</f>
        <v>20013541.5</v>
      </c>
      <c r="J702" s="352"/>
    </row>
    <row r="703" spans="1:10" ht="23.4" x14ac:dyDescent="0.3">
      <c r="A703" s="1068"/>
      <c r="B703" s="809"/>
      <c r="C703" s="282" t="s">
        <v>434</v>
      </c>
      <c r="D703" s="437" t="s">
        <v>435</v>
      </c>
      <c r="E703" s="283"/>
      <c r="F703" s="438">
        <f t="shared" ref="F703:F707" si="153">+F618+E703</f>
        <v>250</v>
      </c>
      <c r="G703" s="587">
        <v>5.34</v>
      </c>
      <c r="H703" s="603">
        <f t="shared" ref="H703:H707" si="154">E703*G703</f>
        <v>0</v>
      </c>
      <c r="I703" s="606">
        <f t="shared" ref="I703" si="155">+G703*F703</f>
        <v>1335</v>
      </c>
      <c r="J703" s="376"/>
    </row>
    <row r="704" spans="1:10" ht="23.4" x14ac:dyDescent="0.3">
      <c r="A704" s="1068"/>
      <c r="B704" s="809"/>
      <c r="C704" s="282" t="s">
        <v>464</v>
      </c>
      <c r="D704" s="437" t="s">
        <v>286</v>
      </c>
      <c r="E704" s="283"/>
      <c r="F704" s="438">
        <f t="shared" si="153"/>
        <v>50</v>
      </c>
      <c r="G704" s="587">
        <v>31.73</v>
      </c>
      <c r="H704" s="603">
        <f t="shared" si="154"/>
        <v>0</v>
      </c>
      <c r="I704" s="606">
        <f>+G704*F704</f>
        <v>1586.5</v>
      </c>
      <c r="J704" s="376"/>
    </row>
    <row r="705" spans="1:11" ht="23.4" x14ac:dyDescent="0.3">
      <c r="A705" s="1068"/>
      <c r="B705" s="809"/>
      <c r="C705" s="282" t="s">
        <v>473</v>
      </c>
      <c r="D705" s="437" t="s">
        <v>474</v>
      </c>
      <c r="E705" s="283"/>
      <c r="F705" s="438">
        <f t="shared" si="153"/>
        <v>2500</v>
      </c>
      <c r="G705" s="587">
        <v>10.58</v>
      </c>
      <c r="H705" s="603">
        <f t="shared" si="154"/>
        <v>0</v>
      </c>
      <c r="I705" s="606">
        <f>+G705*F705</f>
        <v>26450</v>
      </c>
      <c r="J705" s="376"/>
    </row>
    <row r="706" spans="1:11" ht="23.4" x14ac:dyDescent="0.3">
      <c r="A706" s="1068"/>
      <c r="B706" s="809"/>
      <c r="C706" s="282" t="s">
        <v>300</v>
      </c>
      <c r="D706" s="437" t="s">
        <v>301</v>
      </c>
      <c r="E706" s="283"/>
      <c r="F706" s="438">
        <f t="shared" si="153"/>
        <v>1</v>
      </c>
      <c r="G706" s="587">
        <v>2500</v>
      </c>
      <c r="H706" s="603">
        <f t="shared" si="154"/>
        <v>0</v>
      </c>
      <c r="I706" s="606">
        <f>+G706*F706</f>
        <v>2500</v>
      </c>
      <c r="J706" s="376"/>
    </row>
    <row r="707" spans="1:11" ht="24" thickBot="1" x14ac:dyDescent="0.35">
      <c r="A707" s="1068"/>
      <c r="B707" s="809"/>
      <c r="C707" s="282" t="s">
        <v>332</v>
      </c>
      <c r="D707" s="437" t="s">
        <v>333</v>
      </c>
      <c r="E707" s="283"/>
      <c r="F707" s="438">
        <f t="shared" si="153"/>
        <v>0</v>
      </c>
      <c r="G707" s="588">
        <v>360</v>
      </c>
      <c r="H707" s="603">
        <f t="shared" si="154"/>
        <v>0</v>
      </c>
      <c r="I707" s="606">
        <f t="shared" ref="I707" si="156">+G707*F707</f>
        <v>0</v>
      </c>
      <c r="J707" s="376"/>
    </row>
    <row r="708" spans="1:11" ht="24" thickBot="1" x14ac:dyDescent="0.35">
      <c r="A708" s="1068"/>
      <c r="B708" s="1063" t="s">
        <v>294</v>
      </c>
      <c r="C708" s="1064"/>
      <c r="D708" s="811"/>
      <c r="E708" s="329">
        <f>SUM(E703:E707)</f>
        <v>0</v>
      </c>
      <c r="F708" s="329">
        <f>SUM(F703:F707)</f>
        <v>2801</v>
      </c>
      <c r="G708" s="329"/>
      <c r="H708" s="597">
        <f>SUM(H703:H707)</f>
        <v>0</v>
      </c>
      <c r="I708" s="589">
        <f>SUM(I703:I707)</f>
        <v>31871.5</v>
      </c>
      <c r="J708" s="376"/>
    </row>
    <row r="709" spans="1:11" ht="24" thickBot="1" x14ac:dyDescent="0.35">
      <c r="A709" s="1068"/>
      <c r="B709" s="809"/>
      <c r="C709" s="282"/>
      <c r="D709" s="437"/>
      <c r="E709" s="283"/>
      <c r="F709" s="320"/>
      <c r="G709" s="588"/>
      <c r="H709" s="598"/>
      <c r="I709" s="285">
        <f t="shared" ref="I709" si="157">+G709*F709</f>
        <v>0</v>
      </c>
      <c r="J709" s="376"/>
    </row>
    <row r="710" spans="1:11" ht="24" thickBot="1" x14ac:dyDescent="0.35">
      <c r="A710" s="1069"/>
      <c r="B710" s="1063" t="s">
        <v>290</v>
      </c>
      <c r="C710" s="1064"/>
      <c r="D710" s="807"/>
      <c r="E710" s="329">
        <f>+E708+E702+E690</f>
        <v>363108</v>
      </c>
      <c r="F710" s="329">
        <f>+F708+F702+F690</f>
        <v>1817466</v>
      </c>
      <c r="G710" s="329"/>
      <c r="H710" s="589">
        <f>+H702+H690+H708</f>
        <v>12714354.6</v>
      </c>
      <c r="I710" s="589">
        <f>+I702+I690+I708</f>
        <v>55088308.200000003</v>
      </c>
      <c r="J710" s="376"/>
      <c r="K710" s="757"/>
    </row>
    <row r="711" spans="1:11" ht="23.4" x14ac:dyDescent="0.3">
      <c r="A711" s="1067" t="s">
        <v>108</v>
      </c>
      <c r="B711" s="809"/>
      <c r="C711" s="282" t="s">
        <v>304</v>
      </c>
      <c r="D711" s="437" t="s">
        <v>191</v>
      </c>
      <c r="E711" s="283"/>
      <c r="F711" s="438">
        <f t="shared" ref="F711:F730" si="158">+F626+E711</f>
        <v>0</v>
      </c>
      <c r="G711" s="612">
        <v>13.25</v>
      </c>
      <c r="H711" s="607">
        <f t="shared" ref="H711:H730" si="159">E711*G711</f>
        <v>0</v>
      </c>
      <c r="I711" s="606">
        <f t="shared" ref="I711:I730" si="160">+G711*F711</f>
        <v>0</v>
      </c>
      <c r="J711" s="376"/>
    </row>
    <row r="712" spans="1:11" ht="23.4" x14ac:dyDescent="0.3">
      <c r="A712" s="1068"/>
      <c r="B712" s="809"/>
      <c r="C712" s="282" t="s">
        <v>305</v>
      </c>
      <c r="D712" s="437"/>
      <c r="E712" s="283"/>
      <c r="F712" s="438">
        <f t="shared" si="158"/>
        <v>1</v>
      </c>
      <c r="G712" s="613">
        <v>5000</v>
      </c>
      <c r="H712" s="607">
        <f t="shared" si="159"/>
        <v>0</v>
      </c>
      <c r="I712" s="606">
        <f t="shared" si="160"/>
        <v>5000</v>
      </c>
      <c r="J712" s="376"/>
    </row>
    <row r="713" spans="1:11" ht="23.4" x14ac:dyDescent="0.3">
      <c r="A713" s="1068"/>
      <c r="B713" s="809"/>
      <c r="C713" s="282" t="s">
        <v>305</v>
      </c>
      <c r="D713" s="437"/>
      <c r="E713" s="283"/>
      <c r="F713" s="438">
        <f t="shared" si="158"/>
        <v>0</v>
      </c>
      <c r="G713" s="613">
        <v>18000</v>
      </c>
      <c r="H713" s="607">
        <f t="shared" si="159"/>
        <v>0</v>
      </c>
      <c r="I713" s="606">
        <f t="shared" si="160"/>
        <v>0</v>
      </c>
      <c r="J713" s="376"/>
    </row>
    <row r="714" spans="1:11" ht="23.4" x14ac:dyDescent="0.3">
      <c r="A714" s="1068"/>
      <c r="B714" s="809"/>
      <c r="C714" s="282" t="s">
        <v>317</v>
      </c>
      <c r="D714" s="437" t="s">
        <v>191</v>
      </c>
      <c r="E714" s="283"/>
      <c r="F714" s="438">
        <f t="shared" si="158"/>
        <v>0</v>
      </c>
      <c r="G714" s="612">
        <v>24.93</v>
      </c>
      <c r="H714" s="607">
        <f t="shared" si="159"/>
        <v>0</v>
      </c>
      <c r="I714" s="606">
        <f t="shared" si="160"/>
        <v>0</v>
      </c>
      <c r="J714" s="376"/>
    </row>
    <row r="715" spans="1:11" ht="23.4" x14ac:dyDescent="0.3">
      <c r="A715" s="1068"/>
      <c r="B715" s="809"/>
      <c r="C715" s="282" t="s">
        <v>324</v>
      </c>
      <c r="D715" s="437" t="s">
        <v>99</v>
      </c>
      <c r="E715" s="283"/>
      <c r="F715" s="438">
        <f t="shared" si="158"/>
        <v>0</v>
      </c>
      <c r="G715" s="612">
        <v>26</v>
      </c>
      <c r="H715" s="607">
        <f t="shared" si="159"/>
        <v>0</v>
      </c>
      <c r="I715" s="606">
        <f t="shared" si="160"/>
        <v>0</v>
      </c>
      <c r="J715" s="376"/>
    </row>
    <row r="716" spans="1:11" ht="23.4" x14ac:dyDescent="0.3">
      <c r="A716" s="1068"/>
      <c r="B716" s="809"/>
      <c r="C716" s="282" t="s">
        <v>325</v>
      </c>
      <c r="D716" s="437" t="s">
        <v>191</v>
      </c>
      <c r="E716" s="283"/>
      <c r="F716" s="438">
        <f t="shared" si="158"/>
        <v>0</v>
      </c>
      <c r="G716" s="612">
        <v>25.49</v>
      </c>
      <c r="H716" s="607">
        <f t="shared" si="159"/>
        <v>0</v>
      </c>
      <c r="I716" s="606">
        <f t="shared" si="160"/>
        <v>0</v>
      </c>
      <c r="J716" s="376"/>
    </row>
    <row r="717" spans="1:11" ht="23.4" x14ac:dyDescent="0.3">
      <c r="A717" s="1068"/>
      <c r="B717" s="809"/>
      <c r="C717" s="282" t="s">
        <v>326</v>
      </c>
      <c r="D717" s="437" t="s">
        <v>114</v>
      </c>
      <c r="E717" s="283"/>
      <c r="F717" s="438">
        <f t="shared" si="158"/>
        <v>0</v>
      </c>
      <c r="G717" s="612">
        <v>24.93</v>
      </c>
      <c r="H717" s="607">
        <f t="shared" si="159"/>
        <v>0</v>
      </c>
      <c r="I717" s="606">
        <f t="shared" si="160"/>
        <v>0</v>
      </c>
      <c r="J717" s="376"/>
    </row>
    <row r="718" spans="1:11" ht="23.4" x14ac:dyDescent="0.3">
      <c r="A718" s="1068"/>
      <c r="B718" s="809"/>
      <c r="C718" s="282" t="s">
        <v>327</v>
      </c>
      <c r="D718" s="437" t="s">
        <v>303</v>
      </c>
      <c r="E718" s="283"/>
      <c r="F718" s="438">
        <f t="shared" si="158"/>
        <v>0</v>
      </c>
      <c r="G718" s="612">
        <v>24.93</v>
      </c>
      <c r="H718" s="607">
        <f t="shared" si="159"/>
        <v>0</v>
      </c>
      <c r="I718" s="606">
        <f t="shared" si="160"/>
        <v>0</v>
      </c>
      <c r="J718" s="376"/>
    </row>
    <row r="719" spans="1:11" ht="23.4" x14ac:dyDescent="0.3">
      <c r="A719" s="1068"/>
      <c r="B719" s="809"/>
      <c r="C719" s="282" t="s">
        <v>328</v>
      </c>
      <c r="D719" s="437" t="s">
        <v>99</v>
      </c>
      <c r="E719" s="283"/>
      <c r="F719" s="438">
        <f t="shared" si="158"/>
        <v>0</v>
      </c>
      <c r="G719" s="612">
        <v>20.89</v>
      </c>
      <c r="H719" s="607">
        <f t="shared" si="159"/>
        <v>0</v>
      </c>
      <c r="I719" s="606">
        <f t="shared" si="160"/>
        <v>0</v>
      </c>
      <c r="J719" s="376"/>
    </row>
    <row r="720" spans="1:11" ht="23.4" x14ac:dyDescent="0.3">
      <c r="A720" s="1068"/>
      <c r="B720" s="809"/>
      <c r="C720" s="282" t="s">
        <v>394</v>
      </c>
      <c r="D720" s="437" t="s">
        <v>338</v>
      </c>
      <c r="E720" s="283"/>
      <c r="F720" s="438">
        <f t="shared" si="158"/>
        <v>0</v>
      </c>
      <c r="G720" s="612">
        <v>37.4566666666</v>
      </c>
      <c r="H720" s="607">
        <f t="shared" si="159"/>
        <v>0</v>
      </c>
      <c r="I720" s="606">
        <f t="shared" si="160"/>
        <v>0</v>
      </c>
      <c r="J720" s="376"/>
    </row>
    <row r="721" spans="1:10" ht="23.4" x14ac:dyDescent="0.3">
      <c r="A721" s="1068"/>
      <c r="B721" s="809"/>
      <c r="C721" s="282" t="s">
        <v>395</v>
      </c>
      <c r="D721" s="437" t="s">
        <v>338</v>
      </c>
      <c r="E721" s="283"/>
      <c r="F721" s="438">
        <f t="shared" si="158"/>
        <v>0</v>
      </c>
      <c r="G721" s="612">
        <v>37.89</v>
      </c>
      <c r="H721" s="607">
        <f t="shared" si="159"/>
        <v>0</v>
      </c>
      <c r="I721" s="606">
        <f t="shared" si="160"/>
        <v>0</v>
      </c>
      <c r="J721" s="376"/>
    </row>
    <row r="722" spans="1:10" ht="23.4" x14ac:dyDescent="0.3">
      <c r="A722" s="1068"/>
      <c r="B722" s="809"/>
      <c r="C722" s="282" t="s">
        <v>326</v>
      </c>
      <c r="D722" s="437" t="s">
        <v>302</v>
      </c>
      <c r="E722" s="283"/>
      <c r="F722" s="438">
        <f t="shared" si="158"/>
        <v>0</v>
      </c>
      <c r="G722" s="612">
        <v>24.93</v>
      </c>
      <c r="H722" s="607">
        <f t="shared" si="159"/>
        <v>0</v>
      </c>
      <c r="I722" s="606">
        <f t="shared" si="160"/>
        <v>0</v>
      </c>
      <c r="J722" s="376"/>
    </row>
    <row r="723" spans="1:10" ht="23.4" x14ac:dyDescent="0.3">
      <c r="A723" s="1068"/>
      <c r="B723" s="809"/>
      <c r="C723" s="282" t="s">
        <v>402</v>
      </c>
      <c r="D723" s="437" t="s">
        <v>376</v>
      </c>
      <c r="E723" s="283"/>
      <c r="F723" s="438">
        <f t="shared" si="158"/>
        <v>0</v>
      </c>
      <c r="G723" s="612">
        <v>24.93</v>
      </c>
      <c r="H723" s="607">
        <f t="shared" si="159"/>
        <v>0</v>
      </c>
      <c r="I723" s="606">
        <f t="shared" si="160"/>
        <v>0</v>
      </c>
      <c r="J723" s="376"/>
    </row>
    <row r="724" spans="1:10" ht="23.4" x14ac:dyDescent="0.3">
      <c r="A724" s="1068"/>
      <c r="B724" s="809"/>
      <c r="C724" s="282" t="s">
        <v>350</v>
      </c>
      <c r="D724" s="437" t="s">
        <v>313</v>
      </c>
      <c r="E724" s="283"/>
      <c r="F724" s="438">
        <f t="shared" si="158"/>
        <v>0</v>
      </c>
      <c r="G724" s="612">
        <v>34.26</v>
      </c>
      <c r="H724" s="607">
        <f t="shared" si="159"/>
        <v>0</v>
      </c>
      <c r="I724" s="606">
        <f t="shared" si="160"/>
        <v>0</v>
      </c>
      <c r="J724" s="376"/>
    </row>
    <row r="725" spans="1:10" ht="23.4" x14ac:dyDescent="0.3">
      <c r="A725" s="1068"/>
      <c r="B725" s="809"/>
      <c r="C725" s="282" t="s">
        <v>363</v>
      </c>
      <c r="D725" s="437" t="s">
        <v>401</v>
      </c>
      <c r="E725" s="283"/>
      <c r="F725" s="438">
        <f t="shared" si="158"/>
        <v>0</v>
      </c>
      <c r="G725" s="612">
        <v>37.89</v>
      </c>
      <c r="H725" s="607">
        <f t="shared" si="159"/>
        <v>0</v>
      </c>
      <c r="I725" s="606">
        <f t="shared" si="160"/>
        <v>0</v>
      </c>
      <c r="J725" s="376"/>
    </row>
    <row r="726" spans="1:10" ht="23.4" x14ac:dyDescent="0.3">
      <c r="A726" s="1068"/>
      <c r="B726" s="809"/>
      <c r="C726" s="282" t="s">
        <v>406</v>
      </c>
      <c r="D726" s="437" t="s">
        <v>376</v>
      </c>
      <c r="E726" s="283"/>
      <c r="F726" s="438">
        <f t="shared" si="158"/>
        <v>0</v>
      </c>
      <c r="G726" s="612">
        <v>39</v>
      </c>
      <c r="H726" s="607">
        <f t="shared" si="159"/>
        <v>0</v>
      </c>
      <c r="I726" s="606">
        <f t="shared" si="160"/>
        <v>0</v>
      </c>
      <c r="J726" s="376"/>
    </row>
    <row r="727" spans="1:10" ht="23.4" x14ac:dyDescent="0.3">
      <c r="A727" s="1068"/>
      <c r="B727" s="809"/>
      <c r="C727" s="282" t="s">
        <v>327</v>
      </c>
      <c r="D727" s="437" t="s">
        <v>190</v>
      </c>
      <c r="E727" s="283"/>
      <c r="F727" s="438">
        <f t="shared" si="158"/>
        <v>63648</v>
      </c>
      <c r="G727" s="612">
        <v>21.22</v>
      </c>
      <c r="H727" s="607">
        <f t="shared" si="159"/>
        <v>0</v>
      </c>
      <c r="I727" s="606">
        <f t="shared" si="160"/>
        <v>1350610.5599999998</v>
      </c>
      <c r="J727" s="376"/>
    </row>
    <row r="728" spans="1:10" ht="23.4" x14ac:dyDescent="0.3">
      <c r="A728" s="1068"/>
      <c r="B728" s="809"/>
      <c r="C728" s="282" t="s">
        <v>326</v>
      </c>
      <c r="D728" s="437" t="s">
        <v>190</v>
      </c>
      <c r="E728" s="283"/>
      <c r="F728" s="438">
        <f t="shared" si="158"/>
        <v>0</v>
      </c>
      <c r="G728" s="612">
        <v>21.22</v>
      </c>
      <c r="H728" s="607">
        <f t="shared" si="159"/>
        <v>0</v>
      </c>
      <c r="I728" s="606">
        <f t="shared" si="160"/>
        <v>0</v>
      </c>
      <c r="J728" s="376"/>
    </row>
    <row r="729" spans="1:10" ht="23.4" x14ac:dyDescent="0.3">
      <c r="A729" s="1068"/>
      <c r="B729" s="809"/>
      <c r="C729" s="282" t="s">
        <v>377</v>
      </c>
      <c r="D729" s="437" t="s">
        <v>333</v>
      </c>
      <c r="E729" s="283"/>
      <c r="F729" s="438">
        <f t="shared" si="158"/>
        <v>0</v>
      </c>
      <c r="G729" s="612">
        <v>10000</v>
      </c>
      <c r="H729" s="607">
        <f t="shared" si="159"/>
        <v>0</v>
      </c>
      <c r="I729" s="606">
        <f t="shared" si="160"/>
        <v>0</v>
      </c>
      <c r="J729" s="376"/>
    </row>
    <row r="730" spans="1:10" ht="24" thickBot="1" x14ac:dyDescent="0.35">
      <c r="A730" s="1068"/>
      <c r="B730" s="809"/>
      <c r="C730" s="282" t="s">
        <v>332</v>
      </c>
      <c r="D730" s="437" t="s">
        <v>333</v>
      </c>
      <c r="E730" s="283"/>
      <c r="F730" s="438">
        <f t="shared" si="158"/>
        <v>0</v>
      </c>
      <c r="G730" s="612">
        <v>360</v>
      </c>
      <c r="H730" s="607">
        <f t="shared" si="159"/>
        <v>0</v>
      </c>
      <c r="I730" s="606">
        <f t="shared" si="160"/>
        <v>0</v>
      </c>
      <c r="J730" s="376"/>
    </row>
    <row r="731" spans="1:10" ht="24" thickBot="1" x14ac:dyDescent="0.35">
      <c r="A731" s="1069"/>
      <c r="B731" s="1063" t="s">
        <v>289</v>
      </c>
      <c r="C731" s="1064"/>
      <c r="D731" s="811"/>
      <c r="E731" s="329">
        <f>SUM(E711:E730)</f>
        <v>0</v>
      </c>
      <c r="F731" s="329">
        <f>SUM(F711:F730)</f>
        <v>63649</v>
      </c>
      <c r="G731" s="329"/>
      <c r="H731" s="597"/>
      <c r="I731" s="589">
        <f>SUM(I711:I730)</f>
        <v>1355610.5599999998</v>
      </c>
      <c r="J731" s="376"/>
    </row>
    <row r="732" spans="1:10" ht="23.4" x14ac:dyDescent="0.3">
      <c r="A732" s="1067" t="s">
        <v>109</v>
      </c>
      <c r="B732" s="809"/>
      <c r="C732" s="282" t="s">
        <v>296</v>
      </c>
      <c r="D732" s="437" t="s">
        <v>258</v>
      </c>
      <c r="E732" s="283">
        <v>1267</v>
      </c>
      <c r="F732" s="438">
        <f t="shared" ref="F732:F733" si="161">+F647+E732</f>
        <v>5290</v>
      </c>
      <c r="G732" s="612">
        <v>430.02</v>
      </c>
      <c r="H732" s="603">
        <f>E732*G732</f>
        <v>544835.34</v>
      </c>
      <c r="I732" s="606">
        <f t="shared" ref="I732:I753" si="162">+G732*F732</f>
        <v>2274805.7999999998</v>
      </c>
      <c r="J732" s="376"/>
    </row>
    <row r="733" spans="1:10" ht="23.4" x14ac:dyDescent="0.3">
      <c r="A733" s="1068"/>
      <c r="B733" s="809"/>
      <c r="C733" s="282" t="s">
        <v>297</v>
      </c>
      <c r="D733" s="437" t="s">
        <v>258</v>
      </c>
      <c r="E733" s="283"/>
      <c r="F733" s="438">
        <f t="shared" si="161"/>
        <v>4753</v>
      </c>
      <c r="G733" s="612">
        <v>445.38</v>
      </c>
      <c r="H733" s="603">
        <f t="shared" ref="H733:H753" si="163">E733*G733</f>
        <v>0</v>
      </c>
      <c r="I733" s="606">
        <f t="shared" si="162"/>
        <v>2116891.14</v>
      </c>
      <c r="J733" s="376"/>
    </row>
    <row r="734" spans="1:10" ht="27" customHeight="1" x14ac:dyDescent="0.3">
      <c r="A734" s="1068"/>
      <c r="B734" s="809"/>
      <c r="C734" s="282" t="s">
        <v>467</v>
      </c>
      <c r="D734" s="437" t="s">
        <v>258</v>
      </c>
      <c r="E734" s="283"/>
      <c r="F734" s="438">
        <f t="shared" ref="F734:F749" si="164">+F649+E734</f>
        <v>5120</v>
      </c>
      <c r="G734" s="612">
        <v>445.38</v>
      </c>
      <c r="H734" s="603">
        <f t="shared" si="163"/>
        <v>0</v>
      </c>
      <c r="I734" s="606">
        <f t="shared" si="162"/>
        <v>2280345.6000000001</v>
      </c>
      <c r="J734" s="376"/>
    </row>
    <row r="735" spans="1:10" ht="23.4" x14ac:dyDescent="0.3">
      <c r="A735" s="1068"/>
      <c r="B735" s="809"/>
      <c r="C735" s="282" t="s">
        <v>330</v>
      </c>
      <c r="D735" s="437" t="s">
        <v>258</v>
      </c>
      <c r="E735" s="283"/>
      <c r="F735" s="438">
        <f t="shared" si="164"/>
        <v>0</v>
      </c>
      <c r="G735" s="612">
        <v>63.55</v>
      </c>
      <c r="H735" s="603">
        <f t="shared" si="163"/>
        <v>0</v>
      </c>
      <c r="I735" s="606">
        <f t="shared" si="162"/>
        <v>0</v>
      </c>
      <c r="J735" s="376"/>
    </row>
    <row r="736" spans="1:10" ht="23.4" x14ac:dyDescent="0.3">
      <c r="A736" s="1068"/>
      <c r="B736" s="809"/>
      <c r="C736" s="282" t="s">
        <v>298</v>
      </c>
      <c r="D736" s="437" t="s">
        <v>258</v>
      </c>
      <c r="E736" s="283">
        <v>28560</v>
      </c>
      <c r="F736" s="438">
        <f t="shared" si="164"/>
        <v>63156</v>
      </c>
      <c r="G736" s="612">
        <v>71.44</v>
      </c>
      <c r="H736" s="603">
        <f t="shared" si="163"/>
        <v>2040326.4</v>
      </c>
      <c r="I736" s="606">
        <f t="shared" si="162"/>
        <v>4511864.6399999997</v>
      </c>
      <c r="J736" s="376"/>
    </row>
    <row r="737" spans="1:10" ht="23.4" x14ac:dyDescent="0.3">
      <c r="A737" s="1068"/>
      <c r="B737" s="809"/>
      <c r="C737" s="282" t="s">
        <v>299</v>
      </c>
      <c r="D737" s="437" t="s">
        <v>258</v>
      </c>
      <c r="E737" s="283"/>
      <c r="F737" s="438">
        <f t="shared" si="164"/>
        <v>0</v>
      </c>
      <c r="G737" s="612">
        <v>36.5</v>
      </c>
      <c r="H737" s="603">
        <f t="shared" si="163"/>
        <v>0</v>
      </c>
      <c r="I737" s="606">
        <f t="shared" si="162"/>
        <v>0</v>
      </c>
      <c r="J737" s="376"/>
    </row>
    <row r="738" spans="1:10" ht="23.4" x14ac:dyDescent="0.3">
      <c r="A738" s="1068"/>
      <c r="B738" s="809"/>
      <c r="C738" s="282" t="s">
        <v>308</v>
      </c>
      <c r="D738" s="437" t="s">
        <v>258</v>
      </c>
      <c r="E738" s="283">
        <v>2560</v>
      </c>
      <c r="F738" s="438">
        <f t="shared" si="164"/>
        <v>8200</v>
      </c>
      <c r="G738" s="612">
        <v>320.35000000000002</v>
      </c>
      <c r="H738" s="603">
        <f t="shared" si="163"/>
        <v>820096</v>
      </c>
      <c r="I738" s="606">
        <f t="shared" si="162"/>
        <v>2626870</v>
      </c>
      <c r="J738" s="376"/>
    </row>
    <row r="739" spans="1:10" ht="23.4" x14ac:dyDescent="0.3">
      <c r="A739" s="1068"/>
      <c r="B739" s="809"/>
      <c r="C739" s="282" t="s">
        <v>322</v>
      </c>
      <c r="D739" s="437" t="s">
        <v>258</v>
      </c>
      <c r="E739" s="283"/>
      <c r="F739" s="438">
        <f t="shared" si="164"/>
        <v>0</v>
      </c>
      <c r="G739" s="612">
        <v>434.41</v>
      </c>
      <c r="H739" s="603">
        <f t="shared" si="163"/>
        <v>0</v>
      </c>
      <c r="I739" s="606">
        <f t="shared" si="162"/>
        <v>0</v>
      </c>
      <c r="J739" s="376"/>
    </row>
    <row r="740" spans="1:10" ht="23.4" x14ac:dyDescent="0.3">
      <c r="A740" s="1068"/>
      <c r="B740" s="809"/>
      <c r="C740" s="282" t="s">
        <v>305</v>
      </c>
      <c r="D740" s="437" t="s">
        <v>258</v>
      </c>
      <c r="E740" s="283"/>
      <c r="F740" s="438">
        <f t="shared" si="164"/>
        <v>0</v>
      </c>
      <c r="G740" s="612">
        <v>29690</v>
      </c>
      <c r="H740" s="603">
        <f t="shared" si="163"/>
        <v>0</v>
      </c>
      <c r="I740" s="606">
        <f t="shared" si="162"/>
        <v>0</v>
      </c>
      <c r="J740" s="376"/>
    </row>
    <row r="741" spans="1:10" ht="23.4" x14ac:dyDescent="0.3">
      <c r="A741" s="1068"/>
      <c r="B741" s="809"/>
      <c r="C741" s="282" t="s">
        <v>305</v>
      </c>
      <c r="D741" s="437" t="s">
        <v>258</v>
      </c>
      <c r="E741" s="283"/>
      <c r="F741" s="438">
        <f t="shared" si="164"/>
        <v>2</v>
      </c>
      <c r="G741" s="612">
        <v>26445</v>
      </c>
      <c r="H741" s="603">
        <f t="shared" si="163"/>
        <v>0</v>
      </c>
      <c r="I741" s="606">
        <f t="shared" si="162"/>
        <v>52890</v>
      </c>
      <c r="J741" s="376"/>
    </row>
    <row r="742" spans="1:10" ht="23.4" x14ac:dyDescent="0.3">
      <c r="A742" s="1068"/>
      <c r="B742" s="809"/>
      <c r="C742" s="282" t="s">
        <v>341</v>
      </c>
      <c r="D742" s="437" t="s">
        <v>375</v>
      </c>
      <c r="E742" s="283"/>
      <c r="F742" s="438">
        <f t="shared" si="164"/>
        <v>2835</v>
      </c>
      <c r="G742" s="612">
        <v>50</v>
      </c>
      <c r="H742" s="603">
        <f t="shared" si="163"/>
        <v>0</v>
      </c>
      <c r="I742" s="606">
        <f t="shared" si="162"/>
        <v>141750</v>
      </c>
      <c r="J742" s="376"/>
    </row>
    <row r="743" spans="1:10" ht="23.4" x14ac:dyDescent="0.3">
      <c r="A743" s="1068"/>
      <c r="B743" s="809"/>
      <c r="C743" s="282" t="s">
        <v>341</v>
      </c>
      <c r="D743" s="437" t="s">
        <v>375</v>
      </c>
      <c r="E743" s="283"/>
      <c r="F743" s="438">
        <f t="shared" si="164"/>
        <v>0</v>
      </c>
      <c r="G743" s="612">
        <v>45</v>
      </c>
      <c r="H743" s="603">
        <f t="shared" si="163"/>
        <v>0</v>
      </c>
      <c r="I743" s="606">
        <f t="shared" si="162"/>
        <v>0</v>
      </c>
      <c r="J743" s="376"/>
    </row>
    <row r="744" spans="1:10" ht="23.4" x14ac:dyDescent="0.3">
      <c r="A744" s="1068"/>
      <c r="B744" s="809"/>
      <c r="C744" s="282" t="s">
        <v>364</v>
      </c>
      <c r="D744" s="437" t="s">
        <v>428</v>
      </c>
      <c r="E744" s="283"/>
      <c r="F744" s="438">
        <f t="shared" si="164"/>
        <v>700</v>
      </c>
      <c r="G744" s="612">
        <v>57.64</v>
      </c>
      <c r="H744" s="603">
        <f t="shared" si="163"/>
        <v>0</v>
      </c>
      <c r="I744" s="606">
        <f t="shared" si="162"/>
        <v>40348</v>
      </c>
      <c r="J744" s="376"/>
    </row>
    <row r="745" spans="1:10" ht="23.4" x14ac:dyDescent="0.3">
      <c r="A745" s="1068"/>
      <c r="B745" s="809"/>
      <c r="C745" s="282" t="s">
        <v>364</v>
      </c>
      <c r="D745" s="437" t="s">
        <v>407</v>
      </c>
      <c r="E745" s="283"/>
      <c r="F745" s="438">
        <f t="shared" si="164"/>
        <v>0</v>
      </c>
      <c r="G745" s="612">
        <v>57.64</v>
      </c>
      <c r="H745" s="603">
        <f t="shared" si="163"/>
        <v>0</v>
      </c>
      <c r="I745" s="606">
        <f t="shared" si="162"/>
        <v>0</v>
      </c>
      <c r="J745" s="376"/>
    </row>
    <row r="746" spans="1:10" ht="23.4" x14ac:dyDescent="0.3">
      <c r="A746" s="1068"/>
      <c r="B746" s="809"/>
      <c r="C746" s="282" t="s">
        <v>365</v>
      </c>
      <c r="D746" s="437" t="s">
        <v>366</v>
      </c>
      <c r="E746" s="283">
        <f>1895+345</f>
        <v>2240</v>
      </c>
      <c r="F746" s="438">
        <f t="shared" si="164"/>
        <v>2240</v>
      </c>
      <c r="G746" s="612">
        <v>434.41</v>
      </c>
      <c r="H746" s="603">
        <f t="shared" si="163"/>
        <v>973078.4</v>
      </c>
      <c r="I746" s="606">
        <f t="shared" si="162"/>
        <v>973078.4</v>
      </c>
      <c r="J746" s="376"/>
    </row>
    <row r="747" spans="1:10" ht="23.4" x14ac:dyDescent="0.3">
      <c r="A747" s="1068"/>
      <c r="B747" s="809"/>
      <c r="C747" s="282" t="s">
        <v>381</v>
      </c>
      <c r="D747" s="437" t="s">
        <v>258</v>
      </c>
      <c r="E747" s="283"/>
      <c r="F747" s="438">
        <f t="shared" si="164"/>
        <v>0</v>
      </c>
      <c r="G747" s="612">
        <v>624.26</v>
      </c>
      <c r="H747" s="603">
        <f t="shared" si="163"/>
        <v>0</v>
      </c>
      <c r="I747" s="606">
        <f t="shared" si="162"/>
        <v>0</v>
      </c>
      <c r="J747" s="376"/>
    </row>
    <row r="748" spans="1:10" ht="23.4" x14ac:dyDescent="0.3">
      <c r="A748" s="1068"/>
      <c r="B748" s="809"/>
      <c r="C748" s="282" t="s">
        <v>367</v>
      </c>
      <c r="D748" s="437" t="s">
        <v>366</v>
      </c>
      <c r="E748" s="283">
        <v>5760</v>
      </c>
      <c r="F748" s="438">
        <f t="shared" si="164"/>
        <v>5760</v>
      </c>
      <c r="G748" s="612">
        <v>63.55</v>
      </c>
      <c r="H748" s="603">
        <f t="shared" si="163"/>
        <v>366048</v>
      </c>
      <c r="I748" s="606">
        <f t="shared" si="162"/>
        <v>366048</v>
      </c>
      <c r="J748" s="376"/>
    </row>
    <row r="749" spans="1:10" ht="23.4" x14ac:dyDescent="0.3">
      <c r="A749" s="1068"/>
      <c r="B749" s="809"/>
      <c r="C749" s="282" t="s">
        <v>429</v>
      </c>
      <c r="D749" s="437" t="s">
        <v>258</v>
      </c>
      <c r="E749" s="283">
        <v>14400</v>
      </c>
      <c r="F749" s="438">
        <f t="shared" si="164"/>
        <v>80016</v>
      </c>
      <c r="G749" s="612">
        <v>59.96</v>
      </c>
      <c r="H749" s="603">
        <f t="shared" si="163"/>
        <v>863424</v>
      </c>
      <c r="I749" s="606">
        <f t="shared" si="162"/>
        <v>4797759.3600000003</v>
      </c>
      <c r="J749" s="376"/>
    </row>
    <row r="750" spans="1:10" ht="23.4" x14ac:dyDescent="0.3">
      <c r="A750" s="1068"/>
      <c r="B750" s="809"/>
      <c r="C750" s="282" t="s">
        <v>501</v>
      </c>
      <c r="D750" s="437" t="s">
        <v>366</v>
      </c>
      <c r="E750" s="283">
        <v>8640</v>
      </c>
      <c r="F750" s="438">
        <f>+E750</f>
        <v>8640</v>
      </c>
      <c r="G750" s="612">
        <v>53.86</v>
      </c>
      <c r="H750" s="603">
        <f t="shared" si="163"/>
        <v>465350.40000000002</v>
      </c>
      <c r="I750" s="606">
        <f t="shared" si="162"/>
        <v>465350.40000000002</v>
      </c>
      <c r="J750" s="376"/>
    </row>
    <row r="751" spans="1:10" ht="23.4" x14ac:dyDescent="0.3">
      <c r="A751" s="1068"/>
      <c r="B751" s="809"/>
      <c r="C751" s="282" t="s">
        <v>446</v>
      </c>
      <c r="D751" s="437"/>
      <c r="E751" s="283"/>
      <c r="F751" s="438">
        <f>+F665+E751</f>
        <v>8318</v>
      </c>
      <c r="G751" s="612">
        <v>360</v>
      </c>
      <c r="H751" s="603">
        <f t="shared" si="163"/>
        <v>0</v>
      </c>
      <c r="I751" s="606">
        <f t="shared" si="162"/>
        <v>2994480</v>
      </c>
      <c r="J751" s="376"/>
    </row>
    <row r="752" spans="1:10" ht="23.4" x14ac:dyDescent="0.3">
      <c r="A752" s="1068"/>
      <c r="B752" s="809"/>
      <c r="C752" s="282" t="s">
        <v>305</v>
      </c>
      <c r="D752" s="437"/>
      <c r="E752" s="283"/>
      <c r="F752" s="438">
        <f>+F666+E752</f>
        <v>0</v>
      </c>
      <c r="G752" s="612">
        <v>39450</v>
      </c>
      <c r="H752" s="603">
        <f t="shared" si="163"/>
        <v>0</v>
      </c>
      <c r="I752" s="606">
        <f t="shared" si="162"/>
        <v>0</v>
      </c>
      <c r="J752" s="376"/>
    </row>
    <row r="753" spans="1:10" ht="24" thickBot="1" x14ac:dyDescent="0.35">
      <c r="A753" s="1068"/>
      <c r="B753" s="809"/>
      <c r="C753" s="282" t="s">
        <v>364</v>
      </c>
      <c r="D753" s="437" t="s">
        <v>258</v>
      </c>
      <c r="E753" s="283"/>
      <c r="F753" s="438">
        <f>+F667+E753</f>
        <v>0</v>
      </c>
      <c r="G753" s="612">
        <v>57.64</v>
      </c>
      <c r="H753" s="603">
        <f t="shared" si="163"/>
        <v>0</v>
      </c>
      <c r="I753" s="606">
        <f t="shared" si="162"/>
        <v>0</v>
      </c>
      <c r="J753" s="376"/>
    </row>
    <row r="754" spans="1:10" ht="24" thickBot="1" x14ac:dyDescent="0.35">
      <c r="A754" s="1069"/>
      <c r="B754" s="1063" t="s">
        <v>291</v>
      </c>
      <c r="C754" s="1064"/>
      <c r="D754" s="811"/>
      <c r="E754" s="329">
        <f>SUM(E732:E753)</f>
        <v>63427</v>
      </c>
      <c r="F754" s="329">
        <f>SUM(F732:F753)</f>
        <v>195030</v>
      </c>
      <c r="G754" s="329"/>
      <c r="H754" s="600">
        <f>SUM(H732:H753)</f>
        <v>6073158.54</v>
      </c>
      <c r="I754" s="589">
        <f>SUM(I732:I753)</f>
        <v>23642481.34</v>
      </c>
      <c r="J754" s="375"/>
    </row>
    <row r="755" spans="1:10" ht="24" thickBot="1" x14ac:dyDescent="0.35">
      <c r="A755" s="814"/>
      <c r="B755" s="440"/>
      <c r="C755" s="282" t="s">
        <v>446</v>
      </c>
      <c r="D755" s="437"/>
      <c r="E755" s="283"/>
      <c r="F755" s="284">
        <f>+F669+E755</f>
        <v>0</v>
      </c>
      <c r="G755" s="337"/>
      <c r="H755" s="599">
        <f t="shared" ref="H755" si="165">E755*G755</f>
        <v>0</v>
      </c>
      <c r="I755" s="285">
        <f t="shared" ref="I755" si="166">+G755*F755</f>
        <v>0</v>
      </c>
      <c r="J755" s="376"/>
    </row>
    <row r="756" spans="1:10" ht="24" thickBot="1" x14ac:dyDescent="0.35">
      <c r="A756" s="814"/>
      <c r="B756" s="1063" t="s">
        <v>238</v>
      </c>
      <c r="C756" s="1064"/>
      <c r="D756" s="807"/>
      <c r="E756" s="329"/>
      <c r="F756" s="330"/>
      <c r="G756" s="329"/>
      <c r="H756" s="597"/>
      <c r="I756" s="327">
        <f>SUM(I755)</f>
        <v>0</v>
      </c>
      <c r="J756" s="352"/>
    </row>
    <row r="757" spans="1:10" ht="24.6" thickBot="1" x14ac:dyDescent="0.35">
      <c r="A757" s="322"/>
      <c r="B757" s="1065" t="s">
        <v>182</v>
      </c>
      <c r="C757" s="1066"/>
      <c r="D757" s="808"/>
      <c r="E757" s="377">
        <f>+E754+E731+E710+E708</f>
        <v>426535</v>
      </c>
      <c r="F757" s="377">
        <f>+F754+F731+F710+F708</f>
        <v>2078946</v>
      </c>
      <c r="G757" s="377"/>
      <c r="H757" s="377"/>
      <c r="I757" s="377">
        <f>+I754+I731+I710+I756</f>
        <v>80086400.099999994</v>
      </c>
      <c r="J757" s="378"/>
    </row>
    <row r="758" spans="1:10" ht="23.4" x14ac:dyDescent="0.3">
      <c r="A758" s="991" t="s">
        <v>1</v>
      </c>
      <c r="B758" s="994" t="s">
        <v>2</v>
      </c>
      <c r="C758" s="1072" t="s">
        <v>477</v>
      </c>
      <c r="D758" s="1043" t="s">
        <v>478</v>
      </c>
      <c r="E758" s="1076">
        <v>44544</v>
      </c>
      <c r="F758" s="1001"/>
      <c r="G758" s="1001"/>
      <c r="H758" s="1001"/>
      <c r="I758" s="1001"/>
      <c r="J758" s="1002"/>
    </row>
    <row r="759" spans="1:10" ht="23.4" x14ac:dyDescent="0.3">
      <c r="A759" s="1070"/>
      <c r="B759" s="1071"/>
      <c r="C759" s="1073"/>
      <c r="D759" s="1044"/>
      <c r="E759" s="1077" t="s">
        <v>493</v>
      </c>
      <c r="F759" s="1078"/>
      <c r="G759" s="1077" t="s">
        <v>492</v>
      </c>
      <c r="H759" s="1079"/>
      <c r="I759" s="1079"/>
      <c r="J759" s="1078"/>
    </row>
    <row r="760" spans="1:10" x14ac:dyDescent="0.3">
      <c r="A760" s="992"/>
      <c r="B760" s="995"/>
      <c r="C760" s="1074"/>
      <c r="D760" s="1044"/>
      <c r="E760" s="1003" t="s">
        <v>494</v>
      </c>
      <c r="F760" s="1005" t="s">
        <v>495</v>
      </c>
      <c r="G760" s="1081" t="s">
        <v>97</v>
      </c>
      <c r="H760" s="1083" t="s">
        <v>98</v>
      </c>
      <c r="I760" s="1083" t="s">
        <v>98</v>
      </c>
      <c r="J760" s="1085" t="s">
        <v>12</v>
      </c>
    </row>
    <row r="761" spans="1:10" ht="14.4" thickBot="1" x14ac:dyDescent="0.35">
      <c r="A761" s="993"/>
      <c r="B761" s="996"/>
      <c r="C761" s="1075"/>
      <c r="D761" s="1045"/>
      <c r="E761" s="1004"/>
      <c r="F761" s="1080"/>
      <c r="G761" s="1082"/>
      <c r="H761" s="1084"/>
      <c r="I761" s="1084"/>
      <c r="J761" s="1086"/>
    </row>
    <row r="762" spans="1:10" ht="23.4" x14ac:dyDescent="0.3">
      <c r="A762" s="1067" t="s">
        <v>110</v>
      </c>
      <c r="B762" s="442"/>
      <c r="C762" s="584" t="s">
        <v>292</v>
      </c>
      <c r="D762" s="686" t="s">
        <v>284</v>
      </c>
      <c r="E762" s="744"/>
      <c r="F762" s="695">
        <f>+F676+E762</f>
        <v>0</v>
      </c>
      <c r="G762" s="741">
        <v>111.09</v>
      </c>
      <c r="H762" s="601">
        <f t="shared" ref="H762:H775" si="167">E762*G762</f>
        <v>0</v>
      </c>
      <c r="I762" s="604">
        <f>+G762*F762</f>
        <v>0</v>
      </c>
      <c r="J762" s="354"/>
    </row>
    <row r="763" spans="1:10" ht="23.4" x14ac:dyDescent="0.3">
      <c r="A763" s="1068"/>
      <c r="B763" s="441"/>
      <c r="C763" s="444" t="s">
        <v>285</v>
      </c>
      <c r="D763" s="687" t="s">
        <v>286</v>
      </c>
      <c r="E763" s="745"/>
      <c r="F763" s="746">
        <f t="shared" ref="F763:F775" si="168">+F677+E763</f>
        <v>0</v>
      </c>
      <c r="G763" s="742">
        <v>11</v>
      </c>
      <c r="H763" s="602">
        <f t="shared" si="167"/>
        <v>0</v>
      </c>
      <c r="I763" s="605">
        <f>+G763*F763</f>
        <v>0</v>
      </c>
      <c r="J763" s="355"/>
    </row>
    <row r="764" spans="1:10" ht="23.4" x14ac:dyDescent="0.3">
      <c r="A764" s="1068"/>
      <c r="B764" s="441"/>
      <c r="C764" s="444" t="s">
        <v>321</v>
      </c>
      <c r="D764" s="687" t="s">
        <v>400</v>
      </c>
      <c r="E764" s="745"/>
      <c r="F764" s="746">
        <f t="shared" si="168"/>
        <v>0</v>
      </c>
      <c r="G764" s="742">
        <v>139.04</v>
      </c>
      <c r="H764" s="602">
        <f t="shared" si="167"/>
        <v>0</v>
      </c>
      <c r="I764" s="605">
        <f t="shared" ref="I764:I775" si="169">+G764*F764</f>
        <v>0</v>
      </c>
      <c r="J764" s="355"/>
    </row>
    <row r="765" spans="1:10" ht="23.4" x14ac:dyDescent="0.3">
      <c r="A765" s="1068"/>
      <c r="B765" s="441"/>
      <c r="C765" s="444" t="s">
        <v>397</v>
      </c>
      <c r="D765" s="687" t="s">
        <v>398</v>
      </c>
      <c r="E765" s="745"/>
      <c r="F765" s="746">
        <f t="shared" si="168"/>
        <v>856800</v>
      </c>
      <c r="G765" s="795">
        <v>20.5</v>
      </c>
      <c r="H765" s="602">
        <f t="shared" si="167"/>
        <v>0</v>
      </c>
      <c r="I765" s="605">
        <f t="shared" si="169"/>
        <v>17564400</v>
      </c>
      <c r="J765" s="355"/>
    </row>
    <row r="766" spans="1:10" ht="23.4" x14ac:dyDescent="0.3">
      <c r="A766" s="1068"/>
      <c r="B766" s="441"/>
      <c r="C766" s="444" t="s">
        <v>312</v>
      </c>
      <c r="D766" s="687" t="s">
        <v>190</v>
      </c>
      <c r="E766" s="745"/>
      <c r="F766" s="746">
        <f t="shared" si="168"/>
        <v>0</v>
      </c>
      <c r="G766" s="742">
        <v>14.79</v>
      </c>
      <c r="H766" s="602">
        <f t="shared" si="167"/>
        <v>0</v>
      </c>
      <c r="I766" s="605">
        <f t="shared" si="169"/>
        <v>0</v>
      </c>
      <c r="J766" s="355"/>
    </row>
    <row r="767" spans="1:10" ht="23.4" x14ac:dyDescent="0.3">
      <c r="A767" s="1068"/>
      <c r="B767" s="441"/>
      <c r="C767" s="444" t="s">
        <v>321</v>
      </c>
      <c r="D767" s="687" t="s">
        <v>286</v>
      </c>
      <c r="E767" s="745"/>
      <c r="F767" s="746">
        <f t="shared" si="168"/>
        <v>3595</v>
      </c>
      <c r="G767" s="742">
        <v>139.04</v>
      </c>
      <c r="H767" s="602">
        <f t="shared" si="167"/>
        <v>0</v>
      </c>
      <c r="I767" s="605">
        <f t="shared" si="169"/>
        <v>499848.8</v>
      </c>
      <c r="J767" s="355"/>
    </row>
    <row r="768" spans="1:10" ht="23.4" x14ac:dyDescent="0.3">
      <c r="A768" s="1068"/>
      <c r="B768" s="441"/>
      <c r="C768" s="444" t="s">
        <v>472</v>
      </c>
      <c r="D768" s="688" t="s">
        <v>396</v>
      </c>
      <c r="E768" s="745"/>
      <c r="F768" s="746">
        <f t="shared" si="168"/>
        <v>29760</v>
      </c>
      <c r="G768" s="742">
        <v>147.58000000000001</v>
      </c>
      <c r="H768" s="602">
        <f t="shared" si="167"/>
        <v>0</v>
      </c>
      <c r="I768" s="605">
        <f t="shared" si="169"/>
        <v>4391980.8000000007</v>
      </c>
      <c r="J768" s="355"/>
    </row>
    <row r="769" spans="1:10" ht="23.4" x14ac:dyDescent="0.3">
      <c r="A769" s="1068"/>
      <c r="B769" s="441"/>
      <c r="C769" s="444" t="s">
        <v>345</v>
      </c>
      <c r="D769" s="688" t="s">
        <v>286</v>
      </c>
      <c r="E769" s="745"/>
      <c r="F769" s="746">
        <f t="shared" si="168"/>
        <v>0</v>
      </c>
      <c r="G769" s="742">
        <v>18.84</v>
      </c>
      <c r="H769" s="602">
        <f t="shared" si="167"/>
        <v>0</v>
      </c>
      <c r="I769" s="605">
        <f t="shared" si="169"/>
        <v>0</v>
      </c>
      <c r="J769" s="355"/>
    </row>
    <row r="770" spans="1:10" ht="23.4" x14ac:dyDescent="0.3">
      <c r="A770" s="1068"/>
      <c r="B770" s="441"/>
      <c r="C770" s="444" t="s">
        <v>357</v>
      </c>
      <c r="D770" s="688" t="s">
        <v>252</v>
      </c>
      <c r="E770" s="745">
        <v>183600</v>
      </c>
      <c r="F770" s="746">
        <f t="shared" si="168"/>
        <v>550800</v>
      </c>
      <c r="G770" s="742">
        <v>21.18</v>
      </c>
      <c r="H770" s="602">
        <f t="shared" si="167"/>
        <v>3888648</v>
      </c>
      <c r="I770" s="605">
        <f t="shared" si="169"/>
        <v>11665944</v>
      </c>
      <c r="J770" s="355"/>
    </row>
    <row r="771" spans="1:10" ht="23.4" x14ac:dyDescent="0.3">
      <c r="A771" s="1068"/>
      <c r="B771" s="441"/>
      <c r="C771" s="444" t="s">
        <v>359</v>
      </c>
      <c r="D771" s="688" t="s">
        <v>360</v>
      </c>
      <c r="E771" s="745"/>
      <c r="F771" s="746">
        <f t="shared" si="168"/>
        <v>0</v>
      </c>
      <c r="G771" s="742">
        <v>21.28</v>
      </c>
      <c r="H771" s="602">
        <f t="shared" si="167"/>
        <v>0</v>
      </c>
      <c r="I771" s="605">
        <f t="shared" si="169"/>
        <v>0</v>
      </c>
      <c r="J771" s="355"/>
    </row>
    <row r="772" spans="1:10" ht="23.4" x14ac:dyDescent="0.3">
      <c r="A772" s="1068"/>
      <c r="B772" s="441"/>
      <c r="C772" s="444" t="s">
        <v>445</v>
      </c>
      <c r="D772" s="688" t="s">
        <v>436</v>
      </c>
      <c r="E772" s="745"/>
      <c r="F772" s="746">
        <f t="shared" si="168"/>
        <v>19840</v>
      </c>
      <c r="G772" s="742">
        <v>143.28</v>
      </c>
      <c r="H772" s="602">
        <f t="shared" si="167"/>
        <v>0</v>
      </c>
      <c r="I772" s="605">
        <f t="shared" si="169"/>
        <v>2842675.2000000002</v>
      </c>
      <c r="J772" s="355"/>
    </row>
    <row r="773" spans="1:10" ht="23.4" x14ac:dyDescent="0.3">
      <c r="A773" s="1068"/>
      <c r="B773" s="441"/>
      <c r="C773" s="444" t="s">
        <v>403</v>
      </c>
      <c r="D773" s="687" t="s">
        <v>190</v>
      </c>
      <c r="E773" s="745"/>
      <c r="F773" s="746">
        <f t="shared" si="168"/>
        <v>135168</v>
      </c>
      <c r="G773" s="742">
        <v>14.55</v>
      </c>
      <c r="H773" s="602">
        <f t="shared" si="167"/>
        <v>0</v>
      </c>
      <c r="I773" s="605">
        <f t="shared" si="169"/>
        <v>1966694.4000000001</v>
      </c>
      <c r="J773" s="355"/>
    </row>
    <row r="774" spans="1:10" ht="23.4" x14ac:dyDescent="0.3">
      <c r="A774" s="1068"/>
      <c r="B774" s="441"/>
      <c r="C774" s="444" t="s">
        <v>362</v>
      </c>
      <c r="D774" s="688" t="s">
        <v>202</v>
      </c>
      <c r="E774" s="745"/>
      <c r="F774" s="746">
        <f t="shared" si="168"/>
        <v>0</v>
      </c>
      <c r="G774" s="742">
        <v>21.28</v>
      </c>
      <c r="H774" s="602">
        <f t="shared" si="167"/>
        <v>0</v>
      </c>
      <c r="I774" s="605">
        <f t="shared" si="169"/>
        <v>0</v>
      </c>
      <c r="J774" s="355"/>
    </row>
    <row r="775" spans="1:10" ht="24" thickBot="1" x14ac:dyDescent="0.35">
      <c r="A775" s="1068"/>
      <c r="B775" s="441"/>
      <c r="C775" s="444" t="s">
        <v>374</v>
      </c>
      <c r="D775" s="689" t="s">
        <v>191</v>
      </c>
      <c r="E775" s="745"/>
      <c r="F775" s="697">
        <f t="shared" si="168"/>
        <v>0</v>
      </c>
      <c r="G775" s="742">
        <v>36.44</v>
      </c>
      <c r="H775" s="602">
        <f t="shared" si="167"/>
        <v>0</v>
      </c>
      <c r="I775" s="605">
        <f t="shared" si="169"/>
        <v>0</v>
      </c>
      <c r="J775" s="355"/>
    </row>
    <row r="776" spans="1:10" ht="24" thickBot="1" x14ac:dyDescent="0.35">
      <c r="A776" s="1068"/>
      <c r="B776" s="1063" t="s">
        <v>287</v>
      </c>
      <c r="C776" s="1064"/>
      <c r="D776" s="819"/>
      <c r="E776" s="329">
        <f>SUM(E762:E775)</f>
        <v>183600</v>
      </c>
      <c r="F776" s="743">
        <f>SUM(F762:F775)</f>
        <v>1595963</v>
      </c>
      <c r="G776" s="329"/>
      <c r="H776" s="597">
        <f>SUM(H762:H775)</f>
        <v>3888648</v>
      </c>
      <c r="I776" s="589">
        <f>SUM(I762:I775)</f>
        <v>38931543.200000003</v>
      </c>
      <c r="J776" s="352"/>
    </row>
    <row r="777" spans="1:10" ht="23.4" x14ac:dyDescent="0.3">
      <c r="A777" s="1068"/>
      <c r="B777" s="816"/>
      <c r="C777" s="282" t="s">
        <v>293</v>
      </c>
      <c r="D777" s="437" t="s">
        <v>258</v>
      </c>
      <c r="E777" s="283">
        <v>3500</v>
      </c>
      <c r="F777" s="438">
        <f t="shared" ref="F777:F787" si="170">+F691+E777</f>
        <v>29750</v>
      </c>
      <c r="G777" s="587">
        <v>160.44999999999999</v>
      </c>
      <c r="H777" s="603">
        <f t="shared" ref="H777:H787" si="171">E777*G777</f>
        <v>561575</v>
      </c>
      <c r="I777" s="606">
        <f t="shared" ref="I777:I787" si="172">+G777*F777</f>
        <v>4773387.5</v>
      </c>
      <c r="J777" s="376"/>
    </row>
    <row r="778" spans="1:10" ht="23.4" x14ac:dyDescent="0.3">
      <c r="A778" s="1068"/>
      <c r="B778" s="816"/>
      <c r="C778" s="282" t="s">
        <v>309</v>
      </c>
      <c r="D778" s="437" t="s">
        <v>258</v>
      </c>
      <c r="E778" s="283"/>
      <c r="F778" s="438">
        <f t="shared" si="170"/>
        <v>0</v>
      </c>
      <c r="G778" s="587">
        <v>160.44999999999999</v>
      </c>
      <c r="H778" s="603">
        <f t="shared" si="171"/>
        <v>0</v>
      </c>
      <c r="I778" s="606">
        <f t="shared" si="172"/>
        <v>0</v>
      </c>
      <c r="J778" s="376"/>
    </row>
    <row r="779" spans="1:10" ht="23.4" x14ac:dyDescent="0.3">
      <c r="A779" s="1068"/>
      <c r="B779" s="816"/>
      <c r="C779" s="282" t="s">
        <v>463</v>
      </c>
      <c r="D779" s="437" t="s">
        <v>258</v>
      </c>
      <c r="E779" s="283"/>
      <c r="F779" s="438">
        <f t="shared" si="170"/>
        <v>5250</v>
      </c>
      <c r="G779" s="587">
        <v>160.44999999999999</v>
      </c>
      <c r="H779" s="603">
        <f t="shared" si="171"/>
        <v>0</v>
      </c>
      <c r="I779" s="606">
        <f t="shared" si="172"/>
        <v>842362.49999999988</v>
      </c>
      <c r="J779" s="376"/>
    </row>
    <row r="780" spans="1:10" ht="23.4" x14ac:dyDescent="0.3">
      <c r="A780" s="1068"/>
      <c r="B780" s="816"/>
      <c r="C780" s="282" t="s">
        <v>311</v>
      </c>
      <c r="D780" s="437" t="s">
        <v>100</v>
      </c>
      <c r="E780" s="283"/>
      <c r="F780" s="438">
        <f t="shared" si="170"/>
        <v>0</v>
      </c>
      <c r="G780" s="587">
        <v>27</v>
      </c>
      <c r="H780" s="603">
        <f t="shared" si="171"/>
        <v>0</v>
      </c>
      <c r="I780" s="606">
        <f t="shared" si="172"/>
        <v>0</v>
      </c>
      <c r="J780" s="376"/>
    </row>
    <row r="781" spans="1:10" ht="23.4" x14ac:dyDescent="0.3">
      <c r="A781" s="1068"/>
      <c r="B781" s="816"/>
      <c r="C781" s="282" t="s">
        <v>311</v>
      </c>
      <c r="D781" s="437" t="s">
        <v>318</v>
      </c>
      <c r="E781" s="283"/>
      <c r="F781" s="438">
        <f t="shared" si="170"/>
        <v>324720</v>
      </c>
      <c r="G781" s="587">
        <v>27.5</v>
      </c>
      <c r="H781" s="603">
        <f t="shared" si="171"/>
        <v>0</v>
      </c>
      <c r="I781" s="606">
        <f t="shared" si="172"/>
        <v>8929800</v>
      </c>
      <c r="J781" s="376"/>
    </row>
    <row r="782" spans="1:10" ht="23.4" x14ac:dyDescent="0.3">
      <c r="A782" s="1068"/>
      <c r="B782" s="816"/>
      <c r="C782" s="282" t="s">
        <v>299</v>
      </c>
      <c r="D782" s="437" t="s">
        <v>318</v>
      </c>
      <c r="E782" s="283"/>
      <c r="F782" s="438">
        <f t="shared" si="170"/>
        <v>10832</v>
      </c>
      <c r="G782" s="587">
        <v>34.5</v>
      </c>
      <c r="H782" s="603">
        <f t="shared" si="171"/>
        <v>0</v>
      </c>
      <c r="I782" s="606">
        <f t="shared" si="172"/>
        <v>373704</v>
      </c>
      <c r="J782" s="376"/>
    </row>
    <row r="783" spans="1:10" ht="23.4" x14ac:dyDescent="0.3">
      <c r="A783" s="1068"/>
      <c r="B783" s="816"/>
      <c r="C783" s="282" t="s">
        <v>505</v>
      </c>
      <c r="D783" s="437" t="s">
        <v>258</v>
      </c>
      <c r="E783" s="283">
        <v>6125</v>
      </c>
      <c r="F783" s="438">
        <f t="shared" si="170"/>
        <v>8750</v>
      </c>
      <c r="G783" s="587">
        <v>160.44999999999999</v>
      </c>
      <c r="H783" s="603">
        <f t="shared" si="171"/>
        <v>982756.24999999988</v>
      </c>
      <c r="I783" s="606">
        <f t="shared" si="172"/>
        <v>1403937.5</v>
      </c>
      <c r="J783" s="376"/>
    </row>
    <row r="784" spans="1:10" ht="23.4" x14ac:dyDescent="0.3">
      <c r="A784" s="1068"/>
      <c r="B784" s="816"/>
      <c r="C784" s="282" t="s">
        <v>388</v>
      </c>
      <c r="D784" s="437" t="s">
        <v>258</v>
      </c>
      <c r="E784" s="283">
        <v>2625</v>
      </c>
      <c r="F784" s="438">
        <f t="shared" si="170"/>
        <v>29250</v>
      </c>
      <c r="G784" s="587">
        <v>160.44999999999999</v>
      </c>
      <c r="H784" s="603">
        <f t="shared" si="171"/>
        <v>421181.24999999994</v>
      </c>
      <c r="I784" s="606">
        <f t="shared" si="172"/>
        <v>4693162.5</v>
      </c>
      <c r="J784" s="376"/>
    </row>
    <row r="785" spans="1:11" ht="23.4" x14ac:dyDescent="0.3">
      <c r="A785" s="1068"/>
      <c r="B785" s="816"/>
      <c r="C785" s="282" t="s">
        <v>461</v>
      </c>
      <c r="D785" s="437" t="s">
        <v>258</v>
      </c>
      <c r="E785" s="283"/>
      <c r="F785" s="438">
        <f t="shared" si="170"/>
        <v>6000</v>
      </c>
      <c r="G785" s="587">
        <v>160.44999999999999</v>
      </c>
      <c r="H785" s="603">
        <f t="shared" si="171"/>
        <v>0</v>
      </c>
      <c r="I785" s="606">
        <f t="shared" si="172"/>
        <v>962699.99999999988</v>
      </c>
      <c r="J785" s="376"/>
    </row>
    <row r="786" spans="1:11" ht="23.4" x14ac:dyDescent="0.3">
      <c r="A786" s="1068"/>
      <c r="B786" s="816"/>
      <c r="C786" s="282" t="s">
        <v>343</v>
      </c>
      <c r="D786" s="437" t="s">
        <v>258</v>
      </c>
      <c r="E786" s="283"/>
      <c r="F786" s="438">
        <f t="shared" si="170"/>
        <v>0</v>
      </c>
      <c r="G786" s="587">
        <v>160.44999999999999</v>
      </c>
      <c r="H786" s="603">
        <f t="shared" si="171"/>
        <v>0</v>
      </c>
      <c r="I786" s="606">
        <f t="shared" si="172"/>
        <v>0</v>
      </c>
      <c r="J786" s="376"/>
    </row>
    <row r="787" spans="1:11" ht="24" thickBot="1" x14ac:dyDescent="0.35">
      <c r="A787" s="1068"/>
      <c r="B787" s="816"/>
      <c r="C787" s="282" t="s">
        <v>340</v>
      </c>
      <c r="D787" s="437" t="s">
        <v>258</v>
      </c>
      <c r="E787" s="283"/>
      <c r="F787" s="438">
        <f t="shared" si="170"/>
        <v>0</v>
      </c>
      <c r="G787" s="587">
        <v>160.44999999999999</v>
      </c>
      <c r="H787" s="603">
        <f t="shared" si="171"/>
        <v>0</v>
      </c>
      <c r="I787" s="606">
        <f t="shared" si="172"/>
        <v>0</v>
      </c>
      <c r="J787" s="376"/>
    </row>
    <row r="788" spans="1:11" ht="24" thickBot="1" x14ac:dyDescent="0.35">
      <c r="A788" s="1068"/>
      <c r="B788" s="1063" t="s">
        <v>288</v>
      </c>
      <c r="C788" s="1064"/>
      <c r="D788" s="819"/>
      <c r="E788" s="329">
        <f>SUM(E777:E787)</f>
        <v>12250</v>
      </c>
      <c r="F788" s="329">
        <f>SUM(F777:F787)</f>
        <v>414552</v>
      </c>
      <c r="G788" s="329"/>
      <c r="H788" s="597">
        <f>SUM(H777:H787)</f>
        <v>1965512.5</v>
      </c>
      <c r="I788" s="589">
        <f>SUM(I777:I787)</f>
        <v>21979054</v>
      </c>
      <c r="J788" s="352"/>
    </row>
    <row r="789" spans="1:11" ht="23.4" x14ac:dyDescent="0.3">
      <c r="A789" s="1068"/>
      <c r="B789" s="816"/>
      <c r="C789" s="282" t="s">
        <v>434</v>
      </c>
      <c r="D789" s="437" t="s">
        <v>435</v>
      </c>
      <c r="E789" s="283"/>
      <c r="F789" s="438">
        <f t="shared" ref="F789:F793" si="173">+F703+E789</f>
        <v>250</v>
      </c>
      <c r="G789" s="587">
        <v>5.34</v>
      </c>
      <c r="H789" s="603">
        <f t="shared" ref="H789:H793" si="174">E789*G789</f>
        <v>0</v>
      </c>
      <c r="I789" s="606">
        <f t="shared" ref="I789" si="175">+G789*F789</f>
        <v>1335</v>
      </c>
      <c r="J789" s="376"/>
    </row>
    <row r="790" spans="1:11" ht="23.4" x14ac:dyDescent="0.3">
      <c r="A790" s="1068"/>
      <c r="B790" s="816"/>
      <c r="C790" s="282" t="s">
        <v>464</v>
      </c>
      <c r="D790" s="437" t="s">
        <v>286</v>
      </c>
      <c r="E790" s="283"/>
      <c r="F790" s="438">
        <f t="shared" si="173"/>
        <v>50</v>
      </c>
      <c r="G790" s="587">
        <v>31.73</v>
      </c>
      <c r="H790" s="603">
        <f t="shared" si="174"/>
        <v>0</v>
      </c>
      <c r="I790" s="606">
        <f>+G790*F790</f>
        <v>1586.5</v>
      </c>
      <c r="J790" s="376"/>
    </row>
    <row r="791" spans="1:11" ht="23.4" x14ac:dyDescent="0.3">
      <c r="A791" s="1068"/>
      <c r="B791" s="816"/>
      <c r="C791" s="282" t="s">
        <v>473</v>
      </c>
      <c r="D791" s="437" t="s">
        <v>474</v>
      </c>
      <c r="E791" s="283"/>
      <c r="F791" s="438">
        <f t="shared" si="173"/>
        <v>2500</v>
      </c>
      <c r="G791" s="587">
        <v>10.58</v>
      </c>
      <c r="H791" s="603">
        <f t="shared" si="174"/>
        <v>0</v>
      </c>
      <c r="I791" s="606">
        <f>+G791*F791</f>
        <v>26450</v>
      </c>
      <c r="J791" s="376"/>
    </row>
    <row r="792" spans="1:11" ht="23.4" x14ac:dyDescent="0.3">
      <c r="A792" s="1068"/>
      <c r="B792" s="816"/>
      <c r="C792" s="282" t="s">
        <v>300</v>
      </c>
      <c r="D792" s="437" t="s">
        <v>301</v>
      </c>
      <c r="E792" s="283"/>
      <c r="F792" s="438">
        <f t="shared" si="173"/>
        <v>1</v>
      </c>
      <c r="G792" s="587">
        <v>2500</v>
      </c>
      <c r="H792" s="603">
        <f t="shared" si="174"/>
        <v>0</v>
      </c>
      <c r="I792" s="606">
        <f>+G792*F792</f>
        <v>2500</v>
      </c>
      <c r="J792" s="376"/>
    </row>
    <row r="793" spans="1:11" ht="24" thickBot="1" x14ac:dyDescent="0.35">
      <c r="A793" s="1068"/>
      <c r="B793" s="816"/>
      <c r="C793" s="282" t="s">
        <v>332</v>
      </c>
      <c r="D793" s="437" t="s">
        <v>333</v>
      </c>
      <c r="E793" s="283"/>
      <c r="F793" s="438">
        <f t="shared" si="173"/>
        <v>0</v>
      </c>
      <c r="G793" s="588">
        <v>360</v>
      </c>
      <c r="H793" s="603">
        <f t="shared" si="174"/>
        <v>0</v>
      </c>
      <c r="I793" s="606">
        <f t="shared" ref="I793" si="176">+G793*F793</f>
        <v>0</v>
      </c>
      <c r="J793" s="376"/>
    </row>
    <row r="794" spans="1:11" ht="24" thickBot="1" x14ac:dyDescent="0.35">
      <c r="A794" s="1068"/>
      <c r="B794" s="1063" t="s">
        <v>294</v>
      </c>
      <c r="C794" s="1064"/>
      <c r="D794" s="819"/>
      <c r="E794" s="329">
        <f>SUM(E789:E793)</f>
        <v>0</v>
      </c>
      <c r="F794" s="329">
        <f>SUM(F789:F793)</f>
        <v>2801</v>
      </c>
      <c r="G794" s="329"/>
      <c r="H794" s="597">
        <f>SUM(H789:H793)</f>
        <v>0</v>
      </c>
      <c r="I794" s="589">
        <f>SUM(I789:I793)</f>
        <v>31871.5</v>
      </c>
      <c r="J794" s="376"/>
    </row>
    <row r="795" spans="1:11" ht="24" thickBot="1" x14ac:dyDescent="0.35">
      <c r="A795" s="1068"/>
      <c r="B795" s="816"/>
      <c r="C795" s="282"/>
      <c r="D795" s="437"/>
      <c r="E795" s="283"/>
      <c r="F795" s="320"/>
      <c r="G795" s="588"/>
      <c r="H795" s="598"/>
      <c r="I795" s="285">
        <f t="shared" ref="I795" si="177">+G795*F795</f>
        <v>0</v>
      </c>
      <c r="J795" s="376"/>
    </row>
    <row r="796" spans="1:11" ht="24" thickBot="1" x14ac:dyDescent="0.35">
      <c r="A796" s="1069"/>
      <c r="B796" s="1063" t="s">
        <v>290</v>
      </c>
      <c r="C796" s="1064"/>
      <c r="D796" s="817"/>
      <c r="E796" s="329">
        <f>+E794+E788+E776</f>
        <v>195850</v>
      </c>
      <c r="F796" s="329">
        <f>+F794+F788+F776</f>
        <v>2013316</v>
      </c>
      <c r="G796" s="329"/>
      <c r="H796" s="589">
        <f>+H788+H776+H794</f>
        <v>5854160.5</v>
      </c>
      <c r="I796" s="589">
        <f>+I788+I776+I794</f>
        <v>60942468.700000003</v>
      </c>
      <c r="J796" s="376"/>
      <c r="K796" s="757"/>
    </row>
    <row r="797" spans="1:11" ht="23.4" x14ac:dyDescent="0.3">
      <c r="A797" s="1067" t="s">
        <v>108</v>
      </c>
      <c r="B797" s="816"/>
      <c r="C797" s="282" t="s">
        <v>304</v>
      </c>
      <c r="D797" s="437" t="s">
        <v>191</v>
      </c>
      <c r="E797" s="283"/>
      <c r="F797" s="438">
        <f t="shared" ref="F797:F804" si="178">+F711+E797</f>
        <v>0</v>
      </c>
      <c r="G797" s="612">
        <v>13.25</v>
      </c>
      <c r="H797" s="607">
        <f t="shared" ref="H797:H817" si="179">E797*G797</f>
        <v>0</v>
      </c>
      <c r="I797" s="606">
        <f t="shared" ref="I797:I817" si="180">+G797*F797</f>
        <v>0</v>
      </c>
      <c r="J797" s="376"/>
    </row>
    <row r="798" spans="1:11" ht="23.4" x14ac:dyDescent="0.3">
      <c r="A798" s="1068"/>
      <c r="B798" s="816"/>
      <c r="C798" s="282" t="s">
        <v>305</v>
      </c>
      <c r="D798" s="437"/>
      <c r="E798" s="283"/>
      <c r="F798" s="438">
        <f t="shared" si="178"/>
        <v>1</v>
      </c>
      <c r="G798" s="613">
        <v>5000</v>
      </c>
      <c r="H798" s="607">
        <f t="shared" si="179"/>
        <v>0</v>
      </c>
      <c r="I798" s="606">
        <f t="shared" si="180"/>
        <v>5000</v>
      </c>
      <c r="J798" s="376"/>
    </row>
    <row r="799" spans="1:11" ht="23.4" x14ac:dyDescent="0.3">
      <c r="A799" s="1068"/>
      <c r="B799" s="816"/>
      <c r="C799" s="282" t="s">
        <v>305</v>
      </c>
      <c r="D799" s="437"/>
      <c r="E799" s="283"/>
      <c r="F799" s="438">
        <f t="shared" si="178"/>
        <v>0</v>
      </c>
      <c r="G799" s="613">
        <v>18000</v>
      </c>
      <c r="H799" s="607">
        <f t="shared" si="179"/>
        <v>0</v>
      </c>
      <c r="I799" s="606">
        <f t="shared" si="180"/>
        <v>0</v>
      </c>
      <c r="J799" s="376"/>
    </row>
    <row r="800" spans="1:11" ht="23.4" x14ac:dyDescent="0.3">
      <c r="A800" s="1068"/>
      <c r="B800" s="816"/>
      <c r="C800" s="282" t="s">
        <v>317</v>
      </c>
      <c r="D800" s="437" t="s">
        <v>191</v>
      </c>
      <c r="E800" s="283"/>
      <c r="F800" s="438">
        <f t="shared" si="178"/>
        <v>0</v>
      </c>
      <c r="G800" s="612">
        <v>24.93</v>
      </c>
      <c r="H800" s="607">
        <f t="shared" si="179"/>
        <v>0</v>
      </c>
      <c r="I800" s="606">
        <f t="shared" si="180"/>
        <v>0</v>
      </c>
      <c r="J800" s="376"/>
    </row>
    <row r="801" spans="1:10" ht="23.4" x14ac:dyDescent="0.3">
      <c r="A801" s="1068"/>
      <c r="B801" s="816"/>
      <c r="C801" s="282" t="s">
        <v>324</v>
      </c>
      <c r="D801" s="437" t="s">
        <v>99</v>
      </c>
      <c r="E801" s="283"/>
      <c r="F801" s="438">
        <f t="shared" si="178"/>
        <v>0</v>
      </c>
      <c r="G801" s="612">
        <v>26</v>
      </c>
      <c r="H801" s="607">
        <f t="shared" si="179"/>
        <v>0</v>
      </c>
      <c r="I801" s="606">
        <f t="shared" si="180"/>
        <v>0</v>
      </c>
      <c r="J801" s="376"/>
    </row>
    <row r="802" spans="1:10" ht="23.4" x14ac:dyDescent="0.3">
      <c r="A802" s="1068"/>
      <c r="B802" s="816"/>
      <c r="C802" s="282" t="s">
        <v>325</v>
      </c>
      <c r="D802" s="437" t="s">
        <v>191</v>
      </c>
      <c r="E802" s="283"/>
      <c r="F802" s="438">
        <f t="shared" si="178"/>
        <v>0</v>
      </c>
      <c r="G802" s="612">
        <v>25.49</v>
      </c>
      <c r="H802" s="607">
        <f t="shared" si="179"/>
        <v>0</v>
      </c>
      <c r="I802" s="606">
        <f t="shared" si="180"/>
        <v>0</v>
      </c>
      <c r="J802" s="376"/>
    </row>
    <row r="803" spans="1:10" ht="23.4" x14ac:dyDescent="0.3">
      <c r="A803" s="1068"/>
      <c r="B803" s="816"/>
      <c r="C803" s="282" t="s">
        <v>326</v>
      </c>
      <c r="D803" s="437" t="s">
        <v>114</v>
      </c>
      <c r="E803" s="283"/>
      <c r="F803" s="438">
        <f t="shared" si="178"/>
        <v>0</v>
      </c>
      <c r="G803" s="612">
        <v>24.93</v>
      </c>
      <c r="H803" s="607">
        <f t="shared" si="179"/>
        <v>0</v>
      </c>
      <c r="I803" s="606">
        <f t="shared" si="180"/>
        <v>0</v>
      </c>
      <c r="J803" s="376"/>
    </row>
    <row r="804" spans="1:10" ht="23.4" x14ac:dyDescent="0.3">
      <c r="A804" s="1068"/>
      <c r="B804" s="816"/>
      <c r="C804" s="282" t="s">
        <v>327</v>
      </c>
      <c r="D804" s="437" t="s">
        <v>303</v>
      </c>
      <c r="E804" s="283"/>
      <c r="F804" s="438">
        <f t="shared" si="178"/>
        <v>0</v>
      </c>
      <c r="G804" s="612">
        <v>24.93</v>
      </c>
      <c r="H804" s="607">
        <f t="shared" si="179"/>
        <v>0</v>
      </c>
      <c r="I804" s="606">
        <f t="shared" si="180"/>
        <v>0</v>
      </c>
      <c r="J804" s="376"/>
    </row>
    <row r="805" spans="1:10" ht="23.4" x14ac:dyDescent="0.3">
      <c r="A805" s="1068"/>
      <c r="B805" s="816"/>
      <c r="C805" s="282" t="s">
        <v>512</v>
      </c>
      <c r="D805" s="437" t="s">
        <v>401</v>
      </c>
      <c r="E805" s="283">
        <v>31824</v>
      </c>
      <c r="F805" s="438">
        <f t="shared" ref="F805:F817" si="181">+F718+E805</f>
        <v>31824</v>
      </c>
      <c r="G805" s="612">
        <v>23.78</v>
      </c>
      <c r="H805" s="607">
        <f t="shared" ref="H805" si="182">E805*G805</f>
        <v>756774.72000000009</v>
      </c>
      <c r="I805" s="606">
        <f t="shared" ref="I805" si="183">+G805*F805</f>
        <v>756774.72000000009</v>
      </c>
      <c r="J805" s="376"/>
    </row>
    <row r="806" spans="1:10" ht="23.4" x14ac:dyDescent="0.3">
      <c r="A806" s="1068"/>
      <c r="B806" s="816"/>
      <c r="C806" s="282" t="s">
        <v>512</v>
      </c>
      <c r="D806" s="437" t="s">
        <v>513</v>
      </c>
      <c r="E806" s="283">
        <v>95472</v>
      </c>
      <c r="F806" s="438">
        <f t="shared" si="181"/>
        <v>95472</v>
      </c>
      <c r="G806" s="612">
        <v>23.78</v>
      </c>
      <c r="H806" s="607">
        <f t="shared" si="179"/>
        <v>2270324.16</v>
      </c>
      <c r="I806" s="606">
        <f t="shared" si="180"/>
        <v>2270324.16</v>
      </c>
      <c r="J806" s="376"/>
    </row>
    <row r="807" spans="1:10" ht="23.4" x14ac:dyDescent="0.3">
      <c r="A807" s="1068"/>
      <c r="B807" s="816"/>
      <c r="C807" s="282" t="s">
        <v>394</v>
      </c>
      <c r="D807" s="437" t="s">
        <v>338</v>
      </c>
      <c r="E807" s="283"/>
      <c r="F807" s="438">
        <f t="shared" si="181"/>
        <v>0</v>
      </c>
      <c r="G807" s="612">
        <v>37.4566666666</v>
      </c>
      <c r="H807" s="607">
        <f t="shared" si="179"/>
        <v>0</v>
      </c>
      <c r="I807" s="606">
        <f t="shared" si="180"/>
        <v>0</v>
      </c>
      <c r="J807" s="376"/>
    </row>
    <row r="808" spans="1:10" ht="23.4" x14ac:dyDescent="0.3">
      <c r="A808" s="1068"/>
      <c r="B808" s="816"/>
      <c r="C808" s="282" t="s">
        <v>395</v>
      </c>
      <c r="D808" s="437" t="s">
        <v>338</v>
      </c>
      <c r="E808" s="283"/>
      <c r="F808" s="438">
        <f t="shared" si="181"/>
        <v>0</v>
      </c>
      <c r="G808" s="612">
        <v>37.89</v>
      </c>
      <c r="H808" s="607">
        <f t="shared" si="179"/>
        <v>0</v>
      </c>
      <c r="I808" s="606">
        <f t="shared" si="180"/>
        <v>0</v>
      </c>
      <c r="J808" s="376"/>
    </row>
    <row r="809" spans="1:10" ht="23.4" x14ac:dyDescent="0.3">
      <c r="A809" s="1068"/>
      <c r="B809" s="816"/>
      <c r="C809" s="282" t="s">
        <v>326</v>
      </c>
      <c r="D809" s="437" t="s">
        <v>302</v>
      </c>
      <c r="E809" s="283"/>
      <c r="F809" s="438">
        <f t="shared" si="181"/>
        <v>0</v>
      </c>
      <c r="G809" s="612">
        <v>24.93</v>
      </c>
      <c r="H809" s="607">
        <f t="shared" si="179"/>
        <v>0</v>
      </c>
      <c r="I809" s="606">
        <f t="shared" si="180"/>
        <v>0</v>
      </c>
      <c r="J809" s="376"/>
    </row>
    <row r="810" spans="1:10" ht="23.4" x14ac:dyDescent="0.3">
      <c r="A810" s="1068"/>
      <c r="B810" s="816"/>
      <c r="C810" s="282" t="s">
        <v>402</v>
      </c>
      <c r="D810" s="437" t="s">
        <v>376</v>
      </c>
      <c r="E810" s="283"/>
      <c r="F810" s="438">
        <f t="shared" si="181"/>
        <v>0</v>
      </c>
      <c r="G810" s="612">
        <v>24.93</v>
      </c>
      <c r="H810" s="607">
        <f t="shared" si="179"/>
        <v>0</v>
      </c>
      <c r="I810" s="606">
        <f t="shared" si="180"/>
        <v>0</v>
      </c>
      <c r="J810" s="376"/>
    </row>
    <row r="811" spans="1:10" ht="23.4" x14ac:dyDescent="0.3">
      <c r="A811" s="1068"/>
      <c r="B811" s="816"/>
      <c r="C811" s="282" t="s">
        <v>350</v>
      </c>
      <c r="D811" s="437" t="s">
        <v>313</v>
      </c>
      <c r="E811" s="283"/>
      <c r="F811" s="438">
        <f t="shared" si="181"/>
        <v>0</v>
      </c>
      <c r="G811" s="612">
        <v>34.26</v>
      </c>
      <c r="H811" s="607">
        <f t="shared" si="179"/>
        <v>0</v>
      </c>
      <c r="I811" s="606">
        <f t="shared" si="180"/>
        <v>0</v>
      </c>
      <c r="J811" s="376"/>
    </row>
    <row r="812" spans="1:10" ht="23.4" x14ac:dyDescent="0.3">
      <c r="A812" s="1068"/>
      <c r="B812" s="816"/>
      <c r="C812" s="282" t="s">
        <v>363</v>
      </c>
      <c r="D812" s="437" t="s">
        <v>401</v>
      </c>
      <c r="E812" s="283"/>
      <c r="F812" s="438">
        <f t="shared" si="181"/>
        <v>0</v>
      </c>
      <c r="G812" s="612">
        <v>37.89</v>
      </c>
      <c r="H812" s="607">
        <f t="shared" si="179"/>
        <v>0</v>
      </c>
      <c r="I812" s="606">
        <f t="shared" si="180"/>
        <v>0</v>
      </c>
      <c r="J812" s="376"/>
    </row>
    <row r="813" spans="1:10" ht="23.4" x14ac:dyDescent="0.3">
      <c r="A813" s="1068"/>
      <c r="B813" s="816"/>
      <c r="C813" s="282" t="s">
        <v>406</v>
      </c>
      <c r="D813" s="437" t="s">
        <v>376</v>
      </c>
      <c r="E813" s="283"/>
      <c r="F813" s="438">
        <f t="shared" si="181"/>
        <v>0</v>
      </c>
      <c r="G813" s="612">
        <v>39</v>
      </c>
      <c r="H813" s="607">
        <f t="shared" si="179"/>
        <v>0</v>
      </c>
      <c r="I813" s="606">
        <f t="shared" si="180"/>
        <v>0</v>
      </c>
      <c r="J813" s="376"/>
    </row>
    <row r="814" spans="1:10" ht="23.4" x14ac:dyDescent="0.3">
      <c r="A814" s="1068"/>
      <c r="B814" s="816"/>
      <c r="C814" s="282" t="s">
        <v>327</v>
      </c>
      <c r="D814" s="437" t="s">
        <v>190</v>
      </c>
      <c r="E814" s="283">
        <v>3978</v>
      </c>
      <c r="F814" s="438">
        <f t="shared" si="181"/>
        <v>67626</v>
      </c>
      <c r="G814" s="612">
        <v>21.22</v>
      </c>
      <c r="H814" s="607">
        <f t="shared" si="179"/>
        <v>84413.159999999989</v>
      </c>
      <c r="I814" s="606">
        <f t="shared" si="180"/>
        <v>1435023.72</v>
      </c>
      <c r="J814" s="376"/>
    </row>
    <row r="815" spans="1:10" ht="23.4" x14ac:dyDescent="0.3">
      <c r="A815" s="1068"/>
      <c r="B815" s="816"/>
      <c r="C815" s="282" t="s">
        <v>326</v>
      </c>
      <c r="D815" s="437" t="s">
        <v>190</v>
      </c>
      <c r="E815" s="283"/>
      <c r="F815" s="438">
        <f t="shared" si="181"/>
        <v>0</v>
      </c>
      <c r="G815" s="612">
        <v>21.22</v>
      </c>
      <c r="H815" s="607">
        <f t="shared" si="179"/>
        <v>0</v>
      </c>
      <c r="I815" s="606">
        <f t="shared" si="180"/>
        <v>0</v>
      </c>
      <c r="J815" s="376"/>
    </row>
    <row r="816" spans="1:10" ht="23.4" x14ac:dyDescent="0.3">
      <c r="A816" s="1068"/>
      <c r="B816" s="816"/>
      <c r="C816" s="282" t="s">
        <v>377</v>
      </c>
      <c r="D816" s="437" t="s">
        <v>333</v>
      </c>
      <c r="E816" s="283"/>
      <c r="F816" s="438">
        <f t="shared" si="181"/>
        <v>0</v>
      </c>
      <c r="G816" s="612">
        <v>10000</v>
      </c>
      <c r="H816" s="607">
        <f t="shared" si="179"/>
        <v>0</v>
      </c>
      <c r="I816" s="606">
        <f t="shared" si="180"/>
        <v>0</v>
      </c>
      <c r="J816" s="376"/>
    </row>
    <row r="817" spans="1:10" ht="24" thickBot="1" x14ac:dyDescent="0.35">
      <c r="A817" s="1068"/>
      <c r="B817" s="816"/>
      <c r="C817" s="282" t="s">
        <v>332</v>
      </c>
      <c r="D817" s="437" t="s">
        <v>333</v>
      </c>
      <c r="E817" s="283"/>
      <c r="F817" s="438">
        <f t="shared" si="181"/>
        <v>0</v>
      </c>
      <c r="G817" s="612">
        <v>360</v>
      </c>
      <c r="H817" s="607">
        <f t="shared" si="179"/>
        <v>0</v>
      </c>
      <c r="I817" s="606">
        <f t="shared" si="180"/>
        <v>0</v>
      </c>
      <c r="J817" s="376"/>
    </row>
    <row r="818" spans="1:10" ht="24" thickBot="1" x14ac:dyDescent="0.35">
      <c r="A818" s="1069"/>
      <c r="B818" s="1063" t="s">
        <v>289</v>
      </c>
      <c r="C818" s="1064"/>
      <c r="D818" s="819"/>
      <c r="E818" s="329">
        <f>SUM(E797:E817)</f>
        <v>131274</v>
      </c>
      <c r="F818" s="329">
        <f>SUM(F797:F817)</f>
        <v>194923</v>
      </c>
      <c r="G818" s="329"/>
      <c r="H818" s="597">
        <f>SUM(H797:H817)</f>
        <v>3111512.0400000005</v>
      </c>
      <c r="I818" s="589">
        <f>SUM(I797:I817)</f>
        <v>4467122.6000000006</v>
      </c>
      <c r="J818" s="376"/>
    </row>
    <row r="819" spans="1:10" ht="23.4" x14ac:dyDescent="0.3">
      <c r="A819" s="1067" t="s">
        <v>109</v>
      </c>
      <c r="B819" s="816"/>
      <c r="C819" s="282" t="s">
        <v>296</v>
      </c>
      <c r="D819" s="437" t="s">
        <v>258</v>
      </c>
      <c r="E819" s="283"/>
      <c r="F819" s="438">
        <f t="shared" ref="F819:F824" si="184">+F732+E819</f>
        <v>5290</v>
      </c>
      <c r="G819" s="612">
        <v>430.02</v>
      </c>
      <c r="H819" s="603">
        <f>E819*G819</f>
        <v>0</v>
      </c>
      <c r="I819" s="606">
        <f t="shared" ref="I819:I841" si="185">+G819*F819</f>
        <v>2274805.7999999998</v>
      </c>
      <c r="J819" s="376"/>
    </row>
    <row r="820" spans="1:10" ht="23.4" x14ac:dyDescent="0.3">
      <c r="A820" s="1068"/>
      <c r="B820" s="816"/>
      <c r="C820" s="282" t="s">
        <v>297</v>
      </c>
      <c r="D820" s="437" t="s">
        <v>258</v>
      </c>
      <c r="E820" s="283"/>
      <c r="F820" s="438">
        <f t="shared" si="184"/>
        <v>4753</v>
      </c>
      <c r="G820" s="612">
        <v>445.38</v>
      </c>
      <c r="H820" s="603">
        <f t="shared" ref="H820:H841" si="186">E820*G820</f>
        <v>0</v>
      </c>
      <c r="I820" s="606">
        <f t="shared" si="185"/>
        <v>2116891.14</v>
      </c>
      <c r="J820" s="376"/>
    </row>
    <row r="821" spans="1:10" ht="27" customHeight="1" x14ac:dyDescent="0.3">
      <c r="A821" s="1068"/>
      <c r="B821" s="816"/>
      <c r="C821" s="282" t="s">
        <v>467</v>
      </c>
      <c r="D821" s="437" t="s">
        <v>258</v>
      </c>
      <c r="E821" s="283"/>
      <c r="F821" s="438">
        <f t="shared" si="184"/>
        <v>5120</v>
      </c>
      <c r="G821" s="612">
        <v>445.38</v>
      </c>
      <c r="H821" s="603">
        <f t="shared" si="186"/>
        <v>0</v>
      </c>
      <c r="I821" s="606">
        <f t="shared" si="185"/>
        <v>2280345.6000000001</v>
      </c>
      <c r="J821" s="376"/>
    </row>
    <row r="822" spans="1:10" ht="23.4" x14ac:dyDescent="0.3">
      <c r="A822" s="1068"/>
      <c r="B822" s="816"/>
      <c r="C822" s="282" t="s">
        <v>330</v>
      </c>
      <c r="D822" s="437" t="s">
        <v>258</v>
      </c>
      <c r="E822" s="283"/>
      <c r="F822" s="438">
        <f t="shared" si="184"/>
        <v>0</v>
      </c>
      <c r="G822" s="612">
        <v>63.55</v>
      </c>
      <c r="H822" s="603">
        <f t="shared" si="186"/>
        <v>0</v>
      </c>
      <c r="I822" s="606">
        <f t="shared" si="185"/>
        <v>0</v>
      </c>
      <c r="J822" s="376"/>
    </row>
    <row r="823" spans="1:10" ht="23.4" x14ac:dyDescent="0.3">
      <c r="A823" s="1068"/>
      <c r="B823" s="816"/>
      <c r="C823" s="282" t="s">
        <v>298</v>
      </c>
      <c r="D823" s="437" t="s">
        <v>258</v>
      </c>
      <c r="E823" s="283">
        <f>11760+11760+14460</f>
        <v>37980</v>
      </c>
      <c r="F823" s="438">
        <f t="shared" si="184"/>
        <v>101136</v>
      </c>
      <c r="G823" s="612">
        <v>71.44</v>
      </c>
      <c r="H823" s="603">
        <f t="shared" si="186"/>
        <v>2713291.1999999997</v>
      </c>
      <c r="I823" s="606">
        <f t="shared" si="185"/>
        <v>7225155.8399999999</v>
      </c>
      <c r="J823" s="376"/>
    </row>
    <row r="824" spans="1:10" ht="23.4" x14ac:dyDescent="0.3">
      <c r="A824" s="1068"/>
      <c r="B824" s="816"/>
      <c r="C824" s="282" t="s">
        <v>299</v>
      </c>
      <c r="D824" s="437" t="s">
        <v>258</v>
      </c>
      <c r="E824" s="283">
        <v>300</v>
      </c>
      <c r="F824" s="438">
        <f t="shared" si="184"/>
        <v>300</v>
      </c>
      <c r="G824" s="612">
        <v>36.5</v>
      </c>
      <c r="H824" s="603">
        <f t="shared" si="186"/>
        <v>10950</v>
      </c>
      <c r="I824" s="606">
        <f t="shared" si="185"/>
        <v>10950</v>
      </c>
      <c r="J824" s="376"/>
    </row>
    <row r="825" spans="1:10" ht="23.4" x14ac:dyDescent="0.3">
      <c r="A825" s="1068"/>
      <c r="B825" s="816"/>
      <c r="C825" s="282" t="s">
        <v>514</v>
      </c>
      <c r="D825" s="437" t="s">
        <v>258</v>
      </c>
      <c r="E825" s="283">
        <v>1114</v>
      </c>
      <c r="F825" s="438">
        <f t="shared" ref="F825:F841" si="187">+F737+E825</f>
        <v>1114</v>
      </c>
      <c r="G825" s="612">
        <v>320.35000000000002</v>
      </c>
      <c r="H825" s="603">
        <f t="shared" ref="H825" si="188">E825*G825</f>
        <v>356869.9</v>
      </c>
      <c r="I825" s="606">
        <f t="shared" ref="I825" si="189">+G825*F825</f>
        <v>356869.9</v>
      </c>
      <c r="J825" s="376"/>
    </row>
    <row r="826" spans="1:10" ht="23.4" x14ac:dyDescent="0.3">
      <c r="A826" s="1068"/>
      <c r="B826" s="816"/>
      <c r="C826" s="282" t="s">
        <v>308</v>
      </c>
      <c r="D826" s="437" t="s">
        <v>258</v>
      </c>
      <c r="E826" s="283"/>
      <c r="F826" s="438">
        <f t="shared" si="187"/>
        <v>8200</v>
      </c>
      <c r="G826" s="612">
        <v>320.35000000000002</v>
      </c>
      <c r="H826" s="603">
        <f t="shared" si="186"/>
        <v>0</v>
      </c>
      <c r="I826" s="606">
        <f t="shared" si="185"/>
        <v>2626870</v>
      </c>
      <c r="J826" s="376"/>
    </row>
    <row r="827" spans="1:10" ht="23.4" x14ac:dyDescent="0.3">
      <c r="A827" s="1068"/>
      <c r="B827" s="816"/>
      <c r="C827" s="282" t="s">
        <v>322</v>
      </c>
      <c r="D827" s="437" t="s">
        <v>258</v>
      </c>
      <c r="E827" s="283"/>
      <c r="F827" s="438">
        <f t="shared" si="187"/>
        <v>0</v>
      </c>
      <c r="G827" s="612">
        <v>434.41</v>
      </c>
      <c r="H827" s="603">
        <f t="shared" si="186"/>
        <v>0</v>
      </c>
      <c r="I827" s="606">
        <f t="shared" si="185"/>
        <v>0</v>
      </c>
      <c r="J827" s="376"/>
    </row>
    <row r="828" spans="1:10" ht="23.4" x14ac:dyDescent="0.3">
      <c r="A828" s="1068"/>
      <c r="B828" s="816"/>
      <c r="C828" s="282" t="s">
        <v>305</v>
      </c>
      <c r="D828" s="437" t="s">
        <v>258</v>
      </c>
      <c r="E828" s="283">
        <v>1</v>
      </c>
      <c r="F828" s="438">
        <f t="shared" si="187"/>
        <v>1</v>
      </c>
      <c r="G828" s="612">
        <v>29690</v>
      </c>
      <c r="H828" s="603">
        <f t="shared" si="186"/>
        <v>29690</v>
      </c>
      <c r="I828" s="606">
        <f t="shared" si="185"/>
        <v>29690</v>
      </c>
      <c r="J828" s="376"/>
    </row>
    <row r="829" spans="1:10" ht="23.4" x14ac:dyDescent="0.3">
      <c r="A829" s="1068"/>
      <c r="B829" s="816"/>
      <c r="C829" s="282" t="s">
        <v>305</v>
      </c>
      <c r="D829" s="437" t="s">
        <v>258</v>
      </c>
      <c r="E829" s="283"/>
      <c r="F829" s="438">
        <f t="shared" si="187"/>
        <v>2</v>
      </c>
      <c r="G829" s="612">
        <v>26445</v>
      </c>
      <c r="H829" s="603">
        <f t="shared" si="186"/>
        <v>0</v>
      </c>
      <c r="I829" s="606">
        <f t="shared" si="185"/>
        <v>52890</v>
      </c>
      <c r="J829" s="376"/>
    </row>
    <row r="830" spans="1:10" ht="23.4" x14ac:dyDescent="0.3">
      <c r="A830" s="1068"/>
      <c r="B830" s="816"/>
      <c r="C830" s="282" t="s">
        <v>341</v>
      </c>
      <c r="D830" s="437" t="s">
        <v>375</v>
      </c>
      <c r="E830" s="283"/>
      <c r="F830" s="438">
        <f t="shared" si="187"/>
        <v>2835</v>
      </c>
      <c r="G830" s="612">
        <v>50</v>
      </c>
      <c r="H830" s="603">
        <f t="shared" si="186"/>
        <v>0</v>
      </c>
      <c r="I830" s="606">
        <f t="shared" si="185"/>
        <v>141750</v>
      </c>
      <c r="J830" s="376"/>
    </row>
    <row r="831" spans="1:10" ht="23.4" x14ac:dyDescent="0.3">
      <c r="A831" s="1068"/>
      <c r="B831" s="816"/>
      <c r="C831" s="282" t="s">
        <v>341</v>
      </c>
      <c r="D831" s="437" t="s">
        <v>375</v>
      </c>
      <c r="E831" s="283"/>
      <c r="F831" s="438">
        <f t="shared" si="187"/>
        <v>0</v>
      </c>
      <c r="G831" s="612">
        <v>45</v>
      </c>
      <c r="H831" s="603">
        <f t="shared" si="186"/>
        <v>0</v>
      </c>
      <c r="I831" s="606">
        <f t="shared" si="185"/>
        <v>0</v>
      </c>
      <c r="J831" s="376"/>
    </row>
    <row r="832" spans="1:10" ht="23.4" x14ac:dyDescent="0.3">
      <c r="A832" s="1068"/>
      <c r="B832" s="816"/>
      <c r="C832" s="282" t="s">
        <v>364</v>
      </c>
      <c r="D832" s="437" t="s">
        <v>428</v>
      </c>
      <c r="E832" s="283"/>
      <c r="F832" s="438">
        <f t="shared" si="187"/>
        <v>700</v>
      </c>
      <c r="G832" s="612">
        <v>57.64</v>
      </c>
      <c r="H832" s="603">
        <f t="shared" si="186"/>
        <v>0</v>
      </c>
      <c r="I832" s="606">
        <f t="shared" si="185"/>
        <v>40348</v>
      </c>
      <c r="J832" s="376"/>
    </row>
    <row r="833" spans="1:10" ht="23.4" x14ac:dyDescent="0.3">
      <c r="A833" s="1068"/>
      <c r="B833" s="816"/>
      <c r="C833" s="282" t="s">
        <v>364</v>
      </c>
      <c r="D833" s="437" t="s">
        <v>407</v>
      </c>
      <c r="E833" s="283"/>
      <c r="F833" s="438">
        <f t="shared" si="187"/>
        <v>0</v>
      </c>
      <c r="G833" s="612">
        <v>57.64</v>
      </c>
      <c r="H833" s="603">
        <f t="shared" si="186"/>
        <v>0</v>
      </c>
      <c r="I833" s="606">
        <f t="shared" si="185"/>
        <v>0</v>
      </c>
      <c r="J833" s="376"/>
    </row>
    <row r="834" spans="1:10" ht="23.4" x14ac:dyDescent="0.3">
      <c r="A834" s="1068"/>
      <c r="B834" s="816"/>
      <c r="C834" s="282" t="s">
        <v>365</v>
      </c>
      <c r="D834" s="437" t="s">
        <v>366</v>
      </c>
      <c r="E834" s="283"/>
      <c r="F834" s="438">
        <f t="shared" si="187"/>
        <v>2240</v>
      </c>
      <c r="G834" s="612">
        <v>434.41</v>
      </c>
      <c r="H834" s="603">
        <f t="shared" si="186"/>
        <v>0</v>
      </c>
      <c r="I834" s="606">
        <f t="shared" si="185"/>
        <v>973078.4</v>
      </c>
      <c r="J834" s="376"/>
    </row>
    <row r="835" spans="1:10" ht="23.4" x14ac:dyDescent="0.3">
      <c r="A835" s="1068"/>
      <c r="B835" s="816"/>
      <c r="C835" s="282" t="s">
        <v>381</v>
      </c>
      <c r="D835" s="437" t="s">
        <v>258</v>
      </c>
      <c r="E835" s="283"/>
      <c r="F835" s="438">
        <f t="shared" si="187"/>
        <v>0</v>
      </c>
      <c r="G835" s="612">
        <v>624.26</v>
      </c>
      <c r="H835" s="603">
        <f t="shared" si="186"/>
        <v>0</v>
      </c>
      <c r="I835" s="606">
        <f t="shared" si="185"/>
        <v>0</v>
      </c>
      <c r="J835" s="376"/>
    </row>
    <row r="836" spans="1:10" ht="23.4" x14ac:dyDescent="0.3">
      <c r="A836" s="1068"/>
      <c r="B836" s="816"/>
      <c r="C836" s="282" t="s">
        <v>367</v>
      </c>
      <c r="D836" s="437" t="s">
        <v>366</v>
      </c>
      <c r="E836" s="283"/>
      <c r="F836" s="438">
        <f t="shared" si="187"/>
        <v>5760</v>
      </c>
      <c r="G836" s="612">
        <v>63.55</v>
      </c>
      <c r="H836" s="603">
        <f t="shared" si="186"/>
        <v>0</v>
      </c>
      <c r="I836" s="606">
        <f t="shared" si="185"/>
        <v>366048</v>
      </c>
      <c r="J836" s="376"/>
    </row>
    <row r="837" spans="1:10" ht="23.4" x14ac:dyDescent="0.3">
      <c r="A837" s="1068"/>
      <c r="B837" s="816"/>
      <c r="C837" s="282" t="s">
        <v>429</v>
      </c>
      <c r="D837" s="437" t="s">
        <v>258</v>
      </c>
      <c r="E837" s="283">
        <f>8640+10008</f>
        <v>18648</v>
      </c>
      <c r="F837" s="438">
        <f t="shared" si="187"/>
        <v>98664</v>
      </c>
      <c r="G837" s="612">
        <v>59.96</v>
      </c>
      <c r="H837" s="603">
        <f t="shared" si="186"/>
        <v>1118134.08</v>
      </c>
      <c r="I837" s="606">
        <f t="shared" si="185"/>
        <v>5915893.4400000004</v>
      </c>
      <c r="J837" s="376"/>
    </row>
    <row r="838" spans="1:10" ht="23.4" x14ac:dyDescent="0.3">
      <c r="A838" s="1068"/>
      <c r="B838" s="816"/>
      <c r="C838" s="282" t="s">
        <v>501</v>
      </c>
      <c r="D838" s="437" t="s">
        <v>366</v>
      </c>
      <c r="E838" s="283"/>
      <c r="F838" s="438">
        <f t="shared" si="187"/>
        <v>8640</v>
      </c>
      <c r="G838" s="612">
        <v>53.86</v>
      </c>
      <c r="H838" s="603">
        <f t="shared" si="186"/>
        <v>0</v>
      </c>
      <c r="I838" s="606">
        <f t="shared" si="185"/>
        <v>465350.40000000002</v>
      </c>
      <c r="J838" s="376"/>
    </row>
    <row r="839" spans="1:10" ht="23.4" x14ac:dyDescent="0.3">
      <c r="A839" s="1068"/>
      <c r="B839" s="816"/>
      <c r="C839" s="282" t="s">
        <v>446</v>
      </c>
      <c r="D839" s="437"/>
      <c r="E839" s="283"/>
      <c r="F839" s="438">
        <f t="shared" si="187"/>
        <v>8318</v>
      </c>
      <c r="G839" s="612">
        <v>360</v>
      </c>
      <c r="H839" s="603">
        <f t="shared" si="186"/>
        <v>0</v>
      </c>
      <c r="I839" s="606">
        <f t="shared" si="185"/>
        <v>2994480</v>
      </c>
      <c r="J839" s="376"/>
    </row>
    <row r="840" spans="1:10" ht="23.4" x14ac:dyDescent="0.3">
      <c r="A840" s="1068"/>
      <c r="B840" s="816"/>
      <c r="C840" s="282" t="s">
        <v>305</v>
      </c>
      <c r="D840" s="437"/>
      <c r="E840" s="283"/>
      <c r="F840" s="438">
        <f t="shared" si="187"/>
        <v>0</v>
      </c>
      <c r="G840" s="612">
        <v>39450</v>
      </c>
      <c r="H840" s="603">
        <f t="shared" si="186"/>
        <v>0</v>
      </c>
      <c r="I840" s="606">
        <f t="shared" si="185"/>
        <v>0</v>
      </c>
      <c r="J840" s="376"/>
    </row>
    <row r="841" spans="1:10" ht="24" thickBot="1" x14ac:dyDescent="0.35">
      <c r="A841" s="1068"/>
      <c r="B841" s="816"/>
      <c r="C841" s="282" t="s">
        <v>364</v>
      </c>
      <c r="D841" s="437" t="s">
        <v>258</v>
      </c>
      <c r="E841" s="283"/>
      <c r="F841" s="438">
        <f t="shared" si="187"/>
        <v>0</v>
      </c>
      <c r="G841" s="612">
        <v>57.64</v>
      </c>
      <c r="H841" s="603">
        <f t="shared" si="186"/>
        <v>0</v>
      </c>
      <c r="I841" s="606">
        <f t="shared" si="185"/>
        <v>0</v>
      </c>
      <c r="J841" s="376"/>
    </row>
    <row r="842" spans="1:10" ht="24" thickBot="1" x14ac:dyDescent="0.35">
      <c r="A842" s="1069"/>
      <c r="B842" s="1063" t="s">
        <v>291</v>
      </c>
      <c r="C842" s="1064"/>
      <c r="D842" s="819"/>
      <c r="E842" s="329">
        <f>SUM(E819:E841)</f>
        <v>58043</v>
      </c>
      <c r="F842" s="329">
        <f>SUM(F819:F841)</f>
        <v>253073</v>
      </c>
      <c r="G842" s="329"/>
      <c r="H842" s="600">
        <f>SUM(H819:H841)</f>
        <v>4228935.18</v>
      </c>
      <c r="I842" s="589">
        <f>SUM(I819:I841)</f>
        <v>27871416.52</v>
      </c>
      <c r="J842" s="375"/>
    </row>
    <row r="843" spans="1:10" ht="24" thickBot="1" x14ac:dyDescent="0.35">
      <c r="A843" s="823"/>
      <c r="B843" s="440"/>
      <c r="C843" s="282" t="s">
        <v>446</v>
      </c>
      <c r="D843" s="437"/>
      <c r="E843" s="283"/>
      <c r="F843" s="284">
        <f>+F755+E843</f>
        <v>0</v>
      </c>
      <c r="G843" s="337"/>
      <c r="H843" s="599">
        <f t="shared" ref="H843" si="190">E843*G843</f>
        <v>0</v>
      </c>
      <c r="I843" s="285">
        <f t="shared" ref="I843" si="191">+G843*F843</f>
        <v>0</v>
      </c>
      <c r="J843" s="376"/>
    </row>
    <row r="844" spans="1:10" ht="24" thickBot="1" x14ac:dyDescent="0.35">
      <c r="A844" s="823"/>
      <c r="B844" s="1063" t="s">
        <v>238</v>
      </c>
      <c r="C844" s="1064"/>
      <c r="D844" s="817"/>
      <c r="E844" s="329"/>
      <c r="F844" s="330"/>
      <c r="G844" s="329"/>
      <c r="H844" s="597"/>
      <c r="I844" s="327">
        <f>SUM(I843)</f>
        <v>0</v>
      </c>
      <c r="J844" s="352"/>
    </row>
    <row r="845" spans="1:10" ht="24.6" thickBot="1" x14ac:dyDescent="0.35">
      <c r="A845" s="322"/>
      <c r="B845" s="1065" t="s">
        <v>182</v>
      </c>
      <c r="C845" s="1066"/>
      <c r="D845" s="818"/>
      <c r="E845" s="377">
        <f>+E842+E818+E796+E794</f>
        <v>385167</v>
      </c>
      <c r="F845" s="377">
        <f>+F842+F818+F796+F794</f>
        <v>2464113</v>
      </c>
      <c r="G845" s="377"/>
      <c r="H845" s="377"/>
      <c r="I845" s="377">
        <f>+I842+I818+I796+I844</f>
        <v>93281007.820000008</v>
      </c>
      <c r="J845" s="378"/>
    </row>
    <row r="846" spans="1:10" ht="23.4" x14ac:dyDescent="0.3">
      <c r="A846" s="991" t="s">
        <v>1</v>
      </c>
      <c r="B846" s="994" t="s">
        <v>2</v>
      </c>
      <c r="C846" s="1072" t="s">
        <v>477</v>
      </c>
      <c r="D846" s="1043" t="s">
        <v>478</v>
      </c>
      <c r="E846" s="1076">
        <v>44545</v>
      </c>
      <c r="F846" s="1001"/>
      <c r="G846" s="1001"/>
      <c r="H846" s="1001"/>
      <c r="I846" s="1001"/>
      <c r="J846" s="1002"/>
    </row>
    <row r="847" spans="1:10" ht="23.4" x14ac:dyDescent="0.3">
      <c r="A847" s="1070"/>
      <c r="B847" s="1071"/>
      <c r="C847" s="1073"/>
      <c r="D847" s="1044"/>
      <c r="E847" s="1077" t="s">
        <v>493</v>
      </c>
      <c r="F847" s="1078"/>
      <c r="G847" s="1077" t="s">
        <v>492</v>
      </c>
      <c r="H847" s="1079"/>
      <c r="I847" s="1079"/>
      <c r="J847" s="1078"/>
    </row>
    <row r="848" spans="1:10" x14ac:dyDescent="0.3">
      <c r="A848" s="992"/>
      <c r="B848" s="995"/>
      <c r="C848" s="1074"/>
      <c r="D848" s="1044"/>
      <c r="E848" s="1003" t="s">
        <v>494</v>
      </c>
      <c r="F848" s="1005" t="s">
        <v>495</v>
      </c>
      <c r="G848" s="1081" t="s">
        <v>97</v>
      </c>
      <c r="H848" s="1083" t="s">
        <v>98</v>
      </c>
      <c r="I848" s="1083" t="s">
        <v>98</v>
      </c>
      <c r="J848" s="1085" t="s">
        <v>12</v>
      </c>
    </row>
    <row r="849" spans="1:10" ht="14.4" thickBot="1" x14ac:dyDescent="0.35">
      <c r="A849" s="993"/>
      <c r="B849" s="996"/>
      <c r="C849" s="1075"/>
      <c r="D849" s="1045"/>
      <c r="E849" s="1004"/>
      <c r="F849" s="1080"/>
      <c r="G849" s="1082"/>
      <c r="H849" s="1084"/>
      <c r="I849" s="1084"/>
      <c r="J849" s="1086"/>
    </row>
    <row r="850" spans="1:10" ht="23.4" x14ac:dyDescent="0.3">
      <c r="A850" s="1067" t="s">
        <v>110</v>
      </c>
      <c r="B850" s="442"/>
      <c r="C850" s="584" t="s">
        <v>292</v>
      </c>
      <c r="D850" s="686" t="s">
        <v>284</v>
      </c>
      <c r="E850" s="744"/>
      <c r="F850" s="695">
        <f>+F762+E850</f>
        <v>0</v>
      </c>
      <c r="G850" s="741">
        <v>111.09</v>
      </c>
      <c r="H850" s="601">
        <f t="shared" ref="H850:H863" si="192">E850*G850</f>
        <v>0</v>
      </c>
      <c r="I850" s="604">
        <f>+G850*F850</f>
        <v>0</v>
      </c>
      <c r="J850" s="354"/>
    </row>
    <row r="851" spans="1:10" ht="23.4" x14ac:dyDescent="0.3">
      <c r="A851" s="1068"/>
      <c r="B851" s="441"/>
      <c r="C851" s="444" t="s">
        <v>285</v>
      </c>
      <c r="D851" s="687" t="s">
        <v>286</v>
      </c>
      <c r="E851" s="745"/>
      <c r="F851" s="746">
        <f t="shared" ref="F851:F863" si="193">+F763+E851</f>
        <v>0</v>
      </c>
      <c r="G851" s="742">
        <v>11</v>
      </c>
      <c r="H851" s="602">
        <f t="shared" si="192"/>
        <v>0</v>
      </c>
      <c r="I851" s="605">
        <f>+G851*F851</f>
        <v>0</v>
      </c>
      <c r="J851" s="355"/>
    </row>
    <row r="852" spans="1:10" ht="23.4" x14ac:dyDescent="0.3">
      <c r="A852" s="1068"/>
      <c r="B852" s="441"/>
      <c r="C852" s="444" t="s">
        <v>321</v>
      </c>
      <c r="D852" s="687" t="s">
        <v>400</v>
      </c>
      <c r="E852" s="745"/>
      <c r="F852" s="746">
        <f t="shared" si="193"/>
        <v>0</v>
      </c>
      <c r="G852" s="742">
        <v>139.04</v>
      </c>
      <c r="H852" s="602">
        <f t="shared" si="192"/>
        <v>0</v>
      </c>
      <c r="I852" s="605">
        <f t="shared" ref="I852:I863" si="194">+G852*F852</f>
        <v>0</v>
      </c>
      <c r="J852" s="355"/>
    </row>
    <row r="853" spans="1:10" ht="23.4" x14ac:dyDescent="0.3">
      <c r="A853" s="1068"/>
      <c r="B853" s="441"/>
      <c r="C853" s="444" t="s">
        <v>397</v>
      </c>
      <c r="D853" s="687" t="s">
        <v>398</v>
      </c>
      <c r="E853" s="745"/>
      <c r="F853" s="746">
        <f t="shared" si="193"/>
        <v>856800</v>
      </c>
      <c r="G853" s="795">
        <v>20.5</v>
      </c>
      <c r="H853" s="602">
        <f t="shared" si="192"/>
        <v>0</v>
      </c>
      <c r="I853" s="605">
        <f t="shared" si="194"/>
        <v>17564400</v>
      </c>
      <c r="J853" s="355"/>
    </row>
    <row r="854" spans="1:10" ht="23.4" x14ac:dyDescent="0.3">
      <c r="A854" s="1068"/>
      <c r="B854" s="441"/>
      <c r="C854" s="444" t="s">
        <v>312</v>
      </c>
      <c r="D854" s="687" t="s">
        <v>190</v>
      </c>
      <c r="E854" s="745"/>
      <c r="F854" s="746">
        <f t="shared" si="193"/>
        <v>0</v>
      </c>
      <c r="G854" s="742">
        <v>14.79</v>
      </c>
      <c r="H854" s="602">
        <f t="shared" si="192"/>
        <v>0</v>
      </c>
      <c r="I854" s="605">
        <f t="shared" si="194"/>
        <v>0</v>
      </c>
      <c r="J854" s="355"/>
    </row>
    <row r="855" spans="1:10" ht="23.4" x14ac:dyDescent="0.3">
      <c r="A855" s="1068"/>
      <c r="B855" s="441"/>
      <c r="C855" s="444" t="s">
        <v>321</v>
      </c>
      <c r="D855" s="687" t="s">
        <v>286</v>
      </c>
      <c r="E855" s="745"/>
      <c r="F855" s="746">
        <f t="shared" si="193"/>
        <v>3595</v>
      </c>
      <c r="G855" s="742">
        <v>139.04</v>
      </c>
      <c r="H855" s="602">
        <f t="shared" si="192"/>
        <v>0</v>
      </c>
      <c r="I855" s="605">
        <f t="shared" si="194"/>
        <v>499848.8</v>
      </c>
      <c r="J855" s="355"/>
    </row>
    <row r="856" spans="1:10" ht="23.4" x14ac:dyDescent="0.3">
      <c r="A856" s="1068"/>
      <c r="B856" s="441"/>
      <c r="C856" s="444" t="s">
        <v>472</v>
      </c>
      <c r="D856" s="688" t="s">
        <v>396</v>
      </c>
      <c r="E856" s="745"/>
      <c r="F856" s="746">
        <f t="shared" si="193"/>
        <v>29760</v>
      </c>
      <c r="G856" s="742">
        <v>147.58000000000001</v>
      </c>
      <c r="H856" s="602">
        <f t="shared" si="192"/>
        <v>0</v>
      </c>
      <c r="I856" s="605">
        <f t="shared" si="194"/>
        <v>4391980.8000000007</v>
      </c>
      <c r="J856" s="355"/>
    </row>
    <row r="857" spans="1:10" ht="23.4" x14ac:dyDescent="0.3">
      <c r="A857" s="1068"/>
      <c r="B857" s="441"/>
      <c r="C857" s="444" t="s">
        <v>345</v>
      </c>
      <c r="D857" s="688" t="s">
        <v>286</v>
      </c>
      <c r="E857" s="745"/>
      <c r="F857" s="746">
        <f t="shared" si="193"/>
        <v>0</v>
      </c>
      <c r="G857" s="742">
        <v>18.84</v>
      </c>
      <c r="H857" s="602">
        <f t="shared" si="192"/>
        <v>0</v>
      </c>
      <c r="I857" s="605">
        <f t="shared" si="194"/>
        <v>0</v>
      </c>
      <c r="J857" s="355"/>
    </row>
    <row r="858" spans="1:10" ht="23.4" x14ac:dyDescent="0.3">
      <c r="A858" s="1068"/>
      <c r="B858" s="441"/>
      <c r="C858" s="444" t="s">
        <v>357</v>
      </c>
      <c r="D858" s="688" t="s">
        <v>252</v>
      </c>
      <c r="E858" s="745"/>
      <c r="F858" s="746">
        <f t="shared" si="193"/>
        <v>550800</v>
      </c>
      <c r="G858" s="742">
        <v>21.18</v>
      </c>
      <c r="H858" s="602">
        <f t="shared" si="192"/>
        <v>0</v>
      </c>
      <c r="I858" s="605">
        <f t="shared" si="194"/>
        <v>11665944</v>
      </c>
      <c r="J858" s="355"/>
    </row>
    <row r="859" spans="1:10" ht="23.4" x14ac:dyDescent="0.3">
      <c r="A859" s="1068"/>
      <c r="B859" s="441"/>
      <c r="C859" s="444" t="s">
        <v>359</v>
      </c>
      <c r="D859" s="688" t="s">
        <v>360</v>
      </c>
      <c r="E859" s="745"/>
      <c r="F859" s="746">
        <f t="shared" si="193"/>
        <v>0</v>
      </c>
      <c r="G859" s="742">
        <v>21.28</v>
      </c>
      <c r="H859" s="602">
        <f t="shared" si="192"/>
        <v>0</v>
      </c>
      <c r="I859" s="605">
        <f t="shared" si="194"/>
        <v>0</v>
      </c>
      <c r="J859" s="355"/>
    </row>
    <row r="860" spans="1:10" ht="23.4" x14ac:dyDescent="0.3">
      <c r="A860" s="1068"/>
      <c r="B860" s="441"/>
      <c r="C860" s="444" t="s">
        <v>445</v>
      </c>
      <c r="D860" s="688" t="s">
        <v>436</v>
      </c>
      <c r="E860" s="745"/>
      <c r="F860" s="746">
        <f t="shared" si="193"/>
        <v>19840</v>
      </c>
      <c r="G860" s="742">
        <v>143.28</v>
      </c>
      <c r="H860" s="602">
        <f t="shared" si="192"/>
        <v>0</v>
      </c>
      <c r="I860" s="605">
        <f t="shared" si="194"/>
        <v>2842675.2000000002</v>
      </c>
      <c r="J860" s="355"/>
    </row>
    <row r="861" spans="1:10" ht="23.4" x14ac:dyDescent="0.3">
      <c r="A861" s="1068"/>
      <c r="B861" s="441"/>
      <c r="C861" s="444" t="s">
        <v>403</v>
      </c>
      <c r="D861" s="687" t="s">
        <v>190</v>
      </c>
      <c r="E861" s="745"/>
      <c r="F861" s="746">
        <f t="shared" si="193"/>
        <v>135168</v>
      </c>
      <c r="G861" s="742">
        <v>14.55</v>
      </c>
      <c r="H861" s="602">
        <f t="shared" si="192"/>
        <v>0</v>
      </c>
      <c r="I861" s="605">
        <f t="shared" si="194"/>
        <v>1966694.4000000001</v>
      </c>
      <c r="J861" s="355"/>
    </row>
    <row r="862" spans="1:10" ht="23.4" x14ac:dyDescent="0.3">
      <c r="A862" s="1068"/>
      <c r="B862" s="441"/>
      <c r="C862" s="444" t="s">
        <v>362</v>
      </c>
      <c r="D862" s="688" t="s">
        <v>202</v>
      </c>
      <c r="E862" s="745"/>
      <c r="F862" s="746">
        <f t="shared" si="193"/>
        <v>0</v>
      </c>
      <c r="G862" s="742">
        <v>21.28</v>
      </c>
      <c r="H862" s="602">
        <f t="shared" si="192"/>
        <v>0</v>
      </c>
      <c r="I862" s="605">
        <f t="shared" si="194"/>
        <v>0</v>
      </c>
      <c r="J862" s="355"/>
    </row>
    <row r="863" spans="1:10" ht="24" thickBot="1" x14ac:dyDescent="0.35">
      <c r="A863" s="1068"/>
      <c r="B863" s="441"/>
      <c r="C863" s="444" t="s">
        <v>374</v>
      </c>
      <c r="D863" s="689" t="s">
        <v>191</v>
      </c>
      <c r="E863" s="745"/>
      <c r="F863" s="697">
        <f t="shared" si="193"/>
        <v>0</v>
      </c>
      <c r="G863" s="742">
        <v>36.44</v>
      </c>
      <c r="H863" s="602">
        <f t="shared" si="192"/>
        <v>0</v>
      </c>
      <c r="I863" s="605">
        <f t="shared" si="194"/>
        <v>0</v>
      </c>
      <c r="J863" s="355"/>
    </row>
    <row r="864" spans="1:10" ht="24" thickBot="1" x14ac:dyDescent="0.35">
      <c r="A864" s="1068"/>
      <c r="B864" s="1063" t="s">
        <v>287</v>
      </c>
      <c r="C864" s="1064"/>
      <c r="D864" s="829"/>
      <c r="E864" s="329">
        <f>SUM(E850:E863)</f>
        <v>0</v>
      </c>
      <c r="F864" s="743">
        <f>SUM(F850:F863)</f>
        <v>1595963</v>
      </c>
      <c r="G864" s="329"/>
      <c r="H864" s="597">
        <f>SUM(H850:H863)</f>
        <v>0</v>
      </c>
      <c r="I864" s="589">
        <f>SUM(I850:I863)</f>
        <v>38931543.200000003</v>
      </c>
      <c r="J864" s="352"/>
    </row>
    <row r="865" spans="1:10" ht="23.4" x14ac:dyDescent="0.3">
      <c r="A865" s="1068"/>
      <c r="B865" s="827"/>
      <c r="C865" s="282" t="s">
        <v>293</v>
      </c>
      <c r="D865" s="437" t="s">
        <v>258</v>
      </c>
      <c r="E865" s="283">
        <v>12250</v>
      </c>
      <c r="F865" s="438">
        <f t="shared" ref="F865:F875" si="195">+F777+E865</f>
        <v>42000</v>
      </c>
      <c r="G865" s="587">
        <v>160.44999999999999</v>
      </c>
      <c r="H865" s="603">
        <f t="shared" ref="H865:H875" si="196">E865*G865</f>
        <v>1965512.4999999998</v>
      </c>
      <c r="I865" s="606">
        <f t="shared" ref="I865:I875" si="197">+G865*F865</f>
        <v>6738899.9999999991</v>
      </c>
      <c r="J865" s="376"/>
    </row>
    <row r="866" spans="1:10" ht="23.4" x14ac:dyDescent="0.3">
      <c r="A866" s="1068"/>
      <c r="B866" s="827"/>
      <c r="C866" s="282" t="s">
        <v>309</v>
      </c>
      <c r="D866" s="437" t="s">
        <v>258</v>
      </c>
      <c r="E866" s="283"/>
      <c r="F866" s="438">
        <f t="shared" si="195"/>
        <v>0</v>
      </c>
      <c r="G866" s="587">
        <v>160.44999999999999</v>
      </c>
      <c r="H866" s="603">
        <f t="shared" si="196"/>
        <v>0</v>
      </c>
      <c r="I866" s="606">
        <f t="shared" si="197"/>
        <v>0</v>
      </c>
      <c r="J866" s="376"/>
    </row>
    <row r="867" spans="1:10" ht="23.4" x14ac:dyDescent="0.3">
      <c r="A867" s="1068"/>
      <c r="B867" s="827"/>
      <c r="C867" s="282" t="s">
        <v>463</v>
      </c>
      <c r="D867" s="437" t="s">
        <v>258</v>
      </c>
      <c r="E867" s="283"/>
      <c r="F867" s="438">
        <f t="shared" si="195"/>
        <v>5250</v>
      </c>
      <c r="G867" s="587">
        <v>160.44999999999999</v>
      </c>
      <c r="H867" s="603">
        <f t="shared" si="196"/>
        <v>0</v>
      </c>
      <c r="I867" s="606">
        <f t="shared" si="197"/>
        <v>842362.49999999988</v>
      </c>
      <c r="J867" s="376"/>
    </row>
    <row r="868" spans="1:10" ht="23.4" x14ac:dyDescent="0.3">
      <c r="A868" s="1068"/>
      <c r="B868" s="827"/>
      <c r="C868" s="282" t="s">
        <v>311</v>
      </c>
      <c r="D868" s="437" t="s">
        <v>100</v>
      </c>
      <c r="E868" s="283"/>
      <c r="F868" s="438">
        <f t="shared" si="195"/>
        <v>0</v>
      </c>
      <c r="G868" s="587">
        <v>27</v>
      </c>
      <c r="H868" s="603">
        <f t="shared" si="196"/>
        <v>0</v>
      </c>
      <c r="I868" s="606">
        <f t="shared" si="197"/>
        <v>0</v>
      </c>
      <c r="J868" s="376"/>
    </row>
    <row r="869" spans="1:10" ht="23.4" x14ac:dyDescent="0.3">
      <c r="A869" s="1068"/>
      <c r="B869" s="827"/>
      <c r="C869" s="282" t="s">
        <v>311</v>
      </c>
      <c r="D869" s="437" t="s">
        <v>318</v>
      </c>
      <c r="E869" s="283"/>
      <c r="F869" s="438">
        <f t="shared" si="195"/>
        <v>324720</v>
      </c>
      <c r="G869" s="587">
        <v>27.5</v>
      </c>
      <c r="H869" s="603">
        <f t="shared" si="196"/>
        <v>0</v>
      </c>
      <c r="I869" s="606">
        <f t="shared" si="197"/>
        <v>8929800</v>
      </c>
      <c r="J869" s="376"/>
    </row>
    <row r="870" spans="1:10" ht="23.4" x14ac:dyDescent="0.3">
      <c r="A870" s="1068"/>
      <c r="B870" s="827"/>
      <c r="C870" s="282" t="s">
        <v>299</v>
      </c>
      <c r="D870" s="437" t="s">
        <v>318</v>
      </c>
      <c r="E870" s="283"/>
      <c r="F870" s="438">
        <f t="shared" si="195"/>
        <v>10832</v>
      </c>
      <c r="G870" s="587">
        <v>34.5</v>
      </c>
      <c r="H870" s="603">
        <f t="shared" si="196"/>
        <v>0</v>
      </c>
      <c r="I870" s="606">
        <f t="shared" si="197"/>
        <v>373704</v>
      </c>
      <c r="J870" s="376"/>
    </row>
    <row r="871" spans="1:10" ht="23.4" x14ac:dyDescent="0.3">
      <c r="A871" s="1068"/>
      <c r="B871" s="827"/>
      <c r="C871" s="282" t="s">
        <v>505</v>
      </c>
      <c r="D871" s="437" t="s">
        <v>258</v>
      </c>
      <c r="E871" s="283"/>
      <c r="F871" s="438">
        <f t="shared" si="195"/>
        <v>8750</v>
      </c>
      <c r="G871" s="587">
        <v>160.44999999999999</v>
      </c>
      <c r="H871" s="603">
        <f t="shared" si="196"/>
        <v>0</v>
      </c>
      <c r="I871" s="606">
        <f t="shared" si="197"/>
        <v>1403937.5</v>
      </c>
      <c r="J871" s="376"/>
    </row>
    <row r="872" spans="1:10" ht="23.4" x14ac:dyDescent="0.3">
      <c r="A872" s="1068"/>
      <c r="B872" s="827"/>
      <c r="C872" s="282" t="s">
        <v>388</v>
      </c>
      <c r="D872" s="437" t="s">
        <v>258</v>
      </c>
      <c r="E872" s="283"/>
      <c r="F872" s="438">
        <f t="shared" si="195"/>
        <v>29250</v>
      </c>
      <c r="G872" s="587">
        <v>160.44999999999999</v>
      </c>
      <c r="H872" s="603">
        <f t="shared" si="196"/>
        <v>0</v>
      </c>
      <c r="I872" s="606">
        <f t="shared" si="197"/>
        <v>4693162.5</v>
      </c>
      <c r="J872" s="376"/>
    </row>
    <row r="873" spans="1:10" ht="23.4" x14ac:dyDescent="0.3">
      <c r="A873" s="1068"/>
      <c r="B873" s="827"/>
      <c r="C873" s="282" t="s">
        <v>461</v>
      </c>
      <c r="D873" s="437" t="s">
        <v>258</v>
      </c>
      <c r="E873" s="283"/>
      <c r="F873" s="438">
        <f t="shared" si="195"/>
        <v>6000</v>
      </c>
      <c r="G873" s="587">
        <v>160.44999999999999</v>
      </c>
      <c r="H873" s="603">
        <f t="shared" si="196"/>
        <v>0</v>
      </c>
      <c r="I873" s="606">
        <f t="shared" si="197"/>
        <v>962699.99999999988</v>
      </c>
      <c r="J873" s="376"/>
    </row>
    <row r="874" spans="1:10" ht="23.4" x14ac:dyDescent="0.3">
      <c r="A874" s="1068"/>
      <c r="B874" s="827"/>
      <c r="C874" s="282" t="s">
        <v>343</v>
      </c>
      <c r="D874" s="437" t="s">
        <v>258</v>
      </c>
      <c r="E874" s="283"/>
      <c r="F874" s="438">
        <f t="shared" si="195"/>
        <v>0</v>
      </c>
      <c r="G874" s="587">
        <v>160.44999999999999</v>
      </c>
      <c r="H874" s="603">
        <f t="shared" si="196"/>
        <v>0</v>
      </c>
      <c r="I874" s="606">
        <f t="shared" si="197"/>
        <v>0</v>
      </c>
      <c r="J874" s="376"/>
    </row>
    <row r="875" spans="1:10" ht="24" thickBot="1" x14ac:dyDescent="0.35">
      <c r="A875" s="1068"/>
      <c r="B875" s="827"/>
      <c r="C875" s="282" t="s">
        <v>340</v>
      </c>
      <c r="D875" s="437" t="s">
        <v>258</v>
      </c>
      <c r="E875" s="283"/>
      <c r="F875" s="438">
        <f t="shared" si="195"/>
        <v>0</v>
      </c>
      <c r="G875" s="587">
        <v>160.44999999999999</v>
      </c>
      <c r="H875" s="603">
        <f t="shared" si="196"/>
        <v>0</v>
      </c>
      <c r="I875" s="606">
        <f t="shared" si="197"/>
        <v>0</v>
      </c>
      <c r="J875" s="376"/>
    </row>
    <row r="876" spans="1:10" ht="24" thickBot="1" x14ac:dyDescent="0.35">
      <c r="A876" s="1068"/>
      <c r="B876" s="1063" t="s">
        <v>288</v>
      </c>
      <c r="C876" s="1064"/>
      <c r="D876" s="829"/>
      <c r="E876" s="329">
        <f>SUM(E865:E875)</f>
        <v>12250</v>
      </c>
      <c r="F876" s="329">
        <f>SUM(F865:F875)</f>
        <v>426802</v>
      </c>
      <c r="G876" s="329"/>
      <c r="H876" s="597">
        <f>SUM(H865:H875)</f>
        <v>1965512.4999999998</v>
      </c>
      <c r="I876" s="589">
        <f>SUM(I865:I875)</f>
        <v>23944566.5</v>
      </c>
      <c r="J876" s="352"/>
    </row>
    <row r="877" spans="1:10" ht="23.4" x14ac:dyDescent="0.3">
      <c r="A877" s="1068"/>
      <c r="B877" s="827"/>
      <c r="C877" s="282" t="s">
        <v>434</v>
      </c>
      <c r="D877" s="437" t="s">
        <v>435</v>
      </c>
      <c r="E877" s="283"/>
      <c r="F877" s="438">
        <f t="shared" ref="F877:F881" si="198">+F789+E877</f>
        <v>250</v>
      </c>
      <c r="G877" s="587">
        <v>5.34</v>
      </c>
      <c r="H877" s="603">
        <f t="shared" ref="H877:H881" si="199">E877*G877</f>
        <v>0</v>
      </c>
      <c r="I877" s="606">
        <f t="shared" ref="I877" si="200">+G877*F877</f>
        <v>1335</v>
      </c>
      <c r="J877" s="376"/>
    </row>
    <row r="878" spans="1:10" ht="23.4" x14ac:dyDescent="0.3">
      <c r="A878" s="1068"/>
      <c r="B878" s="827"/>
      <c r="C878" s="282" t="s">
        <v>464</v>
      </c>
      <c r="D878" s="437" t="s">
        <v>286</v>
      </c>
      <c r="E878" s="283"/>
      <c r="F878" s="438">
        <f t="shared" si="198"/>
        <v>50</v>
      </c>
      <c r="G878" s="587">
        <v>31.73</v>
      </c>
      <c r="H878" s="603">
        <f t="shared" si="199"/>
        <v>0</v>
      </c>
      <c r="I878" s="606">
        <f>+G878*F878</f>
        <v>1586.5</v>
      </c>
      <c r="J878" s="376"/>
    </row>
    <row r="879" spans="1:10" ht="23.4" x14ac:dyDescent="0.3">
      <c r="A879" s="1068"/>
      <c r="B879" s="827"/>
      <c r="C879" s="282" t="s">
        <v>473</v>
      </c>
      <c r="D879" s="437" t="s">
        <v>474</v>
      </c>
      <c r="E879" s="283"/>
      <c r="F879" s="438">
        <f t="shared" si="198"/>
        <v>2500</v>
      </c>
      <c r="G879" s="587">
        <v>10.58</v>
      </c>
      <c r="H879" s="603">
        <f t="shared" si="199"/>
        <v>0</v>
      </c>
      <c r="I879" s="606">
        <f>+G879*F879</f>
        <v>26450</v>
      </c>
      <c r="J879" s="376"/>
    </row>
    <row r="880" spans="1:10" ht="23.4" x14ac:dyDescent="0.3">
      <c r="A880" s="1068"/>
      <c r="B880" s="827"/>
      <c r="C880" s="282" t="s">
        <v>300</v>
      </c>
      <c r="D880" s="437" t="s">
        <v>301</v>
      </c>
      <c r="E880" s="283"/>
      <c r="F880" s="438">
        <f t="shared" si="198"/>
        <v>1</v>
      </c>
      <c r="G880" s="587">
        <v>2500</v>
      </c>
      <c r="H880" s="603">
        <f t="shared" si="199"/>
        <v>0</v>
      </c>
      <c r="I880" s="606">
        <f>+G880*F880</f>
        <v>2500</v>
      </c>
      <c r="J880" s="376"/>
    </row>
    <row r="881" spans="1:11" ht="24" thickBot="1" x14ac:dyDescent="0.35">
      <c r="A881" s="1068"/>
      <c r="B881" s="827"/>
      <c r="C881" s="282" t="s">
        <v>519</v>
      </c>
      <c r="D881" s="437" t="s">
        <v>333</v>
      </c>
      <c r="E881" s="283">
        <v>70780</v>
      </c>
      <c r="F881" s="438">
        <f t="shared" si="198"/>
        <v>70780</v>
      </c>
      <c r="G881" s="588">
        <v>10</v>
      </c>
      <c r="H881" s="603">
        <f t="shared" si="199"/>
        <v>707800</v>
      </c>
      <c r="I881" s="606">
        <f t="shared" ref="I881" si="201">+G881*F881</f>
        <v>707800</v>
      </c>
      <c r="J881" s="376"/>
    </row>
    <row r="882" spans="1:11" ht="24" thickBot="1" x14ac:dyDescent="0.35">
      <c r="A882" s="1068"/>
      <c r="B882" s="1063" t="s">
        <v>294</v>
      </c>
      <c r="C882" s="1064"/>
      <c r="D882" s="829"/>
      <c r="E882" s="329">
        <f>SUM(E877:E881)</f>
        <v>70780</v>
      </c>
      <c r="F882" s="329">
        <f>SUM(F877:F881)</f>
        <v>73581</v>
      </c>
      <c r="G882" s="329"/>
      <c r="H882" s="597">
        <f>SUM(H877:H881)</f>
        <v>707800</v>
      </c>
      <c r="I882" s="589">
        <f>SUM(I877:I881)</f>
        <v>739671.5</v>
      </c>
      <c r="J882" s="376"/>
    </row>
    <row r="883" spans="1:11" ht="24" thickBot="1" x14ac:dyDescent="0.35">
      <c r="A883" s="1068"/>
      <c r="B883" s="827"/>
      <c r="C883" s="282"/>
      <c r="D883" s="437"/>
      <c r="E883" s="283"/>
      <c r="F883" s="320"/>
      <c r="G883" s="588"/>
      <c r="H883" s="598"/>
      <c r="I883" s="285">
        <f t="shared" ref="I883" si="202">+G883*F883</f>
        <v>0</v>
      </c>
      <c r="J883" s="376"/>
    </row>
    <row r="884" spans="1:11" ht="24" thickBot="1" x14ac:dyDescent="0.35">
      <c r="A884" s="1069"/>
      <c r="B884" s="1063" t="s">
        <v>290</v>
      </c>
      <c r="C884" s="1064"/>
      <c r="D884" s="825"/>
      <c r="E884" s="329">
        <f>+E882+E876+E864</f>
        <v>83030</v>
      </c>
      <c r="F884" s="329">
        <f>+F882+F876+F864</f>
        <v>2096346</v>
      </c>
      <c r="G884" s="329"/>
      <c r="H884" s="589">
        <f>+H876+H864+H882</f>
        <v>2673312.5</v>
      </c>
      <c r="I884" s="589">
        <f>+I876+I864+I882</f>
        <v>63615781.200000003</v>
      </c>
      <c r="J884" s="376"/>
      <c r="K884" s="757"/>
    </row>
    <row r="885" spans="1:11" ht="23.4" x14ac:dyDescent="0.3">
      <c r="A885" s="1067" t="s">
        <v>108</v>
      </c>
      <c r="B885" s="827"/>
      <c r="C885" s="282" t="s">
        <v>304</v>
      </c>
      <c r="D885" s="437" t="s">
        <v>191</v>
      </c>
      <c r="E885" s="283"/>
      <c r="F885" s="438">
        <f t="shared" ref="F885:F905" si="203">+F797+E885</f>
        <v>0</v>
      </c>
      <c r="G885" s="612">
        <v>13.25</v>
      </c>
      <c r="H885" s="607">
        <f t="shared" ref="H885:H905" si="204">E885*G885</f>
        <v>0</v>
      </c>
      <c r="I885" s="606">
        <f t="shared" ref="I885:I905" si="205">+G885*F885</f>
        <v>0</v>
      </c>
      <c r="J885" s="376"/>
    </row>
    <row r="886" spans="1:11" ht="23.4" x14ac:dyDescent="0.3">
      <c r="A886" s="1068"/>
      <c r="B886" s="827"/>
      <c r="C886" s="282" t="s">
        <v>305</v>
      </c>
      <c r="D886" s="437"/>
      <c r="E886" s="283"/>
      <c r="F886" s="438">
        <f t="shared" si="203"/>
        <v>1</v>
      </c>
      <c r="G886" s="613">
        <v>5000</v>
      </c>
      <c r="H886" s="607">
        <f t="shared" si="204"/>
        <v>0</v>
      </c>
      <c r="I886" s="606">
        <f t="shared" si="205"/>
        <v>5000</v>
      </c>
      <c r="J886" s="376"/>
    </row>
    <row r="887" spans="1:11" ht="23.4" x14ac:dyDescent="0.3">
      <c r="A887" s="1068"/>
      <c r="B887" s="827"/>
      <c r="C887" s="282" t="s">
        <v>305</v>
      </c>
      <c r="D887" s="437"/>
      <c r="E887" s="283"/>
      <c r="F887" s="438">
        <f t="shared" si="203"/>
        <v>0</v>
      </c>
      <c r="G887" s="613">
        <v>18000</v>
      </c>
      <c r="H887" s="607">
        <f t="shared" si="204"/>
        <v>0</v>
      </c>
      <c r="I887" s="606">
        <f t="shared" si="205"/>
        <v>0</v>
      </c>
      <c r="J887" s="376"/>
    </row>
    <row r="888" spans="1:11" ht="23.4" x14ac:dyDescent="0.3">
      <c r="A888" s="1068"/>
      <c r="B888" s="827"/>
      <c r="C888" s="282" t="s">
        <v>317</v>
      </c>
      <c r="D888" s="437" t="s">
        <v>191</v>
      </c>
      <c r="E888" s="283"/>
      <c r="F888" s="438">
        <f t="shared" si="203"/>
        <v>0</v>
      </c>
      <c r="G888" s="612">
        <v>24.93</v>
      </c>
      <c r="H888" s="607">
        <f t="shared" si="204"/>
        <v>0</v>
      </c>
      <c r="I888" s="606">
        <f t="shared" si="205"/>
        <v>0</v>
      </c>
      <c r="J888" s="376"/>
    </row>
    <row r="889" spans="1:11" ht="23.4" x14ac:dyDescent="0.3">
      <c r="A889" s="1068"/>
      <c r="B889" s="827"/>
      <c r="C889" s="282" t="s">
        <v>324</v>
      </c>
      <c r="D889" s="437" t="s">
        <v>99</v>
      </c>
      <c r="E889" s="283"/>
      <c r="F889" s="438">
        <f t="shared" si="203"/>
        <v>0</v>
      </c>
      <c r="G889" s="612">
        <v>26</v>
      </c>
      <c r="H889" s="607">
        <f t="shared" si="204"/>
        <v>0</v>
      </c>
      <c r="I889" s="606">
        <f t="shared" si="205"/>
        <v>0</v>
      </c>
      <c r="J889" s="376"/>
    </row>
    <row r="890" spans="1:11" ht="23.4" x14ac:dyDescent="0.3">
      <c r="A890" s="1068"/>
      <c r="B890" s="827"/>
      <c r="C890" s="282" t="s">
        <v>325</v>
      </c>
      <c r="D890" s="437" t="s">
        <v>191</v>
      </c>
      <c r="E890" s="283"/>
      <c r="F890" s="438">
        <f t="shared" si="203"/>
        <v>0</v>
      </c>
      <c r="G890" s="612">
        <v>25.49</v>
      </c>
      <c r="H890" s="607">
        <f t="shared" si="204"/>
        <v>0</v>
      </c>
      <c r="I890" s="606">
        <f t="shared" si="205"/>
        <v>0</v>
      </c>
      <c r="J890" s="376"/>
    </row>
    <row r="891" spans="1:11" ht="23.4" x14ac:dyDescent="0.3">
      <c r="A891" s="1068"/>
      <c r="B891" s="827"/>
      <c r="C891" s="282" t="s">
        <v>326</v>
      </c>
      <c r="D891" s="437" t="s">
        <v>114</v>
      </c>
      <c r="E891" s="283"/>
      <c r="F891" s="438">
        <f t="shared" si="203"/>
        <v>0</v>
      </c>
      <c r="G891" s="612">
        <v>24.93</v>
      </c>
      <c r="H891" s="607">
        <f t="shared" si="204"/>
        <v>0</v>
      </c>
      <c r="I891" s="606">
        <f t="shared" si="205"/>
        <v>0</v>
      </c>
      <c r="J891" s="376"/>
    </row>
    <row r="892" spans="1:11" ht="23.4" x14ac:dyDescent="0.3">
      <c r="A892" s="1068"/>
      <c r="B892" s="827"/>
      <c r="C892" s="282" t="s">
        <v>327</v>
      </c>
      <c r="D892" s="437" t="s">
        <v>303</v>
      </c>
      <c r="E892" s="283"/>
      <c r="F892" s="438">
        <f t="shared" si="203"/>
        <v>0</v>
      </c>
      <c r="G892" s="612">
        <v>24.93</v>
      </c>
      <c r="H892" s="607">
        <f t="shared" si="204"/>
        <v>0</v>
      </c>
      <c r="I892" s="606">
        <f t="shared" si="205"/>
        <v>0</v>
      </c>
      <c r="J892" s="376"/>
    </row>
    <row r="893" spans="1:11" ht="23.4" x14ac:dyDescent="0.3">
      <c r="A893" s="1068"/>
      <c r="B893" s="827"/>
      <c r="C893" s="282" t="s">
        <v>512</v>
      </c>
      <c r="D893" s="437" t="s">
        <v>401</v>
      </c>
      <c r="E893" s="283"/>
      <c r="F893" s="438">
        <f t="shared" si="203"/>
        <v>31824</v>
      </c>
      <c r="G893" s="612">
        <v>23.78</v>
      </c>
      <c r="H893" s="607">
        <f t="shared" si="204"/>
        <v>0</v>
      </c>
      <c r="I893" s="606">
        <f t="shared" si="205"/>
        <v>756774.72000000009</v>
      </c>
      <c r="J893" s="376"/>
    </row>
    <row r="894" spans="1:11" ht="23.4" x14ac:dyDescent="0.3">
      <c r="A894" s="1068"/>
      <c r="B894" s="827"/>
      <c r="C894" s="282" t="s">
        <v>512</v>
      </c>
      <c r="D894" s="437" t="s">
        <v>513</v>
      </c>
      <c r="E894" s="283">
        <v>19890</v>
      </c>
      <c r="F894" s="438">
        <f t="shared" si="203"/>
        <v>115362</v>
      </c>
      <c r="G894" s="612">
        <v>23.78</v>
      </c>
      <c r="H894" s="607">
        <f t="shared" si="204"/>
        <v>472984.2</v>
      </c>
      <c r="I894" s="606">
        <f t="shared" si="205"/>
        <v>2743308.3600000003</v>
      </c>
      <c r="J894" s="376"/>
    </row>
    <row r="895" spans="1:11" ht="23.4" x14ac:dyDescent="0.3">
      <c r="A895" s="1068"/>
      <c r="B895" s="827"/>
      <c r="C895" s="282" t="s">
        <v>394</v>
      </c>
      <c r="D895" s="437" t="s">
        <v>338</v>
      </c>
      <c r="E895" s="283"/>
      <c r="F895" s="438">
        <f t="shared" si="203"/>
        <v>0</v>
      </c>
      <c r="G895" s="612">
        <v>37.4566666666</v>
      </c>
      <c r="H895" s="607">
        <f t="shared" si="204"/>
        <v>0</v>
      </c>
      <c r="I895" s="606">
        <f t="shared" si="205"/>
        <v>0</v>
      </c>
      <c r="J895" s="376"/>
    </row>
    <row r="896" spans="1:11" ht="23.4" x14ac:dyDescent="0.3">
      <c r="A896" s="1068"/>
      <c r="B896" s="827"/>
      <c r="C896" s="282" t="s">
        <v>395</v>
      </c>
      <c r="D896" s="437" t="s">
        <v>338</v>
      </c>
      <c r="E896" s="283"/>
      <c r="F896" s="438">
        <f t="shared" si="203"/>
        <v>0</v>
      </c>
      <c r="G896" s="612">
        <v>37.89</v>
      </c>
      <c r="H896" s="607">
        <f t="shared" si="204"/>
        <v>0</v>
      </c>
      <c r="I896" s="606">
        <f t="shared" si="205"/>
        <v>0</v>
      </c>
      <c r="J896" s="376"/>
    </row>
    <row r="897" spans="1:10" ht="23.4" x14ac:dyDescent="0.3">
      <c r="A897" s="1068"/>
      <c r="B897" s="827"/>
      <c r="C897" s="282" t="s">
        <v>326</v>
      </c>
      <c r="D897" s="437" t="s">
        <v>302</v>
      </c>
      <c r="E897" s="283"/>
      <c r="F897" s="438">
        <f t="shared" si="203"/>
        <v>0</v>
      </c>
      <c r="G897" s="612">
        <v>24.93</v>
      </c>
      <c r="H897" s="607">
        <f t="shared" si="204"/>
        <v>0</v>
      </c>
      <c r="I897" s="606">
        <f t="shared" si="205"/>
        <v>0</v>
      </c>
      <c r="J897" s="376"/>
    </row>
    <row r="898" spans="1:10" ht="23.4" x14ac:dyDescent="0.3">
      <c r="A898" s="1068"/>
      <c r="B898" s="827"/>
      <c r="C898" s="282" t="s">
        <v>402</v>
      </c>
      <c r="D898" s="437" t="s">
        <v>376</v>
      </c>
      <c r="E898" s="283"/>
      <c r="F898" s="438">
        <f t="shared" si="203"/>
        <v>0</v>
      </c>
      <c r="G898" s="612">
        <v>24.93</v>
      </c>
      <c r="H898" s="607">
        <f t="shared" si="204"/>
        <v>0</v>
      </c>
      <c r="I898" s="606">
        <f t="shared" si="205"/>
        <v>0</v>
      </c>
      <c r="J898" s="376"/>
    </row>
    <row r="899" spans="1:10" ht="23.4" x14ac:dyDescent="0.3">
      <c r="A899" s="1068"/>
      <c r="B899" s="827"/>
      <c r="C899" s="282" t="s">
        <v>350</v>
      </c>
      <c r="D899" s="437" t="s">
        <v>313</v>
      </c>
      <c r="E899" s="283"/>
      <c r="F899" s="438">
        <f t="shared" si="203"/>
        <v>0</v>
      </c>
      <c r="G899" s="612">
        <v>34.26</v>
      </c>
      <c r="H899" s="607">
        <f t="shared" si="204"/>
        <v>0</v>
      </c>
      <c r="I899" s="606">
        <f t="shared" si="205"/>
        <v>0</v>
      </c>
      <c r="J899" s="376"/>
    </row>
    <row r="900" spans="1:10" ht="23.4" x14ac:dyDescent="0.3">
      <c r="A900" s="1068"/>
      <c r="B900" s="827"/>
      <c r="C900" s="282" t="s">
        <v>363</v>
      </c>
      <c r="D900" s="437" t="s">
        <v>401</v>
      </c>
      <c r="E900" s="283"/>
      <c r="F900" s="438">
        <f t="shared" si="203"/>
        <v>0</v>
      </c>
      <c r="G900" s="612">
        <v>37.89</v>
      </c>
      <c r="H900" s="607">
        <f t="shared" si="204"/>
        <v>0</v>
      </c>
      <c r="I900" s="606">
        <f t="shared" si="205"/>
        <v>0</v>
      </c>
      <c r="J900" s="376"/>
    </row>
    <row r="901" spans="1:10" ht="23.4" x14ac:dyDescent="0.3">
      <c r="A901" s="1068"/>
      <c r="B901" s="827"/>
      <c r="C901" s="282" t="s">
        <v>406</v>
      </c>
      <c r="D901" s="437" t="s">
        <v>376</v>
      </c>
      <c r="E901" s="283"/>
      <c r="F901" s="438">
        <f t="shared" si="203"/>
        <v>0</v>
      </c>
      <c r="G901" s="612">
        <v>39</v>
      </c>
      <c r="H901" s="607">
        <f t="shared" si="204"/>
        <v>0</v>
      </c>
      <c r="I901" s="606">
        <f t="shared" si="205"/>
        <v>0</v>
      </c>
      <c r="J901" s="376"/>
    </row>
    <row r="902" spans="1:10" ht="23.4" x14ac:dyDescent="0.3">
      <c r="A902" s="1068"/>
      <c r="B902" s="827"/>
      <c r="C902" s="282" t="s">
        <v>327</v>
      </c>
      <c r="D902" s="437" t="s">
        <v>190</v>
      </c>
      <c r="E902" s="283"/>
      <c r="F902" s="438">
        <f t="shared" si="203"/>
        <v>67626</v>
      </c>
      <c r="G902" s="612">
        <v>21.22</v>
      </c>
      <c r="H902" s="607">
        <f t="shared" si="204"/>
        <v>0</v>
      </c>
      <c r="I902" s="606">
        <f t="shared" si="205"/>
        <v>1435023.72</v>
      </c>
      <c r="J902" s="376"/>
    </row>
    <row r="903" spans="1:10" ht="23.4" x14ac:dyDescent="0.3">
      <c r="A903" s="1068"/>
      <c r="B903" s="827"/>
      <c r="C903" s="282" t="s">
        <v>326</v>
      </c>
      <c r="D903" s="437" t="s">
        <v>190</v>
      </c>
      <c r="E903" s="283"/>
      <c r="F903" s="438">
        <f t="shared" si="203"/>
        <v>0</v>
      </c>
      <c r="G903" s="612">
        <v>21.22</v>
      </c>
      <c r="H903" s="607">
        <f t="shared" si="204"/>
        <v>0</v>
      </c>
      <c r="I903" s="606">
        <f t="shared" si="205"/>
        <v>0</v>
      </c>
      <c r="J903" s="376"/>
    </row>
    <row r="904" spans="1:10" ht="23.4" x14ac:dyDescent="0.3">
      <c r="A904" s="1068"/>
      <c r="B904" s="827"/>
      <c r="C904" s="282" t="s">
        <v>377</v>
      </c>
      <c r="D904" s="437" t="s">
        <v>333</v>
      </c>
      <c r="E904" s="283"/>
      <c r="F904" s="438">
        <f t="shared" si="203"/>
        <v>0</v>
      </c>
      <c r="G904" s="612">
        <v>10000</v>
      </c>
      <c r="H904" s="607">
        <f t="shared" si="204"/>
        <v>0</v>
      </c>
      <c r="I904" s="606">
        <f t="shared" si="205"/>
        <v>0</v>
      </c>
      <c r="J904" s="376"/>
    </row>
    <row r="905" spans="1:10" ht="24" thickBot="1" x14ac:dyDescent="0.35">
      <c r="A905" s="1068"/>
      <c r="B905" s="827"/>
      <c r="C905" s="282" t="s">
        <v>332</v>
      </c>
      <c r="D905" s="437" t="s">
        <v>333</v>
      </c>
      <c r="E905" s="283"/>
      <c r="F905" s="438">
        <f t="shared" si="203"/>
        <v>0</v>
      </c>
      <c r="G905" s="612">
        <v>360</v>
      </c>
      <c r="H905" s="607">
        <f t="shared" si="204"/>
        <v>0</v>
      </c>
      <c r="I905" s="606">
        <f t="shared" si="205"/>
        <v>0</v>
      </c>
      <c r="J905" s="376"/>
    </row>
    <row r="906" spans="1:10" ht="24" thickBot="1" x14ac:dyDescent="0.35">
      <c r="A906" s="1069"/>
      <c r="B906" s="1063" t="s">
        <v>289</v>
      </c>
      <c r="C906" s="1064"/>
      <c r="D906" s="829"/>
      <c r="E906" s="329">
        <f>SUM(E885:E905)</f>
        <v>19890</v>
      </c>
      <c r="F906" s="329">
        <f>SUM(F885:F905)</f>
        <v>214813</v>
      </c>
      <c r="G906" s="329"/>
      <c r="H906" s="597">
        <f>SUM(H885:H905)</f>
        <v>472984.2</v>
      </c>
      <c r="I906" s="589">
        <f>SUM(I885:I905)</f>
        <v>4940106.8000000007</v>
      </c>
      <c r="J906" s="376"/>
    </row>
    <row r="907" spans="1:10" ht="23.4" x14ac:dyDescent="0.3">
      <c r="A907" s="1067" t="s">
        <v>109</v>
      </c>
      <c r="B907" s="827"/>
      <c r="C907" s="282" t="s">
        <v>296</v>
      </c>
      <c r="D907" s="437" t="s">
        <v>258</v>
      </c>
      <c r="E907" s="283">
        <v>5120</v>
      </c>
      <c r="F907" s="438">
        <f t="shared" ref="F907:F929" si="206">+F819+E907</f>
        <v>10410</v>
      </c>
      <c r="G907" s="612">
        <v>430.02</v>
      </c>
      <c r="H907" s="603">
        <f>E907*G907</f>
        <v>2201702.3999999999</v>
      </c>
      <c r="I907" s="606">
        <f t="shared" ref="I907:I929" si="207">+G907*F907</f>
        <v>4476508.2</v>
      </c>
      <c r="J907" s="376"/>
    </row>
    <row r="908" spans="1:10" ht="23.4" x14ac:dyDescent="0.3">
      <c r="A908" s="1068"/>
      <c r="B908" s="827"/>
      <c r="C908" s="282" t="s">
        <v>297</v>
      </c>
      <c r="D908" s="437" t="s">
        <v>258</v>
      </c>
      <c r="E908" s="283"/>
      <c r="F908" s="438">
        <f t="shared" si="206"/>
        <v>4753</v>
      </c>
      <c r="G908" s="612">
        <v>445.38</v>
      </c>
      <c r="H908" s="603">
        <f t="shared" ref="H908:H929" si="208">E908*G908</f>
        <v>0</v>
      </c>
      <c r="I908" s="606">
        <f t="shared" si="207"/>
        <v>2116891.14</v>
      </c>
      <c r="J908" s="376"/>
    </row>
    <row r="909" spans="1:10" ht="27" customHeight="1" x14ac:dyDescent="0.3">
      <c r="A909" s="1068"/>
      <c r="B909" s="827"/>
      <c r="C909" s="282" t="s">
        <v>467</v>
      </c>
      <c r="D909" s="437" t="s">
        <v>258</v>
      </c>
      <c r="E909" s="283">
        <v>2880</v>
      </c>
      <c r="F909" s="438">
        <f t="shared" si="206"/>
        <v>8000</v>
      </c>
      <c r="G909" s="612">
        <v>445.38</v>
      </c>
      <c r="H909" s="603">
        <f t="shared" si="208"/>
        <v>1282694.3999999999</v>
      </c>
      <c r="I909" s="606">
        <f t="shared" si="207"/>
        <v>3563040</v>
      </c>
      <c r="J909" s="376"/>
    </row>
    <row r="910" spans="1:10" ht="23.4" x14ac:dyDescent="0.3">
      <c r="A910" s="1068"/>
      <c r="B910" s="827"/>
      <c r="C910" s="282" t="s">
        <v>330</v>
      </c>
      <c r="D910" s="437" t="s">
        <v>258</v>
      </c>
      <c r="E910" s="283"/>
      <c r="F910" s="438">
        <f t="shared" si="206"/>
        <v>0</v>
      </c>
      <c r="G910" s="612">
        <v>63.55</v>
      </c>
      <c r="H910" s="603">
        <f t="shared" si="208"/>
        <v>0</v>
      </c>
      <c r="I910" s="606">
        <f t="shared" si="207"/>
        <v>0</v>
      </c>
      <c r="J910" s="376"/>
    </row>
    <row r="911" spans="1:10" ht="23.4" x14ac:dyDescent="0.3">
      <c r="A911" s="1068"/>
      <c r="B911" s="827"/>
      <c r="C911" s="282" t="s">
        <v>298</v>
      </c>
      <c r="D911" s="437" t="s">
        <v>258</v>
      </c>
      <c r="E911" s="283">
        <v>47400</v>
      </c>
      <c r="F911" s="438">
        <f t="shared" si="206"/>
        <v>148536</v>
      </c>
      <c r="G911" s="612">
        <v>71.44</v>
      </c>
      <c r="H911" s="603">
        <f t="shared" si="208"/>
        <v>3386256</v>
      </c>
      <c r="I911" s="606">
        <f t="shared" si="207"/>
        <v>10611411.84</v>
      </c>
      <c r="J911" s="376"/>
    </row>
    <row r="912" spans="1:10" ht="23.4" x14ac:dyDescent="0.3">
      <c r="A912" s="1068"/>
      <c r="B912" s="827"/>
      <c r="C912" s="282" t="s">
        <v>299</v>
      </c>
      <c r="D912" s="437" t="s">
        <v>258</v>
      </c>
      <c r="E912" s="283"/>
      <c r="F912" s="438">
        <f t="shared" si="206"/>
        <v>300</v>
      </c>
      <c r="G912" s="612">
        <v>36.5</v>
      </c>
      <c r="H912" s="603">
        <f t="shared" si="208"/>
        <v>0</v>
      </c>
      <c r="I912" s="606">
        <f t="shared" si="207"/>
        <v>10950</v>
      </c>
      <c r="J912" s="376"/>
    </row>
    <row r="913" spans="1:10" ht="23.4" x14ac:dyDescent="0.3">
      <c r="A913" s="1068"/>
      <c r="B913" s="827"/>
      <c r="C913" s="282" t="s">
        <v>514</v>
      </c>
      <c r="D913" s="437" t="s">
        <v>258</v>
      </c>
      <c r="E913" s="283"/>
      <c r="F913" s="438">
        <f t="shared" si="206"/>
        <v>1114</v>
      </c>
      <c r="G913" s="612">
        <v>320.35000000000002</v>
      </c>
      <c r="H913" s="603">
        <f t="shared" si="208"/>
        <v>0</v>
      </c>
      <c r="I913" s="606">
        <f t="shared" si="207"/>
        <v>356869.9</v>
      </c>
      <c r="J913" s="376"/>
    </row>
    <row r="914" spans="1:10" ht="23.4" x14ac:dyDescent="0.3">
      <c r="A914" s="1068"/>
      <c r="B914" s="827"/>
      <c r="C914" s="282" t="s">
        <v>308</v>
      </c>
      <c r="D914" s="437" t="s">
        <v>258</v>
      </c>
      <c r="E914" s="283"/>
      <c r="F914" s="438">
        <f t="shared" si="206"/>
        <v>8200</v>
      </c>
      <c r="G914" s="612">
        <v>320.35000000000002</v>
      </c>
      <c r="H914" s="603">
        <f t="shared" si="208"/>
        <v>0</v>
      </c>
      <c r="I914" s="606">
        <f t="shared" si="207"/>
        <v>2626870</v>
      </c>
      <c r="J914" s="376"/>
    </row>
    <row r="915" spans="1:10" ht="23.4" x14ac:dyDescent="0.3">
      <c r="A915" s="1068"/>
      <c r="B915" s="827"/>
      <c r="C915" s="282" t="s">
        <v>322</v>
      </c>
      <c r="D915" s="437" t="s">
        <v>258</v>
      </c>
      <c r="E915" s="283"/>
      <c r="F915" s="438">
        <f t="shared" si="206"/>
        <v>0</v>
      </c>
      <c r="G915" s="612">
        <v>434.41</v>
      </c>
      <c r="H915" s="603">
        <f t="shared" si="208"/>
        <v>0</v>
      </c>
      <c r="I915" s="606">
        <f t="shared" si="207"/>
        <v>0</v>
      </c>
      <c r="J915" s="376"/>
    </row>
    <row r="916" spans="1:10" ht="23.4" x14ac:dyDescent="0.3">
      <c r="A916" s="1068"/>
      <c r="B916" s="827"/>
      <c r="C916" s="282" t="s">
        <v>305</v>
      </c>
      <c r="D916" s="437" t="s">
        <v>258</v>
      </c>
      <c r="E916" s="283"/>
      <c r="F916" s="438">
        <f t="shared" si="206"/>
        <v>1</v>
      </c>
      <c r="G916" s="612">
        <v>29690</v>
      </c>
      <c r="H916" s="603">
        <f t="shared" si="208"/>
        <v>0</v>
      </c>
      <c r="I916" s="606">
        <f t="shared" si="207"/>
        <v>29690</v>
      </c>
      <c r="J916" s="376"/>
    </row>
    <row r="917" spans="1:10" ht="23.4" x14ac:dyDescent="0.3">
      <c r="A917" s="1068"/>
      <c r="B917" s="827"/>
      <c r="C917" s="282" t="s">
        <v>305</v>
      </c>
      <c r="D917" s="437" t="s">
        <v>258</v>
      </c>
      <c r="E917" s="283"/>
      <c r="F917" s="438">
        <f t="shared" si="206"/>
        <v>2</v>
      </c>
      <c r="G917" s="612">
        <v>26445</v>
      </c>
      <c r="H917" s="603">
        <f t="shared" si="208"/>
        <v>0</v>
      </c>
      <c r="I917" s="606">
        <f t="shared" si="207"/>
        <v>52890</v>
      </c>
      <c r="J917" s="376"/>
    </row>
    <row r="918" spans="1:10" ht="23.4" x14ac:dyDescent="0.3">
      <c r="A918" s="1068"/>
      <c r="B918" s="827"/>
      <c r="C918" s="282" t="s">
        <v>341</v>
      </c>
      <c r="D918" s="437" t="s">
        <v>375</v>
      </c>
      <c r="E918" s="283"/>
      <c r="F918" s="438">
        <f t="shared" si="206"/>
        <v>2835</v>
      </c>
      <c r="G918" s="612">
        <v>50</v>
      </c>
      <c r="H918" s="603">
        <f t="shared" si="208"/>
        <v>0</v>
      </c>
      <c r="I918" s="606">
        <f t="shared" si="207"/>
        <v>141750</v>
      </c>
      <c r="J918" s="376"/>
    </row>
    <row r="919" spans="1:10" ht="23.4" x14ac:dyDescent="0.3">
      <c r="A919" s="1068"/>
      <c r="B919" s="827"/>
      <c r="C919" s="282" t="s">
        <v>341</v>
      </c>
      <c r="D919" s="437" t="s">
        <v>375</v>
      </c>
      <c r="E919" s="283"/>
      <c r="F919" s="438">
        <f t="shared" si="206"/>
        <v>0</v>
      </c>
      <c r="G919" s="612">
        <v>45</v>
      </c>
      <c r="H919" s="603">
        <f t="shared" si="208"/>
        <v>0</v>
      </c>
      <c r="I919" s="606">
        <f t="shared" si="207"/>
        <v>0</v>
      </c>
      <c r="J919" s="376"/>
    </row>
    <row r="920" spans="1:10" ht="23.4" x14ac:dyDescent="0.3">
      <c r="A920" s="1068"/>
      <c r="B920" s="827"/>
      <c r="C920" s="282" t="s">
        <v>364</v>
      </c>
      <c r="D920" s="437" t="s">
        <v>428</v>
      </c>
      <c r="E920" s="283"/>
      <c r="F920" s="438">
        <f t="shared" si="206"/>
        <v>700</v>
      </c>
      <c r="G920" s="612">
        <v>57.64</v>
      </c>
      <c r="H920" s="603">
        <f t="shared" si="208"/>
        <v>0</v>
      </c>
      <c r="I920" s="606">
        <f t="shared" si="207"/>
        <v>40348</v>
      </c>
      <c r="J920" s="376"/>
    </row>
    <row r="921" spans="1:10" ht="23.4" x14ac:dyDescent="0.3">
      <c r="A921" s="1068"/>
      <c r="B921" s="827"/>
      <c r="C921" s="282" t="s">
        <v>364</v>
      </c>
      <c r="D921" s="437" t="s">
        <v>407</v>
      </c>
      <c r="E921" s="283"/>
      <c r="F921" s="438">
        <f t="shared" si="206"/>
        <v>0</v>
      </c>
      <c r="G921" s="612">
        <v>57.64</v>
      </c>
      <c r="H921" s="603">
        <f t="shared" si="208"/>
        <v>0</v>
      </c>
      <c r="I921" s="606">
        <f t="shared" si="207"/>
        <v>0</v>
      </c>
      <c r="J921" s="376"/>
    </row>
    <row r="922" spans="1:10" ht="23.4" x14ac:dyDescent="0.3">
      <c r="A922" s="1068"/>
      <c r="B922" s="827"/>
      <c r="C922" s="282" t="s">
        <v>365</v>
      </c>
      <c r="D922" s="437" t="s">
        <v>366</v>
      </c>
      <c r="E922" s="283"/>
      <c r="F922" s="438">
        <f t="shared" si="206"/>
        <v>2240</v>
      </c>
      <c r="G922" s="612">
        <v>434.41</v>
      </c>
      <c r="H922" s="603">
        <f t="shared" si="208"/>
        <v>0</v>
      </c>
      <c r="I922" s="606">
        <f t="shared" si="207"/>
        <v>973078.4</v>
      </c>
      <c r="J922" s="376"/>
    </row>
    <row r="923" spans="1:10" ht="23.4" x14ac:dyDescent="0.3">
      <c r="A923" s="1068"/>
      <c r="B923" s="827"/>
      <c r="C923" s="282" t="s">
        <v>381</v>
      </c>
      <c r="D923" s="437" t="s">
        <v>258</v>
      </c>
      <c r="E923" s="283"/>
      <c r="F923" s="438">
        <f t="shared" si="206"/>
        <v>0</v>
      </c>
      <c r="G923" s="612">
        <v>624.26</v>
      </c>
      <c r="H923" s="603">
        <f t="shared" si="208"/>
        <v>0</v>
      </c>
      <c r="I923" s="606">
        <f t="shared" si="207"/>
        <v>0</v>
      </c>
      <c r="J923" s="376"/>
    </row>
    <row r="924" spans="1:10" ht="23.4" x14ac:dyDescent="0.3">
      <c r="A924" s="1068"/>
      <c r="B924" s="827"/>
      <c r="C924" s="282" t="s">
        <v>367</v>
      </c>
      <c r="D924" s="437" t="s">
        <v>366</v>
      </c>
      <c r="E924" s="283"/>
      <c r="F924" s="438">
        <f t="shared" si="206"/>
        <v>5760</v>
      </c>
      <c r="G924" s="612">
        <v>63.55</v>
      </c>
      <c r="H924" s="603">
        <f t="shared" si="208"/>
        <v>0</v>
      </c>
      <c r="I924" s="606">
        <f t="shared" si="207"/>
        <v>366048</v>
      </c>
      <c r="J924" s="376"/>
    </row>
    <row r="925" spans="1:10" ht="23.4" x14ac:dyDescent="0.3">
      <c r="A925" s="1068"/>
      <c r="B925" s="827"/>
      <c r="C925" s="282" t="s">
        <v>429</v>
      </c>
      <c r="D925" s="437" t="s">
        <v>258</v>
      </c>
      <c r="E925" s="283"/>
      <c r="F925" s="438">
        <f t="shared" si="206"/>
        <v>98664</v>
      </c>
      <c r="G925" s="612">
        <v>59.96</v>
      </c>
      <c r="H925" s="603">
        <f t="shared" si="208"/>
        <v>0</v>
      </c>
      <c r="I925" s="606">
        <f t="shared" si="207"/>
        <v>5915893.4400000004</v>
      </c>
      <c r="J925" s="376"/>
    </row>
    <row r="926" spans="1:10" ht="23.4" x14ac:dyDescent="0.3">
      <c r="A926" s="1068"/>
      <c r="B926" s="827"/>
      <c r="C926" s="282" t="s">
        <v>501</v>
      </c>
      <c r="D926" s="437" t="s">
        <v>366</v>
      </c>
      <c r="E926" s="283"/>
      <c r="F926" s="438">
        <f t="shared" si="206"/>
        <v>8640</v>
      </c>
      <c r="G926" s="612">
        <v>53.86</v>
      </c>
      <c r="H926" s="603">
        <f t="shared" si="208"/>
        <v>0</v>
      </c>
      <c r="I926" s="606">
        <f t="shared" si="207"/>
        <v>465350.40000000002</v>
      </c>
      <c r="J926" s="376"/>
    </row>
    <row r="927" spans="1:10" ht="23.4" x14ac:dyDescent="0.3">
      <c r="A927" s="1068"/>
      <c r="B927" s="827"/>
      <c r="C927" s="282" t="s">
        <v>446</v>
      </c>
      <c r="D927" s="437"/>
      <c r="E927" s="283"/>
      <c r="F927" s="438">
        <f t="shared" si="206"/>
        <v>8318</v>
      </c>
      <c r="G927" s="612">
        <v>360</v>
      </c>
      <c r="H927" s="603">
        <f t="shared" si="208"/>
        <v>0</v>
      </c>
      <c r="I927" s="606">
        <f t="shared" si="207"/>
        <v>2994480</v>
      </c>
      <c r="J927" s="376"/>
    </row>
    <row r="928" spans="1:10" ht="23.4" x14ac:dyDescent="0.3">
      <c r="A928" s="1068"/>
      <c r="B928" s="827"/>
      <c r="C928" s="282" t="s">
        <v>305</v>
      </c>
      <c r="D928" s="437"/>
      <c r="E928" s="283"/>
      <c r="F928" s="438">
        <f t="shared" si="206"/>
        <v>0</v>
      </c>
      <c r="G928" s="612">
        <v>39450</v>
      </c>
      <c r="H928" s="603">
        <f t="shared" si="208"/>
        <v>0</v>
      </c>
      <c r="I928" s="606">
        <f t="shared" si="207"/>
        <v>0</v>
      </c>
      <c r="J928" s="376"/>
    </row>
    <row r="929" spans="1:10" ht="24" thickBot="1" x14ac:dyDescent="0.35">
      <c r="A929" s="1068"/>
      <c r="B929" s="827"/>
      <c r="C929" s="282" t="s">
        <v>364</v>
      </c>
      <c r="D929" s="437" t="s">
        <v>258</v>
      </c>
      <c r="E929" s="283"/>
      <c r="F929" s="438">
        <f t="shared" si="206"/>
        <v>0</v>
      </c>
      <c r="G929" s="612">
        <v>57.64</v>
      </c>
      <c r="H929" s="603">
        <f t="shared" si="208"/>
        <v>0</v>
      </c>
      <c r="I929" s="606">
        <f t="shared" si="207"/>
        <v>0</v>
      </c>
      <c r="J929" s="376"/>
    </row>
    <row r="930" spans="1:10" ht="24" thickBot="1" x14ac:dyDescent="0.35">
      <c r="A930" s="1069"/>
      <c r="B930" s="1063" t="s">
        <v>291</v>
      </c>
      <c r="C930" s="1064"/>
      <c r="D930" s="829"/>
      <c r="E930" s="329">
        <f>SUM(E907:E929)</f>
        <v>55400</v>
      </c>
      <c r="F930" s="329">
        <f>SUM(F907:F929)</f>
        <v>308473</v>
      </c>
      <c r="G930" s="329"/>
      <c r="H930" s="600">
        <f>SUM(H907:H929)</f>
        <v>6870652.7999999998</v>
      </c>
      <c r="I930" s="589">
        <f>SUM(I907:I929)</f>
        <v>34742069.319999993</v>
      </c>
      <c r="J930" s="375"/>
    </row>
    <row r="931" spans="1:10" ht="24" thickBot="1" x14ac:dyDescent="0.35">
      <c r="A931" s="832"/>
      <c r="B931" s="440"/>
      <c r="C931" s="282" t="s">
        <v>446</v>
      </c>
      <c r="D931" s="437"/>
      <c r="E931" s="283"/>
      <c r="F931" s="284">
        <f>+F843+E931</f>
        <v>0</v>
      </c>
      <c r="G931" s="337"/>
      <c r="H931" s="599">
        <f t="shared" ref="H931" si="209">E931*G931</f>
        <v>0</v>
      </c>
      <c r="I931" s="285">
        <f t="shared" ref="I931" si="210">+G931*F931</f>
        <v>0</v>
      </c>
      <c r="J931" s="376"/>
    </row>
    <row r="932" spans="1:10" ht="24" thickBot="1" x14ac:dyDescent="0.35">
      <c r="A932" s="832"/>
      <c r="B932" s="1063" t="s">
        <v>238</v>
      </c>
      <c r="C932" s="1064"/>
      <c r="D932" s="825"/>
      <c r="E932" s="329"/>
      <c r="F932" s="330"/>
      <c r="G932" s="329"/>
      <c r="H932" s="597"/>
      <c r="I932" s="327">
        <f>SUM(I931)</f>
        <v>0</v>
      </c>
      <c r="J932" s="352"/>
    </row>
    <row r="933" spans="1:10" ht="24.6" thickBot="1" x14ac:dyDescent="0.35">
      <c r="A933" s="322"/>
      <c r="B933" s="1065" t="s">
        <v>182</v>
      </c>
      <c r="C933" s="1066"/>
      <c r="D933" s="826"/>
      <c r="E933" s="377">
        <f>+E930+E906+E884+E882</f>
        <v>229100</v>
      </c>
      <c r="F933" s="377">
        <f>+F930+F906+F884+F882</f>
        <v>2693213</v>
      </c>
      <c r="G933" s="377"/>
      <c r="H933" s="377"/>
      <c r="I933" s="377">
        <f>+I930+I906+I884+I932</f>
        <v>103297957.31999999</v>
      </c>
      <c r="J933" s="378"/>
    </row>
    <row r="934" spans="1:10" ht="23.4" x14ac:dyDescent="0.3">
      <c r="A934" s="991" t="s">
        <v>1</v>
      </c>
      <c r="B934" s="994" t="s">
        <v>2</v>
      </c>
      <c r="C934" s="1072" t="s">
        <v>477</v>
      </c>
      <c r="D934" s="1043" t="s">
        <v>478</v>
      </c>
      <c r="E934" s="1076" t="s">
        <v>523</v>
      </c>
      <c r="F934" s="1001"/>
      <c r="G934" s="1001"/>
      <c r="H934" s="1001"/>
      <c r="I934" s="1001"/>
      <c r="J934" s="1002"/>
    </row>
    <row r="935" spans="1:10" ht="23.4" x14ac:dyDescent="0.3">
      <c r="A935" s="1070"/>
      <c r="B935" s="1071"/>
      <c r="C935" s="1073"/>
      <c r="D935" s="1044"/>
      <c r="E935" s="1077" t="s">
        <v>493</v>
      </c>
      <c r="F935" s="1078"/>
      <c r="G935" s="1077" t="s">
        <v>492</v>
      </c>
      <c r="H935" s="1079"/>
      <c r="I935" s="1079"/>
      <c r="J935" s="1078"/>
    </row>
    <row r="936" spans="1:10" x14ac:dyDescent="0.3">
      <c r="A936" s="992"/>
      <c r="B936" s="995"/>
      <c r="C936" s="1074"/>
      <c r="D936" s="1044"/>
      <c r="E936" s="1003" t="s">
        <v>494</v>
      </c>
      <c r="F936" s="1005" t="s">
        <v>495</v>
      </c>
      <c r="G936" s="1081" t="s">
        <v>97</v>
      </c>
      <c r="H936" s="1083" t="s">
        <v>98</v>
      </c>
      <c r="I936" s="1083" t="s">
        <v>98</v>
      </c>
      <c r="J936" s="1085" t="s">
        <v>12</v>
      </c>
    </row>
    <row r="937" spans="1:10" ht="14.4" thickBot="1" x14ac:dyDescent="0.35">
      <c r="A937" s="993"/>
      <c r="B937" s="996"/>
      <c r="C937" s="1075"/>
      <c r="D937" s="1045"/>
      <c r="E937" s="1004"/>
      <c r="F937" s="1080"/>
      <c r="G937" s="1082"/>
      <c r="H937" s="1084"/>
      <c r="I937" s="1084"/>
      <c r="J937" s="1086"/>
    </row>
    <row r="938" spans="1:10" ht="23.4" x14ac:dyDescent="0.3">
      <c r="A938" s="1067" t="s">
        <v>110</v>
      </c>
      <c r="B938" s="442"/>
      <c r="C938" s="584" t="s">
        <v>292</v>
      </c>
      <c r="D938" s="686" t="s">
        <v>284</v>
      </c>
      <c r="E938" s="744"/>
      <c r="F938" s="695">
        <f>+F850+E938</f>
        <v>0</v>
      </c>
      <c r="G938" s="741">
        <v>111.09</v>
      </c>
      <c r="H938" s="601">
        <f t="shared" ref="H938:H951" si="211">E938*G938</f>
        <v>0</v>
      </c>
      <c r="I938" s="604">
        <f>+G938*F938</f>
        <v>0</v>
      </c>
      <c r="J938" s="354"/>
    </row>
    <row r="939" spans="1:10" ht="23.4" x14ac:dyDescent="0.3">
      <c r="A939" s="1068"/>
      <c r="B939" s="441"/>
      <c r="C939" s="444" t="s">
        <v>285</v>
      </c>
      <c r="D939" s="687" t="s">
        <v>286</v>
      </c>
      <c r="E939" s="745"/>
      <c r="F939" s="746">
        <f t="shared" ref="F939:F951" si="212">+F851+E939</f>
        <v>0</v>
      </c>
      <c r="G939" s="742">
        <v>11</v>
      </c>
      <c r="H939" s="602">
        <f t="shared" si="211"/>
        <v>0</v>
      </c>
      <c r="I939" s="605">
        <f>+G939*F939</f>
        <v>0</v>
      </c>
      <c r="J939" s="355"/>
    </row>
    <row r="940" spans="1:10" ht="23.4" x14ac:dyDescent="0.3">
      <c r="A940" s="1068"/>
      <c r="B940" s="441"/>
      <c r="C940" s="444" t="s">
        <v>321</v>
      </c>
      <c r="D940" s="687" t="s">
        <v>400</v>
      </c>
      <c r="E940" s="745"/>
      <c r="F940" s="746">
        <f t="shared" si="212"/>
        <v>0</v>
      </c>
      <c r="G940" s="742">
        <v>139.04</v>
      </c>
      <c r="H940" s="602">
        <f t="shared" si="211"/>
        <v>0</v>
      </c>
      <c r="I940" s="605">
        <f t="shared" ref="I940:I951" si="213">+G940*F940</f>
        <v>0</v>
      </c>
      <c r="J940" s="355"/>
    </row>
    <row r="941" spans="1:10" ht="23.4" x14ac:dyDescent="0.3">
      <c r="A941" s="1068"/>
      <c r="B941" s="441"/>
      <c r="C941" s="444" t="s">
        <v>397</v>
      </c>
      <c r="D941" s="687" t="s">
        <v>398</v>
      </c>
      <c r="E941" s="745"/>
      <c r="F941" s="746">
        <f t="shared" si="212"/>
        <v>856800</v>
      </c>
      <c r="G941" s="795">
        <v>20.5</v>
      </c>
      <c r="H941" s="602">
        <f t="shared" si="211"/>
        <v>0</v>
      </c>
      <c r="I941" s="605">
        <f t="shared" si="213"/>
        <v>17564400</v>
      </c>
      <c r="J941" s="355"/>
    </row>
    <row r="942" spans="1:10" ht="23.4" x14ac:dyDescent="0.3">
      <c r="A942" s="1068"/>
      <c r="B942" s="441"/>
      <c r="C942" s="444" t="s">
        <v>312</v>
      </c>
      <c r="D942" s="687" t="s">
        <v>190</v>
      </c>
      <c r="E942" s="745"/>
      <c r="F942" s="746">
        <f t="shared" si="212"/>
        <v>0</v>
      </c>
      <c r="G942" s="742">
        <v>14.79</v>
      </c>
      <c r="H942" s="602">
        <f t="shared" si="211"/>
        <v>0</v>
      </c>
      <c r="I942" s="605">
        <f t="shared" si="213"/>
        <v>0</v>
      </c>
      <c r="J942" s="355"/>
    </row>
    <row r="943" spans="1:10" ht="23.4" x14ac:dyDescent="0.3">
      <c r="A943" s="1068"/>
      <c r="B943" s="441"/>
      <c r="C943" s="444" t="s">
        <v>321</v>
      </c>
      <c r="D943" s="687" t="s">
        <v>286</v>
      </c>
      <c r="E943" s="745"/>
      <c r="F943" s="746">
        <f t="shared" si="212"/>
        <v>3595</v>
      </c>
      <c r="G943" s="742">
        <v>139.04</v>
      </c>
      <c r="H943" s="602">
        <f t="shared" si="211"/>
        <v>0</v>
      </c>
      <c r="I943" s="605">
        <f t="shared" si="213"/>
        <v>499848.8</v>
      </c>
      <c r="J943" s="355"/>
    </row>
    <row r="944" spans="1:10" ht="23.4" x14ac:dyDescent="0.3">
      <c r="A944" s="1068"/>
      <c r="B944" s="441"/>
      <c r="C944" s="444" t="s">
        <v>472</v>
      </c>
      <c r="D944" s="688" t="s">
        <v>396</v>
      </c>
      <c r="E944" s="745"/>
      <c r="F944" s="746">
        <f t="shared" si="212"/>
        <v>29760</v>
      </c>
      <c r="G944" s="742">
        <v>147.58000000000001</v>
      </c>
      <c r="H944" s="602">
        <f t="shared" si="211"/>
        <v>0</v>
      </c>
      <c r="I944" s="605">
        <f t="shared" si="213"/>
        <v>4391980.8000000007</v>
      </c>
      <c r="J944" s="355"/>
    </row>
    <row r="945" spans="1:10" ht="23.4" x14ac:dyDescent="0.3">
      <c r="A945" s="1068"/>
      <c r="B945" s="441"/>
      <c r="C945" s="444" t="s">
        <v>345</v>
      </c>
      <c r="D945" s="688" t="s">
        <v>286</v>
      </c>
      <c r="E945" s="745"/>
      <c r="F945" s="746">
        <f t="shared" si="212"/>
        <v>0</v>
      </c>
      <c r="G945" s="742">
        <v>18.84</v>
      </c>
      <c r="H945" s="602">
        <f t="shared" si="211"/>
        <v>0</v>
      </c>
      <c r="I945" s="605">
        <f t="shared" si="213"/>
        <v>0</v>
      </c>
      <c r="J945" s="355"/>
    </row>
    <row r="946" spans="1:10" ht="23.4" x14ac:dyDescent="0.3">
      <c r="A946" s="1068"/>
      <c r="B946" s="441"/>
      <c r="C946" s="444" t="s">
        <v>357</v>
      </c>
      <c r="D946" s="688" t="s">
        <v>252</v>
      </c>
      <c r="E946" s="745"/>
      <c r="F946" s="746">
        <f t="shared" si="212"/>
        <v>550800</v>
      </c>
      <c r="G946" s="742">
        <v>21.18</v>
      </c>
      <c r="H946" s="602">
        <f t="shared" si="211"/>
        <v>0</v>
      </c>
      <c r="I946" s="605">
        <f t="shared" si="213"/>
        <v>11665944</v>
      </c>
      <c r="J946" s="355"/>
    </row>
    <row r="947" spans="1:10" ht="23.4" x14ac:dyDescent="0.3">
      <c r="A947" s="1068"/>
      <c r="B947" s="441"/>
      <c r="C947" s="444" t="s">
        <v>359</v>
      </c>
      <c r="D947" s="688" t="s">
        <v>360</v>
      </c>
      <c r="E947" s="745"/>
      <c r="F947" s="746">
        <f t="shared" si="212"/>
        <v>0</v>
      </c>
      <c r="G947" s="742">
        <v>21.28</v>
      </c>
      <c r="H947" s="602">
        <f t="shared" si="211"/>
        <v>0</v>
      </c>
      <c r="I947" s="605">
        <f t="shared" si="213"/>
        <v>0</v>
      </c>
      <c r="J947" s="355"/>
    </row>
    <row r="948" spans="1:10" ht="23.4" x14ac:dyDescent="0.3">
      <c r="A948" s="1068"/>
      <c r="B948" s="441"/>
      <c r="C948" s="444" t="s">
        <v>445</v>
      </c>
      <c r="D948" s="688" t="s">
        <v>436</v>
      </c>
      <c r="E948" s="745"/>
      <c r="F948" s="746">
        <f t="shared" si="212"/>
        <v>19840</v>
      </c>
      <c r="G948" s="742">
        <v>143.28</v>
      </c>
      <c r="H948" s="602">
        <f t="shared" si="211"/>
        <v>0</v>
      </c>
      <c r="I948" s="605">
        <f t="shared" si="213"/>
        <v>2842675.2000000002</v>
      </c>
      <c r="J948" s="355"/>
    </row>
    <row r="949" spans="1:10" ht="23.4" x14ac:dyDescent="0.3">
      <c r="A949" s="1068"/>
      <c r="B949" s="441"/>
      <c r="C949" s="444" t="s">
        <v>403</v>
      </c>
      <c r="D949" s="687" t="s">
        <v>190</v>
      </c>
      <c r="E949" s="745"/>
      <c r="F949" s="746">
        <f t="shared" si="212"/>
        <v>135168</v>
      </c>
      <c r="G949" s="742">
        <v>14.55</v>
      </c>
      <c r="H949" s="602">
        <f t="shared" si="211"/>
        <v>0</v>
      </c>
      <c r="I949" s="605">
        <f t="shared" si="213"/>
        <v>1966694.4000000001</v>
      </c>
      <c r="J949" s="355"/>
    </row>
    <row r="950" spans="1:10" ht="23.4" x14ac:dyDescent="0.3">
      <c r="A950" s="1068"/>
      <c r="B950" s="441"/>
      <c r="C950" s="444" t="s">
        <v>362</v>
      </c>
      <c r="D950" s="688" t="s">
        <v>202</v>
      </c>
      <c r="E950" s="745"/>
      <c r="F950" s="746">
        <f t="shared" si="212"/>
        <v>0</v>
      </c>
      <c r="G950" s="742">
        <v>21.28</v>
      </c>
      <c r="H950" s="602">
        <f t="shared" si="211"/>
        <v>0</v>
      </c>
      <c r="I950" s="605">
        <f t="shared" si="213"/>
        <v>0</v>
      </c>
      <c r="J950" s="355"/>
    </row>
    <row r="951" spans="1:10" ht="24" thickBot="1" x14ac:dyDescent="0.35">
      <c r="A951" s="1068"/>
      <c r="B951" s="441"/>
      <c r="C951" s="444" t="s">
        <v>374</v>
      </c>
      <c r="D951" s="689" t="s">
        <v>191</v>
      </c>
      <c r="E951" s="745"/>
      <c r="F951" s="697">
        <f t="shared" si="212"/>
        <v>0</v>
      </c>
      <c r="G951" s="742">
        <v>36.44</v>
      </c>
      <c r="H951" s="602">
        <f t="shared" si="211"/>
        <v>0</v>
      </c>
      <c r="I951" s="605">
        <f t="shared" si="213"/>
        <v>0</v>
      </c>
      <c r="J951" s="355"/>
    </row>
    <row r="952" spans="1:10" ht="24" thickBot="1" x14ac:dyDescent="0.35">
      <c r="A952" s="1068"/>
      <c r="B952" s="1063" t="s">
        <v>287</v>
      </c>
      <c r="C952" s="1064"/>
      <c r="D952" s="838"/>
      <c r="E952" s="329">
        <f>SUM(E938:E951)</f>
        <v>0</v>
      </c>
      <c r="F952" s="743">
        <f>SUM(F938:F951)</f>
        <v>1595963</v>
      </c>
      <c r="G952" s="329"/>
      <c r="H952" s="597">
        <f>SUM(H938:H951)</f>
        <v>0</v>
      </c>
      <c r="I952" s="589">
        <f>SUM(I938:I951)</f>
        <v>38931543.200000003</v>
      </c>
      <c r="J952" s="352"/>
    </row>
    <row r="953" spans="1:10" ht="23.4" x14ac:dyDescent="0.3">
      <c r="A953" s="1068"/>
      <c r="B953" s="836"/>
      <c r="C953" s="282" t="s">
        <v>293</v>
      </c>
      <c r="D953" s="437" t="s">
        <v>258</v>
      </c>
      <c r="E953" s="283"/>
      <c r="F953" s="438">
        <f t="shared" ref="F953:F963" si="214">+F865+E953</f>
        <v>42000</v>
      </c>
      <c r="G953" s="587">
        <v>160.44999999999999</v>
      </c>
      <c r="H953" s="603">
        <f t="shared" ref="H953:H963" si="215">E953*G953</f>
        <v>0</v>
      </c>
      <c r="I953" s="606">
        <f t="shared" ref="I953:I963" si="216">+G953*F953</f>
        <v>6738899.9999999991</v>
      </c>
      <c r="J953" s="376"/>
    </row>
    <row r="954" spans="1:10" ht="23.4" x14ac:dyDescent="0.3">
      <c r="A954" s="1068"/>
      <c r="B954" s="836"/>
      <c r="C954" s="282" t="s">
        <v>309</v>
      </c>
      <c r="D954" s="437" t="s">
        <v>258</v>
      </c>
      <c r="E954" s="283"/>
      <c r="F954" s="438">
        <f t="shared" si="214"/>
        <v>0</v>
      </c>
      <c r="G954" s="587">
        <v>160.44999999999999</v>
      </c>
      <c r="H954" s="603">
        <f t="shared" si="215"/>
        <v>0</v>
      </c>
      <c r="I954" s="606">
        <f t="shared" si="216"/>
        <v>0</v>
      </c>
      <c r="J954" s="376"/>
    </row>
    <row r="955" spans="1:10" ht="23.4" x14ac:dyDescent="0.3">
      <c r="A955" s="1068"/>
      <c r="B955" s="836"/>
      <c r="C955" s="282" t="s">
        <v>463</v>
      </c>
      <c r="D955" s="437" t="s">
        <v>258</v>
      </c>
      <c r="E955" s="283"/>
      <c r="F955" s="438">
        <f t="shared" si="214"/>
        <v>5250</v>
      </c>
      <c r="G955" s="587">
        <v>160.44999999999999</v>
      </c>
      <c r="H955" s="603">
        <f t="shared" si="215"/>
        <v>0</v>
      </c>
      <c r="I955" s="606">
        <f t="shared" si="216"/>
        <v>842362.49999999988</v>
      </c>
      <c r="J955" s="376"/>
    </row>
    <row r="956" spans="1:10" ht="23.4" x14ac:dyDescent="0.3">
      <c r="A956" s="1068"/>
      <c r="B956" s="836"/>
      <c r="C956" s="282" t="s">
        <v>311</v>
      </c>
      <c r="D956" s="437" t="s">
        <v>100</v>
      </c>
      <c r="E956" s="283"/>
      <c r="F956" s="438">
        <f t="shared" si="214"/>
        <v>0</v>
      </c>
      <c r="G956" s="587">
        <v>27</v>
      </c>
      <c r="H956" s="603">
        <f t="shared" si="215"/>
        <v>0</v>
      </c>
      <c r="I956" s="606">
        <f t="shared" si="216"/>
        <v>0</v>
      </c>
      <c r="J956" s="376"/>
    </row>
    <row r="957" spans="1:10" ht="23.4" x14ac:dyDescent="0.3">
      <c r="A957" s="1068"/>
      <c r="B957" s="836"/>
      <c r="C957" s="282" t="s">
        <v>311</v>
      </c>
      <c r="D957" s="437" t="s">
        <v>318</v>
      </c>
      <c r="E957" s="283"/>
      <c r="F957" s="438">
        <f t="shared" si="214"/>
        <v>324720</v>
      </c>
      <c r="G957" s="587">
        <v>27.5</v>
      </c>
      <c r="H957" s="603">
        <f t="shared" si="215"/>
        <v>0</v>
      </c>
      <c r="I957" s="606">
        <f t="shared" si="216"/>
        <v>8929800</v>
      </c>
      <c r="J957" s="376"/>
    </row>
    <row r="958" spans="1:10" ht="23.4" x14ac:dyDescent="0.3">
      <c r="A958" s="1068"/>
      <c r="B958" s="836"/>
      <c r="C958" s="282" t="s">
        <v>299</v>
      </c>
      <c r="D958" s="437" t="s">
        <v>318</v>
      </c>
      <c r="E958" s="283"/>
      <c r="F958" s="438">
        <f t="shared" si="214"/>
        <v>10832</v>
      </c>
      <c r="G958" s="587">
        <v>34.5</v>
      </c>
      <c r="H958" s="603">
        <f t="shared" si="215"/>
        <v>0</v>
      </c>
      <c r="I958" s="606">
        <f t="shared" si="216"/>
        <v>373704</v>
      </c>
      <c r="J958" s="376"/>
    </row>
    <row r="959" spans="1:10" ht="23.4" x14ac:dyDescent="0.3">
      <c r="A959" s="1068"/>
      <c r="B959" s="836"/>
      <c r="C959" s="282" t="s">
        <v>505</v>
      </c>
      <c r="D959" s="437" t="s">
        <v>258</v>
      </c>
      <c r="E959" s="283"/>
      <c r="F959" s="438">
        <f t="shared" si="214"/>
        <v>8750</v>
      </c>
      <c r="G959" s="587">
        <v>160.44999999999999</v>
      </c>
      <c r="H959" s="603">
        <f t="shared" si="215"/>
        <v>0</v>
      </c>
      <c r="I959" s="606">
        <f t="shared" si="216"/>
        <v>1403937.5</v>
      </c>
      <c r="J959" s="376"/>
    </row>
    <row r="960" spans="1:10" ht="23.4" x14ac:dyDescent="0.3">
      <c r="A960" s="1068"/>
      <c r="B960" s="836"/>
      <c r="C960" s="282" t="s">
        <v>388</v>
      </c>
      <c r="D960" s="437" t="s">
        <v>258</v>
      </c>
      <c r="E960" s="283"/>
      <c r="F960" s="438">
        <f t="shared" si="214"/>
        <v>29250</v>
      </c>
      <c r="G960" s="587">
        <v>160.44999999999999</v>
      </c>
      <c r="H960" s="603">
        <f t="shared" si="215"/>
        <v>0</v>
      </c>
      <c r="I960" s="606">
        <f t="shared" si="216"/>
        <v>4693162.5</v>
      </c>
      <c r="J960" s="376"/>
    </row>
    <row r="961" spans="1:11" ht="23.4" x14ac:dyDescent="0.3">
      <c r="A961" s="1068"/>
      <c r="B961" s="836"/>
      <c r="C961" s="282" t="s">
        <v>461</v>
      </c>
      <c r="D961" s="437" t="s">
        <v>258</v>
      </c>
      <c r="E961" s="283"/>
      <c r="F961" s="438">
        <f t="shared" si="214"/>
        <v>6000</v>
      </c>
      <c r="G961" s="587">
        <v>160.44999999999999</v>
      </c>
      <c r="H961" s="603">
        <f t="shared" si="215"/>
        <v>0</v>
      </c>
      <c r="I961" s="606">
        <f t="shared" si="216"/>
        <v>962699.99999999988</v>
      </c>
      <c r="J961" s="376"/>
    </row>
    <row r="962" spans="1:11" ht="23.4" x14ac:dyDescent="0.3">
      <c r="A962" s="1068"/>
      <c r="B962" s="836"/>
      <c r="C962" s="282" t="s">
        <v>343</v>
      </c>
      <c r="D962" s="437" t="s">
        <v>258</v>
      </c>
      <c r="E962" s="283"/>
      <c r="F962" s="438">
        <f t="shared" si="214"/>
        <v>0</v>
      </c>
      <c r="G962" s="587">
        <v>160.44999999999999</v>
      </c>
      <c r="H962" s="603">
        <f t="shared" si="215"/>
        <v>0</v>
      </c>
      <c r="I962" s="606">
        <f t="shared" si="216"/>
        <v>0</v>
      </c>
      <c r="J962" s="376"/>
    </row>
    <row r="963" spans="1:11" ht="24" thickBot="1" x14ac:dyDescent="0.35">
      <c r="A963" s="1068"/>
      <c r="B963" s="836"/>
      <c r="C963" s="282" t="s">
        <v>340</v>
      </c>
      <c r="D963" s="437" t="s">
        <v>258</v>
      </c>
      <c r="E963" s="283"/>
      <c r="F963" s="438">
        <f t="shared" si="214"/>
        <v>0</v>
      </c>
      <c r="G963" s="587">
        <v>160.44999999999999</v>
      </c>
      <c r="H963" s="603">
        <f t="shared" si="215"/>
        <v>0</v>
      </c>
      <c r="I963" s="606">
        <f t="shared" si="216"/>
        <v>0</v>
      </c>
      <c r="J963" s="376"/>
    </row>
    <row r="964" spans="1:11" ht="24" thickBot="1" x14ac:dyDescent="0.35">
      <c r="A964" s="1068"/>
      <c r="B964" s="1063" t="s">
        <v>288</v>
      </c>
      <c r="C964" s="1064"/>
      <c r="D964" s="838"/>
      <c r="E964" s="329">
        <f>SUM(E953:E963)</f>
        <v>0</v>
      </c>
      <c r="F964" s="329">
        <f>SUM(F953:F963)</f>
        <v>426802</v>
      </c>
      <c r="G964" s="329"/>
      <c r="H964" s="597">
        <f>SUM(H953:H963)</f>
        <v>0</v>
      </c>
      <c r="I964" s="589">
        <f>SUM(I953:I963)</f>
        <v>23944566.5</v>
      </c>
      <c r="J964" s="352"/>
    </row>
    <row r="965" spans="1:11" ht="23.4" x14ac:dyDescent="0.3">
      <c r="A965" s="1068"/>
      <c r="B965" s="836"/>
      <c r="C965" s="282" t="s">
        <v>434</v>
      </c>
      <c r="D965" s="437" t="s">
        <v>435</v>
      </c>
      <c r="E965" s="283"/>
      <c r="F965" s="438">
        <f t="shared" ref="F965:F969" si="217">+F877+E965</f>
        <v>250</v>
      </c>
      <c r="G965" s="587">
        <v>5.34</v>
      </c>
      <c r="H965" s="603">
        <f t="shared" ref="H965:H969" si="218">E965*G965</f>
        <v>0</v>
      </c>
      <c r="I965" s="606">
        <f t="shared" ref="I965" si="219">+G965*F965</f>
        <v>1335</v>
      </c>
      <c r="J965" s="376"/>
    </row>
    <row r="966" spans="1:11" ht="23.4" x14ac:dyDescent="0.3">
      <c r="A966" s="1068"/>
      <c r="B966" s="836"/>
      <c r="C966" s="282" t="s">
        <v>464</v>
      </c>
      <c r="D966" s="437" t="s">
        <v>286</v>
      </c>
      <c r="E966" s="283"/>
      <c r="F966" s="438">
        <f t="shared" si="217"/>
        <v>50</v>
      </c>
      <c r="G966" s="587">
        <v>31.73</v>
      </c>
      <c r="H966" s="603">
        <f t="shared" si="218"/>
        <v>0</v>
      </c>
      <c r="I966" s="606">
        <f>+G966*F966</f>
        <v>1586.5</v>
      </c>
      <c r="J966" s="376"/>
    </row>
    <row r="967" spans="1:11" ht="23.4" x14ac:dyDescent="0.3">
      <c r="A967" s="1068"/>
      <c r="B967" s="836"/>
      <c r="C967" s="282" t="s">
        <v>473</v>
      </c>
      <c r="D967" s="437" t="s">
        <v>474</v>
      </c>
      <c r="E967" s="283"/>
      <c r="F967" s="438">
        <f t="shared" si="217"/>
        <v>2500</v>
      </c>
      <c r="G967" s="587">
        <v>10.58</v>
      </c>
      <c r="H967" s="603">
        <f t="shared" si="218"/>
        <v>0</v>
      </c>
      <c r="I967" s="606">
        <f>+G967*F967</f>
        <v>26450</v>
      </c>
      <c r="J967" s="376"/>
    </row>
    <row r="968" spans="1:11" ht="23.4" x14ac:dyDescent="0.3">
      <c r="A968" s="1068"/>
      <c r="B968" s="836"/>
      <c r="C968" s="282" t="s">
        <v>300</v>
      </c>
      <c r="D968" s="437" t="s">
        <v>301</v>
      </c>
      <c r="E968" s="283"/>
      <c r="F968" s="438">
        <f t="shared" si="217"/>
        <v>1</v>
      </c>
      <c r="G968" s="587">
        <v>2500</v>
      </c>
      <c r="H968" s="603">
        <f t="shared" si="218"/>
        <v>0</v>
      </c>
      <c r="I968" s="606">
        <f>+G968*F968</f>
        <v>2500</v>
      </c>
      <c r="J968" s="376"/>
    </row>
    <row r="969" spans="1:11" ht="24" thickBot="1" x14ac:dyDescent="0.35">
      <c r="A969" s="1068"/>
      <c r="B969" s="836"/>
      <c r="C969" s="282" t="s">
        <v>519</v>
      </c>
      <c r="D969" s="437" t="s">
        <v>333</v>
      </c>
      <c r="E969" s="283">
        <v>37000</v>
      </c>
      <c r="F969" s="438">
        <f t="shared" si="217"/>
        <v>107780</v>
      </c>
      <c r="G969" s="588">
        <v>10</v>
      </c>
      <c r="H969" s="603">
        <f t="shared" si="218"/>
        <v>370000</v>
      </c>
      <c r="I969" s="606">
        <f t="shared" ref="I969" si="220">+G969*F969</f>
        <v>1077800</v>
      </c>
      <c r="J969" s="376"/>
    </row>
    <row r="970" spans="1:11" ht="24" thickBot="1" x14ac:dyDescent="0.35">
      <c r="A970" s="1068"/>
      <c r="B970" s="1063" t="s">
        <v>294</v>
      </c>
      <c r="C970" s="1064"/>
      <c r="D970" s="838"/>
      <c r="E970" s="329">
        <f>SUM(E965:E969)</f>
        <v>37000</v>
      </c>
      <c r="F970" s="329">
        <f>SUM(F965:F969)</f>
        <v>110581</v>
      </c>
      <c r="G970" s="329"/>
      <c r="H970" s="597">
        <f>SUM(H965:H969)</f>
        <v>370000</v>
      </c>
      <c r="I970" s="589">
        <f>SUM(I965:I969)</f>
        <v>1109671.5</v>
      </c>
      <c r="J970" s="376"/>
    </row>
    <row r="971" spans="1:11" ht="24" thickBot="1" x14ac:dyDescent="0.35">
      <c r="A971" s="1068"/>
      <c r="B971" s="836"/>
      <c r="C971" s="282"/>
      <c r="D971" s="437"/>
      <c r="E971" s="283"/>
      <c r="F971" s="320"/>
      <c r="G971" s="588"/>
      <c r="H971" s="598"/>
      <c r="I971" s="285">
        <f t="shared" ref="I971" si="221">+G971*F971</f>
        <v>0</v>
      </c>
      <c r="J971" s="376"/>
    </row>
    <row r="972" spans="1:11" ht="24" thickBot="1" x14ac:dyDescent="0.35">
      <c r="A972" s="1069"/>
      <c r="B972" s="1063" t="s">
        <v>290</v>
      </c>
      <c r="C972" s="1064"/>
      <c r="D972" s="834"/>
      <c r="E972" s="329">
        <f>+E970+E964+E952</f>
        <v>37000</v>
      </c>
      <c r="F972" s="329">
        <f>+F970+F964+F952</f>
        <v>2133346</v>
      </c>
      <c r="G972" s="329"/>
      <c r="H972" s="589">
        <f>+H964+H952+H970</f>
        <v>370000</v>
      </c>
      <c r="I972" s="589">
        <f>+I964+I952+I970</f>
        <v>63985781.200000003</v>
      </c>
      <c r="J972" s="376"/>
      <c r="K972" s="757"/>
    </row>
    <row r="973" spans="1:11" ht="23.4" x14ac:dyDescent="0.3">
      <c r="A973" s="1067" t="s">
        <v>108</v>
      </c>
      <c r="B973" s="836"/>
      <c r="C973" s="282" t="s">
        <v>304</v>
      </c>
      <c r="D973" s="437" t="s">
        <v>191</v>
      </c>
      <c r="E973" s="283">
        <v>35802</v>
      </c>
      <c r="F973" s="438">
        <f t="shared" ref="F973:F993" si="222">+F885+E973</f>
        <v>35802</v>
      </c>
      <c r="G973" s="612">
        <v>13.25</v>
      </c>
      <c r="H973" s="607">
        <f t="shared" ref="H973:H993" si="223">E973*G973</f>
        <v>474376.5</v>
      </c>
      <c r="I973" s="606">
        <f t="shared" ref="I973:I993" si="224">+G973*F973</f>
        <v>474376.5</v>
      </c>
      <c r="J973" s="376"/>
    </row>
    <row r="974" spans="1:11" ht="23.4" x14ac:dyDescent="0.3">
      <c r="A974" s="1068"/>
      <c r="B974" s="836"/>
      <c r="C974" s="282" t="s">
        <v>305</v>
      </c>
      <c r="D974" s="437"/>
      <c r="E974" s="283"/>
      <c r="F974" s="438">
        <f t="shared" si="222"/>
        <v>1</v>
      </c>
      <c r="G974" s="613">
        <v>5000</v>
      </c>
      <c r="H974" s="607">
        <f t="shared" si="223"/>
        <v>0</v>
      </c>
      <c r="I974" s="606">
        <f t="shared" si="224"/>
        <v>5000</v>
      </c>
      <c r="J974" s="376"/>
    </row>
    <row r="975" spans="1:11" ht="23.4" x14ac:dyDescent="0.3">
      <c r="A975" s="1068"/>
      <c r="B975" s="836"/>
      <c r="C975" s="282" t="s">
        <v>305</v>
      </c>
      <c r="D975" s="437"/>
      <c r="E975" s="283"/>
      <c r="F975" s="438">
        <f t="shared" si="222"/>
        <v>0</v>
      </c>
      <c r="G975" s="613">
        <v>18000</v>
      </c>
      <c r="H975" s="607">
        <f t="shared" si="223"/>
        <v>0</v>
      </c>
      <c r="I975" s="606">
        <f t="shared" si="224"/>
        <v>0</v>
      </c>
      <c r="J975" s="376"/>
    </row>
    <row r="976" spans="1:11" ht="23.4" x14ac:dyDescent="0.3">
      <c r="A976" s="1068"/>
      <c r="B976" s="836"/>
      <c r="C976" s="282" t="s">
        <v>317</v>
      </c>
      <c r="D976" s="437" t="s">
        <v>191</v>
      </c>
      <c r="E976" s="283"/>
      <c r="F976" s="438">
        <f t="shared" si="222"/>
        <v>0</v>
      </c>
      <c r="G976" s="612">
        <v>24.93</v>
      </c>
      <c r="H976" s="607">
        <f t="shared" si="223"/>
        <v>0</v>
      </c>
      <c r="I976" s="606">
        <f t="shared" si="224"/>
        <v>0</v>
      </c>
      <c r="J976" s="376"/>
    </row>
    <row r="977" spans="1:10" ht="23.4" x14ac:dyDescent="0.3">
      <c r="A977" s="1068"/>
      <c r="B977" s="836"/>
      <c r="C977" s="282" t="s">
        <v>324</v>
      </c>
      <c r="D977" s="437" t="s">
        <v>99</v>
      </c>
      <c r="E977" s="283"/>
      <c r="F977" s="438">
        <f t="shared" si="222"/>
        <v>0</v>
      </c>
      <c r="G977" s="612">
        <v>26</v>
      </c>
      <c r="H977" s="607">
        <f t="shared" si="223"/>
        <v>0</v>
      </c>
      <c r="I977" s="606">
        <f t="shared" si="224"/>
        <v>0</v>
      </c>
      <c r="J977" s="376"/>
    </row>
    <row r="978" spans="1:10" ht="23.4" x14ac:dyDescent="0.3">
      <c r="A978" s="1068"/>
      <c r="B978" s="836"/>
      <c r="C978" s="282" t="s">
        <v>325</v>
      </c>
      <c r="D978" s="437" t="s">
        <v>191</v>
      </c>
      <c r="E978" s="283"/>
      <c r="F978" s="438">
        <f t="shared" si="222"/>
        <v>0</v>
      </c>
      <c r="G978" s="612">
        <v>25.49</v>
      </c>
      <c r="H978" s="607">
        <f t="shared" si="223"/>
        <v>0</v>
      </c>
      <c r="I978" s="606">
        <f t="shared" si="224"/>
        <v>0</v>
      </c>
      <c r="J978" s="376"/>
    </row>
    <row r="979" spans="1:10" ht="23.4" x14ac:dyDescent="0.3">
      <c r="A979" s="1068"/>
      <c r="B979" s="836"/>
      <c r="C979" s="282" t="s">
        <v>326</v>
      </c>
      <c r="D979" s="437" t="s">
        <v>114</v>
      </c>
      <c r="E979" s="283"/>
      <c r="F979" s="438">
        <f t="shared" si="222"/>
        <v>0</v>
      </c>
      <c r="G979" s="612">
        <v>24.93</v>
      </c>
      <c r="H979" s="607">
        <f t="shared" si="223"/>
        <v>0</v>
      </c>
      <c r="I979" s="606">
        <f t="shared" si="224"/>
        <v>0</v>
      </c>
      <c r="J979" s="376"/>
    </row>
    <row r="980" spans="1:10" ht="23.4" x14ac:dyDescent="0.3">
      <c r="A980" s="1068"/>
      <c r="B980" s="836"/>
      <c r="C980" s="282" t="s">
        <v>327</v>
      </c>
      <c r="D980" s="437" t="s">
        <v>303</v>
      </c>
      <c r="E980" s="283"/>
      <c r="F980" s="438">
        <f t="shared" si="222"/>
        <v>0</v>
      </c>
      <c r="G980" s="612">
        <v>24.93</v>
      </c>
      <c r="H980" s="607">
        <f t="shared" si="223"/>
        <v>0</v>
      </c>
      <c r="I980" s="606">
        <f t="shared" si="224"/>
        <v>0</v>
      </c>
      <c r="J980" s="376"/>
    </row>
    <row r="981" spans="1:10" ht="23.4" x14ac:dyDescent="0.3">
      <c r="A981" s="1068"/>
      <c r="B981" s="836"/>
      <c r="C981" s="282" t="s">
        <v>512</v>
      </c>
      <c r="D981" s="437" t="s">
        <v>401</v>
      </c>
      <c r="E981" s="283"/>
      <c r="F981" s="438">
        <f t="shared" si="222"/>
        <v>31824</v>
      </c>
      <c r="G981" s="612">
        <v>23.78</v>
      </c>
      <c r="H981" s="607">
        <f t="shared" si="223"/>
        <v>0</v>
      </c>
      <c r="I981" s="606">
        <f t="shared" si="224"/>
        <v>756774.72000000009</v>
      </c>
      <c r="J981" s="376"/>
    </row>
    <row r="982" spans="1:10" ht="23.4" x14ac:dyDescent="0.3">
      <c r="A982" s="1068"/>
      <c r="B982" s="836"/>
      <c r="C982" s="282" t="s">
        <v>512</v>
      </c>
      <c r="D982" s="437" t="s">
        <v>513</v>
      </c>
      <c r="E982" s="283"/>
      <c r="F982" s="438">
        <f t="shared" si="222"/>
        <v>115362</v>
      </c>
      <c r="G982" s="612">
        <v>23.78</v>
      </c>
      <c r="H982" s="607">
        <f t="shared" si="223"/>
        <v>0</v>
      </c>
      <c r="I982" s="606">
        <f t="shared" si="224"/>
        <v>2743308.3600000003</v>
      </c>
      <c r="J982" s="376"/>
    </row>
    <row r="983" spans="1:10" ht="23.4" x14ac:dyDescent="0.3">
      <c r="A983" s="1068"/>
      <c r="B983" s="836"/>
      <c r="C983" s="282" t="s">
        <v>394</v>
      </c>
      <c r="D983" s="437" t="s">
        <v>338</v>
      </c>
      <c r="E983" s="283"/>
      <c r="F983" s="438">
        <f t="shared" si="222"/>
        <v>0</v>
      </c>
      <c r="G983" s="612">
        <v>37.4566666666</v>
      </c>
      <c r="H983" s="607">
        <f t="shared" si="223"/>
        <v>0</v>
      </c>
      <c r="I983" s="606">
        <f t="shared" si="224"/>
        <v>0</v>
      </c>
      <c r="J983" s="376"/>
    </row>
    <row r="984" spans="1:10" ht="23.4" x14ac:dyDescent="0.3">
      <c r="A984" s="1068"/>
      <c r="B984" s="836"/>
      <c r="C984" s="282" t="s">
        <v>395</v>
      </c>
      <c r="D984" s="437" t="s">
        <v>338</v>
      </c>
      <c r="E984" s="283"/>
      <c r="F984" s="438">
        <f t="shared" si="222"/>
        <v>0</v>
      </c>
      <c r="G984" s="612">
        <v>37.89</v>
      </c>
      <c r="H984" s="607">
        <f t="shared" si="223"/>
        <v>0</v>
      </c>
      <c r="I984" s="606">
        <f t="shared" si="224"/>
        <v>0</v>
      </c>
      <c r="J984" s="376"/>
    </row>
    <row r="985" spans="1:10" ht="23.4" x14ac:dyDescent="0.3">
      <c r="A985" s="1068"/>
      <c r="B985" s="836"/>
      <c r="C985" s="282" t="s">
        <v>326</v>
      </c>
      <c r="D985" s="437" t="s">
        <v>302</v>
      </c>
      <c r="E985" s="283"/>
      <c r="F985" s="438">
        <f t="shared" si="222"/>
        <v>0</v>
      </c>
      <c r="G985" s="612">
        <v>24.93</v>
      </c>
      <c r="H985" s="607">
        <f t="shared" si="223"/>
        <v>0</v>
      </c>
      <c r="I985" s="606">
        <f t="shared" si="224"/>
        <v>0</v>
      </c>
      <c r="J985" s="376"/>
    </row>
    <row r="986" spans="1:10" ht="23.4" x14ac:dyDescent="0.3">
      <c r="A986" s="1068"/>
      <c r="B986" s="836"/>
      <c r="C986" s="282" t="s">
        <v>402</v>
      </c>
      <c r="D986" s="437" t="s">
        <v>376</v>
      </c>
      <c r="E986" s="283"/>
      <c r="F986" s="438">
        <f t="shared" si="222"/>
        <v>0</v>
      </c>
      <c r="G986" s="612">
        <v>24.93</v>
      </c>
      <c r="H986" s="607">
        <f t="shared" si="223"/>
        <v>0</v>
      </c>
      <c r="I986" s="606">
        <f t="shared" si="224"/>
        <v>0</v>
      </c>
      <c r="J986" s="376"/>
    </row>
    <row r="987" spans="1:10" ht="23.4" x14ac:dyDescent="0.3">
      <c r="A987" s="1068"/>
      <c r="B987" s="836"/>
      <c r="C987" s="282" t="s">
        <v>350</v>
      </c>
      <c r="D987" s="437" t="s">
        <v>313</v>
      </c>
      <c r="E987" s="283"/>
      <c r="F987" s="438">
        <f t="shared" si="222"/>
        <v>0</v>
      </c>
      <c r="G987" s="612">
        <v>34.26</v>
      </c>
      <c r="H987" s="607">
        <f t="shared" si="223"/>
        <v>0</v>
      </c>
      <c r="I987" s="606">
        <f t="shared" si="224"/>
        <v>0</v>
      </c>
      <c r="J987" s="376"/>
    </row>
    <row r="988" spans="1:10" ht="23.4" x14ac:dyDescent="0.3">
      <c r="A988" s="1068"/>
      <c r="B988" s="836"/>
      <c r="C988" s="282" t="s">
        <v>363</v>
      </c>
      <c r="D988" s="437" t="s">
        <v>401</v>
      </c>
      <c r="E988" s="283"/>
      <c r="F988" s="438">
        <f t="shared" si="222"/>
        <v>0</v>
      </c>
      <c r="G988" s="612">
        <v>37.89</v>
      </c>
      <c r="H988" s="607">
        <f t="shared" si="223"/>
        <v>0</v>
      </c>
      <c r="I988" s="606">
        <f t="shared" si="224"/>
        <v>0</v>
      </c>
      <c r="J988" s="376"/>
    </row>
    <row r="989" spans="1:10" ht="23.4" x14ac:dyDescent="0.3">
      <c r="A989" s="1068"/>
      <c r="B989" s="836"/>
      <c r="C989" s="282" t="s">
        <v>406</v>
      </c>
      <c r="D989" s="437" t="s">
        <v>376</v>
      </c>
      <c r="E989" s="283"/>
      <c r="F989" s="438">
        <f t="shared" si="222"/>
        <v>0</v>
      </c>
      <c r="G989" s="612">
        <v>39</v>
      </c>
      <c r="H989" s="607">
        <f t="shared" si="223"/>
        <v>0</v>
      </c>
      <c r="I989" s="606">
        <f t="shared" si="224"/>
        <v>0</v>
      </c>
      <c r="J989" s="376"/>
    </row>
    <row r="990" spans="1:10" ht="23.4" x14ac:dyDescent="0.3">
      <c r="A990" s="1068"/>
      <c r="B990" s="836"/>
      <c r="C990" s="282" t="s">
        <v>327</v>
      </c>
      <c r="D990" s="437" t="s">
        <v>190</v>
      </c>
      <c r="E990" s="283"/>
      <c r="F990" s="438">
        <f t="shared" si="222"/>
        <v>67626</v>
      </c>
      <c r="G990" s="612">
        <v>21.22</v>
      </c>
      <c r="H990" s="607">
        <f t="shared" si="223"/>
        <v>0</v>
      </c>
      <c r="I990" s="606">
        <f t="shared" si="224"/>
        <v>1435023.72</v>
      </c>
      <c r="J990" s="376"/>
    </row>
    <row r="991" spans="1:10" ht="23.4" x14ac:dyDescent="0.3">
      <c r="A991" s="1068"/>
      <c r="B991" s="836"/>
      <c r="C991" s="282" t="s">
        <v>326</v>
      </c>
      <c r="D991" s="437" t="s">
        <v>190</v>
      </c>
      <c r="E991" s="283"/>
      <c r="F991" s="438">
        <f t="shared" si="222"/>
        <v>0</v>
      </c>
      <c r="G991" s="612">
        <v>21.22</v>
      </c>
      <c r="H991" s="607">
        <f t="shared" si="223"/>
        <v>0</v>
      </c>
      <c r="I991" s="606">
        <f t="shared" si="224"/>
        <v>0</v>
      </c>
      <c r="J991" s="376"/>
    </row>
    <row r="992" spans="1:10" ht="23.4" x14ac:dyDescent="0.3">
      <c r="A992" s="1068"/>
      <c r="B992" s="836"/>
      <c r="C992" s="282" t="s">
        <v>377</v>
      </c>
      <c r="D992" s="437" t="s">
        <v>333</v>
      </c>
      <c r="E992" s="283"/>
      <c r="F992" s="438">
        <f t="shared" si="222"/>
        <v>0</v>
      </c>
      <c r="G992" s="612">
        <v>10000</v>
      </c>
      <c r="H992" s="607">
        <f t="shared" si="223"/>
        <v>0</v>
      </c>
      <c r="I992" s="606">
        <f t="shared" si="224"/>
        <v>0</v>
      </c>
      <c r="J992" s="376"/>
    </row>
    <row r="993" spans="1:10" ht="24" thickBot="1" x14ac:dyDescent="0.35">
      <c r="A993" s="1068"/>
      <c r="B993" s="836"/>
      <c r="C993" s="282" t="s">
        <v>332</v>
      </c>
      <c r="D993" s="437" t="s">
        <v>333</v>
      </c>
      <c r="E993" s="283"/>
      <c r="F993" s="438">
        <f t="shared" si="222"/>
        <v>0</v>
      </c>
      <c r="G993" s="612">
        <v>360</v>
      </c>
      <c r="H993" s="607">
        <f t="shared" si="223"/>
        <v>0</v>
      </c>
      <c r="I993" s="606">
        <f t="shared" si="224"/>
        <v>0</v>
      </c>
      <c r="J993" s="376"/>
    </row>
    <row r="994" spans="1:10" ht="24" thickBot="1" x14ac:dyDescent="0.35">
      <c r="A994" s="1069"/>
      <c r="B994" s="1063" t="s">
        <v>289</v>
      </c>
      <c r="C994" s="1064"/>
      <c r="D994" s="838"/>
      <c r="E994" s="329">
        <f>SUM(E973:E993)</f>
        <v>35802</v>
      </c>
      <c r="F994" s="329">
        <f>SUM(F973:F993)</f>
        <v>250615</v>
      </c>
      <c r="G994" s="329"/>
      <c r="H994" s="597">
        <f>SUM(H973:H993)</f>
        <v>474376.5</v>
      </c>
      <c r="I994" s="589">
        <f>SUM(I973:I993)</f>
        <v>5414483.3000000007</v>
      </c>
      <c r="J994" s="376"/>
    </row>
    <row r="995" spans="1:10" ht="23.4" x14ac:dyDescent="0.3">
      <c r="A995" s="1067" t="s">
        <v>109</v>
      </c>
      <c r="B995" s="836"/>
      <c r="C995" s="282" t="s">
        <v>296</v>
      </c>
      <c r="D995" s="437" t="s">
        <v>258</v>
      </c>
      <c r="E995" s="283"/>
      <c r="F995" s="438">
        <f t="shared" ref="F995:F1017" si="225">+F907+E995</f>
        <v>10410</v>
      </c>
      <c r="G995" s="612">
        <v>430.02</v>
      </c>
      <c r="H995" s="603">
        <f>E995*G995</f>
        <v>0</v>
      </c>
      <c r="I995" s="606">
        <f t="shared" ref="I995:I1017" si="226">+G995*F995</f>
        <v>4476508.2</v>
      </c>
      <c r="J995" s="376"/>
    </row>
    <row r="996" spans="1:10" ht="23.4" x14ac:dyDescent="0.3">
      <c r="A996" s="1068"/>
      <c r="B996" s="836"/>
      <c r="C996" s="282" t="s">
        <v>297</v>
      </c>
      <c r="D996" s="437" t="s">
        <v>258</v>
      </c>
      <c r="E996" s="283"/>
      <c r="F996" s="438">
        <f t="shared" si="225"/>
        <v>4753</v>
      </c>
      <c r="G996" s="612">
        <v>445.38</v>
      </c>
      <c r="H996" s="603">
        <f t="shared" ref="H996:H1017" si="227">E996*G996</f>
        <v>0</v>
      </c>
      <c r="I996" s="606">
        <f t="shared" si="226"/>
        <v>2116891.14</v>
      </c>
      <c r="J996" s="376"/>
    </row>
    <row r="997" spans="1:10" ht="27" customHeight="1" x14ac:dyDescent="0.3">
      <c r="A997" s="1068"/>
      <c r="B997" s="836"/>
      <c r="C997" s="282" t="s">
        <v>467</v>
      </c>
      <c r="D997" s="437" t="s">
        <v>258</v>
      </c>
      <c r="E997" s="283"/>
      <c r="F997" s="438">
        <f t="shared" si="225"/>
        <v>8000</v>
      </c>
      <c r="G997" s="612">
        <v>445.38</v>
      </c>
      <c r="H997" s="603">
        <f t="shared" si="227"/>
        <v>0</v>
      </c>
      <c r="I997" s="606">
        <f t="shared" si="226"/>
        <v>3563040</v>
      </c>
      <c r="J997" s="376"/>
    </row>
    <row r="998" spans="1:10" ht="23.4" x14ac:dyDescent="0.3">
      <c r="A998" s="1068"/>
      <c r="B998" s="836"/>
      <c r="C998" s="282" t="s">
        <v>330</v>
      </c>
      <c r="D998" s="437" t="s">
        <v>258</v>
      </c>
      <c r="E998" s="283"/>
      <c r="F998" s="438">
        <f t="shared" si="225"/>
        <v>0</v>
      </c>
      <c r="G998" s="612">
        <v>63.55</v>
      </c>
      <c r="H998" s="603">
        <f t="shared" si="227"/>
        <v>0</v>
      </c>
      <c r="I998" s="606">
        <f t="shared" si="226"/>
        <v>0</v>
      </c>
      <c r="J998" s="376"/>
    </row>
    <row r="999" spans="1:10" ht="23.4" x14ac:dyDescent="0.3">
      <c r="A999" s="1068"/>
      <c r="B999" s="836"/>
      <c r="C999" s="282" t="s">
        <v>298</v>
      </c>
      <c r="D999" s="437" t="s">
        <v>258</v>
      </c>
      <c r="E999" s="283"/>
      <c r="F999" s="438">
        <f t="shared" si="225"/>
        <v>148536</v>
      </c>
      <c r="G999" s="612">
        <v>71.44</v>
      </c>
      <c r="H999" s="603">
        <f t="shared" si="227"/>
        <v>0</v>
      </c>
      <c r="I999" s="606">
        <f t="shared" si="226"/>
        <v>10611411.84</v>
      </c>
      <c r="J999" s="376"/>
    </row>
    <row r="1000" spans="1:10" ht="23.4" x14ac:dyDescent="0.3">
      <c r="A1000" s="1068"/>
      <c r="B1000" s="836"/>
      <c r="C1000" s="282" t="s">
        <v>299</v>
      </c>
      <c r="D1000" s="437" t="s">
        <v>258</v>
      </c>
      <c r="E1000" s="283"/>
      <c r="F1000" s="438">
        <f t="shared" si="225"/>
        <v>300</v>
      </c>
      <c r="G1000" s="612">
        <v>36.5</v>
      </c>
      <c r="H1000" s="603">
        <f t="shared" si="227"/>
        <v>0</v>
      </c>
      <c r="I1000" s="606">
        <f t="shared" si="226"/>
        <v>10950</v>
      </c>
      <c r="J1000" s="376"/>
    </row>
    <row r="1001" spans="1:10" ht="23.4" x14ac:dyDescent="0.3">
      <c r="A1001" s="1068"/>
      <c r="B1001" s="836"/>
      <c r="C1001" s="282" t="s">
        <v>514</v>
      </c>
      <c r="D1001" s="437" t="s">
        <v>258</v>
      </c>
      <c r="E1001" s="283"/>
      <c r="F1001" s="438">
        <f t="shared" si="225"/>
        <v>1114</v>
      </c>
      <c r="G1001" s="612">
        <v>320.35000000000002</v>
      </c>
      <c r="H1001" s="603">
        <f t="shared" si="227"/>
        <v>0</v>
      </c>
      <c r="I1001" s="606">
        <f t="shared" si="226"/>
        <v>356869.9</v>
      </c>
      <c r="J1001" s="376"/>
    </row>
    <row r="1002" spans="1:10" ht="23.4" x14ac:dyDescent="0.3">
      <c r="A1002" s="1068"/>
      <c r="B1002" s="836"/>
      <c r="C1002" s="282" t="s">
        <v>308</v>
      </c>
      <c r="D1002" s="437" t="s">
        <v>258</v>
      </c>
      <c r="E1002" s="283"/>
      <c r="F1002" s="438">
        <f t="shared" si="225"/>
        <v>8200</v>
      </c>
      <c r="G1002" s="612">
        <v>320.35000000000002</v>
      </c>
      <c r="H1002" s="603">
        <f t="shared" si="227"/>
        <v>0</v>
      </c>
      <c r="I1002" s="606">
        <f t="shared" si="226"/>
        <v>2626870</v>
      </c>
      <c r="J1002" s="376"/>
    </row>
    <row r="1003" spans="1:10" ht="23.4" x14ac:dyDescent="0.3">
      <c r="A1003" s="1068"/>
      <c r="B1003" s="836"/>
      <c r="C1003" s="282" t="s">
        <v>322</v>
      </c>
      <c r="D1003" s="437" t="s">
        <v>258</v>
      </c>
      <c r="E1003" s="283"/>
      <c r="F1003" s="438">
        <f t="shared" si="225"/>
        <v>0</v>
      </c>
      <c r="G1003" s="612">
        <v>434.41</v>
      </c>
      <c r="H1003" s="603">
        <f t="shared" si="227"/>
        <v>0</v>
      </c>
      <c r="I1003" s="606">
        <f t="shared" si="226"/>
        <v>0</v>
      </c>
      <c r="J1003" s="376"/>
    </row>
    <row r="1004" spans="1:10" ht="23.4" x14ac:dyDescent="0.3">
      <c r="A1004" s="1068"/>
      <c r="B1004" s="836"/>
      <c r="C1004" s="282" t="s">
        <v>305</v>
      </c>
      <c r="D1004" s="437" t="s">
        <v>258</v>
      </c>
      <c r="E1004" s="283"/>
      <c r="F1004" s="438">
        <f t="shared" si="225"/>
        <v>1</v>
      </c>
      <c r="G1004" s="612">
        <v>29690</v>
      </c>
      <c r="H1004" s="603">
        <f t="shared" si="227"/>
        <v>0</v>
      </c>
      <c r="I1004" s="606">
        <f t="shared" si="226"/>
        <v>29690</v>
      </c>
      <c r="J1004" s="376"/>
    </row>
    <row r="1005" spans="1:10" ht="23.4" x14ac:dyDescent="0.3">
      <c r="A1005" s="1068"/>
      <c r="B1005" s="836"/>
      <c r="C1005" s="282" t="s">
        <v>305</v>
      </c>
      <c r="D1005" s="437" t="s">
        <v>258</v>
      </c>
      <c r="E1005" s="283"/>
      <c r="F1005" s="438">
        <f t="shared" si="225"/>
        <v>2</v>
      </c>
      <c r="G1005" s="612">
        <v>26445</v>
      </c>
      <c r="H1005" s="603">
        <f t="shared" si="227"/>
        <v>0</v>
      </c>
      <c r="I1005" s="606">
        <f t="shared" si="226"/>
        <v>52890</v>
      </c>
      <c r="J1005" s="376"/>
    </row>
    <row r="1006" spans="1:10" ht="23.4" x14ac:dyDescent="0.3">
      <c r="A1006" s="1068"/>
      <c r="B1006" s="836"/>
      <c r="C1006" s="282" t="s">
        <v>341</v>
      </c>
      <c r="D1006" s="437" t="s">
        <v>375</v>
      </c>
      <c r="E1006" s="283"/>
      <c r="F1006" s="438">
        <f t="shared" si="225"/>
        <v>2835</v>
      </c>
      <c r="G1006" s="612">
        <v>50</v>
      </c>
      <c r="H1006" s="603">
        <f t="shared" si="227"/>
        <v>0</v>
      </c>
      <c r="I1006" s="606">
        <f t="shared" si="226"/>
        <v>141750</v>
      </c>
      <c r="J1006" s="376"/>
    </row>
    <row r="1007" spans="1:10" ht="23.4" x14ac:dyDescent="0.3">
      <c r="A1007" s="1068"/>
      <c r="B1007" s="836"/>
      <c r="C1007" s="282" t="s">
        <v>341</v>
      </c>
      <c r="D1007" s="437" t="s">
        <v>375</v>
      </c>
      <c r="E1007" s="283"/>
      <c r="F1007" s="438">
        <f t="shared" si="225"/>
        <v>0</v>
      </c>
      <c r="G1007" s="612">
        <v>45</v>
      </c>
      <c r="H1007" s="603">
        <f t="shared" si="227"/>
        <v>0</v>
      </c>
      <c r="I1007" s="606">
        <f t="shared" si="226"/>
        <v>0</v>
      </c>
      <c r="J1007" s="376"/>
    </row>
    <row r="1008" spans="1:10" ht="23.4" x14ac:dyDescent="0.3">
      <c r="A1008" s="1068"/>
      <c r="B1008" s="836"/>
      <c r="C1008" s="282" t="s">
        <v>364</v>
      </c>
      <c r="D1008" s="437" t="s">
        <v>428</v>
      </c>
      <c r="E1008" s="283"/>
      <c r="F1008" s="438">
        <f t="shared" si="225"/>
        <v>700</v>
      </c>
      <c r="G1008" s="612">
        <v>57.64</v>
      </c>
      <c r="H1008" s="603">
        <f t="shared" si="227"/>
        <v>0</v>
      </c>
      <c r="I1008" s="606">
        <f t="shared" si="226"/>
        <v>40348</v>
      </c>
      <c r="J1008" s="376"/>
    </row>
    <row r="1009" spans="1:10" ht="23.4" x14ac:dyDescent="0.3">
      <c r="A1009" s="1068"/>
      <c r="B1009" s="836"/>
      <c r="C1009" s="282" t="s">
        <v>364</v>
      </c>
      <c r="D1009" s="437" t="s">
        <v>407</v>
      </c>
      <c r="E1009" s="283"/>
      <c r="F1009" s="438">
        <f t="shared" si="225"/>
        <v>0</v>
      </c>
      <c r="G1009" s="612">
        <v>57.64</v>
      </c>
      <c r="H1009" s="603">
        <f t="shared" si="227"/>
        <v>0</v>
      </c>
      <c r="I1009" s="606">
        <f t="shared" si="226"/>
        <v>0</v>
      </c>
      <c r="J1009" s="376"/>
    </row>
    <row r="1010" spans="1:10" ht="23.4" x14ac:dyDescent="0.3">
      <c r="A1010" s="1068"/>
      <c r="B1010" s="836"/>
      <c r="C1010" s="282" t="s">
        <v>365</v>
      </c>
      <c r="D1010" s="437" t="s">
        <v>366</v>
      </c>
      <c r="E1010" s="283"/>
      <c r="F1010" s="438">
        <f t="shared" si="225"/>
        <v>2240</v>
      </c>
      <c r="G1010" s="612">
        <v>434.41</v>
      </c>
      <c r="H1010" s="603">
        <f t="shared" si="227"/>
        <v>0</v>
      </c>
      <c r="I1010" s="606">
        <f t="shared" si="226"/>
        <v>973078.4</v>
      </c>
      <c r="J1010" s="376"/>
    </row>
    <row r="1011" spans="1:10" ht="23.4" x14ac:dyDescent="0.3">
      <c r="A1011" s="1068"/>
      <c r="B1011" s="836"/>
      <c r="C1011" s="282" t="s">
        <v>381</v>
      </c>
      <c r="D1011" s="437" t="s">
        <v>258</v>
      </c>
      <c r="E1011" s="283"/>
      <c r="F1011" s="438">
        <f t="shared" si="225"/>
        <v>0</v>
      </c>
      <c r="G1011" s="612">
        <v>624.26</v>
      </c>
      <c r="H1011" s="603">
        <f t="shared" si="227"/>
        <v>0</v>
      </c>
      <c r="I1011" s="606">
        <f t="shared" si="226"/>
        <v>0</v>
      </c>
      <c r="J1011" s="376"/>
    </row>
    <row r="1012" spans="1:10" ht="23.4" x14ac:dyDescent="0.3">
      <c r="A1012" s="1068"/>
      <c r="B1012" s="836"/>
      <c r="C1012" s="282" t="s">
        <v>367</v>
      </c>
      <c r="D1012" s="437" t="s">
        <v>366</v>
      </c>
      <c r="E1012" s="283"/>
      <c r="F1012" s="438">
        <f t="shared" si="225"/>
        <v>5760</v>
      </c>
      <c r="G1012" s="612">
        <v>63.55</v>
      </c>
      <c r="H1012" s="603">
        <f t="shared" si="227"/>
        <v>0</v>
      </c>
      <c r="I1012" s="606">
        <f t="shared" si="226"/>
        <v>366048</v>
      </c>
      <c r="J1012" s="376"/>
    </row>
    <row r="1013" spans="1:10" ht="23.4" x14ac:dyDescent="0.3">
      <c r="A1013" s="1068"/>
      <c r="B1013" s="836"/>
      <c r="C1013" s="282" t="s">
        <v>429</v>
      </c>
      <c r="D1013" s="437" t="s">
        <v>258</v>
      </c>
      <c r="E1013" s="283"/>
      <c r="F1013" s="438">
        <f t="shared" si="225"/>
        <v>98664</v>
      </c>
      <c r="G1013" s="612">
        <v>59.96</v>
      </c>
      <c r="H1013" s="603">
        <f t="shared" si="227"/>
        <v>0</v>
      </c>
      <c r="I1013" s="606">
        <f t="shared" si="226"/>
        <v>5915893.4400000004</v>
      </c>
      <c r="J1013" s="376"/>
    </row>
    <row r="1014" spans="1:10" ht="23.4" x14ac:dyDescent="0.3">
      <c r="A1014" s="1068"/>
      <c r="B1014" s="836"/>
      <c r="C1014" s="282" t="s">
        <v>501</v>
      </c>
      <c r="D1014" s="437" t="s">
        <v>366</v>
      </c>
      <c r="E1014" s="283"/>
      <c r="F1014" s="438">
        <f t="shared" si="225"/>
        <v>8640</v>
      </c>
      <c r="G1014" s="612">
        <v>53.86</v>
      </c>
      <c r="H1014" s="603">
        <f t="shared" si="227"/>
        <v>0</v>
      </c>
      <c r="I1014" s="606">
        <f t="shared" si="226"/>
        <v>465350.40000000002</v>
      </c>
      <c r="J1014" s="376"/>
    </row>
    <row r="1015" spans="1:10" ht="23.4" x14ac:dyDescent="0.3">
      <c r="A1015" s="1068"/>
      <c r="B1015" s="836"/>
      <c r="C1015" s="282" t="s">
        <v>446</v>
      </c>
      <c r="D1015" s="437"/>
      <c r="E1015" s="283"/>
      <c r="F1015" s="438">
        <f t="shared" si="225"/>
        <v>8318</v>
      </c>
      <c r="G1015" s="612">
        <v>360</v>
      </c>
      <c r="H1015" s="603">
        <f t="shared" si="227"/>
        <v>0</v>
      </c>
      <c r="I1015" s="606">
        <f t="shared" si="226"/>
        <v>2994480</v>
      </c>
      <c r="J1015" s="376"/>
    </row>
    <row r="1016" spans="1:10" ht="23.4" x14ac:dyDescent="0.3">
      <c r="A1016" s="1068"/>
      <c r="B1016" s="836"/>
      <c r="C1016" s="282" t="s">
        <v>305</v>
      </c>
      <c r="D1016" s="437"/>
      <c r="E1016" s="283"/>
      <c r="F1016" s="438">
        <f t="shared" si="225"/>
        <v>0</v>
      </c>
      <c r="G1016" s="612">
        <v>39450</v>
      </c>
      <c r="H1016" s="603">
        <f t="shared" si="227"/>
        <v>0</v>
      </c>
      <c r="I1016" s="606">
        <f t="shared" si="226"/>
        <v>0</v>
      </c>
      <c r="J1016" s="376"/>
    </row>
    <row r="1017" spans="1:10" ht="24" thickBot="1" x14ac:dyDescent="0.35">
      <c r="A1017" s="1068"/>
      <c r="B1017" s="836"/>
      <c r="C1017" s="282" t="s">
        <v>364</v>
      </c>
      <c r="D1017" s="437" t="s">
        <v>258</v>
      </c>
      <c r="E1017" s="283"/>
      <c r="F1017" s="438">
        <f t="shared" si="225"/>
        <v>0</v>
      </c>
      <c r="G1017" s="612">
        <v>57.64</v>
      </c>
      <c r="H1017" s="603">
        <f t="shared" si="227"/>
        <v>0</v>
      </c>
      <c r="I1017" s="606">
        <f t="shared" si="226"/>
        <v>0</v>
      </c>
      <c r="J1017" s="376"/>
    </row>
    <row r="1018" spans="1:10" ht="24" thickBot="1" x14ac:dyDescent="0.35">
      <c r="A1018" s="1069"/>
      <c r="B1018" s="1063" t="s">
        <v>291</v>
      </c>
      <c r="C1018" s="1064"/>
      <c r="D1018" s="838"/>
      <c r="E1018" s="329">
        <f>SUM(E995:E1017)</f>
        <v>0</v>
      </c>
      <c r="F1018" s="329">
        <f>SUM(F995:F1017)</f>
        <v>308473</v>
      </c>
      <c r="G1018" s="329"/>
      <c r="H1018" s="600">
        <f>SUM(H995:H1017)</f>
        <v>0</v>
      </c>
      <c r="I1018" s="589">
        <f>SUM(I995:I1017)</f>
        <v>34742069.319999993</v>
      </c>
      <c r="J1018" s="375"/>
    </row>
    <row r="1019" spans="1:10" ht="24" thickBot="1" x14ac:dyDescent="0.35">
      <c r="A1019" s="841"/>
      <c r="B1019" s="440"/>
      <c r="C1019" s="282" t="s">
        <v>446</v>
      </c>
      <c r="D1019" s="437"/>
      <c r="E1019" s="283"/>
      <c r="F1019" s="284">
        <f>+F931+E1019</f>
        <v>0</v>
      </c>
      <c r="G1019" s="337"/>
      <c r="H1019" s="599">
        <f t="shared" ref="H1019" si="228">E1019*G1019</f>
        <v>0</v>
      </c>
      <c r="I1019" s="285">
        <f t="shared" ref="I1019" si="229">+G1019*F1019</f>
        <v>0</v>
      </c>
      <c r="J1019" s="376"/>
    </row>
    <row r="1020" spans="1:10" ht="24" thickBot="1" x14ac:dyDescent="0.35">
      <c r="A1020" s="841"/>
      <c r="B1020" s="1063" t="s">
        <v>238</v>
      </c>
      <c r="C1020" s="1064"/>
      <c r="D1020" s="834"/>
      <c r="E1020" s="329"/>
      <c r="F1020" s="330"/>
      <c r="G1020" s="329"/>
      <c r="H1020" s="597"/>
      <c r="I1020" s="327">
        <f>SUM(I1019)</f>
        <v>0</v>
      </c>
      <c r="J1020" s="352"/>
    </row>
    <row r="1021" spans="1:10" ht="24.6" thickBot="1" x14ac:dyDescent="0.35">
      <c r="A1021" s="322"/>
      <c r="B1021" s="1065" t="s">
        <v>182</v>
      </c>
      <c r="C1021" s="1066"/>
      <c r="D1021" s="835"/>
      <c r="E1021" s="377">
        <f>+E1018+E994+E972+E970</f>
        <v>109802</v>
      </c>
      <c r="F1021" s="377">
        <f>+F1018+F994+F972+F970</f>
        <v>2803015</v>
      </c>
      <c r="G1021" s="377"/>
      <c r="H1021" s="377"/>
      <c r="I1021" s="377">
        <f>+I1018+I994+I972+I1020</f>
        <v>104142333.81999999</v>
      </c>
      <c r="J1021" s="378"/>
    </row>
    <row r="1022" spans="1:10" ht="23.4" x14ac:dyDescent="0.3">
      <c r="A1022" s="991" t="s">
        <v>1</v>
      </c>
      <c r="B1022" s="994" t="s">
        <v>2</v>
      </c>
      <c r="C1022" s="1072" t="s">
        <v>477</v>
      </c>
      <c r="D1022" s="1043" t="s">
        <v>478</v>
      </c>
      <c r="E1022" s="1076" t="s">
        <v>528</v>
      </c>
      <c r="F1022" s="1001"/>
      <c r="G1022" s="1001"/>
      <c r="H1022" s="1001"/>
      <c r="I1022" s="1001"/>
      <c r="J1022" s="1002"/>
    </row>
    <row r="1023" spans="1:10" ht="23.4" x14ac:dyDescent="0.3">
      <c r="A1023" s="1070"/>
      <c r="B1023" s="1071"/>
      <c r="C1023" s="1073"/>
      <c r="D1023" s="1044"/>
      <c r="E1023" s="1077" t="s">
        <v>493</v>
      </c>
      <c r="F1023" s="1078"/>
      <c r="G1023" s="1077" t="s">
        <v>492</v>
      </c>
      <c r="H1023" s="1079"/>
      <c r="I1023" s="1079"/>
      <c r="J1023" s="1078"/>
    </row>
    <row r="1024" spans="1:10" x14ac:dyDescent="0.3">
      <c r="A1024" s="992"/>
      <c r="B1024" s="995"/>
      <c r="C1024" s="1074"/>
      <c r="D1024" s="1044"/>
      <c r="E1024" s="1003" t="s">
        <v>494</v>
      </c>
      <c r="F1024" s="1005" t="s">
        <v>495</v>
      </c>
      <c r="G1024" s="1081" t="s">
        <v>97</v>
      </c>
      <c r="H1024" s="1083" t="s">
        <v>98</v>
      </c>
      <c r="I1024" s="1083" t="s">
        <v>98</v>
      </c>
      <c r="J1024" s="1085" t="s">
        <v>12</v>
      </c>
    </row>
    <row r="1025" spans="1:10" ht="14.4" thickBot="1" x14ac:dyDescent="0.35">
      <c r="A1025" s="993"/>
      <c r="B1025" s="996"/>
      <c r="C1025" s="1075"/>
      <c r="D1025" s="1045"/>
      <c r="E1025" s="1004"/>
      <c r="F1025" s="1080"/>
      <c r="G1025" s="1082"/>
      <c r="H1025" s="1084"/>
      <c r="I1025" s="1084"/>
      <c r="J1025" s="1086"/>
    </row>
    <row r="1026" spans="1:10" ht="23.4" x14ac:dyDescent="0.3">
      <c r="A1026" s="1067" t="s">
        <v>110</v>
      </c>
      <c r="B1026" s="442"/>
      <c r="C1026" s="584" t="s">
        <v>292</v>
      </c>
      <c r="D1026" s="686" t="s">
        <v>284</v>
      </c>
      <c r="E1026" s="744"/>
      <c r="F1026" s="695">
        <f>+F938+E1026</f>
        <v>0</v>
      </c>
      <c r="G1026" s="741">
        <v>111.09</v>
      </c>
      <c r="H1026" s="601">
        <f t="shared" ref="H1026:H1039" si="230">E1026*G1026</f>
        <v>0</v>
      </c>
      <c r="I1026" s="604">
        <f>+G1026*F1026</f>
        <v>0</v>
      </c>
      <c r="J1026" s="354"/>
    </row>
    <row r="1027" spans="1:10" ht="23.4" x14ac:dyDescent="0.3">
      <c r="A1027" s="1068"/>
      <c r="B1027" s="441"/>
      <c r="C1027" s="444" t="s">
        <v>285</v>
      </c>
      <c r="D1027" s="687" t="s">
        <v>286</v>
      </c>
      <c r="E1027" s="745"/>
      <c r="F1027" s="746">
        <f t="shared" ref="F1027:F1039" si="231">+F939+E1027</f>
        <v>0</v>
      </c>
      <c r="G1027" s="742">
        <v>11</v>
      </c>
      <c r="H1027" s="602">
        <f t="shared" si="230"/>
        <v>0</v>
      </c>
      <c r="I1027" s="605">
        <f>+G1027*F1027</f>
        <v>0</v>
      </c>
      <c r="J1027" s="355"/>
    </row>
    <row r="1028" spans="1:10" ht="23.4" x14ac:dyDescent="0.3">
      <c r="A1028" s="1068"/>
      <c r="B1028" s="441"/>
      <c r="C1028" s="444" t="s">
        <v>321</v>
      </c>
      <c r="D1028" s="687" t="s">
        <v>400</v>
      </c>
      <c r="E1028" s="745"/>
      <c r="F1028" s="746">
        <f t="shared" si="231"/>
        <v>0</v>
      </c>
      <c r="G1028" s="742">
        <v>139.04</v>
      </c>
      <c r="H1028" s="602">
        <f t="shared" si="230"/>
        <v>0</v>
      </c>
      <c r="I1028" s="605">
        <f t="shared" ref="I1028:I1039" si="232">+G1028*F1028</f>
        <v>0</v>
      </c>
      <c r="J1028" s="355"/>
    </row>
    <row r="1029" spans="1:10" ht="23.4" x14ac:dyDescent="0.3">
      <c r="A1029" s="1068"/>
      <c r="B1029" s="441"/>
      <c r="C1029" s="444" t="s">
        <v>397</v>
      </c>
      <c r="D1029" s="687" t="s">
        <v>398</v>
      </c>
      <c r="E1029" s="745"/>
      <c r="F1029" s="746">
        <f t="shared" si="231"/>
        <v>856800</v>
      </c>
      <c r="G1029" s="795">
        <v>20.5</v>
      </c>
      <c r="H1029" s="602">
        <f t="shared" si="230"/>
        <v>0</v>
      </c>
      <c r="I1029" s="605">
        <f t="shared" si="232"/>
        <v>17564400</v>
      </c>
      <c r="J1029" s="355"/>
    </row>
    <row r="1030" spans="1:10" ht="23.4" x14ac:dyDescent="0.3">
      <c r="A1030" s="1068"/>
      <c r="B1030" s="441"/>
      <c r="C1030" s="444" t="s">
        <v>312</v>
      </c>
      <c r="D1030" s="687" t="s">
        <v>190</v>
      </c>
      <c r="E1030" s="745"/>
      <c r="F1030" s="746">
        <f t="shared" si="231"/>
        <v>0</v>
      </c>
      <c r="G1030" s="742">
        <v>14.79</v>
      </c>
      <c r="H1030" s="602">
        <f t="shared" si="230"/>
        <v>0</v>
      </c>
      <c r="I1030" s="605">
        <f t="shared" si="232"/>
        <v>0</v>
      </c>
      <c r="J1030" s="355"/>
    </row>
    <row r="1031" spans="1:10" ht="23.4" x14ac:dyDescent="0.3">
      <c r="A1031" s="1068"/>
      <c r="B1031" s="441"/>
      <c r="C1031" s="444" t="s">
        <v>321</v>
      </c>
      <c r="D1031" s="687" t="s">
        <v>286</v>
      </c>
      <c r="E1031" s="745"/>
      <c r="F1031" s="746">
        <f t="shared" si="231"/>
        <v>3595</v>
      </c>
      <c r="G1031" s="742">
        <v>139.04</v>
      </c>
      <c r="H1031" s="602">
        <f t="shared" si="230"/>
        <v>0</v>
      </c>
      <c r="I1031" s="605">
        <f t="shared" si="232"/>
        <v>499848.8</v>
      </c>
      <c r="J1031" s="355"/>
    </row>
    <row r="1032" spans="1:10" ht="23.4" x14ac:dyDescent="0.3">
      <c r="A1032" s="1068"/>
      <c r="B1032" s="441"/>
      <c r="C1032" s="444" t="s">
        <v>472</v>
      </c>
      <c r="D1032" s="688" t="s">
        <v>396</v>
      </c>
      <c r="E1032" s="745"/>
      <c r="F1032" s="746">
        <f t="shared" si="231"/>
        <v>29760</v>
      </c>
      <c r="G1032" s="742">
        <v>147.58000000000001</v>
      </c>
      <c r="H1032" s="602">
        <f t="shared" si="230"/>
        <v>0</v>
      </c>
      <c r="I1032" s="605">
        <f t="shared" si="232"/>
        <v>4391980.8000000007</v>
      </c>
      <c r="J1032" s="355"/>
    </row>
    <row r="1033" spans="1:10" ht="23.4" x14ac:dyDescent="0.3">
      <c r="A1033" s="1068"/>
      <c r="B1033" s="441"/>
      <c r="C1033" s="444" t="s">
        <v>345</v>
      </c>
      <c r="D1033" s="688" t="s">
        <v>286</v>
      </c>
      <c r="E1033" s="745">
        <v>36720</v>
      </c>
      <c r="F1033" s="746">
        <f t="shared" si="231"/>
        <v>36720</v>
      </c>
      <c r="G1033" s="742">
        <v>18.84</v>
      </c>
      <c r="H1033" s="602">
        <f t="shared" si="230"/>
        <v>691804.8</v>
      </c>
      <c r="I1033" s="605">
        <f t="shared" si="232"/>
        <v>691804.8</v>
      </c>
      <c r="J1033" s="355"/>
    </row>
    <row r="1034" spans="1:10" ht="23.4" x14ac:dyDescent="0.3">
      <c r="A1034" s="1068"/>
      <c r="B1034" s="441"/>
      <c r="C1034" s="444" t="s">
        <v>357</v>
      </c>
      <c r="D1034" s="688" t="s">
        <v>252</v>
      </c>
      <c r="E1034" s="745"/>
      <c r="F1034" s="746">
        <f t="shared" si="231"/>
        <v>550800</v>
      </c>
      <c r="G1034" s="742">
        <v>21.18</v>
      </c>
      <c r="H1034" s="602">
        <f t="shared" si="230"/>
        <v>0</v>
      </c>
      <c r="I1034" s="605">
        <f t="shared" si="232"/>
        <v>11665944</v>
      </c>
      <c r="J1034" s="355"/>
    </row>
    <row r="1035" spans="1:10" ht="23.4" x14ac:dyDescent="0.3">
      <c r="A1035" s="1068"/>
      <c r="B1035" s="441"/>
      <c r="C1035" s="444" t="s">
        <v>359</v>
      </c>
      <c r="D1035" s="688" t="s">
        <v>360</v>
      </c>
      <c r="E1035" s="745"/>
      <c r="F1035" s="746">
        <f t="shared" si="231"/>
        <v>0</v>
      </c>
      <c r="G1035" s="742">
        <v>21.28</v>
      </c>
      <c r="H1035" s="602">
        <f t="shared" si="230"/>
        <v>0</v>
      </c>
      <c r="I1035" s="605">
        <f t="shared" si="232"/>
        <v>0</v>
      </c>
      <c r="J1035" s="355"/>
    </row>
    <row r="1036" spans="1:10" ht="23.4" x14ac:dyDescent="0.3">
      <c r="A1036" s="1068"/>
      <c r="B1036" s="441"/>
      <c r="C1036" s="444" t="s">
        <v>445</v>
      </c>
      <c r="D1036" s="688" t="s">
        <v>436</v>
      </c>
      <c r="E1036" s="745"/>
      <c r="F1036" s="746">
        <f t="shared" si="231"/>
        <v>19840</v>
      </c>
      <c r="G1036" s="742">
        <v>143.28</v>
      </c>
      <c r="H1036" s="602">
        <f t="shared" si="230"/>
        <v>0</v>
      </c>
      <c r="I1036" s="605">
        <f t="shared" si="232"/>
        <v>2842675.2000000002</v>
      </c>
      <c r="J1036" s="355"/>
    </row>
    <row r="1037" spans="1:10" ht="23.4" x14ac:dyDescent="0.3">
      <c r="A1037" s="1068"/>
      <c r="B1037" s="441"/>
      <c r="C1037" s="444" t="s">
        <v>403</v>
      </c>
      <c r="D1037" s="687" t="s">
        <v>190</v>
      </c>
      <c r="E1037" s="745"/>
      <c r="F1037" s="746">
        <f t="shared" si="231"/>
        <v>135168</v>
      </c>
      <c r="G1037" s="742">
        <v>14.55</v>
      </c>
      <c r="H1037" s="602">
        <f t="shared" si="230"/>
        <v>0</v>
      </c>
      <c r="I1037" s="605">
        <f t="shared" si="232"/>
        <v>1966694.4000000001</v>
      </c>
      <c r="J1037" s="355"/>
    </row>
    <row r="1038" spans="1:10" ht="23.4" x14ac:dyDescent="0.3">
      <c r="A1038" s="1068"/>
      <c r="B1038" s="441"/>
      <c r="C1038" s="444" t="s">
        <v>362</v>
      </c>
      <c r="D1038" s="688" t="s">
        <v>202</v>
      </c>
      <c r="E1038" s="745"/>
      <c r="F1038" s="746">
        <f t="shared" si="231"/>
        <v>0</v>
      </c>
      <c r="G1038" s="742">
        <v>21.28</v>
      </c>
      <c r="H1038" s="602">
        <f t="shared" si="230"/>
        <v>0</v>
      </c>
      <c r="I1038" s="605">
        <f t="shared" si="232"/>
        <v>0</v>
      </c>
      <c r="J1038" s="355"/>
    </row>
    <row r="1039" spans="1:10" ht="24" thickBot="1" x14ac:dyDescent="0.35">
      <c r="A1039" s="1068"/>
      <c r="B1039" s="441"/>
      <c r="C1039" s="444" t="s">
        <v>374</v>
      </c>
      <c r="D1039" s="689" t="s">
        <v>191</v>
      </c>
      <c r="E1039" s="745"/>
      <c r="F1039" s="697">
        <f t="shared" si="231"/>
        <v>0</v>
      </c>
      <c r="G1039" s="742">
        <v>36.44</v>
      </c>
      <c r="H1039" s="602">
        <f t="shared" si="230"/>
        <v>0</v>
      </c>
      <c r="I1039" s="605">
        <f t="shared" si="232"/>
        <v>0</v>
      </c>
      <c r="J1039" s="355"/>
    </row>
    <row r="1040" spans="1:10" ht="24" thickBot="1" x14ac:dyDescent="0.35">
      <c r="A1040" s="1068"/>
      <c r="B1040" s="1063" t="s">
        <v>287</v>
      </c>
      <c r="C1040" s="1064"/>
      <c r="D1040" s="846"/>
      <c r="E1040" s="329">
        <f>SUM(E1026:E1039)</f>
        <v>36720</v>
      </c>
      <c r="F1040" s="743">
        <f>SUM(F1026:F1039)</f>
        <v>1632683</v>
      </c>
      <c r="G1040" s="329"/>
      <c r="H1040" s="597">
        <f>SUM(H1026:H1039)</f>
        <v>691804.8</v>
      </c>
      <c r="I1040" s="589">
        <f>SUM(I1026:I1039)</f>
        <v>39623348.000000007</v>
      </c>
      <c r="J1040" s="352"/>
    </row>
    <row r="1041" spans="1:10" ht="23.4" x14ac:dyDescent="0.3">
      <c r="A1041" s="1068"/>
      <c r="B1041" s="844"/>
      <c r="C1041" s="282" t="s">
        <v>293</v>
      </c>
      <c r="D1041" s="437" t="s">
        <v>258</v>
      </c>
      <c r="E1041" s="283">
        <f>3500+3500</f>
        <v>7000</v>
      </c>
      <c r="F1041" s="438">
        <f t="shared" ref="F1041:F1051" si="233">+F953+E1041</f>
        <v>49000</v>
      </c>
      <c r="G1041" s="587">
        <v>160.44999999999999</v>
      </c>
      <c r="H1041" s="603">
        <f t="shared" ref="H1041:H1051" si="234">E1041*G1041</f>
        <v>1123150</v>
      </c>
      <c r="I1041" s="606">
        <f t="shared" ref="I1041:I1051" si="235">+G1041*F1041</f>
        <v>7862049.9999999991</v>
      </c>
      <c r="J1041" s="376"/>
    </row>
    <row r="1042" spans="1:10" ht="23.4" x14ac:dyDescent="0.3">
      <c r="A1042" s="1068"/>
      <c r="B1042" s="844"/>
      <c r="C1042" s="282" t="s">
        <v>309</v>
      </c>
      <c r="D1042" s="437" t="s">
        <v>258</v>
      </c>
      <c r="E1042" s="283"/>
      <c r="F1042" s="438">
        <f t="shared" si="233"/>
        <v>0</v>
      </c>
      <c r="G1042" s="587">
        <v>160.44999999999999</v>
      </c>
      <c r="H1042" s="603">
        <f t="shared" si="234"/>
        <v>0</v>
      </c>
      <c r="I1042" s="606">
        <f t="shared" si="235"/>
        <v>0</v>
      </c>
      <c r="J1042" s="376"/>
    </row>
    <row r="1043" spans="1:10" ht="23.4" x14ac:dyDescent="0.3">
      <c r="A1043" s="1068"/>
      <c r="B1043" s="844"/>
      <c r="C1043" s="282" t="s">
        <v>463</v>
      </c>
      <c r="D1043" s="437" t="s">
        <v>258</v>
      </c>
      <c r="E1043" s="283">
        <f>4750+3500</f>
        <v>8250</v>
      </c>
      <c r="F1043" s="438">
        <f t="shared" si="233"/>
        <v>13500</v>
      </c>
      <c r="G1043" s="587">
        <v>160.44999999999999</v>
      </c>
      <c r="H1043" s="603">
        <f t="shared" si="234"/>
        <v>1323712.5</v>
      </c>
      <c r="I1043" s="606">
        <f t="shared" si="235"/>
        <v>2166075</v>
      </c>
      <c r="J1043" s="376"/>
    </row>
    <row r="1044" spans="1:10" ht="23.4" x14ac:dyDescent="0.3">
      <c r="A1044" s="1068"/>
      <c r="B1044" s="844"/>
      <c r="C1044" s="282" t="s">
        <v>311</v>
      </c>
      <c r="D1044" s="437" t="s">
        <v>100</v>
      </c>
      <c r="E1044" s="283"/>
      <c r="F1044" s="438">
        <f t="shared" si="233"/>
        <v>0</v>
      </c>
      <c r="G1044" s="587">
        <v>27</v>
      </c>
      <c r="H1044" s="603">
        <f t="shared" si="234"/>
        <v>0</v>
      </c>
      <c r="I1044" s="606">
        <f t="shared" si="235"/>
        <v>0</v>
      </c>
      <c r="J1044" s="376"/>
    </row>
    <row r="1045" spans="1:10" ht="23.4" x14ac:dyDescent="0.3">
      <c r="A1045" s="1068"/>
      <c r="B1045" s="844"/>
      <c r="C1045" s="282" t="s">
        <v>311</v>
      </c>
      <c r="D1045" s="437" t="s">
        <v>318</v>
      </c>
      <c r="E1045" s="283"/>
      <c r="F1045" s="438">
        <f t="shared" si="233"/>
        <v>324720</v>
      </c>
      <c r="G1045" s="587">
        <v>27.5</v>
      </c>
      <c r="H1045" s="603">
        <f t="shared" si="234"/>
        <v>0</v>
      </c>
      <c r="I1045" s="606">
        <f t="shared" si="235"/>
        <v>8929800</v>
      </c>
      <c r="J1045" s="376"/>
    </row>
    <row r="1046" spans="1:10" ht="23.4" x14ac:dyDescent="0.3">
      <c r="A1046" s="1068"/>
      <c r="B1046" s="844"/>
      <c r="C1046" s="282" t="s">
        <v>299</v>
      </c>
      <c r="D1046" s="437" t="s">
        <v>318</v>
      </c>
      <c r="E1046" s="283"/>
      <c r="F1046" s="438">
        <f t="shared" si="233"/>
        <v>10832</v>
      </c>
      <c r="G1046" s="587">
        <v>34.5</v>
      </c>
      <c r="H1046" s="603">
        <f t="shared" si="234"/>
        <v>0</v>
      </c>
      <c r="I1046" s="606">
        <f t="shared" si="235"/>
        <v>373704</v>
      </c>
      <c r="J1046" s="376"/>
    </row>
    <row r="1047" spans="1:10" ht="23.4" x14ac:dyDescent="0.3">
      <c r="A1047" s="1068"/>
      <c r="B1047" s="844"/>
      <c r="C1047" s="282" t="s">
        <v>505</v>
      </c>
      <c r="D1047" s="437" t="s">
        <v>258</v>
      </c>
      <c r="E1047" s="283"/>
      <c r="F1047" s="438">
        <f t="shared" si="233"/>
        <v>8750</v>
      </c>
      <c r="G1047" s="587">
        <v>160.44999999999999</v>
      </c>
      <c r="H1047" s="603">
        <f t="shared" si="234"/>
        <v>0</v>
      </c>
      <c r="I1047" s="606">
        <f t="shared" si="235"/>
        <v>1403937.5</v>
      </c>
      <c r="J1047" s="376"/>
    </row>
    <row r="1048" spans="1:10" ht="23.4" x14ac:dyDescent="0.3">
      <c r="A1048" s="1068"/>
      <c r="B1048" s="844"/>
      <c r="C1048" s="282" t="s">
        <v>388</v>
      </c>
      <c r="D1048" s="437" t="s">
        <v>258</v>
      </c>
      <c r="E1048" s="283">
        <v>3500</v>
      </c>
      <c r="F1048" s="438">
        <f t="shared" si="233"/>
        <v>32750</v>
      </c>
      <c r="G1048" s="587">
        <v>160.44999999999999</v>
      </c>
      <c r="H1048" s="603">
        <f t="shared" si="234"/>
        <v>561575</v>
      </c>
      <c r="I1048" s="606">
        <f t="shared" si="235"/>
        <v>5254737.5</v>
      </c>
      <c r="J1048" s="376"/>
    </row>
    <row r="1049" spans="1:10" ht="23.4" x14ac:dyDescent="0.3">
      <c r="A1049" s="1068"/>
      <c r="B1049" s="844"/>
      <c r="C1049" s="282" t="s">
        <v>461</v>
      </c>
      <c r="D1049" s="437" t="s">
        <v>258</v>
      </c>
      <c r="E1049" s="283"/>
      <c r="F1049" s="438">
        <f t="shared" si="233"/>
        <v>6000</v>
      </c>
      <c r="G1049" s="587">
        <v>160.44999999999999</v>
      </c>
      <c r="H1049" s="603">
        <f t="shared" si="234"/>
        <v>0</v>
      </c>
      <c r="I1049" s="606">
        <f t="shared" si="235"/>
        <v>962699.99999999988</v>
      </c>
      <c r="J1049" s="376"/>
    </row>
    <row r="1050" spans="1:10" ht="23.4" x14ac:dyDescent="0.3">
      <c r="A1050" s="1068"/>
      <c r="B1050" s="844"/>
      <c r="C1050" s="282" t="s">
        <v>331</v>
      </c>
      <c r="D1050" s="437" t="s">
        <v>258</v>
      </c>
      <c r="E1050" s="283">
        <f>1809+5250</f>
        <v>7059</v>
      </c>
      <c r="F1050" s="438">
        <f t="shared" si="233"/>
        <v>7059</v>
      </c>
      <c r="G1050" s="587">
        <v>160.44999999999999</v>
      </c>
      <c r="H1050" s="603">
        <f t="shared" si="234"/>
        <v>1132616.5499999998</v>
      </c>
      <c r="I1050" s="606">
        <f t="shared" si="235"/>
        <v>1132616.5499999998</v>
      </c>
      <c r="J1050" s="376"/>
    </row>
    <row r="1051" spans="1:10" ht="24" thickBot="1" x14ac:dyDescent="0.35">
      <c r="A1051" s="1068"/>
      <c r="B1051" s="844"/>
      <c r="C1051" s="282" t="s">
        <v>340</v>
      </c>
      <c r="D1051" s="437" t="s">
        <v>258</v>
      </c>
      <c r="E1051" s="283"/>
      <c r="F1051" s="438">
        <f t="shared" si="233"/>
        <v>0</v>
      </c>
      <c r="G1051" s="587">
        <v>160.44999999999999</v>
      </c>
      <c r="H1051" s="603">
        <f t="shared" si="234"/>
        <v>0</v>
      </c>
      <c r="I1051" s="606">
        <f t="shared" si="235"/>
        <v>0</v>
      </c>
      <c r="J1051" s="376"/>
    </row>
    <row r="1052" spans="1:10" ht="24" thickBot="1" x14ac:dyDescent="0.35">
      <c r="A1052" s="1068"/>
      <c r="B1052" s="1063" t="s">
        <v>288</v>
      </c>
      <c r="C1052" s="1064"/>
      <c r="D1052" s="846"/>
      <c r="E1052" s="329">
        <f>SUM(E1041:E1051)</f>
        <v>25809</v>
      </c>
      <c r="F1052" s="329">
        <f>SUM(F1041:F1051)</f>
        <v>452611</v>
      </c>
      <c r="G1052" s="329"/>
      <c r="H1052" s="597">
        <f>SUM(H1041:H1051)</f>
        <v>4141054.05</v>
      </c>
      <c r="I1052" s="589">
        <f>SUM(I1041:I1051)</f>
        <v>28085620.550000001</v>
      </c>
      <c r="J1052" s="352"/>
    </row>
    <row r="1053" spans="1:10" ht="23.4" x14ac:dyDescent="0.3">
      <c r="A1053" s="1068"/>
      <c r="B1053" s="844"/>
      <c r="C1053" s="282" t="s">
        <v>434</v>
      </c>
      <c r="D1053" s="437" t="s">
        <v>435</v>
      </c>
      <c r="E1053" s="283"/>
      <c r="F1053" s="438">
        <f t="shared" ref="F1053:F1057" si="236">+F965+E1053</f>
        <v>250</v>
      </c>
      <c r="G1053" s="587">
        <v>5.34</v>
      </c>
      <c r="H1053" s="603">
        <f t="shared" ref="H1053:H1057" si="237">E1053*G1053</f>
        <v>0</v>
      </c>
      <c r="I1053" s="606">
        <f t="shared" ref="I1053" si="238">+G1053*F1053</f>
        <v>1335</v>
      </c>
      <c r="J1053" s="376"/>
    </row>
    <row r="1054" spans="1:10" ht="23.4" x14ac:dyDescent="0.3">
      <c r="A1054" s="1068"/>
      <c r="B1054" s="844"/>
      <c r="C1054" s="282" t="s">
        <v>464</v>
      </c>
      <c r="D1054" s="437" t="s">
        <v>286</v>
      </c>
      <c r="E1054" s="283"/>
      <c r="F1054" s="438">
        <f t="shared" si="236"/>
        <v>50</v>
      </c>
      <c r="G1054" s="587">
        <v>31.73</v>
      </c>
      <c r="H1054" s="603">
        <f t="shared" si="237"/>
        <v>0</v>
      </c>
      <c r="I1054" s="606">
        <f>+G1054*F1054</f>
        <v>1586.5</v>
      </c>
      <c r="J1054" s="376"/>
    </row>
    <row r="1055" spans="1:10" ht="23.4" x14ac:dyDescent="0.3">
      <c r="A1055" s="1068"/>
      <c r="B1055" s="844"/>
      <c r="C1055" s="282" t="s">
        <v>473</v>
      </c>
      <c r="D1055" s="437" t="s">
        <v>474</v>
      </c>
      <c r="E1055" s="283"/>
      <c r="F1055" s="438">
        <f t="shared" si="236"/>
        <v>2500</v>
      </c>
      <c r="G1055" s="587">
        <v>10.58</v>
      </c>
      <c r="H1055" s="603">
        <f t="shared" si="237"/>
        <v>0</v>
      </c>
      <c r="I1055" s="606">
        <f>+G1055*F1055</f>
        <v>26450</v>
      </c>
      <c r="J1055" s="376"/>
    </row>
    <row r="1056" spans="1:10" ht="23.4" x14ac:dyDescent="0.3">
      <c r="A1056" s="1068"/>
      <c r="B1056" s="844"/>
      <c r="C1056" s="282" t="s">
        <v>300</v>
      </c>
      <c r="D1056" s="437" t="s">
        <v>301</v>
      </c>
      <c r="E1056" s="283"/>
      <c r="F1056" s="438">
        <f t="shared" si="236"/>
        <v>1</v>
      </c>
      <c r="G1056" s="587">
        <v>2500</v>
      </c>
      <c r="H1056" s="603">
        <f t="shared" si="237"/>
        <v>0</v>
      </c>
      <c r="I1056" s="606">
        <f>+G1056*F1056</f>
        <v>2500</v>
      </c>
      <c r="J1056" s="376"/>
    </row>
    <row r="1057" spans="1:11" ht="24" thickBot="1" x14ac:dyDescent="0.35">
      <c r="A1057" s="1068"/>
      <c r="B1057" s="844"/>
      <c r="C1057" s="282" t="s">
        <v>519</v>
      </c>
      <c r="D1057" s="437" t="s">
        <v>333</v>
      </c>
      <c r="E1057" s="283"/>
      <c r="F1057" s="438">
        <f t="shared" si="236"/>
        <v>107780</v>
      </c>
      <c r="G1057" s="588">
        <v>10</v>
      </c>
      <c r="H1057" s="603">
        <f t="shared" si="237"/>
        <v>0</v>
      </c>
      <c r="I1057" s="606">
        <f t="shared" ref="I1057" si="239">+G1057*F1057</f>
        <v>1077800</v>
      </c>
      <c r="J1057" s="376"/>
    </row>
    <row r="1058" spans="1:11" ht="24" thickBot="1" x14ac:dyDescent="0.35">
      <c r="A1058" s="1068"/>
      <c r="B1058" s="1063" t="s">
        <v>294</v>
      </c>
      <c r="C1058" s="1064"/>
      <c r="D1058" s="846"/>
      <c r="E1058" s="329">
        <f>SUM(E1053:E1057)</f>
        <v>0</v>
      </c>
      <c r="F1058" s="329">
        <f>SUM(F1053:F1057)</f>
        <v>110581</v>
      </c>
      <c r="G1058" s="329"/>
      <c r="H1058" s="597">
        <f>SUM(H1053:H1057)</f>
        <v>0</v>
      </c>
      <c r="I1058" s="589">
        <f>SUM(I1053:I1057)</f>
        <v>1109671.5</v>
      </c>
      <c r="J1058" s="376"/>
    </row>
    <row r="1059" spans="1:11" ht="24" thickBot="1" x14ac:dyDescent="0.35">
      <c r="A1059" s="1068"/>
      <c r="B1059" s="844"/>
      <c r="C1059" s="282"/>
      <c r="D1059" s="437"/>
      <c r="E1059" s="283"/>
      <c r="F1059" s="320"/>
      <c r="G1059" s="588"/>
      <c r="H1059" s="598"/>
      <c r="I1059" s="285">
        <f t="shared" ref="I1059" si="240">+G1059*F1059</f>
        <v>0</v>
      </c>
      <c r="J1059" s="376"/>
    </row>
    <row r="1060" spans="1:11" ht="24" thickBot="1" x14ac:dyDescent="0.35">
      <c r="A1060" s="1069"/>
      <c r="B1060" s="1063" t="s">
        <v>290</v>
      </c>
      <c r="C1060" s="1064"/>
      <c r="D1060" s="842"/>
      <c r="E1060" s="329">
        <f>+E1058+E1052+E1040</f>
        <v>62529</v>
      </c>
      <c r="F1060" s="329">
        <f>+F1058+F1052+F1040</f>
        <v>2195875</v>
      </c>
      <c r="G1060" s="329"/>
      <c r="H1060" s="589">
        <f>+H1052+H1040+H1058</f>
        <v>4832858.8499999996</v>
      </c>
      <c r="I1060" s="589">
        <f>+I1052+I1040+I1058</f>
        <v>68818640.050000012</v>
      </c>
      <c r="J1060" s="376"/>
      <c r="K1060" s="757"/>
    </row>
    <row r="1061" spans="1:11" ht="23.4" x14ac:dyDescent="0.3">
      <c r="A1061" s="1067" t="s">
        <v>108</v>
      </c>
      <c r="B1061" s="844"/>
      <c r="C1061" s="282" t="s">
        <v>304</v>
      </c>
      <c r="D1061" s="437" t="s">
        <v>191</v>
      </c>
      <c r="E1061" s="283"/>
      <c r="F1061" s="438">
        <f t="shared" ref="F1061:F1081" si="241">+F973+E1061</f>
        <v>35802</v>
      </c>
      <c r="G1061" s="612">
        <v>13.25</v>
      </c>
      <c r="H1061" s="607">
        <f t="shared" ref="H1061:H1081" si="242">E1061*G1061</f>
        <v>0</v>
      </c>
      <c r="I1061" s="606">
        <f t="shared" ref="I1061:I1081" si="243">+G1061*F1061</f>
        <v>474376.5</v>
      </c>
      <c r="J1061" s="376"/>
    </row>
    <row r="1062" spans="1:11" ht="23.4" x14ac:dyDescent="0.3">
      <c r="A1062" s="1068"/>
      <c r="B1062" s="844"/>
      <c r="C1062" s="282" t="s">
        <v>305</v>
      </c>
      <c r="D1062" s="437"/>
      <c r="E1062" s="283"/>
      <c r="F1062" s="438">
        <f t="shared" si="241"/>
        <v>1</v>
      </c>
      <c r="G1062" s="613">
        <v>5000</v>
      </c>
      <c r="H1062" s="607">
        <f t="shared" si="242"/>
        <v>0</v>
      </c>
      <c r="I1062" s="606">
        <f t="shared" si="243"/>
        <v>5000</v>
      </c>
      <c r="J1062" s="376"/>
    </row>
    <row r="1063" spans="1:11" ht="23.4" x14ac:dyDescent="0.3">
      <c r="A1063" s="1068"/>
      <c r="B1063" s="844"/>
      <c r="C1063" s="282" t="s">
        <v>305</v>
      </c>
      <c r="D1063" s="437"/>
      <c r="E1063" s="283"/>
      <c r="F1063" s="438">
        <f t="shared" si="241"/>
        <v>0</v>
      </c>
      <c r="G1063" s="613">
        <v>18000</v>
      </c>
      <c r="H1063" s="607">
        <f t="shared" si="242"/>
        <v>0</v>
      </c>
      <c r="I1063" s="606">
        <f t="shared" si="243"/>
        <v>0</v>
      </c>
      <c r="J1063" s="376"/>
    </row>
    <row r="1064" spans="1:11" ht="23.4" x14ac:dyDescent="0.3">
      <c r="A1064" s="1068"/>
      <c r="B1064" s="844"/>
      <c r="C1064" s="282" t="s">
        <v>317</v>
      </c>
      <c r="D1064" s="437" t="s">
        <v>191</v>
      </c>
      <c r="E1064" s="283"/>
      <c r="F1064" s="438">
        <f t="shared" si="241"/>
        <v>0</v>
      </c>
      <c r="G1064" s="612">
        <v>24.93</v>
      </c>
      <c r="H1064" s="607">
        <f t="shared" si="242"/>
        <v>0</v>
      </c>
      <c r="I1064" s="606">
        <f t="shared" si="243"/>
        <v>0</v>
      </c>
      <c r="J1064" s="376"/>
    </row>
    <row r="1065" spans="1:11" ht="23.4" x14ac:dyDescent="0.3">
      <c r="A1065" s="1068"/>
      <c r="B1065" s="844"/>
      <c r="C1065" s="282" t="s">
        <v>324</v>
      </c>
      <c r="D1065" s="437" t="s">
        <v>99</v>
      </c>
      <c r="E1065" s="283"/>
      <c r="F1065" s="438">
        <f t="shared" si="241"/>
        <v>0</v>
      </c>
      <c r="G1065" s="612">
        <v>26</v>
      </c>
      <c r="H1065" s="607">
        <f t="shared" si="242"/>
        <v>0</v>
      </c>
      <c r="I1065" s="606">
        <f t="shared" si="243"/>
        <v>0</v>
      </c>
      <c r="J1065" s="376"/>
    </row>
    <row r="1066" spans="1:11" ht="23.4" x14ac:dyDescent="0.3">
      <c r="A1066" s="1068"/>
      <c r="B1066" s="844"/>
      <c r="C1066" s="282" t="s">
        <v>325</v>
      </c>
      <c r="D1066" s="437" t="s">
        <v>191</v>
      </c>
      <c r="E1066" s="283"/>
      <c r="F1066" s="438">
        <f t="shared" si="241"/>
        <v>0</v>
      </c>
      <c r="G1066" s="612">
        <v>25.49</v>
      </c>
      <c r="H1066" s="607">
        <f t="shared" si="242"/>
        <v>0</v>
      </c>
      <c r="I1066" s="606">
        <f t="shared" si="243"/>
        <v>0</v>
      </c>
      <c r="J1066" s="376"/>
    </row>
    <row r="1067" spans="1:11" ht="23.4" x14ac:dyDescent="0.3">
      <c r="A1067" s="1068"/>
      <c r="B1067" s="844"/>
      <c r="C1067" s="282" t="s">
        <v>326</v>
      </c>
      <c r="D1067" s="437" t="s">
        <v>114</v>
      </c>
      <c r="E1067" s="283"/>
      <c r="F1067" s="438">
        <f t="shared" si="241"/>
        <v>0</v>
      </c>
      <c r="G1067" s="612">
        <v>24.93</v>
      </c>
      <c r="H1067" s="607">
        <f t="shared" si="242"/>
        <v>0</v>
      </c>
      <c r="I1067" s="606">
        <f t="shared" si="243"/>
        <v>0</v>
      </c>
      <c r="J1067" s="376"/>
    </row>
    <row r="1068" spans="1:11" ht="23.4" x14ac:dyDescent="0.3">
      <c r="A1068" s="1068"/>
      <c r="B1068" s="844"/>
      <c r="C1068" s="282" t="s">
        <v>327</v>
      </c>
      <c r="D1068" s="437" t="s">
        <v>303</v>
      </c>
      <c r="E1068" s="283"/>
      <c r="F1068" s="438">
        <f t="shared" si="241"/>
        <v>0</v>
      </c>
      <c r="G1068" s="612">
        <v>24.93</v>
      </c>
      <c r="H1068" s="607">
        <f t="shared" si="242"/>
        <v>0</v>
      </c>
      <c r="I1068" s="606">
        <f t="shared" si="243"/>
        <v>0</v>
      </c>
      <c r="J1068" s="376"/>
    </row>
    <row r="1069" spans="1:11" ht="23.4" x14ac:dyDescent="0.3">
      <c r="A1069" s="1068"/>
      <c r="B1069" s="844"/>
      <c r="C1069" s="282" t="s">
        <v>512</v>
      </c>
      <c r="D1069" s="437" t="s">
        <v>401</v>
      </c>
      <c r="E1069" s="283">
        <v>15912</v>
      </c>
      <c r="F1069" s="438">
        <f t="shared" si="241"/>
        <v>47736</v>
      </c>
      <c r="G1069" s="612">
        <v>23.78</v>
      </c>
      <c r="H1069" s="607">
        <f t="shared" si="242"/>
        <v>378387.36000000004</v>
      </c>
      <c r="I1069" s="606">
        <f t="shared" si="243"/>
        <v>1135162.08</v>
      </c>
      <c r="J1069" s="376"/>
    </row>
    <row r="1070" spans="1:11" ht="23.4" x14ac:dyDescent="0.3">
      <c r="A1070" s="1068"/>
      <c r="B1070" s="844"/>
      <c r="C1070" s="282" t="s">
        <v>512</v>
      </c>
      <c r="D1070" s="437" t="s">
        <v>513</v>
      </c>
      <c r="E1070" s="283"/>
      <c r="F1070" s="438">
        <f t="shared" si="241"/>
        <v>115362</v>
      </c>
      <c r="G1070" s="612">
        <v>23.78</v>
      </c>
      <c r="H1070" s="607">
        <f t="shared" si="242"/>
        <v>0</v>
      </c>
      <c r="I1070" s="606">
        <f t="shared" si="243"/>
        <v>2743308.3600000003</v>
      </c>
      <c r="J1070" s="376"/>
    </row>
    <row r="1071" spans="1:11" ht="23.4" x14ac:dyDescent="0.3">
      <c r="A1071" s="1068"/>
      <c r="B1071" s="844"/>
      <c r="C1071" s="282" t="s">
        <v>394</v>
      </c>
      <c r="D1071" s="437" t="s">
        <v>338</v>
      </c>
      <c r="E1071" s="283"/>
      <c r="F1071" s="438">
        <f t="shared" si="241"/>
        <v>0</v>
      </c>
      <c r="G1071" s="612">
        <v>37.4566666666</v>
      </c>
      <c r="H1071" s="607">
        <f t="shared" si="242"/>
        <v>0</v>
      </c>
      <c r="I1071" s="606">
        <f t="shared" si="243"/>
        <v>0</v>
      </c>
      <c r="J1071" s="376"/>
    </row>
    <row r="1072" spans="1:11" ht="23.4" x14ac:dyDescent="0.3">
      <c r="A1072" s="1068"/>
      <c r="B1072" s="844"/>
      <c r="C1072" s="282" t="s">
        <v>395</v>
      </c>
      <c r="D1072" s="437" t="s">
        <v>338</v>
      </c>
      <c r="E1072" s="283">
        <v>14976</v>
      </c>
      <c r="F1072" s="438">
        <f t="shared" si="241"/>
        <v>14976</v>
      </c>
      <c r="G1072" s="612">
        <v>37.89</v>
      </c>
      <c r="H1072" s="607">
        <f t="shared" si="242"/>
        <v>567440.64000000001</v>
      </c>
      <c r="I1072" s="606">
        <f t="shared" si="243"/>
        <v>567440.64000000001</v>
      </c>
      <c r="J1072" s="376"/>
    </row>
    <row r="1073" spans="1:10" ht="23.4" x14ac:dyDescent="0.3">
      <c r="A1073" s="1068"/>
      <c r="B1073" s="844"/>
      <c r="C1073" s="282" t="s">
        <v>326</v>
      </c>
      <c r="D1073" s="437" t="s">
        <v>302</v>
      </c>
      <c r="E1073" s="283"/>
      <c r="F1073" s="438">
        <f t="shared" si="241"/>
        <v>0</v>
      </c>
      <c r="G1073" s="612">
        <v>24.93</v>
      </c>
      <c r="H1073" s="607">
        <f t="shared" si="242"/>
        <v>0</v>
      </c>
      <c r="I1073" s="606">
        <f t="shared" si="243"/>
        <v>0</v>
      </c>
      <c r="J1073" s="376"/>
    </row>
    <row r="1074" spans="1:10" ht="23.4" x14ac:dyDescent="0.3">
      <c r="A1074" s="1068"/>
      <c r="B1074" s="844"/>
      <c r="C1074" s="282" t="s">
        <v>402</v>
      </c>
      <c r="D1074" s="437" t="s">
        <v>376</v>
      </c>
      <c r="E1074" s="283"/>
      <c r="F1074" s="438">
        <f t="shared" si="241"/>
        <v>0</v>
      </c>
      <c r="G1074" s="612">
        <v>24.93</v>
      </c>
      <c r="H1074" s="607">
        <f t="shared" si="242"/>
        <v>0</v>
      </c>
      <c r="I1074" s="606">
        <f t="shared" si="243"/>
        <v>0</v>
      </c>
      <c r="J1074" s="376"/>
    </row>
    <row r="1075" spans="1:10" ht="23.4" x14ac:dyDescent="0.3">
      <c r="A1075" s="1068"/>
      <c r="B1075" s="844"/>
      <c r="C1075" s="282" t="s">
        <v>350</v>
      </c>
      <c r="D1075" s="437" t="s">
        <v>313</v>
      </c>
      <c r="E1075" s="283"/>
      <c r="F1075" s="438">
        <f t="shared" si="241"/>
        <v>0</v>
      </c>
      <c r="G1075" s="612">
        <v>34.26</v>
      </c>
      <c r="H1075" s="607">
        <f t="shared" si="242"/>
        <v>0</v>
      </c>
      <c r="I1075" s="606">
        <f t="shared" si="243"/>
        <v>0</v>
      </c>
      <c r="J1075" s="376"/>
    </row>
    <row r="1076" spans="1:10" ht="23.4" x14ac:dyDescent="0.3">
      <c r="A1076" s="1068"/>
      <c r="B1076" s="844"/>
      <c r="C1076" s="282" t="s">
        <v>363</v>
      </c>
      <c r="D1076" s="437" t="s">
        <v>401</v>
      </c>
      <c r="E1076" s="283"/>
      <c r="F1076" s="438">
        <f t="shared" si="241"/>
        <v>0</v>
      </c>
      <c r="G1076" s="612">
        <v>37.89</v>
      </c>
      <c r="H1076" s="607">
        <f t="shared" si="242"/>
        <v>0</v>
      </c>
      <c r="I1076" s="606">
        <f t="shared" si="243"/>
        <v>0</v>
      </c>
      <c r="J1076" s="376"/>
    </row>
    <row r="1077" spans="1:10" ht="23.4" x14ac:dyDescent="0.3">
      <c r="A1077" s="1068"/>
      <c r="B1077" s="844"/>
      <c r="C1077" s="282" t="s">
        <v>406</v>
      </c>
      <c r="D1077" s="437" t="s">
        <v>376</v>
      </c>
      <c r="E1077" s="283"/>
      <c r="F1077" s="438">
        <f t="shared" si="241"/>
        <v>0</v>
      </c>
      <c r="G1077" s="612">
        <v>39</v>
      </c>
      <c r="H1077" s="607">
        <f t="shared" si="242"/>
        <v>0</v>
      </c>
      <c r="I1077" s="606">
        <f t="shared" si="243"/>
        <v>0</v>
      </c>
      <c r="J1077" s="376"/>
    </row>
    <row r="1078" spans="1:10" ht="23.4" x14ac:dyDescent="0.3">
      <c r="A1078" s="1068"/>
      <c r="B1078" s="844"/>
      <c r="C1078" s="282" t="s">
        <v>327</v>
      </c>
      <c r="D1078" s="437" t="s">
        <v>190</v>
      </c>
      <c r="E1078" s="283"/>
      <c r="F1078" s="438">
        <f t="shared" si="241"/>
        <v>67626</v>
      </c>
      <c r="G1078" s="612">
        <v>21.22</v>
      </c>
      <c r="H1078" s="607">
        <f t="shared" si="242"/>
        <v>0</v>
      </c>
      <c r="I1078" s="606">
        <f t="shared" si="243"/>
        <v>1435023.72</v>
      </c>
      <c r="J1078" s="376"/>
    </row>
    <row r="1079" spans="1:10" ht="23.4" x14ac:dyDescent="0.3">
      <c r="A1079" s="1068"/>
      <c r="B1079" s="844"/>
      <c r="C1079" s="282" t="s">
        <v>326</v>
      </c>
      <c r="D1079" s="437" t="s">
        <v>190</v>
      </c>
      <c r="E1079" s="283"/>
      <c r="F1079" s="438">
        <f t="shared" si="241"/>
        <v>0</v>
      </c>
      <c r="G1079" s="612">
        <v>21.22</v>
      </c>
      <c r="H1079" s="607">
        <f t="shared" si="242"/>
        <v>0</v>
      </c>
      <c r="I1079" s="606">
        <f t="shared" si="243"/>
        <v>0</v>
      </c>
      <c r="J1079" s="376"/>
    </row>
    <row r="1080" spans="1:10" ht="23.4" x14ac:dyDescent="0.3">
      <c r="A1080" s="1068"/>
      <c r="B1080" s="844"/>
      <c r="C1080" s="282" t="s">
        <v>377</v>
      </c>
      <c r="D1080" s="437" t="s">
        <v>333</v>
      </c>
      <c r="E1080" s="283"/>
      <c r="F1080" s="438">
        <f t="shared" si="241"/>
        <v>0</v>
      </c>
      <c r="G1080" s="612">
        <v>10000</v>
      </c>
      <c r="H1080" s="607">
        <f t="shared" si="242"/>
        <v>0</v>
      </c>
      <c r="I1080" s="606">
        <f t="shared" si="243"/>
        <v>0</v>
      </c>
      <c r="J1080" s="376"/>
    </row>
    <row r="1081" spans="1:10" ht="24" thickBot="1" x14ac:dyDescent="0.35">
      <c r="A1081" s="1068"/>
      <c r="B1081" s="844"/>
      <c r="C1081" s="282" t="s">
        <v>332</v>
      </c>
      <c r="D1081" s="437" t="s">
        <v>333</v>
      </c>
      <c r="E1081" s="283"/>
      <c r="F1081" s="438">
        <f t="shared" si="241"/>
        <v>0</v>
      </c>
      <c r="G1081" s="612">
        <v>360</v>
      </c>
      <c r="H1081" s="607">
        <f t="shared" si="242"/>
        <v>0</v>
      </c>
      <c r="I1081" s="606">
        <f t="shared" si="243"/>
        <v>0</v>
      </c>
      <c r="J1081" s="376"/>
    </row>
    <row r="1082" spans="1:10" ht="24" thickBot="1" x14ac:dyDescent="0.35">
      <c r="A1082" s="1069"/>
      <c r="B1082" s="1063" t="s">
        <v>289</v>
      </c>
      <c r="C1082" s="1064"/>
      <c r="D1082" s="846"/>
      <c r="E1082" s="329">
        <f>SUM(E1061:E1081)</f>
        <v>30888</v>
      </c>
      <c r="F1082" s="329">
        <f>SUM(F1061:F1081)</f>
        <v>281503</v>
      </c>
      <c r="G1082" s="329"/>
      <c r="H1082" s="597">
        <f>SUM(H1061:H1081)</f>
        <v>945828</v>
      </c>
      <c r="I1082" s="589">
        <f>SUM(I1061:I1081)</f>
        <v>6360311.2999999998</v>
      </c>
      <c r="J1082" s="376"/>
    </row>
    <row r="1083" spans="1:10" ht="23.4" x14ac:dyDescent="0.3">
      <c r="A1083" s="1067" t="s">
        <v>109</v>
      </c>
      <c r="B1083" s="844"/>
      <c r="C1083" s="282" t="s">
        <v>296</v>
      </c>
      <c r="D1083" s="437" t="s">
        <v>258</v>
      </c>
      <c r="E1083" s="283"/>
      <c r="F1083" s="438">
        <f t="shared" ref="F1083:F1105" si="244">+F995+E1083</f>
        <v>10410</v>
      </c>
      <c r="G1083" s="612">
        <v>430.02</v>
      </c>
      <c r="H1083" s="603">
        <f>E1083*G1083</f>
        <v>0</v>
      </c>
      <c r="I1083" s="606">
        <f t="shared" ref="I1083:I1105" si="245">+G1083*F1083</f>
        <v>4476508.2</v>
      </c>
      <c r="J1083" s="376"/>
    </row>
    <row r="1084" spans="1:10" ht="23.4" x14ac:dyDescent="0.3">
      <c r="A1084" s="1068"/>
      <c r="B1084" s="844"/>
      <c r="C1084" s="282" t="s">
        <v>297</v>
      </c>
      <c r="D1084" s="437" t="s">
        <v>258</v>
      </c>
      <c r="E1084" s="283"/>
      <c r="F1084" s="438">
        <f t="shared" si="244"/>
        <v>4753</v>
      </c>
      <c r="G1084" s="612">
        <v>445.38</v>
      </c>
      <c r="H1084" s="603">
        <f t="shared" ref="H1084:H1105" si="246">E1084*G1084</f>
        <v>0</v>
      </c>
      <c r="I1084" s="606">
        <f t="shared" si="245"/>
        <v>2116891.14</v>
      </c>
      <c r="J1084" s="376"/>
    </row>
    <row r="1085" spans="1:10" ht="27" customHeight="1" x14ac:dyDescent="0.3">
      <c r="A1085" s="1068"/>
      <c r="B1085" s="844"/>
      <c r="C1085" s="282" t="s">
        <v>467</v>
      </c>
      <c r="D1085" s="437" t="s">
        <v>258</v>
      </c>
      <c r="E1085" s="283"/>
      <c r="F1085" s="438">
        <f t="shared" si="244"/>
        <v>8000</v>
      </c>
      <c r="G1085" s="612">
        <v>445.38</v>
      </c>
      <c r="H1085" s="603">
        <f t="shared" si="246"/>
        <v>0</v>
      </c>
      <c r="I1085" s="606">
        <f t="shared" si="245"/>
        <v>3563040</v>
      </c>
      <c r="J1085" s="376"/>
    </row>
    <row r="1086" spans="1:10" ht="23.4" x14ac:dyDescent="0.3">
      <c r="A1086" s="1068"/>
      <c r="B1086" s="844"/>
      <c r="C1086" s="282" t="s">
        <v>330</v>
      </c>
      <c r="D1086" s="437" t="s">
        <v>258</v>
      </c>
      <c r="E1086" s="283"/>
      <c r="F1086" s="438">
        <f t="shared" si="244"/>
        <v>0</v>
      </c>
      <c r="G1086" s="612">
        <v>63.55</v>
      </c>
      <c r="H1086" s="603">
        <f t="shared" si="246"/>
        <v>0</v>
      </c>
      <c r="I1086" s="606">
        <f t="shared" si="245"/>
        <v>0</v>
      </c>
      <c r="J1086" s="376"/>
    </row>
    <row r="1087" spans="1:10" ht="23.4" x14ac:dyDescent="0.3">
      <c r="A1087" s="1068"/>
      <c r="B1087" s="844"/>
      <c r="C1087" s="282" t="s">
        <v>298</v>
      </c>
      <c r="D1087" s="437" t="s">
        <v>258</v>
      </c>
      <c r="E1087" s="283">
        <v>42000</v>
      </c>
      <c r="F1087" s="438">
        <f t="shared" si="244"/>
        <v>190536</v>
      </c>
      <c r="G1087" s="612">
        <v>71.44</v>
      </c>
      <c r="H1087" s="603">
        <f t="shared" si="246"/>
        <v>3000480</v>
      </c>
      <c r="I1087" s="606">
        <f t="shared" si="245"/>
        <v>13611891.84</v>
      </c>
      <c r="J1087" s="376"/>
    </row>
    <row r="1088" spans="1:10" ht="23.4" x14ac:dyDescent="0.3">
      <c r="A1088" s="1068"/>
      <c r="B1088" s="844"/>
      <c r="C1088" s="282" t="s">
        <v>299</v>
      </c>
      <c r="D1088" s="437" t="s">
        <v>258</v>
      </c>
      <c r="E1088" s="283"/>
      <c r="F1088" s="438">
        <f t="shared" si="244"/>
        <v>300</v>
      </c>
      <c r="G1088" s="612">
        <v>36.5</v>
      </c>
      <c r="H1088" s="603">
        <f t="shared" si="246"/>
        <v>0</v>
      </c>
      <c r="I1088" s="606">
        <f t="shared" si="245"/>
        <v>10950</v>
      </c>
      <c r="J1088" s="376"/>
    </row>
    <row r="1089" spans="1:10" ht="23.4" x14ac:dyDescent="0.3">
      <c r="A1089" s="1068"/>
      <c r="B1089" s="844"/>
      <c r="C1089" s="282" t="s">
        <v>514</v>
      </c>
      <c r="D1089" s="437" t="s">
        <v>258</v>
      </c>
      <c r="E1089" s="283"/>
      <c r="F1089" s="438">
        <f t="shared" si="244"/>
        <v>1114</v>
      </c>
      <c r="G1089" s="612">
        <v>320.35000000000002</v>
      </c>
      <c r="H1089" s="603">
        <f t="shared" si="246"/>
        <v>0</v>
      </c>
      <c r="I1089" s="606">
        <f t="shared" si="245"/>
        <v>356869.9</v>
      </c>
      <c r="J1089" s="376"/>
    </row>
    <row r="1090" spans="1:10" ht="23.4" x14ac:dyDescent="0.3">
      <c r="A1090" s="1068"/>
      <c r="B1090" s="844"/>
      <c r="C1090" s="282" t="s">
        <v>308</v>
      </c>
      <c r="D1090" s="437" t="s">
        <v>258</v>
      </c>
      <c r="E1090" s="283"/>
      <c r="F1090" s="438">
        <f t="shared" si="244"/>
        <v>8200</v>
      </c>
      <c r="G1090" s="612">
        <v>320.35000000000002</v>
      </c>
      <c r="H1090" s="603">
        <f t="shared" si="246"/>
        <v>0</v>
      </c>
      <c r="I1090" s="606">
        <f t="shared" si="245"/>
        <v>2626870</v>
      </c>
      <c r="J1090" s="376"/>
    </row>
    <row r="1091" spans="1:10" ht="23.4" x14ac:dyDescent="0.3">
      <c r="A1091" s="1068"/>
      <c r="B1091" s="844"/>
      <c r="C1091" s="282" t="s">
        <v>322</v>
      </c>
      <c r="D1091" s="437" t="s">
        <v>258</v>
      </c>
      <c r="E1091" s="283"/>
      <c r="F1091" s="438">
        <f t="shared" si="244"/>
        <v>0</v>
      </c>
      <c r="G1091" s="612">
        <v>434.41</v>
      </c>
      <c r="H1091" s="603">
        <f t="shared" si="246"/>
        <v>0</v>
      </c>
      <c r="I1091" s="606">
        <f t="shared" si="245"/>
        <v>0</v>
      </c>
      <c r="J1091" s="376"/>
    </row>
    <row r="1092" spans="1:10" ht="23.4" x14ac:dyDescent="0.3">
      <c r="A1092" s="1068"/>
      <c r="B1092" s="844"/>
      <c r="C1092" s="282" t="s">
        <v>305</v>
      </c>
      <c r="D1092" s="437" t="s">
        <v>258</v>
      </c>
      <c r="E1092" s="283"/>
      <c r="F1092" s="438">
        <f t="shared" si="244"/>
        <v>1</v>
      </c>
      <c r="G1092" s="612">
        <v>29690</v>
      </c>
      <c r="H1092" s="603">
        <f t="shared" si="246"/>
        <v>0</v>
      </c>
      <c r="I1092" s="606">
        <f t="shared" si="245"/>
        <v>29690</v>
      </c>
      <c r="J1092" s="376"/>
    </row>
    <row r="1093" spans="1:10" ht="23.4" x14ac:dyDescent="0.3">
      <c r="A1093" s="1068"/>
      <c r="B1093" s="844"/>
      <c r="C1093" s="282" t="s">
        <v>305</v>
      </c>
      <c r="D1093" s="437" t="s">
        <v>258</v>
      </c>
      <c r="E1093" s="283">
        <v>2</v>
      </c>
      <c r="F1093" s="438">
        <f t="shared" si="244"/>
        <v>4</v>
      </c>
      <c r="G1093" s="612">
        <v>26445</v>
      </c>
      <c r="H1093" s="603">
        <f t="shared" si="246"/>
        <v>52890</v>
      </c>
      <c r="I1093" s="606">
        <f t="shared" si="245"/>
        <v>105780</v>
      </c>
      <c r="J1093" s="376"/>
    </row>
    <row r="1094" spans="1:10" ht="23.4" x14ac:dyDescent="0.3">
      <c r="A1094" s="1068"/>
      <c r="B1094" s="844"/>
      <c r="C1094" s="282" t="s">
        <v>341</v>
      </c>
      <c r="D1094" s="437" t="s">
        <v>375</v>
      </c>
      <c r="E1094" s="283"/>
      <c r="F1094" s="438">
        <f t="shared" si="244"/>
        <v>2835</v>
      </c>
      <c r="G1094" s="612">
        <v>50</v>
      </c>
      <c r="H1094" s="603">
        <f t="shared" si="246"/>
        <v>0</v>
      </c>
      <c r="I1094" s="606">
        <f t="shared" si="245"/>
        <v>141750</v>
      </c>
      <c r="J1094" s="376"/>
    </row>
    <row r="1095" spans="1:10" ht="23.4" x14ac:dyDescent="0.3">
      <c r="A1095" s="1068"/>
      <c r="B1095" s="844"/>
      <c r="C1095" s="282" t="s">
        <v>341</v>
      </c>
      <c r="D1095" s="437" t="s">
        <v>375</v>
      </c>
      <c r="E1095" s="283"/>
      <c r="F1095" s="438">
        <f t="shared" si="244"/>
        <v>0</v>
      </c>
      <c r="G1095" s="612">
        <v>45</v>
      </c>
      <c r="H1095" s="603">
        <f t="shared" si="246"/>
        <v>0</v>
      </c>
      <c r="I1095" s="606">
        <f t="shared" si="245"/>
        <v>0</v>
      </c>
      <c r="J1095" s="376"/>
    </row>
    <row r="1096" spans="1:10" ht="23.4" x14ac:dyDescent="0.3">
      <c r="A1096" s="1068"/>
      <c r="B1096" s="844"/>
      <c r="C1096" s="282" t="s">
        <v>364</v>
      </c>
      <c r="D1096" s="437" t="s">
        <v>428</v>
      </c>
      <c r="E1096" s="283"/>
      <c r="F1096" s="438">
        <f t="shared" si="244"/>
        <v>700</v>
      </c>
      <c r="G1096" s="612">
        <v>57.64</v>
      </c>
      <c r="H1096" s="603">
        <f t="shared" si="246"/>
        <v>0</v>
      </c>
      <c r="I1096" s="606">
        <f t="shared" si="245"/>
        <v>40348</v>
      </c>
      <c r="J1096" s="376"/>
    </row>
    <row r="1097" spans="1:10" ht="23.4" x14ac:dyDescent="0.3">
      <c r="A1097" s="1068"/>
      <c r="B1097" s="844"/>
      <c r="C1097" s="282" t="s">
        <v>364</v>
      </c>
      <c r="D1097" s="437" t="s">
        <v>407</v>
      </c>
      <c r="E1097" s="283"/>
      <c r="F1097" s="438">
        <f t="shared" si="244"/>
        <v>0</v>
      </c>
      <c r="G1097" s="612">
        <v>57.64</v>
      </c>
      <c r="H1097" s="603">
        <f t="shared" si="246"/>
        <v>0</v>
      </c>
      <c r="I1097" s="606">
        <f t="shared" si="245"/>
        <v>0</v>
      </c>
      <c r="J1097" s="376"/>
    </row>
    <row r="1098" spans="1:10" ht="23.4" x14ac:dyDescent="0.3">
      <c r="A1098" s="1068"/>
      <c r="B1098" s="844"/>
      <c r="C1098" s="282" t="s">
        <v>365</v>
      </c>
      <c r="D1098" s="437" t="s">
        <v>366</v>
      </c>
      <c r="E1098" s="283"/>
      <c r="F1098" s="438">
        <f t="shared" si="244"/>
        <v>2240</v>
      </c>
      <c r="G1098" s="612">
        <v>434.41</v>
      </c>
      <c r="H1098" s="603">
        <f t="shared" si="246"/>
        <v>0</v>
      </c>
      <c r="I1098" s="606">
        <f t="shared" si="245"/>
        <v>973078.4</v>
      </c>
      <c r="J1098" s="376"/>
    </row>
    <row r="1099" spans="1:10" ht="23.4" x14ac:dyDescent="0.3">
      <c r="A1099" s="1068"/>
      <c r="B1099" s="844"/>
      <c r="C1099" s="282" t="s">
        <v>381</v>
      </c>
      <c r="D1099" s="437" t="s">
        <v>258</v>
      </c>
      <c r="E1099" s="283"/>
      <c r="F1099" s="438">
        <f t="shared" si="244"/>
        <v>0</v>
      </c>
      <c r="G1099" s="612">
        <v>624.26</v>
      </c>
      <c r="H1099" s="603">
        <f t="shared" si="246"/>
        <v>0</v>
      </c>
      <c r="I1099" s="606">
        <f t="shared" si="245"/>
        <v>0</v>
      </c>
      <c r="J1099" s="376"/>
    </row>
    <row r="1100" spans="1:10" ht="23.4" x14ac:dyDescent="0.3">
      <c r="A1100" s="1068"/>
      <c r="B1100" s="844"/>
      <c r="C1100" s="282" t="s">
        <v>367</v>
      </c>
      <c r="D1100" s="437" t="s">
        <v>366</v>
      </c>
      <c r="E1100" s="283"/>
      <c r="F1100" s="438">
        <f t="shared" si="244"/>
        <v>5760</v>
      </c>
      <c r="G1100" s="612">
        <v>63.55</v>
      </c>
      <c r="H1100" s="603">
        <f t="shared" si="246"/>
        <v>0</v>
      </c>
      <c r="I1100" s="606">
        <f t="shared" si="245"/>
        <v>366048</v>
      </c>
      <c r="J1100" s="376"/>
    </row>
    <row r="1101" spans="1:10" ht="23.4" x14ac:dyDescent="0.3">
      <c r="A1101" s="1068"/>
      <c r="B1101" s="844"/>
      <c r="C1101" s="282" t="s">
        <v>429</v>
      </c>
      <c r="D1101" s="437" t="s">
        <v>258</v>
      </c>
      <c r="E1101" s="283"/>
      <c r="F1101" s="438">
        <f t="shared" si="244"/>
        <v>98664</v>
      </c>
      <c r="G1101" s="612">
        <v>59.96</v>
      </c>
      <c r="H1101" s="603">
        <f t="shared" si="246"/>
        <v>0</v>
      </c>
      <c r="I1101" s="606">
        <f t="shared" si="245"/>
        <v>5915893.4400000004</v>
      </c>
      <c r="J1101" s="376"/>
    </row>
    <row r="1102" spans="1:10" ht="23.4" x14ac:dyDescent="0.3">
      <c r="A1102" s="1068"/>
      <c r="B1102" s="844"/>
      <c r="C1102" s="282" t="s">
        <v>501</v>
      </c>
      <c r="D1102" s="437" t="s">
        <v>366</v>
      </c>
      <c r="E1102" s="283"/>
      <c r="F1102" s="438">
        <f t="shared" si="244"/>
        <v>8640</v>
      </c>
      <c r="G1102" s="612">
        <v>53.86</v>
      </c>
      <c r="H1102" s="603">
        <f t="shared" si="246"/>
        <v>0</v>
      </c>
      <c r="I1102" s="606">
        <f t="shared" si="245"/>
        <v>465350.40000000002</v>
      </c>
      <c r="J1102" s="376"/>
    </row>
    <row r="1103" spans="1:10" ht="23.4" x14ac:dyDescent="0.3">
      <c r="A1103" s="1068"/>
      <c r="B1103" s="844"/>
      <c r="C1103" s="282" t="s">
        <v>446</v>
      </c>
      <c r="D1103" s="437"/>
      <c r="E1103" s="283"/>
      <c r="F1103" s="438">
        <f t="shared" si="244"/>
        <v>8318</v>
      </c>
      <c r="G1103" s="612">
        <v>360</v>
      </c>
      <c r="H1103" s="603">
        <f t="shared" si="246"/>
        <v>0</v>
      </c>
      <c r="I1103" s="606">
        <f t="shared" si="245"/>
        <v>2994480</v>
      </c>
      <c r="J1103" s="376"/>
    </row>
    <row r="1104" spans="1:10" ht="23.4" x14ac:dyDescent="0.3">
      <c r="A1104" s="1068"/>
      <c r="B1104" s="844"/>
      <c r="C1104" s="282" t="s">
        <v>305</v>
      </c>
      <c r="D1104" s="437"/>
      <c r="E1104" s="283"/>
      <c r="F1104" s="438">
        <f t="shared" si="244"/>
        <v>0</v>
      </c>
      <c r="G1104" s="612">
        <v>39450</v>
      </c>
      <c r="H1104" s="603">
        <f t="shared" si="246"/>
        <v>0</v>
      </c>
      <c r="I1104" s="606">
        <f t="shared" si="245"/>
        <v>0</v>
      </c>
      <c r="J1104" s="376"/>
    </row>
    <row r="1105" spans="1:10" ht="24" thickBot="1" x14ac:dyDescent="0.35">
      <c r="A1105" s="1068"/>
      <c r="B1105" s="844"/>
      <c r="C1105" s="282" t="s">
        <v>364</v>
      </c>
      <c r="D1105" s="437" t="s">
        <v>258</v>
      </c>
      <c r="E1105" s="283"/>
      <c r="F1105" s="438">
        <f t="shared" si="244"/>
        <v>0</v>
      </c>
      <c r="G1105" s="612">
        <v>57.64</v>
      </c>
      <c r="H1105" s="603">
        <f t="shared" si="246"/>
        <v>0</v>
      </c>
      <c r="I1105" s="606">
        <f t="shared" si="245"/>
        <v>0</v>
      </c>
      <c r="J1105" s="376"/>
    </row>
    <row r="1106" spans="1:10" ht="24" thickBot="1" x14ac:dyDescent="0.35">
      <c r="A1106" s="1069"/>
      <c r="B1106" s="1063" t="s">
        <v>291</v>
      </c>
      <c r="C1106" s="1064"/>
      <c r="D1106" s="846"/>
      <c r="E1106" s="329">
        <f>SUM(E1083:E1105)</f>
        <v>42002</v>
      </c>
      <c r="F1106" s="329">
        <f>SUM(F1083:F1105)</f>
        <v>350475</v>
      </c>
      <c r="G1106" s="329"/>
      <c r="H1106" s="600">
        <f>SUM(H1083:H1105)</f>
        <v>3053370</v>
      </c>
      <c r="I1106" s="589">
        <f>SUM(I1083:I1105)</f>
        <v>37795439.319999993</v>
      </c>
      <c r="J1106" s="375"/>
    </row>
    <row r="1107" spans="1:10" ht="24" thickBot="1" x14ac:dyDescent="0.35">
      <c r="A1107" s="849"/>
      <c r="B1107" s="440"/>
      <c r="C1107" s="282" t="s">
        <v>446</v>
      </c>
      <c r="D1107" s="437"/>
      <c r="E1107" s="283"/>
      <c r="F1107" s="284">
        <f>+F1019+E1107</f>
        <v>0</v>
      </c>
      <c r="G1107" s="337"/>
      <c r="H1107" s="599">
        <f t="shared" ref="H1107" si="247">E1107*G1107</f>
        <v>0</v>
      </c>
      <c r="I1107" s="285">
        <f t="shared" ref="I1107" si="248">+G1107*F1107</f>
        <v>0</v>
      </c>
      <c r="J1107" s="376"/>
    </row>
    <row r="1108" spans="1:10" ht="24" thickBot="1" x14ac:dyDescent="0.35">
      <c r="A1108" s="849"/>
      <c r="B1108" s="1063" t="s">
        <v>238</v>
      </c>
      <c r="C1108" s="1064"/>
      <c r="D1108" s="842"/>
      <c r="E1108" s="329"/>
      <c r="F1108" s="330"/>
      <c r="G1108" s="329"/>
      <c r="H1108" s="597"/>
      <c r="I1108" s="327">
        <f>SUM(I1107)</f>
        <v>0</v>
      </c>
      <c r="J1108" s="352"/>
    </row>
    <row r="1109" spans="1:10" ht="24.6" thickBot="1" x14ac:dyDescent="0.35">
      <c r="A1109" s="322"/>
      <c r="B1109" s="1065" t="s">
        <v>182</v>
      </c>
      <c r="C1109" s="1066"/>
      <c r="D1109" s="843"/>
      <c r="E1109" s="377">
        <f>+E1106+E1082+E1060+E1058</f>
        <v>135419</v>
      </c>
      <c r="F1109" s="377">
        <f>+F1106+F1082+F1060+F1058</f>
        <v>2938434</v>
      </c>
      <c r="G1109" s="377"/>
      <c r="H1109" s="377"/>
      <c r="I1109" s="377">
        <f>+I1106+I1082+I1060+I1108</f>
        <v>112974390.67</v>
      </c>
      <c r="J1109" s="378"/>
    </row>
    <row r="1110" spans="1:10" ht="23.4" x14ac:dyDescent="0.3">
      <c r="A1110" s="991" t="s">
        <v>1</v>
      </c>
      <c r="B1110" s="994" t="s">
        <v>2</v>
      </c>
      <c r="C1110" s="1072" t="s">
        <v>477</v>
      </c>
      <c r="D1110" s="1043" t="s">
        <v>478</v>
      </c>
      <c r="E1110" s="1076" t="s">
        <v>536</v>
      </c>
      <c r="F1110" s="1001"/>
      <c r="G1110" s="1001"/>
      <c r="H1110" s="1001"/>
      <c r="I1110" s="1001"/>
      <c r="J1110" s="1002"/>
    </row>
    <row r="1111" spans="1:10" ht="23.4" x14ac:dyDescent="0.3">
      <c r="A1111" s="1070"/>
      <c r="B1111" s="1071"/>
      <c r="C1111" s="1073"/>
      <c r="D1111" s="1044"/>
      <c r="E1111" s="1077" t="s">
        <v>493</v>
      </c>
      <c r="F1111" s="1078"/>
      <c r="G1111" s="1077" t="s">
        <v>492</v>
      </c>
      <c r="H1111" s="1079"/>
      <c r="I1111" s="1079"/>
      <c r="J1111" s="1078"/>
    </row>
    <row r="1112" spans="1:10" x14ac:dyDescent="0.3">
      <c r="A1112" s="992"/>
      <c r="B1112" s="995"/>
      <c r="C1112" s="1074"/>
      <c r="D1112" s="1044"/>
      <c r="E1112" s="1003" t="s">
        <v>494</v>
      </c>
      <c r="F1112" s="1005" t="s">
        <v>495</v>
      </c>
      <c r="G1112" s="1081" t="s">
        <v>97</v>
      </c>
      <c r="H1112" s="1083" t="s">
        <v>98</v>
      </c>
      <c r="I1112" s="1083" t="s">
        <v>98</v>
      </c>
      <c r="J1112" s="1085" t="s">
        <v>12</v>
      </c>
    </row>
    <row r="1113" spans="1:10" ht="14.4" thickBot="1" x14ac:dyDescent="0.35">
      <c r="A1113" s="993"/>
      <c r="B1113" s="996"/>
      <c r="C1113" s="1075"/>
      <c r="D1113" s="1045"/>
      <c r="E1113" s="1004"/>
      <c r="F1113" s="1080"/>
      <c r="G1113" s="1082"/>
      <c r="H1113" s="1084"/>
      <c r="I1113" s="1084"/>
      <c r="J1113" s="1086"/>
    </row>
    <row r="1114" spans="1:10" ht="23.4" x14ac:dyDescent="0.3">
      <c r="A1114" s="1067" t="s">
        <v>110</v>
      </c>
      <c r="B1114" s="442"/>
      <c r="C1114" s="584" t="s">
        <v>292</v>
      </c>
      <c r="D1114" s="686" t="s">
        <v>284</v>
      </c>
      <c r="E1114" s="744"/>
      <c r="F1114" s="695">
        <f>+F1026+E1114</f>
        <v>0</v>
      </c>
      <c r="G1114" s="741">
        <v>111.09</v>
      </c>
      <c r="H1114" s="601">
        <f t="shared" ref="H1114:H1127" si="249">E1114*G1114</f>
        <v>0</v>
      </c>
      <c r="I1114" s="604">
        <f>+G1114*F1114</f>
        <v>0</v>
      </c>
      <c r="J1114" s="354"/>
    </row>
    <row r="1115" spans="1:10" ht="23.4" x14ac:dyDescent="0.3">
      <c r="A1115" s="1068"/>
      <c r="B1115" s="441"/>
      <c r="C1115" s="444" t="s">
        <v>285</v>
      </c>
      <c r="D1115" s="687" t="s">
        <v>286</v>
      </c>
      <c r="E1115" s="745"/>
      <c r="F1115" s="746">
        <f t="shared" ref="F1115:F1127" si="250">+F1027+E1115</f>
        <v>0</v>
      </c>
      <c r="G1115" s="742">
        <v>11</v>
      </c>
      <c r="H1115" s="602">
        <f t="shared" si="249"/>
        <v>0</v>
      </c>
      <c r="I1115" s="605">
        <f>+G1115*F1115</f>
        <v>0</v>
      </c>
      <c r="J1115" s="355"/>
    </row>
    <row r="1116" spans="1:10" ht="23.4" x14ac:dyDescent="0.3">
      <c r="A1116" s="1068"/>
      <c r="B1116" s="441"/>
      <c r="C1116" s="444" t="s">
        <v>321</v>
      </c>
      <c r="D1116" s="687" t="s">
        <v>400</v>
      </c>
      <c r="E1116" s="745"/>
      <c r="F1116" s="746">
        <f t="shared" si="250"/>
        <v>0</v>
      </c>
      <c r="G1116" s="742">
        <v>139.04</v>
      </c>
      <c r="H1116" s="602">
        <f t="shared" si="249"/>
        <v>0</v>
      </c>
      <c r="I1116" s="605">
        <f t="shared" ref="I1116:I1127" si="251">+G1116*F1116</f>
        <v>0</v>
      </c>
      <c r="J1116" s="355"/>
    </row>
    <row r="1117" spans="1:10" ht="23.4" x14ac:dyDescent="0.3">
      <c r="A1117" s="1068"/>
      <c r="B1117" s="441"/>
      <c r="C1117" s="444" t="s">
        <v>397</v>
      </c>
      <c r="D1117" s="687" t="s">
        <v>398</v>
      </c>
      <c r="E1117" s="745"/>
      <c r="F1117" s="746">
        <f t="shared" si="250"/>
        <v>856800</v>
      </c>
      <c r="G1117" s="795">
        <v>20.5</v>
      </c>
      <c r="H1117" s="602">
        <f t="shared" si="249"/>
        <v>0</v>
      </c>
      <c r="I1117" s="605">
        <f t="shared" si="251"/>
        <v>17564400</v>
      </c>
      <c r="J1117" s="355"/>
    </row>
    <row r="1118" spans="1:10" ht="23.4" x14ac:dyDescent="0.3">
      <c r="A1118" s="1068"/>
      <c r="B1118" s="441"/>
      <c r="C1118" s="444" t="s">
        <v>312</v>
      </c>
      <c r="D1118" s="687" t="s">
        <v>190</v>
      </c>
      <c r="E1118" s="745"/>
      <c r="F1118" s="746">
        <f t="shared" si="250"/>
        <v>0</v>
      </c>
      <c r="G1118" s="742">
        <v>14.79</v>
      </c>
      <c r="H1118" s="602">
        <f t="shared" si="249"/>
        <v>0</v>
      </c>
      <c r="I1118" s="605">
        <f t="shared" si="251"/>
        <v>0</v>
      </c>
      <c r="J1118" s="355"/>
    </row>
    <row r="1119" spans="1:10" ht="23.4" x14ac:dyDescent="0.3">
      <c r="A1119" s="1068"/>
      <c r="B1119" s="441"/>
      <c r="C1119" s="444" t="s">
        <v>321</v>
      </c>
      <c r="D1119" s="687" t="s">
        <v>286</v>
      </c>
      <c r="E1119" s="745">
        <v>1920</v>
      </c>
      <c r="F1119" s="746">
        <f t="shared" si="250"/>
        <v>5515</v>
      </c>
      <c r="G1119" s="742">
        <v>139.04</v>
      </c>
      <c r="H1119" s="602">
        <f t="shared" si="249"/>
        <v>266956.79999999999</v>
      </c>
      <c r="I1119" s="605">
        <f t="shared" si="251"/>
        <v>766805.6</v>
      </c>
      <c r="J1119" s="355"/>
    </row>
    <row r="1120" spans="1:10" ht="23.4" x14ac:dyDescent="0.3">
      <c r="A1120" s="1068"/>
      <c r="B1120" s="441"/>
      <c r="C1120" s="444" t="s">
        <v>472</v>
      </c>
      <c r="D1120" s="688" t="s">
        <v>396</v>
      </c>
      <c r="E1120" s="745"/>
      <c r="F1120" s="746">
        <f t="shared" si="250"/>
        <v>29760</v>
      </c>
      <c r="G1120" s="742">
        <v>147.58000000000001</v>
      </c>
      <c r="H1120" s="602">
        <f t="shared" si="249"/>
        <v>0</v>
      </c>
      <c r="I1120" s="605">
        <f t="shared" si="251"/>
        <v>4391980.8000000007</v>
      </c>
      <c r="J1120" s="355"/>
    </row>
    <row r="1121" spans="1:10" ht="23.4" x14ac:dyDescent="0.3">
      <c r="A1121" s="1068"/>
      <c r="B1121" s="441"/>
      <c r="C1121" s="444" t="s">
        <v>345</v>
      </c>
      <c r="D1121" s="688" t="s">
        <v>286</v>
      </c>
      <c r="E1121" s="745"/>
      <c r="F1121" s="746">
        <f t="shared" si="250"/>
        <v>36720</v>
      </c>
      <c r="G1121" s="742">
        <v>18.84</v>
      </c>
      <c r="H1121" s="602">
        <f t="shared" si="249"/>
        <v>0</v>
      </c>
      <c r="I1121" s="605">
        <f t="shared" si="251"/>
        <v>691804.8</v>
      </c>
      <c r="J1121" s="355"/>
    </row>
    <row r="1122" spans="1:10" ht="23.4" x14ac:dyDescent="0.3">
      <c r="A1122" s="1068"/>
      <c r="B1122" s="441"/>
      <c r="C1122" s="444" t="s">
        <v>357</v>
      </c>
      <c r="D1122" s="688" t="s">
        <v>252</v>
      </c>
      <c r="E1122" s="745"/>
      <c r="F1122" s="746">
        <f t="shared" si="250"/>
        <v>550800</v>
      </c>
      <c r="G1122" s="742">
        <v>21.18</v>
      </c>
      <c r="H1122" s="602">
        <f t="shared" si="249"/>
        <v>0</v>
      </c>
      <c r="I1122" s="605">
        <f t="shared" si="251"/>
        <v>11665944</v>
      </c>
      <c r="J1122" s="355"/>
    </row>
    <row r="1123" spans="1:10" ht="23.4" x14ac:dyDescent="0.3">
      <c r="A1123" s="1068"/>
      <c r="B1123" s="441"/>
      <c r="C1123" s="444" t="s">
        <v>359</v>
      </c>
      <c r="D1123" s="688" t="s">
        <v>360</v>
      </c>
      <c r="E1123" s="745"/>
      <c r="F1123" s="746">
        <f t="shared" si="250"/>
        <v>0</v>
      </c>
      <c r="G1123" s="742">
        <v>21.28</v>
      </c>
      <c r="H1123" s="602">
        <f t="shared" si="249"/>
        <v>0</v>
      </c>
      <c r="I1123" s="605">
        <f t="shared" si="251"/>
        <v>0</v>
      </c>
      <c r="J1123" s="355"/>
    </row>
    <row r="1124" spans="1:10" ht="23.4" x14ac:dyDescent="0.3">
      <c r="A1124" s="1068"/>
      <c r="B1124" s="441"/>
      <c r="C1124" s="444" t="s">
        <v>445</v>
      </c>
      <c r="D1124" s="688" t="s">
        <v>436</v>
      </c>
      <c r="E1124" s="745"/>
      <c r="F1124" s="746">
        <f t="shared" si="250"/>
        <v>19840</v>
      </c>
      <c r="G1124" s="742">
        <v>143.28</v>
      </c>
      <c r="H1124" s="602">
        <f t="shared" si="249"/>
        <v>0</v>
      </c>
      <c r="I1124" s="605">
        <f t="shared" si="251"/>
        <v>2842675.2000000002</v>
      </c>
      <c r="J1124" s="355"/>
    </row>
    <row r="1125" spans="1:10" ht="23.4" x14ac:dyDescent="0.3">
      <c r="A1125" s="1068"/>
      <c r="B1125" s="441"/>
      <c r="C1125" s="444" t="s">
        <v>403</v>
      </c>
      <c r="D1125" s="687" t="s">
        <v>190</v>
      </c>
      <c r="E1125" s="745"/>
      <c r="F1125" s="746">
        <f t="shared" si="250"/>
        <v>135168</v>
      </c>
      <c r="G1125" s="742">
        <v>14.55</v>
      </c>
      <c r="H1125" s="602">
        <f t="shared" ref="H1125" si="252">E1125*G1125</f>
        <v>0</v>
      </c>
      <c r="I1125" s="605">
        <f t="shared" ref="I1125" si="253">+G1125*F1125</f>
        <v>1966694.4000000001</v>
      </c>
      <c r="J1125" s="355"/>
    </row>
    <row r="1126" spans="1:10" ht="23.4" x14ac:dyDescent="0.3">
      <c r="A1126" s="1068"/>
      <c r="B1126" s="441"/>
      <c r="C1126" s="444" t="s">
        <v>362</v>
      </c>
      <c r="D1126" s="688" t="s">
        <v>202</v>
      </c>
      <c r="E1126" s="745"/>
      <c r="F1126" s="746">
        <f t="shared" si="250"/>
        <v>0</v>
      </c>
      <c r="G1126" s="742">
        <v>21.28</v>
      </c>
      <c r="H1126" s="602">
        <f t="shared" si="249"/>
        <v>0</v>
      </c>
      <c r="I1126" s="605">
        <f t="shared" si="251"/>
        <v>0</v>
      </c>
      <c r="J1126" s="355"/>
    </row>
    <row r="1127" spans="1:10" ht="24" thickBot="1" x14ac:dyDescent="0.35">
      <c r="A1127" s="1068"/>
      <c r="B1127" s="441"/>
      <c r="C1127" s="444" t="s">
        <v>374</v>
      </c>
      <c r="D1127" s="689" t="s">
        <v>191</v>
      </c>
      <c r="E1127" s="745"/>
      <c r="F1127" s="697">
        <f t="shared" si="250"/>
        <v>0</v>
      </c>
      <c r="G1127" s="742">
        <v>36.44</v>
      </c>
      <c r="H1127" s="602">
        <f t="shared" si="249"/>
        <v>0</v>
      </c>
      <c r="I1127" s="605">
        <f t="shared" si="251"/>
        <v>0</v>
      </c>
      <c r="J1127" s="355"/>
    </row>
    <row r="1128" spans="1:10" ht="24" thickBot="1" x14ac:dyDescent="0.35">
      <c r="A1128" s="1068"/>
      <c r="B1128" s="1063" t="s">
        <v>287</v>
      </c>
      <c r="C1128" s="1064"/>
      <c r="D1128" s="854"/>
      <c r="E1128" s="329">
        <f>SUM(E1114:E1127)</f>
        <v>1920</v>
      </c>
      <c r="F1128" s="743">
        <f>SUM(F1114:F1127)</f>
        <v>1634603</v>
      </c>
      <c r="G1128" s="329"/>
      <c r="H1128" s="597">
        <f>SUM(H1114:H1127)</f>
        <v>266956.79999999999</v>
      </c>
      <c r="I1128" s="589">
        <f>SUM(I1114:I1127)</f>
        <v>39890304.800000004</v>
      </c>
      <c r="J1128" s="352"/>
    </row>
    <row r="1129" spans="1:10" ht="23.4" x14ac:dyDescent="0.3">
      <c r="A1129" s="1068"/>
      <c r="B1129" s="852"/>
      <c r="C1129" s="282" t="s">
        <v>293</v>
      </c>
      <c r="D1129" s="437" t="s">
        <v>258</v>
      </c>
      <c r="E1129" s="283"/>
      <c r="F1129" s="438">
        <f t="shared" ref="F1129:F1134" si="254">+F1041+E1129</f>
        <v>49000</v>
      </c>
      <c r="G1129" s="587">
        <v>160.44999999999999</v>
      </c>
      <c r="H1129" s="603">
        <f t="shared" ref="H1129:H1141" si="255">E1129*G1129</f>
        <v>0</v>
      </c>
      <c r="I1129" s="606">
        <f t="shared" ref="I1129:I1141" si="256">+G1129*F1129</f>
        <v>7862049.9999999991</v>
      </c>
      <c r="J1129" s="376"/>
    </row>
    <row r="1130" spans="1:10" ht="23.4" x14ac:dyDescent="0.3">
      <c r="A1130" s="1068"/>
      <c r="B1130" s="852"/>
      <c r="C1130" s="282" t="s">
        <v>309</v>
      </c>
      <c r="D1130" s="437" t="s">
        <v>258</v>
      </c>
      <c r="E1130" s="283"/>
      <c r="F1130" s="438">
        <f t="shared" si="254"/>
        <v>0</v>
      </c>
      <c r="G1130" s="587">
        <v>160.44999999999999</v>
      </c>
      <c r="H1130" s="603">
        <f t="shared" si="255"/>
        <v>0</v>
      </c>
      <c r="I1130" s="606">
        <f t="shared" si="256"/>
        <v>0</v>
      </c>
      <c r="J1130" s="376"/>
    </row>
    <row r="1131" spans="1:10" ht="23.4" x14ac:dyDescent="0.3">
      <c r="A1131" s="1068"/>
      <c r="B1131" s="852"/>
      <c r="C1131" s="282" t="s">
        <v>463</v>
      </c>
      <c r="D1131" s="437" t="s">
        <v>258</v>
      </c>
      <c r="E1131" s="283"/>
      <c r="F1131" s="438">
        <f t="shared" si="254"/>
        <v>13500</v>
      </c>
      <c r="G1131" s="587">
        <v>160.44999999999999</v>
      </c>
      <c r="H1131" s="603">
        <f t="shared" si="255"/>
        <v>0</v>
      </c>
      <c r="I1131" s="606">
        <f t="shared" si="256"/>
        <v>2166075</v>
      </c>
      <c r="J1131" s="376"/>
    </row>
    <row r="1132" spans="1:10" ht="23.4" x14ac:dyDescent="0.3">
      <c r="A1132" s="1068"/>
      <c r="B1132" s="852"/>
      <c r="C1132" s="282" t="s">
        <v>311</v>
      </c>
      <c r="D1132" s="437" t="s">
        <v>100</v>
      </c>
      <c r="E1132" s="283"/>
      <c r="F1132" s="438">
        <f t="shared" si="254"/>
        <v>0</v>
      </c>
      <c r="G1132" s="587">
        <v>27</v>
      </c>
      <c r="H1132" s="603">
        <f t="shared" si="255"/>
        <v>0</v>
      </c>
      <c r="I1132" s="606">
        <f t="shared" si="256"/>
        <v>0</v>
      </c>
      <c r="J1132" s="376"/>
    </row>
    <row r="1133" spans="1:10" ht="23.4" x14ac:dyDescent="0.3">
      <c r="A1133" s="1068"/>
      <c r="B1133" s="852"/>
      <c r="C1133" s="282" t="s">
        <v>311</v>
      </c>
      <c r="D1133" s="437" t="s">
        <v>318</v>
      </c>
      <c r="E1133" s="283">
        <v>55440</v>
      </c>
      <c r="F1133" s="438">
        <f t="shared" si="254"/>
        <v>380160</v>
      </c>
      <c r="G1133" s="587">
        <v>27.5</v>
      </c>
      <c r="H1133" s="603">
        <f t="shared" si="255"/>
        <v>1524600</v>
      </c>
      <c r="I1133" s="606">
        <f t="shared" si="256"/>
        <v>10454400</v>
      </c>
      <c r="J1133" s="376"/>
    </row>
    <row r="1134" spans="1:10" ht="23.4" x14ac:dyDescent="0.3">
      <c r="A1134" s="1068"/>
      <c r="B1134" s="852"/>
      <c r="C1134" s="282" t="s">
        <v>299</v>
      </c>
      <c r="D1134" s="437" t="s">
        <v>318</v>
      </c>
      <c r="E1134" s="283">
        <v>1848</v>
      </c>
      <c r="F1134" s="438">
        <f t="shared" si="254"/>
        <v>12680</v>
      </c>
      <c r="G1134" s="587">
        <v>34.5</v>
      </c>
      <c r="H1134" s="603">
        <f t="shared" si="255"/>
        <v>63756</v>
      </c>
      <c r="I1134" s="606">
        <f t="shared" si="256"/>
        <v>437460</v>
      </c>
      <c r="J1134" s="376"/>
    </row>
    <row r="1135" spans="1:10" ht="23.4" x14ac:dyDescent="0.3">
      <c r="A1135" s="1068"/>
      <c r="B1135" s="858"/>
      <c r="C1135" s="282" t="s">
        <v>550</v>
      </c>
      <c r="D1135" s="437" t="s">
        <v>549</v>
      </c>
      <c r="E1135" s="283">
        <v>31200</v>
      </c>
      <c r="F1135" s="438">
        <f>+E1135</f>
        <v>31200</v>
      </c>
      <c r="G1135" s="587">
        <v>10.57</v>
      </c>
      <c r="H1135" s="603">
        <f t="shared" ref="H1135:H1136" si="257">E1135*G1135</f>
        <v>329784</v>
      </c>
      <c r="I1135" s="606">
        <f t="shared" ref="I1135:I1136" si="258">+G1135*F1135</f>
        <v>329784</v>
      </c>
      <c r="J1135" s="376"/>
    </row>
    <row r="1136" spans="1:10" ht="23.4" x14ac:dyDescent="0.3">
      <c r="A1136" s="1068"/>
      <c r="B1136" s="858"/>
      <c r="C1136" s="282" t="s">
        <v>299</v>
      </c>
      <c r="D1136" s="437" t="s">
        <v>549</v>
      </c>
      <c r="E1136" s="283">
        <v>26</v>
      </c>
      <c r="F1136" s="438">
        <f>+E1136</f>
        <v>26</v>
      </c>
      <c r="G1136" s="587">
        <v>55.76</v>
      </c>
      <c r="H1136" s="603">
        <f t="shared" si="257"/>
        <v>1449.76</v>
      </c>
      <c r="I1136" s="606">
        <f t="shared" si="258"/>
        <v>1449.76</v>
      </c>
      <c r="J1136" s="376"/>
    </row>
    <row r="1137" spans="1:11" ht="23.4" x14ac:dyDescent="0.3">
      <c r="A1137" s="1068"/>
      <c r="B1137" s="852"/>
      <c r="C1137" s="282" t="s">
        <v>505</v>
      </c>
      <c r="D1137" s="437" t="s">
        <v>258</v>
      </c>
      <c r="E1137" s="283"/>
      <c r="F1137" s="438">
        <f>+F1047+E1137</f>
        <v>8750</v>
      </c>
      <c r="G1137" s="587">
        <v>160.44999999999999</v>
      </c>
      <c r="H1137" s="603">
        <f t="shared" si="255"/>
        <v>0</v>
      </c>
      <c r="I1137" s="606">
        <f t="shared" si="256"/>
        <v>1403937.5</v>
      </c>
      <c r="J1137" s="376"/>
    </row>
    <row r="1138" spans="1:11" ht="23.4" x14ac:dyDescent="0.3">
      <c r="A1138" s="1068"/>
      <c r="B1138" s="852"/>
      <c r="C1138" s="282" t="s">
        <v>388</v>
      </c>
      <c r="D1138" s="437" t="s">
        <v>258</v>
      </c>
      <c r="E1138" s="283"/>
      <c r="F1138" s="438">
        <f>+F1048+E1138</f>
        <v>32750</v>
      </c>
      <c r="G1138" s="587">
        <v>160.44999999999999</v>
      </c>
      <c r="H1138" s="603">
        <f t="shared" si="255"/>
        <v>0</v>
      </c>
      <c r="I1138" s="606">
        <f t="shared" si="256"/>
        <v>5254737.5</v>
      </c>
      <c r="J1138" s="376"/>
    </row>
    <row r="1139" spans="1:11" ht="23.4" x14ac:dyDescent="0.3">
      <c r="A1139" s="1068"/>
      <c r="B1139" s="852"/>
      <c r="C1139" s="282" t="s">
        <v>461</v>
      </c>
      <c r="D1139" s="437" t="s">
        <v>258</v>
      </c>
      <c r="E1139" s="283"/>
      <c r="F1139" s="438">
        <f>+F1049+E1139</f>
        <v>6000</v>
      </c>
      <c r="G1139" s="587">
        <v>160.44999999999999</v>
      </c>
      <c r="H1139" s="603">
        <f t="shared" si="255"/>
        <v>0</v>
      </c>
      <c r="I1139" s="606">
        <f t="shared" si="256"/>
        <v>962699.99999999988</v>
      </c>
      <c r="J1139" s="376"/>
    </row>
    <row r="1140" spans="1:11" ht="23.4" x14ac:dyDescent="0.3">
      <c r="A1140" s="1068"/>
      <c r="B1140" s="852"/>
      <c r="C1140" s="282" t="s">
        <v>331</v>
      </c>
      <c r="D1140" s="437" t="s">
        <v>258</v>
      </c>
      <c r="E1140" s="283"/>
      <c r="F1140" s="438">
        <f>+F1050+E1140</f>
        <v>7059</v>
      </c>
      <c r="G1140" s="587">
        <v>160.44999999999999</v>
      </c>
      <c r="H1140" s="603">
        <f t="shared" si="255"/>
        <v>0</v>
      </c>
      <c r="I1140" s="606">
        <f t="shared" si="256"/>
        <v>1132616.5499999998</v>
      </c>
      <c r="J1140" s="376"/>
    </row>
    <row r="1141" spans="1:11" ht="24" thickBot="1" x14ac:dyDescent="0.35">
      <c r="A1141" s="1068"/>
      <c r="B1141" s="852"/>
      <c r="C1141" s="282" t="s">
        <v>340</v>
      </c>
      <c r="D1141" s="437" t="s">
        <v>258</v>
      </c>
      <c r="E1141" s="283">
        <f>813+875</f>
        <v>1688</v>
      </c>
      <c r="F1141" s="438">
        <f>+F1051+E1141</f>
        <v>1688</v>
      </c>
      <c r="G1141" s="587">
        <v>160.44999999999999</v>
      </c>
      <c r="H1141" s="603">
        <f t="shared" si="255"/>
        <v>270839.59999999998</v>
      </c>
      <c r="I1141" s="606">
        <f t="shared" si="256"/>
        <v>270839.59999999998</v>
      </c>
      <c r="J1141" s="376"/>
    </row>
    <row r="1142" spans="1:11" ht="24" thickBot="1" x14ac:dyDescent="0.35">
      <c r="A1142" s="1068"/>
      <c r="B1142" s="1063" t="s">
        <v>288</v>
      </c>
      <c r="C1142" s="1064"/>
      <c r="D1142" s="854"/>
      <c r="E1142" s="329">
        <f>SUM(E1129:E1141)</f>
        <v>90202</v>
      </c>
      <c r="F1142" s="329">
        <f>SUM(F1129:F1141)</f>
        <v>542813</v>
      </c>
      <c r="G1142" s="329"/>
      <c r="H1142" s="597">
        <f>SUM(H1129:H1141)</f>
        <v>2190429.36</v>
      </c>
      <c r="I1142" s="589">
        <f>SUM(I1129:I1141)</f>
        <v>30276049.910000004</v>
      </c>
      <c r="J1142" s="352"/>
    </row>
    <row r="1143" spans="1:11" ht="23.4" x14ac:dyDescent="0.3">
      <c r="A1143" s="1068"/>
      <c r="B1143" s="852"/>
      <c r="C1143" s="282" t="s">
        <v>434</v>
      </c>
      <c r="D1143" s="437" t="s">
        <v>435</v>
      </c>
      <c r="E1143" s="283"/>
      <c r="F1143" s="438">
        <f>+F1053+E1143</f>
        <v>250</v>
      </c>
      <c r="G1143" s="587">
        <v>5.34</v>
      </c>
      <c r="H1143" s="603">
        <f t="shared" ref="H1143:H1147" si="259">E1143*G1143</f>
        <v>0</v>
      </c>
      <c r="I1143" s="606">
        <f t="shared" ref="I1143" si="260">+G1143*F1143</f>
        <v>1335</v>
      </c>
      <c r="J1143" s="376"/>
    </row>
    <row r="1144" spans="1:11" ht="23.4" x14ac:dyDescent="0.3">
      <c r="A1144" s="1068"/>
      <c r="B1144" s="852"/>
      <c r="C1144" s="282" t="s">
        <v>464</v>
      </c>
      <c r="D1144" s="437" t="s">
        <v>286</v>
      </c>
      <c r="E1144" s="283"/>
      <c r="F1144" s="438">
        <f>+F1054+E1144</f>
        <v>50</v>
      </c>
      <c r="G1144" s="587">
        <v>31.73</v>
      </c>
      <c r="H1144" s="603">
        <f t="shared" si="259"/>
        <v>0</v>
      </c>
      <c r="I1144" s="606">
        <f>+G1144*F1144</f>
        <v>1586.5</v>
      </c>
      <c r="J1144" s="376"/>
    </row>
    <row r="1145" spans="1:11" ht="23.4" x14ac:dyDescent="0.3">
      <c r="A1145" s="1068"/>
      <c r="B1145" s="852"/>
      <c r="C1145" s="282" t="s">
        <v>473</v>
      </c>
      <c r="D1145" s="437" t="s">
        <v>474</v>
      </c>
      <c r="E1145" s="283"/>
      <c r="F1145" s="438">
        <f>+F1055+E1145</f>
        <v>2500</v>
      </c>
      <c r="G1145" s="587">
        <v>10.58</v>
      </c>
      <c r="H1145" s="603">
        <f t="shared" si="259"/>
        <v>0</v>
      </c>
      <c r="I1145" s="606">
        <f>+G1145*F1145</f>
        <v>26450</v>
      </c>
      <c r="J1145" s="376"/>
    </row>
    <row r="1146" spans="1:11" ht="23.4" x14ac:dyDescent="0.3">
      <c r="A1146" s="1068"/>
      <c r="B1146" s="852"/>
      <c r="C1146" s="282" t="s">
        <v>300</v>
      </c>
      <c r="D1146" s="437" t="s">
        <v>301</v>
      </c>
      <c r="E1146" s="283"/>
      <c r="F1146" s="438">
        <f>+F1056+E1146</f>
        <v>1</v>
      </c>
      <c r="G1146" s="587">
        <v>2500</v>
      </c>
      <c r="H1146" s="603">
        <f t="shared" si="259"/>
        <v>0</v>
      </c>
      <c r="I1146" s="606">
        <f>+G1146*F1146</f>
        <v>2500</v>
      </c>
      <c r="J1146" s="376"/>
    </row>
    <row r="1147" spans="1:11" ht="24" thickBot="1" x14ac:dyDescent="0.35">
      <c r="A1147" s="1068"/>
      <c r="B1147" s="852"/>
      <c r="C1147" s="282" t="s">
        <v>519</v>
      </c>
      <c r="D1147" s="437" t="s">
        <v>333</v>
      </c>
      <c r="E1147" s="283">
        <v>16252</v>
      </c>
      <c r="F1147" s="438">
        <f>+F1057+E1147</f>
        <v>124032</v>
      </c>
      <c r="G1147" s="588">
        <v>10</v>
      </c>
      <c r="H1147" s="603">
        <f t="shared" si="259"/>
        <v>162520</v>
      </c>
      <c r="I1147" s="606">
        <f t="shared" ref="I1147" si="261">+G1147*F1147</f>
        <v>1240320</v>
      </c>
      <c r="J1147" s="376"/>
    </row>
    <row r="1148" spans="1:11" ht="24" thickBot="1" x14ac:dyDescent="0.35">
      <c r="A1148" s="1068"/>
      <c r="B1148" s="1063" t="s">
        <v>294</v>
      </c>
      <c r="C1148" s="1064"/>
      <c r="D1148" s="854"/>
      <c r="E1148" s="329">
        <f>SUM(E1143:E1147)</f>
        <v>16252</v>
      </c>
      <c r="F1148" s="329">
        <f>SUM(F1143:F1147)</f>
        <v>126833</v>
      </c>
      <c r="G1148" s="329"/>
      <c r="H1148" s="597">
        <f>SUM(H1143:H1147)</f>
        <v>162520</v>
      </c>
      <c r="I1148" s="589">
        <f>SUM(I1143:I1147)</f>
        <v>1272191.5</v>
      </c>
      <c r="J1148" s="376"/>
    </row>
    <row r="1149" spans="1:11" ht="24" thickBot="1" x14ac:dyDescent="0.35">
      <c r="A1149" s="1068"/>
      <c r="B1149" s="852"/>
      <c r="C1149" s="282"/>
      <c r="D1149" s="437"/>
      <c r="E1149" s="283"/>
      <c r="F1149" s="320"/>
      <c r="G1149" s="588"/>
      <c r="H1149" s="598"/>
      <c r="I1149" s="285">
        <f t="shared" ref="I1149" si="262">+G1149*F1149</f>
        <v>0</v>
      </c>
      <c r="J1149" s="376"/>
    </row>
    <row r="1150" spans="1:11" ht="24" thickBot="1" x14ac:dyDescent="0.35">
      <c r="A1150" s="1069"/>
      <c r="B1150" s="1063" t="s">
        <v>290</v>
      </c>
      <c r="C1150" s="1064"/>
      <c r="D1150" s="850"/>
      <c r="E1150" s="329">
        <f>+E1148+E1142+E1128</f>
        <v>108374</v>
      </c>
      <c r="F1150" s="329">
        <f>+F1148+F1142+F1128</f>
        <v>2304249</v>
      </c>
      <c r="G1150" s="329"/>
      <c r="H1150" s="589">
        <f>+H1142+H1128+H1148</f>
        <v>2619906.1599999997</v>
      </c>
      <c r="I1150" s="589">
        <f>+I1142+I1128+I1148</f>
        <v>71438546.210000008</v>
      </c>
      <c r="J1150" s="376"/>
      <c r="K1150" s="757"/>
    </row>
    <row r="1151" spans="1:11" ht="23.4" x14ac:dyDescent="0.3">
      <c r="A1151" s="1067" t="s">
        <v>108</v>
      </c>
      <c r="B1151" s="852"/>
      <c r="C1151" s="282" t="s">
        <v>304</v>
      </c>
      <c r="D1151" s="437" t="s">
        <v>191</v>
      </c>
      <c r="E1151" s="283"/>
      <c r="F1151" s="438">
        <f t="shared" ref="F1151:F1171" si="263">+F1061+E1151</f>
        <v>35802</v>
      </c>
      <c r="G1151" s="612">
        <v>13.25</v>
      </c>
      <c r="H1151" s="607">
        <f t="shared" ref="H1151:H1171" si="264">E1151*G1151</f>
        <v>0</v>
      </c>
      <c r="I1151" s="606">
        <f t="shared" ref="I1151:I1171" si="265">+G1151*F1151</f>
        <v>474376.5</v>
      </c>
      <c r="J1151" s="376"/>
    </row>
    <row r="1152" spans="1:11" ht="23.4" x14ac:dyDescent="0.3">
      <c r="A1152" s="1068"/>
      <c r="B1152" s="852"/>
      <c r="C1152" s="282" t="s">
        <v>305</v>
      </c>
      <c r="D1152" s="437"/>
      <c r="E1152" s="283"/>
      <c r="F1152" s="438">
        <f t="shared" si="263"/>
        <v>1</v>
      </c>
      <c r="G1152" s="613">
        <v>5000</v>
      </c>
      <c r="H1152" s="607">
        <f t="shared" si="264"/>
        <v>0</v>
      </c>
      <c r="I1152" s="606">
        <f t="shared" si="265"/>
        <v>5000</v>
      </c>
      <c r="J1152" s="376"/>
    </row>
    <row r="1153" spans="1:10" ht="23.4" x14ac:dyDescent="0.3">
      <c r="A1153" s="1068"/>
      <c r="B1153" s="852"/>
      <c r="C1153" s="282" t="s">
        <v>305</v>
      </c>
      <c r="D1153" s="437"/>
      <c r="E1153" s="283"/>
      <c r="F1153" s="438">
        <f t="shared" si="263"/>
        <v>0</v>
      </c>
      <c r="G1153" s="613">
        <v>18000</v>
      </c>
      <c r="H1153" s="607">
        <f t="shared" si="264"/>
        <v>0</v>
      </c>
      <c r="I1153" s="606">
        <f t="shared" si="265"/>
        <v>0</v>
      </c>
      <c r="J1153" s="376"/>
    </row>
    <row r="1154" spans="1:10" ht="23.4" x14ac:dyDescent="0.3">
      <c r="A1154" s="1068"/>
      <c r="B1154" s="852"/>
      <c r="C1154" s="282" t="s">
        <v>317</v>
      </c>
      <c r="D1154" s="437" t="s">
        <v>191</v>
      </c>
      <c r="E1154" s="283"/>
      <c r="F1154" s="438">
        <f t="shared" si="263"/>
        <v>0</v>
      </c>
      <c r="G1154" s="612">
        <v>24.93</v>
      </c>
      <c r="H1154" s="607">
        <f t="shared" si="264"/>
        <v>0</v>
      </c>
      <c r="I1154" s="606">
        <f t="shared" si="265"/>
        <v>0</v>
      </c>
      <c r="J1154" s="376"/>
    </row>
    <row r="1155" spans="1:10" ht="23.4" x14ac:dyDescent="0.3">
      <c r="A1155" s="1068"/>
      <c r="B1155" s="852"/>
      <c r="C1155" s="282" t="s">
        <v>324</v>
      </c>
      <c r="D1155" s="437" t="s">
        <v>99</v>
      </c>
      <c r="E1155" s="283"/>
      <c r="F1155" s="438">
        <f t="shared" si="263"/>
        <v>0</v>
      </c>
      <c r="G1155" s="612">
        <v>26</v>
      </c>
      <c r="H1155" s="607">
        <f t="shared" si="264"/>
        <v>0</v>
      </c>
      <c r="I1155" s="606">
        <f t="shared" si="265"/>
        <v>0</v>
      </c>
      <c r="J1155" s="376"/>
    </row>
    <row r="1156" spans="1:10" ht="23.4" x14ac:dyDescent="0.3">
      <c r="A1156" s="1068"/>
      <c r="B1156" s="852"/>
      <c r="C1156" s="282" t="s">
        <v>325</v>
      </c>
      <c r="D1156" s="437" t="s">
        <v>191</v>
      </c>
      <c r="E1156" s="283"/>
      <c r="F1156" s="438">
        <f t="shared" si="263"/>
        <v>0</v>
      </c>
      <c r="G1156" s="612">
        <v>25.49</v>
      </c>
      <c r="H1156" s="607">
        <f t="shared" si="264"/>
        <v>0</v>
      </c>
      <c r="I1156" s="606">
        <f t="shared" si="265"/>
        <v>0</v>
      </c>
      <c r="J1156" s="376"/>
    </row>
    <row r="1157" spans="1:10" ht="23.4" x14ac:dyDescent="0.3">
      <c r="A1157" s="1068"/>
      <c r="B1157" s="852"/>
      <c r="C1157" s="282" t="s">
        <v>326</v>
      </c>
      <c r="D1157" s="437" t="s">
        <v>114</v>
      </c>
      <c r="E1157" s="283"/>
      <c r="F1157" s="438">
        <f t="shared" si="263"/>
        <v>0</v>
      </c>
      <c r="G1157" s="612">
        <v>24.93</v>
      </c>
      <c r="H1157" s="607">
        <f t="shared" si="264"/>
        <v>0</v>
      </c>
      <c r="I1157" s="606">
        <f t="shared" si="265"/>
        <v>0</v>
      </c>
      <c r="J1157" s="376"/>
    </row>
    <row r="1158" spans="1:10" ht="23.4" x14ac:dyDescent="0.3">
      <c r="A1158" s="1068"/>
      <c r="B1158" s="852"/>
      <c r="C1158" s="282" t="s">
        <v>327</v>
      </c>
      <c r="D1158" s="437" t="s">
        <v>303</v>
      </c>
      <c r="E1158" s="283"/>
      <c r="F1158" s="438">
        <f t="shared" si="263"/>
        <v>0</v>
      </c>
      <c r="G1158" s="612">
        <v>24.93</v>
      </c>
      <c r="H1158" s="607">
        <f t="shared" si="264"/>
        <v>0</v>
      </c>
      <c r="I1158" s="606">
        <f t="shared" si="265"/>
        <v>0</v>
      </c>
      <c r="J1158" s="376"/>
    </row>
    <row r="1159" spans="1:10" ht="23.4" x14ac:dyDescent="0.3">
      <c r="A1159" s="1068"/>
      <c r="B1159" s="852"/>
      <c r="C1159" s="282" t="s">
        <v>512</v>
      </c>
      <c r="D1159" s="437" t="s">
        <v>401</v>
      </c>
      <c r="E1159" s="283"/>
      <c r="F1159" s="438">
        <f t="shared" si="263"/>
        <v>47736</v>
      </c>
      <c r="G1159" s="612">
        <v>23.78</v>
      </c>
      <c r="H1159" s="607">
        <f t="shared" si="264"/>
        <v>0</v>
      </c>
      <c r="I1159" s="606">
        <f t="shared" si="265"/>
        <v>1135162.08</v>
      </c>
      <c r="J1159" s="376"/>
    </row>
    <row r="1160" spans="1:10" ht="23.4" x14ac:dyDescent="0.3">
      <c r="A1160" s="1068"/>
      <c r="B1160" s="852"/>
      <c r="C1160" s="282" t="s">
        <v>512</v>
      </c>
      <c r="D1160" s="437" t="s">
        <v>513</v>
      </c>
      <c r="E1160" s="283"/>
      <c r="F1160" s="438">
        <f t="shared" si="263"/>
        <v>115362</v>
      </c>
      <c r="G1160" s="612">
        <v>23.78</v>
      </c>
      <c r="H1160" s="607">
        <f t="shared" si="264"/>
        <v>0</v>
      </c>
      <c r="I1160" s="606">
        <f t="shared" si="265"/>
        <v>2743308.3600000003</v>
      </c>
      <c r="J1160" s="376"/>
    </row>
    <row r="1161" spans="1:10" ht="23.4" x14ac:dyDescent="0.3">
      <c r="A1161" s="1068"/>
      <c r="B1161" s="852"/>
      <c r="C1161" s="282" t="s">
        <v>394</v>
      </c>
      <c r="D1161" s="437" t="s">
        <v>338</v>
      </c>
      <c r="E1161" s="283"/>
      <c r="F1161" s="438">
        <f t="shared" si="263"/>
        <v>0</v>
      </c>
      <c r="G1161" s="612">
        <v>37.4566666666</v>
      </c>
      <c r="H1161" s="607">
        <f t="shared" si="264"/>
        <v>0</v>
      </c>
      <c r="I1161" s="606">
        <f t="shared" si="265"/>
        <v>0</v>
      </c>
      <c r="J1161" s="376"/>
    </row>
    <row r="1162" spans="1:10" ht="23.4" x14ac:dyDescent="0.3">
      <c r="A1162" s="1068"/>
      <c r="B1162" s="852"/>
      <c r="C1162" s="282" t="s">
        <v>395</v>
      </c>
      <c r="D1162" s="437" t="s">
        <v>338</v>
      </c>
      <c r="E1162" s="283"/>
      <c r="F1162" s="438">
        <f t="shared" si="263"/>
        <v>14976</v>
      </c>
      <c r="G1162" s="612">
        <v>37.89</v>
      </c>
      <c r="H1162" s="607">
        <f t="shared" si="264"/>
        <v>0</v>
      </c>
      <c r="I1162" s="606">
        <f t="shared" si="265"/>
        <v>567440.64000000001</v>
      </c>
      <c r="J1162" s="376"/>
    </row>
    <row r="1163" spans="1:10" ht="23.4" x14ac:dyDescent="0.3">
      <c r="A1163" s="1068"/>
      <c r="B1163" s="852"/>
      <c r="C1163" s="282" t="s">
        <v>326</v>
      </c>
      <c r="D1163" s="437" t="s">
        <v>302</v>
      </c>
      <c r="E1163" s="283"/>
      <c r="F1163" s="438">
        <f t="shared" si="263"/>
        <v>0</v>
      </c>
      <c r="G1163" s="612">
        <v>24.93</v>
      </c>
      <c r="H1163" s="607">
        <f t="shared" si="264"/>
        <v>0</v>
      </c>
      <c r="I1163" s="606">
        <f t="shared" si="265"/>
        <v>0</v>
      </c>
      <c r="J1163" s="376"/>
    </row>
    <row r="1164" spans="1:10" ht="23.4" x14ac:dyDescent="0.3">
      <c r="A1164" s="1068"/>
      <c r="B1164" s="852"/>
      <c r="C1164" s="282" t="s">
        <v>402</v>
      </c>
      <c r="D1164" s="437" t="s">
        <v>376</v>
      </c>
      <c r="E1164" s="283"/>
      <c r="F1164" s="438">
        <f t="shared" si="263"/>
        <v>0</v>
      </c>
      <c r="G1164" s="612">
        <v>24.93</v>
      </c>
      <c r="H1164" s="607">
        <f t="shared" si="264"/>
        <v>0</v>
      </c>
      <c r="I1164" s="606">
        <f t="shared" si="265"/>
        <v>0</v>
      </c>
      <c r="J1164" s="376"/>
    </row>
    <row r="1165" spans="1:10" ht="23.4" x14ac:dyDescent="0.3">
      <c r="A1165" s="1068"/>
      <c r="B1165" s="852"/>
      <c r="C1165" s="282" t="s">
        <v>350</v>
      </c>
      <c r="D1165" s="437" t="s">
        <v>313</v>
      </c>
      <c r="E1165" s="283"/>
      <c r="F1165" s="438">
        <f t="shared" si="263"/>
        <v>0</v>
      </c>
      <c r="G1165" s="612">
        <v>34.26</v>
      </c>
      <c r="H1165" s="607">
        <f t="shared" si="264"/>
        <v>0</v>
      </c>
      <c r="I1165" s="606">
        <f t="shared" si="265"/>
        <v>0</v>
      </c>
      <c r="J1165" s="376"/>
    </row>
    <row r="1166" spans="1:10" ht="23.4" x14ac:dyDescent="0.3">
      <c r="A1166" s="1068"/>
      <c r="B1166" s="852"/>
      <c r="C1166" s="282" t="s">
        <v>363</v>
      </c>
      <c r="D1166" s="437" t="s">
        <v>401</v>
      </c>
      <c r="E1166" s="283"/>
      <c r="F1166" s="438">
        <f t="shared" si="263"/>
        <v>0</v>
      </c>
      <c r="G1166" s="612">
        <v>37.89</v>
      </c>
      <c r="H1166" s="607">
        <f t="shared" si="264"/>
        <v>0</v>
      </c>
      <c r="I1166" s="606">
        <f t="shared" si="265"/>
        <v>0</v>
      </c>
      <c r="J1166" s="376"/>
    </row>
    <row r="1167" spans="1:10" ht="23.4" x14ac:dyDescent="0.3">
      <c r="A1167" s="1068"/>
      <c r="B1167" s="852"/>
      <c r="C1167" s="282" t="s">
        <v>406</v>
      </c>
      <c r="D1167" s="437" t="s">
        <v>376</v>
      </c>
      <c r="E1167" s="283"/>
      <c r="F1167" s="438">
        <f t="shared" si="263"/>
        <v>0</v>
      </c>
      <c r="G1167" s="612">
        <v>39</v>
      </c>
      <c r="H1167" s="607">
        <f t="shared" si="264"/>
        <v>0</v>
      </c>
      <c r="I1167" s="606">
        <f t="shared" si="265"/>
        <v>0</v>
      </c>
      <c r="J1167" s="376"/>
    </row>
    <row r="1168" spans="1:10" ht="23.4" x14ac:dyDescent="0.3">
      <c r="A1168" s="1068"/>
      <c r="B1168" s="852"/>
      <c r="C1168" s="282" t="s">
        <v>327</v>
      </c>
      <c r="D1168" s="437" t="s">
        <v>190</v>
      </c>
      <c r="E1168" s="283"/>
      <c r="F1168" s="438">
        <f t="shared" si="263"/>
        <v>67626</v>
      </c>
      <c r="G1168" s="612">
        <v>21.22</v>
      </c>
      <c r="H1168" s="607">
        <f t="shared" si="264"/>
        <v>0</v>
      </c>
      <c r="I1168" s="606">
        <f t="shared" si="265"/>
        <v>1435023.72</v>
      </c>
      <c r="J1168" s="376"/>
    </row>
    <row r="1169" spans="1:10" ht="23.4" x14ac:dyDescent="0.3">
      <c r="A1169" s="1068"/>
      <c r="B1169" s="852"/>
      <c r="C1169" s="282" t="s">
        <v>326</v>
      </c>
      <c r="D1169" s="437" t="s">
        <v>190</v>
      </c>
      <c r="E1169" s="283"/>
      <c r="F1169" s="438">
        <f t="shared" si="263"/>
        <v>0</v>
      </c>
      <c r="G1169" s="612">
        <v>21.22</v>
      </c>
      <c r="H1169" s="607">
        <f t="shared" si="264"/>
        <v>0</v>
      </c>
      <c r="I1169" s="606">
        <f t="shared" si="265"/>
        <v>0</v>
      </c>
      <c r="J1169" s="376"/>
    </row>
    <row r="1170" spans="1:10" ht="23.4" x14ac:dyDescent="0.3">
      <c r="A1170" s="1068"/>
      <c r="B1170" s="852"/>
      <c r="C1170" s="282" t="s">
        <v>377</v>
      </c>
      <c r="D1170" s="437" t="s">
        <v>333</v>
      </c>
      <c r="E1170" s="283"/>
      <c r="F1170" s="438">
        <f t="shared" si="263"/>
        <v>0</v>
      </c>
      <c r="G1170" s="612">
        <v>10000</v>
      </c>
      <c r="H1170" s="607">
        <f t="shared" si="264"/>
        <v>0</v>
      </c>
      <c r="I1170" s="606">
        <f t="shared" si="265"/>
        <v>0</v>
      </c>
      <c r="J1170" s="376"/>
    </row>
    <row r="1171" spans="1:10" ht="24" thickBot="1" x14ac:dyDescent="0.35">
      <c r="A1171" s="1068"/>
      <c r="B1171" s="852"/>
      <c r="C1171" s="282" t="s">
        <v>332</v>
      </c>
      <c r="D1171" s="437" t="s">
        <v>333</v>
      </c>
      <c r="E1171" s="283"/>
      <c r="F1171" s="438">
        <f t="shared" si="263"/>
        <v>0</v>
      </c>
      <c r="G1171" s="612">
        <v>360</v>
      </c>
      <c r="H1171" s="607">
        <f t="shared" si="264"/>
        <v>0</v>
      </c>
      <c r="I1171" s="606">
        <f t="shared" si="265"/>
        <v>0</v>
      </c>
      <c r="J1171" s="376"/>
    </row>
    <row r="1172" spans="1:10" ht="24" thickBot="1" x14ac:dyDescent="0.35">
      <c r="A1172" s="1069"/>
      <c r="B1172" s="1063" t="s">
        <v>289</v>
      </c>
      <c r="C1172" s="1064"/>
      <c r="D1172" s="854"/>
      <c r="E1172" s="329">
        <f>SUM(E1151:E1171)</f>
        <v>0</v>
      </c>
      <c r="F1172" s="329">
        <f>SUM(F1151:F1171)</f>
        <v>281503</v>
      </c>
      <c r="G1172" s="329"/>
      <c r="H1172" s="597">
        <f>SUM(H1151:H1171)</f>
        <v>0</v>
      </c>
      <c r="I1172" s="589">
        <f>SUM(I1151:I1171)</f>
        <v>6360311.2999999998</v>
      </c>
      <c r="J1172" s="376"/>
    </row>
    <row r="1173" spans="1:10" ht="23.4" x14ac:dyDescent="0.3">
      <c r="A1173" s="1067" t="s">
        <v>109</v>
      </c>
      <c r="B1173" s="852"/>
      <c r="C1173" s="282" t="s">
        <v>296</v>
      </c>
      <c r="D1173" s="437" t="s">
        <v>258</v>
      </c>
      <c r="E1173" s="283"/>
      <c r="F1173" s="438">
        <f t="shared" ref="F1173:F1195" si="266">+F1083+E1173</f>
        <v>10410</v>
      </c>
      <c r="G1173" s="612">
        <v>430.02</v>
      </c>
      <c r="H1173" s="603">
        <f>E1173*G1173</f>
        <v>0</v>
      </c>
      <c r="I1173" s="606">
        <f t="shared" ref="I1173:I1195" si="267">+G1173*F1173</f>
        <v>4476508.2</v>
      </c>
      <c r="J1173" s="376"/>
    </row>
    <row r="1174" spans="1:10" ht="23.4" x14ac:dyDescent="0.3">
      <c r="A1174" s="1068"/>
      <c r="B1174" s="852"/>
      <c r="C1174" s="282" t="s">
        <v>297</v>
      </c>
      <c r="D1174" s="437" t="s">
        <v>258</v>
      </c>
      <c r="E1174" s="283"/>
      <c r="F1174" s="438">
        <f t="shared" si="266"/>
        <v>4753</v>
      </c>
      <c r="G1174" s="612">
        <v>445.38</v>
      </c>
      <c r="H1174" s="603">
        <f t="shared" ref="H1174:H1195" si="268">E1174*G1174</f>
        <v>0</v>
      </c>
      <c r="I1174" s="606">
        <f t="shared" si="267"/>
        <v>2116891.14</v>
      </c>
      <c r="J1174" s="376"/>
    </row>
    <row r="1175" spans="1:10" ht="27" customHeight="1" x14ac:dyDescent="0.3">
      <c r="A1175" s="1068"/>
      <c r="B1175" s="852"/>
      <c r="C1175" s="282" t="s">
        <v>467</v>
      </c>
      <c r="D1175" s="437" t="s">
        <v>258</v>
      </c>
      <c r="E1175" s="283"/>
      <c r="F1175" s="438">
        <f t="shared" si="266"/>
        <v>8000</v>
      </c>
      <c r="G1175" s="612">
        <v>445.38</v>
      </c>
      <c r="H1175" s="603">
        <f t="shared" si="268"/>
        <v>0</v>
      </c>
      <c r="I1175" s="606">
        <f t="shared" si="267"/>
        <v>3563040</v>
      </c>
      <c r="J1175" s="376"/>
    </row>
    <row r="1176" spans="1:10" ht="23.4" x14ac:dyDescent="0.3">
      <c r="A1176" s="1068"/>
      <c r="B1176" s="852"/>
      <c r="C1176" s="282" t="s">
        <v>330</v>
      </c>
      <c r="D1176" s="437" t="s">
        <v>258</v>
      </c>
      <c r="E1176" s="283"/>
      <c r="F1176" s="438">
        <f t="shared" si="266"/>
        <v>0</v>
      </c>
      <c r="G1176" s="612">
        <v>63.55</v>
      </c>
      <c r="H1176" s="603">
        <f t="shared" si="268"/>
        <v>0</v>
      </c>
      <c r="I1176" s="606">
        <f t="shared" si="267"/>
        <v>0</v>
      </c>
      <c r="J1176" s="376"/>
    </row>
    <row r="1177" spans="1:10" ht="23.4" x14ac:dyDescent="0.3">
      <c r="A1177" s="1068"/>
      <c r="B1177" s="852"/>
      <c r="C1177" s="282" t="s">
        <v>298</v>
      </c>
      <c r="D1177" s="437" t="s">
        <v>258</v>
      </c>
      <c r="E1177" s="283">
        <v>3360</v>
      </c>
      <c r="F1177" s="438">
        <f t="shared" si="266"/>
        <v>193896</v>
      </c>
      <c r="G1177" s="612">
        <v>71.44</v>
      </c>
      <c r="H1177" s="603">
        <f t="shared" si="268"/>
        <v>240038.39999999999</v>
      </c>
      <c r="I1177" s="606">
        <f t="shared" si="267"/>
        <v>13851930.24</v>
      </c>
      <c r="J1177" s="376"/>
    </row>
    <row r="1178" spans="1:10" ht="23.4" x14ac:dyDescent="0.3">
      <c r="A1178" s="1068"/>
      <c r="B1178" s="852"/>
      <c r="C1178" s="282" t="s">
        <v>299</v>
      </c>
      <c r="D1178" s="437" t="s">
        <v>258</v>
      </c>
      <c r="E1178" s="283"/>
      <c r="F1178" s="438">
        <f t="shared" si="266"/>
        <v>300</v>
      </c>
      <c r="G1178" s="612">
        <v>36.5</v>
      </c>
      <c r="H1178" s="603">
        <f t="shared" si="268"/>
        <v>0</v>
      </c>
      <c r="I1178" s="606">
        <f t="shared" si="267"/>
        <v>10950</v>
      </c>
      <c r="J1178" s="376"/>
    </row>
    <row r="1179" spans="1:10" ht="23.4" x14ac:dyDescent="0.3">
      <c r="A1179" s="1068"/>
      <c r="B1179" s="852"/>
      <c r="C1179" s="282" t="s">
        <v>514</v>
      </c>
      <c r="D1179" s="437" t="s">
        <v>258</v>
      </c>
      <c r="E1179" s="283"/>
      <c r="F1179" s="438">
        <f t="shared" si="266"/>
        <v>1114</v>
      </c>
      <c r="G1179" s="612">
        <v>320.35000000000002</v>
      </c>
      <c r="H1179" s="603">
        <f t="shared" si="268"/>
        <v>0</v>
      </c>
      <c r="I1179" s="606">
        <f t="shared" si="267"/>
        <v>356869.9</v>
      </c>
      <c r="J1179" s="376"/>
    </row>
    <row r="1180" spans="1:10" ht="23.4" x14ac:dyDescent="0.3">
      <c r="A1180" s="1068"/>
      <c r="B1180" s="852"/>
      <c r="C1180" s="282" t="s">
        <v>308</v>
      </c>
      <c r="D1180" s="437" t="s">
        <v>258</v>
      </c>
      <c r="E1180" s="283"/>
      <c r="F1180" s="438">
        <f t="shared" si="266"/>
        <v>8200</v>
      </c>
      <c r="G1180" s="612">
        <v>320.35000000000002</v>
      </c>
      <c r="H1180" s="603">
        <f t="shared" si="268"/>
        <v>0</v>
      </c>
      <c r="I1180" s="606">
        <f t="shared" si="267"/>
        <v>2626870</v>
      </c>
      <c r="J1180" s="376"/>
    </row>
    <row r="1181" spans="1:10" ht="23.4" x14ac:dyDescent="0.3">
      <c r="A1181" s="1068"/>
      <c r="B1181" s="852"/>
      <c r="C1181" s="282" t="s">
        <v>322</v>
      </c>
      <c r="D1181" s="437" t="s">
        <v>258</v>
      </c>
      <c r="E1181" s="283"/>
      <c r="F1181" s="438">
        <f t="shared" si="266"/>
        <v>0</v>
      </c>
      <c r="G1181" s="612">
        <v>434.41</v>
      </c>
      <c r="H1181" s="603">
        <f t="shared" si="268"/>
        <v>0</v>
      </c>
      <c r="I1181" s="606">
        <f t="shared" si="267"/>
        <v>0</v>
      </c>
      <c r="J1181" s="376"/>
    </row>
    <row r="1182" spans="1:10" ht="23.4" x14ac:dyDescent="0.3">
      <c r="A1182" s="1068"/>
      <c r="B1182" s="852"/>
      <c r="C1182" s="282" t="s">
        <v>305</v>
      </c>
      <c r="D1182" s="437" t="s">
        <v>258</v>
      </c>
      <c r="E1182" s="283"/>
      <c r="F1182" s="438">
        <f t="shared" si="266"/>
        <v>1</v>
      </c>
      <c r="G1182" s="612">
        <v>29690</v>
      </c>
      <c r="H1182" s="603">
        <f t="shared" si="268"/>
        <v>0</v>
      </c>
      <c r="I1182" s="606">
        <f t="shared" si="267"/>
        <v>29690</v>
      </c>
      <c r="J1182" s="376"/>
    </row>
    <row r="1183" spans="1:10" ht="23.4" x14ac:dyDescent="0.3">
      <c r="A1183" s="1068"/>
      <c r="B1183" s="852"/>
      <c r="C1183" s="282" t="s">
        <v>305</v>
      </c>
      <c r="D1183" s="437" t="s">
        <v>258</v>
      </c>
      <c r="E1183" s="283">
        <v>1</v>
      </c>
      <c r="F1183" s="438">
        <f t="shared" si="266"/>
        <v>5</v>
      </c>
      <c r="G1183" s="612">
        <v>26445</v>
      </c>
      <c r="H1183" s="603">
        <f t="shared" si="268"/>
        <v>26445</v>
      </c>
      <c r="I1183" s="606">
        <f t="shared" si="267"/>
        <v>132225</v>
      </c>
      <c r="J1183" s="376"/>
    </row>
    <row r="1184" spans="1:10" ht="23.4" x14ac:dyDescent="0.3">
      <c r="A1184" s="1068"/>
      <c r="B1184" s="852"/>
      <c r="C1184" s="282" t="s">
        <v>341</v>
      </c>
      <c r="D1184" s="437" t="s">
        <v>375</v>
      </c>
      <c r="E1184" s="283">
        <v>2479</v>
      </c>
      <c r="F1184" s="438">
        <f t="shared" si="266"/>
        <v>5314</v>
      </c>
      <c r="G1184" s="612">
        <v>50</v>
      </c>
      <c r="H1184" s="603">
        <f t="shared" si="268"/>
        <v>123950</v>
      </c>
      <c r="I1184" s="606">
        <f t="shared" si="267"/>
        <v>265700</v>
      </c>
      <c r="J1184" s="376"/>
    </row>
    <row r="1185" spans="1:10" ht="23.4" x14ac:dyDescent="0.3">
      <c r="A1185" s="1068"/>
      <c r="B1185" s="852"/>
      <c r="C1185" s="282" t="s">
        <v>341</v>
      </c>
      <c r="D1185" s="437" t="s">
        <v>375</v>
      </c>
      <c r="E1185" s="283"/>
      <c r="F1185" s="438">
        <f t="shared" si="266"/>
        <v>0</v>
      </c>
      <c r="G1185" s="612">
        <v>45</v>
      </c>
      <c r="H1185" s="603">
        <f t="shared" si="268"/>
        <v>0</v>
      </c>
      <c r="I1185" s="606">
        <f t="shared" si="267"/>
        <v>0</v>
      </c>
      <c r="J1185" s="376"/>
    </row>
    <row r="1186" spans="1:10" ht="23.4" x14ac:dyDescent="0.3">
      <c r="A1186" s="1068"/>
      <c r="B1186" s="852"/>
      <c r="C1186" s="282" t="s">
        <v>364</v>
      </c>
      <c r="D1186" s="437" t="s">
        <v>428</v>
      </c>
      <c r="E1186" s="283"/>
      <c r="F1186" s="438">
        <f t="shared" si="266"/>
        <v>700</v>
      </c>
      <c r="G1186" s="612">
        <v>57.64</v>
      </c>
      <c r="H1186" s="603">
        <f t="shared" si="268"/>
        <v>0</v>
      </c>
      <c r="I1186" s="606">
        <f t="shared" si="267"/>
        <v>40348</v>
      </c>
      <c r="J1186" s="376"/>
    </row>
    <row r="1187" spans="1:10" ht="23.4" x14ac:dyDescent="0.3">
      <c r="A1187" s="1068"/>
      <c r="B1187" s="852"/>
      <c r="C1187" s="282" t="s">
        <v>364</v>
      </c>
      <c r="D1187" s="437" t="s">
        <v>407</v>
      </c>
      <c r="E1187" s="283"/>
      <c r="F1187" s="438">
        <f t="shared" si="266"/>
        <v>0</v>
      </c>
      <c r="G1187" s="612">
        <v>57.64</v>
      </c>
      <c r="H1187" s="603">
        <f t="shared" si="268"/>
        <v>0</v>
      </c>
      <c r="I1187" s="606">
        <f t="shared" si="267"/>
        <v>0</v>
      </c>
      <c r="J1187" s="376"/>
    </row>
    <row r="1188" spans="1:10" ht="23.4" x14ac:dyDescent="0.3">
      <c r="A1188" s="1068"/>
      <c r="B1188" s="852"/>
      <c r="C1188" s="282" t="s">
        <v>365</v>
      </c>
      <c r="D1188" s="437" t="s">
        <v>366</v>
      </c>
      <c r="E1188" s="283"/>
      <c r="F1188" s="438">
        <f t="shared" si="266"/>
        <v>2240</v>
      </c>
      <c r="G1188" s="612">
        <v>434.41</v>
      </c>
      <c r="H1188" s="603">
        <f t="shared" si="268"/>
        <v>0</v>
      </c>
      <c r="I1188" s="606">
        <f t="shared" si="267"/>
        <v>973078.4</v>
      </c>
      <c r="J1188" s="376"/>
    </row>
    <row r="1189" spans="1:10" ht="23.4" x14ac:dyDescent="0.3">
      <c r="A1189" s="1068"/>
      <c r="B1189" s="852"/>
      <c r="C1189" s="282" t="s">
        <v>381</v>
      </c>
      <c r="D1189" s="437" t="s">
        <v>258</v>
      </c>
      <c r="E1189" s="283"/>
      <c r="F1189" s="438">
        <f t="shared" si="266"/>
        <v>0</v>
      </c>
      <c r="G1189" s="612">
        <v>624.26</v>
      </c>
      <c r="H1189" s="603">
        <f t="shared" si="268"/>
        <v>0</v>
      </c>
      <c r="I1189" s="606">
        <f t="shared" si="267"/>
        <v>0</v>
      </c>
      <c r="J1189" s="376"/>
    </row>
    <row r="1190" spans="1:10" ht="23.4" x14ac:dyDescent="0.3">
      <c r="A1190" s="1068"/>
      <c r="B1190" s="852"/>
      <c r="C1190" s="282" t="s">
        <v>367</v>
      </c>
      <c r="D1190" s="437" t="s">
        <v>366</v>
      </c>
      <c r="E1190" s="283"/>
      <c r="F1190" s="438">
        <f t="shared" si="266"/>
        <v>5760</v>
      </c>
      <c r="G1190" s="612">
        <v>63.55</v>
      </c>
      <c r="H1190" s="603">
        <f t="shared" si="268"/>
        <v>0</v>
      </c>
      <c r="I1190" s="606">
        <f t="shared" si="267"/>
        <v>366048</v>
      </c>
      <c r="J1190" s="376"/>
    </row>
    <row r="1191" spans="1:10" ht="23.4" x14ac:dyDescent="0.3">
      <c r="A1191" s="1068"/>
      <c r="B1191" s="852"/>
      <c r="C1191" s="282" t="s">
        <v>429</v>
      </c>
      <c r="D1191" s="437" t="s">
        <v>258</v>
      </c>
      <c r="E1191" s="283"/>
      <c r="F1191" s="438">
        <f t="shared" si="266"/>
        <v>98664</v>
      </c>
      <c r="G1191" s="612">
        <v>59.96</v>
      </c>
      <c r="H1191" s="603">
        <f t="shared" si="268"/>
        <v>0</v>
      </c>
      <c r="I1191" s="606">
        <f t="shared" si="267"/>
        <v>5915893.4400000004</v>
      </c>
      <c r="J1191" s="376"/>
    </row>
    <row r="1192" spans="1:10" ht="23.4" x14ac:dyDescent="0.3">
      <c r="A1192" s="1068"/>
      <c r="B1192" s="852"/>
      <c r="C1192" s="282" t="s">
        <v>501</v>
      </c>
      <c r="D1192" s="437" t="s">
        <v>366</v>
      </c>
      <c r="E1192" s="283"/>
      <c r="F1192" s="438">
        <f t="shared" si="266"/>
        <v>8640</v>
      </c>
      <c r="G1192" s="612">
        <v>53.86</v>
      </c>
      <c r="H1192" s="603">
        <f t="shared" si="268"/>
        <v>0</v>
      </c>
      <c r="I1192" s="606">
        <f t="shared" si="267"/>
        <v>465350.40000000002</v>
      </c>
      <c r="J1192" s="376"/>
    </row>
    <row r="1193" spans="1:10" ht="23.4" x14ac:dyDescent="0.3">
      <c r="A1193" s="1068"/>
      <c r="B1193" s="852"/>
      <c r="C1193" s="282" t="s">
        <v>446</v>
      </c>
      <c r="D1193" s="437"/>
      <c r="E1193" s="283"/>
      <c r="F1193" s="438">
        <f t="shared" si="266"/>
        <v>8318</v>
      </c>
      <c r="G1193" s="612">
        <v>360</v>
      </c>
      <c r="H1193" s="603">
        <f t="shared" si="268"/>
        <v>0</v>
      </c>
      <c r="I1193" s="606">
        <f t="shared" si="267"/>
        <v>2994480</v>
      </c>
      <c r="J1193" s="376"/>
    </row>
    <row r="1194" spans="1:10" ht="23.4" x14ac:dyDescent="0.3">
      <c r="A1194" s="1068"/>
      <c r="B1194" s="852"/>
      <c r="C1194" s="282" t="s">
        <v>305</v>
      </c>
      <c r="D1194" s="437"/>
      <c r="E1194" s="283"/>
      <c r="F1194" s="438">
        <f t="shared" si="266"/>
        <v>0</v>
      </c>
      <c r="G1194" s="612">
        <v>39450</v>
      </c>
      <c r="H1194" s="603">
        <f t="shared" si="268"/>
        <v>0</v>
      </c>
      <c r="I1194" s="606">
        <f t="shared" si="267"/>
        <v>0</v>
      </c>
      <c r="J1194" s="376"/>
    </row>
    <row r="1195" spans="1:10" ht="24" thickBot="1" x14ac:dyDescent="0.35">
      <c r="A1195" s="1068"/>
      <c r="B1195" s="852"/>
      <c r="C1195" s="282" t="s">
        <v>364</v>
      </c>
      <c r="D1195" s="437" t="s">
        <v>258</v>
      </c>
      <c r="E1195" s="283"/>
      <c r="F1195" s="438">
        <f t="shared" si="266"/>
        <v>0</v>
      </c>
      <c r="G1195" s="612">
        <v>57.64</v>
      </c>
      <c r="H1195" s="603">
        <f t="shared" si="268"/>
        <v>0</v>
      </c>
      <c r="I1195" s="606">
        <f t="shared" si="267"/>
        <v>0</v>
      </c>
      <c r="J1195" s="376"/>
    </row>
    <row r="1196" spans="1:10" ht="24" thickBot="1" x14ac:dyDescent="0.35">
      <c r="A1196" s="1069"/>
      <c r="B1196" s="1063" t="s">
        <v>291</v>
      </c>
      <c r="C1196" s="1064"/>
      <c r="D1196" s="854"/>
      <c r="E1196" s="329">
        <f>SUM(E1173:E1195)</f>
        <v>5840</v>
      </c>
      <c r="F1196" s="329">
        <f>SUM(F1173:F1195)</f>
        <v>356315</v>
      </c>
      <c r="G1196" s="329"/>
      <c r="H1196" s="600">
        <f>SUM(H1173:H1195)</f>
        <v>390433.4</v>
      </c>
      <c r="I1196" s="589">
        <f>SUM(I1173:I1195)</f>
        <v>38185872.719999991</v>
      </c>
      <c r="J1196" s="375"/>
    </row>
    <row r="1197" spans="1:10" ht="24" thickBot="1" x14ac:dyDescent="0.35">
      <c r="A1197" s="857"/>
      <c r="B1197" s="440"/>
      <c r="C1197" s="282" t="s">
        <v>446</v>
      </c>
      <c r="D1197" s="437"/>
      <c r="E1197" s="283"/>
      <c r="F1197" s="284">
        <f>+F1107+E1197</f>
        <v>0</v>
      </c>
      <c r="G1197" s="337"/>
      <c r="H1197" s="599">
        <f t="shared" ref="H1197" si="269">E1197*G1197</f>
        <v>0</v>
      </c>
      <c r="I1197" s="285">
        <f t="shared" ref="I1197" si="270">+G1197*F1197</f>
        <v>0</v>
      </c>
      <c r="J1197" s="376"/>
    </row>
    <row r="1198" spans="1:10" ht="24" thickBot="1" x14ac:dyDescent="0.35">
      <c r="A1198" s="857"/>
      <c r="B1198" s="1063" t="s">
        <v>238</v>
      </c>
      <c r="C1198" s="1064"/>
      <c r="D1198" s="850"/>
      <c r="E1198" s="329"/>
      <c r="F1198" s="330"/>
      <c r="G1198" s="329"/>
      <c r="H1198" s="597"/>
      <c r="I1198" s="327">
        <f>SUM(I1197)</f>
        <v>0</v>
      </c>
      <c r="J1198" s="352"/>
    </row>
    <row r="1199" spans="1:10" ht="24.6" thickBot="1" x14ac:dyDescent="0.35">
      <c r="A1199" s="322"/>
      <c r="B1199" s="1065" t="s">
        <v>182</v>
      </c>
      <c r="C1199" s="1066"/>
      <c r="D1199" s="851"/>
      <c r="E1199" s="377">
        <f>+E1196+E1172+E1150+E1148</f>
        <v>130466</v>
      </c>
      <c r="F1199" s="377">
        <f>+F1196+F1172+F1150+F1148</f>
        <v>3068900</v>
      </c>
      <c r="G1199" s="377"/>
      <c r="H1199" s="377"/>
      <c r="I1199" s="377">
        <f>+I1196+I1172+I1150+I1198</f>
        <v>115984730.22999999</v>
      </c>
      <c r="J1199" s="378"/>
    </row>
    <row r="1200" spans="1:10" ht="23.4" x14ac:dyDescent="0.3">
      <c r="A1200" s="991" t="s">
        <v>1</v>
      </c>
      <c r="B1200" s="994" t="s">
        <v>2</v>
      </c>
      <c r="C1200" s="1072" t="s">
        <v>477</v>
      </c>
      <c r="D1200" s="1043" t="s">
        <v>478</v>
      </c>
      <c r="E1200" s="1076" t="s">
        <v>553</v>
      </c>
      <c r="F1200" s="1001"/>
      <c r="G1200" s="1001"/>
      <c r="H1200" s="1001"/>
      <c r="I1200" s="1001"/>
      <c r="J1200" s="1002"/>
    </row>
    <row r="1201" spans="1:10" ht="23.4" x14ac:dyDescent="0.3">
      <c r="A1201" s="1070"/>
      <c r="B1201" s="1071"/>
      <c r="C1201" s="1073"/>
      <c r="D1201" s="1044"/>
      <c r="E1201" s="1077" t="s">
        <v>493</v>
      </c>
      <c r="F1201" s="1078"/>
      <c r="G1201" s="1077" t="s">
        <v>492</v>
      </c>
      <c r="H1201" s="1079"/>
      <c r="I1201" s="1079"/>
      <c r="J1201" s="1078"/>
    </row>
    <row r="1202" spans="1:10" x14ac:dyDescent="0.3">
      <c r="A1202" s="992"/>
      <c r="B1202" s="995"/>
      <c r="C1202" s="1074"/>
      <c r="D1202" s="1044"/>
      <c r="E1202" s="1003" t="s">
        <v>494</v>
      </c>
      <c r="F1202" s="1005" t="s">
        <v>495</v>
      </c>
      <c r="G1202" s="1081" t="s">
        <v>97</v>
      </c>
      <c r="H1202" s="1083" t="s">
        <v>98</v>
      </c>
      <c r="I1202" s="1083" t="s">
        <v>98</v>
      </c>
      <c r="J1202" s="1085" t="s">
        <v>12</v>
      </c>
    </row>
    <row r="1203" spans="1:10" ht="14.4" thickBot="1" x14ac:dyDescent="0.35">
      <c r="A1203" s="993"/>
      <c r="B1203" s="996"/>
      <c r="C1203" s="1075"/>
      <c r="D1203" s="1045"/>
      <c r="E1203" s="1004"/>
      <c r="F1203" s="1080"/>
      <c r="G1203" s="1082"/>
      <c r="H1203" s="1084"/>
      <c r="I1203" s="1084"/>
      <c r="J1203" s="1086"/>
    </row>
    <row r="1204" spans="1:10" ht="23.4" x14ac:dyDescent="0.3">
      <c r="A1204" s="1067" t="s">
        <v>110</v>
      </c>
      <c r="B1204" s="442"/>
      <c r="C1204" s="584" t="s">
        <v>292</v>
      </c>
      <c r="D1204" s="686" t="s">
        <v>284</v>
      </c>
      <c r="E1204" s="744"/>
      <c r="F1204" s="695">
        <f>+F1114+E1204</f>
        <v>0</v>
      </c>
      <c r="G1204" s="741">
        <v>111.09</v>
      </c>
      <c r="H1204" s="601">
        <f t="shared" ref="H1204:H1217" si="271">E1204*G1204</f>
        <v>0</v>
      </c>
      <c r="I1204" s="604">
        <f>+G1204*F1204</f>
        <v>0</v>
      </c>
      <c r="J1204" s="354"/>
    </row>
    <row r="1205" spans="1:10" ht="23.4" x14ac:dyDescent="0.3">
      <c r="A1205" s="1068"/>
      <c r="B1205" s="441"/>
      <c r="C1205" s="444" t="s">
        <v>285</v>
      </c>
      <c r="D1205" s="687" t="s">
        <v>286</v>
      </c>
      <c r="E1205" s="745"/>
      <c r="F1205" s="746">
        <f t="shared" ref="F1205:F1217" si="272">+F1115+E1205</f>
        <v>0</v>
      </c>
      <c r="G1205" s="742">
        <v>11</v>
      </c>
      <c r="H1205" s="602">
        <f t="shared" si="271"/>
        <v>0</v>
      </c>
      <c r="I1205" s="605">
        <f>+G1205*F1205</f>
        <v>0</v>
      </c>
      <c r="J1205" s="355"/>
    </row>
    <row r="1206" spans="1:10" ht="23.4" x14ac:dyDescent="0.3">
      <c r="A1206" s="1068"/>
      <c r="B1206" s="441"/>
      <c r="C1206" s="444" t="s">
        <v>321</v>
      </c>
      <c r="D1206" s="687" t="s">
        <v>400</v>
      </c>
      <c r="E1206" s="745"/>
      <c r="F1206" s="746">
        <f t="shared" si="272"/>
        <v>0</v>
      </c>
      <c r="G1206" s="742">
        <v>139.04</v>
      </c>
      <c r="H1206" s="602">
        <f t="shared" si="271"/>
        <v>0</v>
      </c>
      <c r="I1206" s="605">
        <f t="shared" ref="I1206:I1217" si="273">+G1206*F1206</f>
        <v>0</v>
      </c>
      <c r="J1206" s="355"/>
    </row>
    <row r="1207" spans="1:10" ht="23.4" x14ac:dyDescent="0.3">
      <c r="A1207" s="1068"/>
      <c r="B1207" s="441"/>
      <c r="C1207" s="444" t="s">
        <v>397</v>
      </c>
      <c r="D1207" s="687" t="s">
        <v>398</v>
      </c>
      <c r="E1207" s="745">
        <v>38556</v>
      </c>
      <c r="F1207" s="746">
        <f t="shared" si="272"/>
        <v>895356</v>
      </c>
      <c r="G1207" s="795">
        <v>20.5</v>
      </c>
      <c r="H1207" s="602">
        <f t="shared" si="271"/>
        <v>790398</v>
      </c>
      <c r="I1207" s="605">
        <f t="shared" si="273"/>
        <v>18354798</v>
      </c>
      <c r="J1207" s="355"/>
    </row>
    <row r="1208" spans="1:10" ht="23.4" x14ac:dyDescent="0.3">
      <c r="A1208" s="1068"/>
      <c r="B1208" s="441"/>
      <c r="C1208" s="444" t="s">
        <v>312</v>
      </c>
      <c r="D1208" s="687" t="s">
        <v>190</v>
      </c>
      <c r="E1208" s="745"/>
      <c r="F1208" s="746">
        <f t="shared" si="272"/>
        <v>0</v>
      </c>
      <c r="G1208" s="742">
        <v>14.79</v>
      </c>
      <c r="H1208" s="602">
        <f t="shared" si="271"/>
        <v>0</v>
      </c>
      <c r="I1208" s="605">
        <f t="shared" si="273"/>
        <v>0</v>
      </c>
      <c r="J1208" s="355"/>
    </row>
    <row r="1209" spans="1:10" ht="23.4" x14ac:dyDescent="0.3">
      <c r="A1209" s="1068"/>
      <c r="B1209" s="441"/>
      <c r="C1209" s="444" t="s">
        <v>321</v>
      </c>
      <c r="D1209" s="687" t="s">
        <v>286</v>
      </c>
      <c r="E1209" s="745"/>
      <c r="F1209" s="746">
        <f t="shared" si="272"/>
        <v>5515</v>
      </c>
      <c r="G1209" s="742">
        <v>139.04</v>
      </c>
      <c r="H1209" s="602">
        <f t="shared" si="271"/>
        <v>0</v>
      </c>
      <c r="I1209" s="605">
        <f t="shared" si="273"/>
        <v>766805.6</v>
      </c>
      <c r="J1209" s="355"/>
    </row>
    <row r="1210" spans="1:10" ht="23.4" x14ac:dyDescent="0.3">
      <c r="A1210" s="1068"/>
      <c r="B1210" s="441"/>
      <c r="C1210" s="444" t="s">
        <v>472</v>
      </c>
      <c r="D1210" s="688" t="s">
        <v>396</v>
      </c>
      <c r="E1210" s="745"/>
      <c r="F1210" s="746">
        <f t="shared" si="272"/>
        <v>29760</v>
      </c>
      <c r="G1210" s="742">
        <v>147.58000000000001</v>
      </c>
      <c r="H1210" s="602">
        <f t="shared" si="271"/>
        <v>0</v>
      </c>
      <c r="I1210" s="605">
        <f t="shared" si="273"/>
        <v>4391980.8000000007</v>
      </c>
      <c r="J1210" s="355"/>
    </row>
    <row r="1211" spans="1:10" ht="23.4" x14ac:dyDescent="0.3">
      <c r="A1211" s="1068"/>
      <c r="B1211" s="441"/>
      <c r="C1211" s="444" t="s">
        <v>345</v>
      </c>
      <c r="D1211" s="688" t="s">
        <v>286</v>
      </c>
      <c r="E1211" s="745"/>
      <c r="F1211" s="746">
        <f t="shared" si="272"/>
        <v>36720</v>
      </c>
      <c r="G1211" s="742">
        <v>18.84</v>
      </c>
      <c r="H1211" s="602">
        <f t="shared" si="271"/>
        <v>0</v>
      </c>
      <c r="I1211" s="605">
        <f t="shared" si="273"/>
        <v>691804.8</v>
      </c>
      <c r="J1211" s="355"/>
    </row>
    <row r="1212" spans="1:10" ht="23.4" x14ac:dyDescent="0.3">
      <c r="A1212" s="1068"/>
      <c r="B1212" s="441"/>
      <c r="C1212" s="444" t="s">
        <v>357</v>
      </c>
      <c r="D1212" s="688" t="s">
        <v>252</v>
      </c>
      <c r="E1212" s="745"/>
      <c r="F1212" s="746">
        <f t="shared" si="272"/>
        <v>550800</v>
      </c>
      <c r="G1212" s="742">
        <v>21.18</v>
      </c>
      <c r="H1212" s="602">
        <f t="shared" si="271"/>
        <v>0</v>
      </c>
      <c r="I1212" s="605">
        <f t="shared" si="273"/>
        <v>11665944</v>
      </c>
      <c r="J1212" s="355"/>
    </row>
    <row r="1213" spans="1:10" ht="23.4" x14ac:dyDescent="0.3">
      <c r="A1213" s="1068"/>
      <c r="B1213" s="441"/>
      <c r="C1213" s="444" t="s">
        <v>359</v>
      </c>
      <c r="D1213" s="688" t="s">
        <v>360</v>
      </c>
      <c r="E1213" s="745">
        <v>183600</v>
      </c>
      <c r="F1213" s="746">
        <f t="shared" si="272"/>
        <v>183600</v>
      </c>
      <c r="G1213" s="742">
        <v>21.28</v>
      </c>
      <c r="H1213" s="602">
        <f t="shared" si="271"/>
        <v>3907008</v>
      </c>
      <c r="I1213" s="605">
        <f t="shared" si="273"/>
        <v>3907008</v>
      </c>
      <c r="J1213" s="355"/>
    </row>
    <row r="1214" spans="1:10" ht="23.4" x14ac:dyDescent="0.3">
      <c r="A1214" s="1068"/>
      <c r="B1214" s="441"/>
      <c r="C1214" s="444" t="s">
        <v>445</v>
      </c>
      <c r="D1214" s="688" t="s">
        <v>436</v>
      </c>
      <c r="E1214" s="745"/>
      <c r="F1214" s="746">
        <f t="shared" si="272"/>
        <v>19840</v>
      </c>
      <c r="G1214" s="742">
        <v>143.28</v>
      </c>
      <c r="H1214" s="602">
        <f t="shared" si="271"/>
        <v>0</v>
      </c>
      <c r="I1214" s="605">
        <f t="shared" si="273"/>
        <v>2842675.2000000002</v>
      </c>
      <c r="J1214" s="355"/>
    </row>
    <row r="1215" spans="1:10" ht="23.4" x14ac:dyDescent="0.3">
      <c r="A1215" s="1068"/>
      <c r="B1215" s="441"/>
      <c r="C1215" s="444" t="s">
        <v>403</v>
      </c>
      <c r="D1215" s="687" t="s">
        <v>190</v>
      </c>
      <c r="E1215" s="745"/>
      <c r="F1215" s="746">
        <f t="shared" si="272"/>
        <v>135168</v>
      </c>
      <c r="G1215" s="742">
        <v>14.55</v>
      </c>
      <c r="H1215" s="602">
        <f t="shared" si="271"/>
        <v>0</v>
      </c>
      <c r="I1215" s="605">
        <f t="shared" si="273"/>
        <v>1966694.4000000001</v>
      </c>
      <c r="J1215" s="355"/>
    </row>
    <row r="1216" spans="1:10" ht="23.4" x14ac:dyDescent="0.3">
      <c r="A1216" s="1068"/>
      <c r="B1216" s="441"/>
      <c r="C1216" s="444" t="s">
        <v>362</v>
      </c>
      <c r="D1216" s="688" t="s">
        <v>202</v>
      </c>
      <c r="E1216" s="745"/>
      <c r="F1216" s="746">
        <f t="shared" si="272"/>
        <v>0</v>
      </c>
      <c r="G1216" s="742">
        <v>21.28</v>
      </c>
      <c r="H1216" s="602">
        <f t="shared" si="271"/>
        <v>0</v>
      </c>
      <c r="I1216" s="605">
        <f t="shared" si="273"/>
        <v>0</v>
      </c>
      <c r="J1216" s="355"/>
    </row>
    <row r="1217" spans="1:10" ht="24" thickBot="1" x14ac:dyDescent="0.35">
      <c r="A1217" s="1068"/>
      <c r="B1217" s="441"/>
      <c r="C1217" s="444" t="s">
        <v>374</v>
      </c>
      <c r="D1217" s="689" t="s">
        <v>191</v>
      </c>
      <c r="E1217" s="745"/>
      <c r="F1217" s="697">
        <f t="shared" si="272"/>
        <v>0</v>
      </c>
      <c r="G1217" s="742">
        <v>36.44</v>
      </c>
      <c r="H1217" s="602">
        <f t="shared" si="271"/>
        <v>0</v>
      </c>
      <c r="I1217" s="605">
        <f t="shared" si="273"/>
        <v>0</v>
      </c>
      <c r="J1217" s="355"/>
    </row>
    <row r="1218" spans="1:10" ht="24" thickBot="1" x14ac:dyDescent="0.35">
      <c r="A1218" s="1068"/>
      <c r="B1218" s="1063" t="s">
        <v>287</v>
      </c>
      <c r="C1218" s="1064"/>
      <c r="D1218" s="875"/>
      <c r="E1218" s="329">
        <f>SUM(E1204:E1217)</f>
        <v>222156</v>
      </c>
      <c r="F1218" s="743">
        <f>SUM(F1204:F1217)</f>
        <v>1856759</v>
      </c>
      <c r="G1218" s="329"/>
      <c r="H1218" s="597">
        <f>SUM(H1204:H1217)</f>
        <v>4697406</v>
      </c>
      <c r="I1218" s="589">
        <f>SUM(I1204:I1217)</f>
        <v>44587710.800000004</v>
      </c>
      <c r="J1218" s="352"/>
    </row>
    <row r="1219" spans="1:10" ht="23.4" x14ac:dyDescent="0.3">
      <c r="A1219" s="1068"/>
      <c r="B1219" s="873"/>
      <c r="C1219" s="282" t="s">
        <v>293</v>
      </c>
      <c r="D1219" s="437" t="s">
        <v>258</v>
      </c>
      <c r="E1219" s="283">
        <f>6125+2625</f>
        <v>8750</v>
      </c>
      <c r="F1219" s="438">
        <f t="shared" ref="F1219:F1231" si="274">+F1129+E1219</f>
        <v>57750</v>
      </c>
      <c r="G1219" s="587">
        <v>160.44999999999999</v>
      </c>
      <c r="H1219" s="603">
        <f t="shared" ref="H1219:H1231" si="275">E1219*G1219</f>
        <v>1403937.5</v>
      </c>
      <c r="I1219" s="606">
        <f t="shared" ref="I1219:I1231" si="276">+G1219*F1219</f>
        <v>9265987.5</v>
      </c>
      <c r="J1219" s="376"/>
    </row>
    <row r="1220" spans="1:10" ht="23.4" x14ac:dyDescent="0.3">
      <c r="A1220" s="1068"/>
      <c r="B1220" s="873"/>
      <c r="C1220" s="282" t="s">
        <v>309</v>
      </c>
      <c r="D1220" s="437" t="s">
        <v>258</v>
      </c>
      <c r="E1220" s="283">
        <v>5000</v>
      </c>
      <c r="F1220" s="438">
        <f t="shared" si="274"/>
        <v>5000</v>
      </c>
      <c r="G1220" s="587">
        <v>160.44999999999999</v>
      </c>
      <c r="H1220" s="603">
        <f t="shared" si="275"/>
        <v>802250</v>
      </c>
      <c r="I1220" s="606">
        <f t="shared" si="276"/>
        <v>802250</v>
      </c>
      <c r="J1220" s="376"/>
    </row>
    <row r="1221" spans="1:10" ht="23.4" x14ac:dyDescent="0.3">
      <c r="A1221" s="1068"/>
      <c r="B1221" s="873"/>
      <c r="C1221" s="282" t="s">
        <v>463</v>
      </c>
      <c r="D1221" s="437" t="s">
        <v>258</v>
      </c>
      <c r="E1221" s="283"/>
      <c r="F1221" s="438">
        <f t="shared" si="274"/>
        <v>13500</v>
      </c>
      <c r="G1221" s="587">
        <v>160.44999999999999</v>
      </c>
      <c r="H1221" s="603">
        <f t="shared" si="275"/>
        <v>0</v>
      </c>
      <c r="I1221" s="606">
        <f t="shared" si="276"/>
        <v>2166075</v>
      </c>
      <c r="J1221" s="376"/>
    </row>
    <row r="1222" spans="1:10" ht="23.4" x14ac:dyDescent="0.3">
      <c r="A1222" s="1068"/>
      <c r="B1222" s="873"/>
      <c r="C1222" s="282" t="s">
        <v>311</v>
      </c>
      <c r="D1222" s="437" t="s">
        <v>100</v>
      </c>
      <c r="E1222" s="283"/>
      <c r="F1222" s="438">
        <f t="shared" si="274"/>
        <v>0</v>
      </c>
      <c r="G1222" s="587">
        <v>27</v>
      </c>
      <c r="H1222" s="603">
        <f t="shared" si="275"/>
        <v>0</v>
      </c>
      <c r="I1222" s="606">
        <f t="shared" si="276"/>
        <v>0</v>
      </c>
      <c r="J1222" s="376"/>
    </row>
    <row r="1223" spans="1:10" ht="23.4" x14ac:dyDescent="0.3">
      <c r="A1223" s="1068"/>
      <c r="B1223" s="873"/>
      <c r="C1223" s="282" t="s">
        <v>311</v>
      </c>
      <c r="D1223" s="437" t="s">
        <v>318</v>
      </c>
      <c r="E1223" s="283"/>
      <c r="F1223" s="438">
        <f t="shared" si="274"/>
        <v>380160</v>
      </c>
      <c r="G1223" s="587">
        <v>27.5</v>
      </c>
      <c r="H1223" s="603">
        <f t="shared" si="275"/>
        <v>0</v>
      </c>
      <c r="I1223" s="606">
        <f t="shared" si="276"/>
        <v>10454400</v>
      </c>
      <c r="J1223" s="376"/>
    </row>
    <row r="1224" spans="1:10" ht="23.4" x14ac:dyDescent="0.3">
      <c r="A1224" s="1068"/>
      <c r="B1224" s="873"/>
      <c r="C1224" s="282" t="s">
        <v>299</v>
      </c>
      <c r="D1224" s="437" t="s">
        <v>318</v>
      </c>
      <c r="E1224" s="283"/>
      <c r="F1224" s="438">
        <f t="shared" si="274"/>
        <v>12680</v>
      </c>
      <c r="G1224" s="587">
        <v>34.5</v>
      </c>
      <c r="H1224" s="603">
        <f t="shared" si="275"/>
        <v>0</v>
      </c>
      <c r="I1224" s="606">
        <f t="shared" si="276"/>
        <v>437460</v>
      </c>
      <c r="J1224" s="376"/>
    </row>
    <row r="1225" spans="1:10" ht="23.4" x14ac:dyDescent="0.3">
      <c r="A1225" s="1068"/>
      <c r="B1225" s="873"/>
      <c r="C1225" s="282" t="s">
        <v>550</v>
      </c>
      <c r="D1225" s="437" t="s">
        <v>549</v>
      </c>
      <c r="E1225" s="283"/>
      <c r="F1225" s="438">
        <f t="shared" si="274"/>
        <v>31200</v>
      </c>
      <c r="G1225" s="587">
        <v>10.57</v>
      </c>
      <c r="H1225" s="603">
        <f t="shared" si="275"/>
        <v>0</v>
      </c>
      <c r="I1225" s="606">
        <f t="shared" si="276"/>
        <v>329784</v>
      </c>
      <c r="J1225" s="376"/>
    </row>
    <row r="1226" spans="1:10" ht="23.4" x14ac:dyDescent="0.3">
      <c r="A1226" s="1068"/>
      <c r="B1226" s="873"/>
      <c r="C1226" s="282" t="s">
        <v>299</v>
      </c>
      <c r="D1226" s="437" t="s">
        <v>549</v>
      </c>
      <c r="E1226" s="283"/>
      <c r="F1226" s="438">
        <f t="shared" si="274"/>
        <v>26</v>
      </c>
      <c r="G1226" s="587">
        <v>55.76</v>
      </c>
      <c r="H1226" s="603">
        <f t="shared" si="275"/>
        <v>0</v>
      </c>
      <c r="I1226" s="606">
        <f t="shared" si="276"/>
        <v>1449.76</v>
      </c>
      <c r="J1226" s="376"/>
    </row>
    <row r="1227" spans="1:10" ht="23.4" x14ac:dyDescent="0.3">
      <c r="A1227" s="1068"/>
      <c r="B1227" s="873"/>
      <c r="C1227" s="282" t="s">
        <v>505</v>
      </c>
      <c r="D1227" s="437" t="s">
        <v>258</v>
      </c>
      <c r="E1227" s="283">
        <v>3557</v>
      </c>
      <c r="F1227" s="438">
        <f t="shared" si="274"/>
        <v>12307</v>
      </c>
      <c r="G1227" s="587">
        <v>160.44999999999999</v>
      </c>
      <c r="H1227" s="603">
        <f t="shared" si="275"/>
        <v>570720.64999999991</v>
      </c>
      <c r="I1227" s="606">
        <f t="shared" si="276"/>
        <v>1974658.15</v>
      </c>
      <c r="J1227" s="376"/>
    </row>
    <row r="1228" spans="1:10" ht="23.4" x14ac:dyDescent="0.3">
      <c r="A1228" s="1068"/>
      <c r="B1228" s="873"/>
      <c r="C1228" s="282" t="s">
        <v>388</v>
      </c>
      <c r="D1228" s="437" t="s">
        <v>258</v>
      </c>
      <c r="E1228" s="283"/>
      <c r="F1228" s="438">
        <f t="shared" si="274"/>
        <v>32750</v>
      </c>
      <c r="G1228" s="587">
        <v>160.44999999999999</v>
      </c>
      <c r="H1228" s="603">
        <f t="shared" si="275"/>
        <v>0</v>
      </c>
      <c r="I1228" s="606">
        <f t="shared" si="276"/>
        <v>5254737.5</v>
      </c>
      <c r="J1228" s="376"/>
    </row>
    <row r="1229" spans="1:10" ht="23.4" x14ac:dyDescent="0.3">
      <c r="A1229" s="1068"/>
      <c r="B1229" s="873"/>
      <c r="C1229" s="282" t="s">
        <v>461</v>
      </c>
      <c r="D1229" s="437" t="s">
        <v>258</v>
      </c>
      <c r="E1229" s="283"/>
      <c r="F1229" s="438">
        <f t="shared" si="274"/>
        <v>6000</v>
      </c>
      <c r="G1229" s="587">
        <v>160.44999999999999</v>
      </c>
      <c r="H1229" s="603">
        <f t="shared" si="275"/>
        <v>0</v>
      </c>
      <c r="I1229" s="606">
        <f t="shared" si="276"/>
        <v>962699.99999999988</v>
      </c>
      <c r="J1229" s="376"/>
    </row>
    <row r="1230" spans="1:10" ht="23.4" x14ac:dyDescent="0.3">
      <c r="A1230" s="1068"/>
      <c r="B1230" s="873"/>
      <c r="C1230" s="282" t="s">
        <v>331</v>
      </c>
      <c r="D1230" s="437" t="s">
        <v>258</v>
      </c>
      <c r="E1230" s="283"/>
      <c r="F1230" s="438">
        <f t="shared" si="274"/>
        <v>7059</v>
      </c>
      <c r="G1230" s="587">
        <v>160.44999999999999</v>
      </c>
      <c r="H1230" s="603">
        <f t="shared" si="275"/>
        <v>0</v>
      </c>
      <c r="I1230" s="606">
        <f t="shared" si="276"/>
        <v>1132616.5499999998</v>
      </c>
      <c r="J1230" s="376"/>
    </row>
    <row r="1231" spans="1:10" ht="24" thickBot="1" x14ac:dyDescent="0.35">
      <c r="A1231" s="1068"/>
      <c r="B1231" s="873"/>
      <c r="C1231" s="282" t="s">
        <v>340</v>
      </c>
      <c r="D1231" s="437" t="s">
        <v>258</v>
      </c>
      <c r="E1231" s="283"/>
      <c r="F1231" s="438">
        <f t="shared" si="274"/>
        <v>1688</v>
      </c>
      <c r="G1231" s="587">
        <v>160.44999999999999</v>
      </c>
      <c r="H1231" s="603">
        <f t="shared" si="275"/>
        <v>0</v>
      </c>
      <c r="I1231" s="606">
        <f t="shared" si="276"/>
        <v>270839.59999999998</v>
      </c>
      <c r="J1231" s="376"/>
    </row>
    <row r="1232" spans="1:10" ht="24" thickBot="1" x14ac:dyDescent="0.35">
      <c r="A1232" s="1068"/>
      <c r="B1232" s="1063" t="s">
        <v>288</v>
      </c>
      <c r="C1232" s="1064"/>
      <c r="D1232" s="875"/>
      <c r="E1232" s="329">
        <f>SUM(E1219:E1231)</f>
        <v>17307</v>
      </c>
      <c r="F1232" s="329">
        <f>SUM(F1219:F1231)</f>
        <v>560120</v>
      </c>
      <c r="G1232" s="329"/>
      <c r="H1232" s="597">
        <f>SUM(H1219:H1231)</f>
        <v>2776908.15</v>
      </c>
      <c r="I1232" s="589">
        <f>SUM(I1219:I1231)</f>
        <v>33052958.060000002</v>
      </c>
      <c r="J1232" s="352"/>
    </row>
    <row r="1233" spans="1:11" ht="23.4" x14ac:dyDescent="0.3">
      <c r="A1233" s="1068"/>
      <c r="B1233" s="873"/>
      <c r="C1233" s="282" t="s">
        <v>434</v>
      </c>
      <c r="D1233" s="437" t="s">
        <v>435</v>
      </c>
      <c r="E1233" s="283"/>
      <c r="F1233" s="438">
        <f t="shared" ref="F1233:F1237" si="277">+F1143+E1233</f>
        <v>250</v>
      </c>
      <c r="G1233" s="587">
        <v>5.34</v>
      </c>
      <c r="H1233" s="603">
        <f t="shared" ref="H1233:H1237" si="278">E1233*G1233</f>
        <v>0</v>
      </c>
      <c r="I1233" s="606">
        <f t="shared" ref="I1233" si="279">+G1233*F1233</f>
        <v>1335</v>
      </c>
      <c r="J1233" s="376"/>
    </row>
    <row r="1234" spans="1:11" ht="23.4" x14ac:dyDescent="0.3">
      <c r="A1234" s="1068"/>
      <c r="B1234" s="873"/>
      <c r="C1234" s="282" t="s">
        <v>464</v>
      </c>
      <c r="D1234" s="437" t="s">
        <v>286</v>
      </c>
      <c r="E1234" s="283"/>
      <c r="F1234" s="438">
        <f t="shared" si="277"/>
        <v>50</v>
      </c>
      <c r="G1234" s="587">
        <v>31.73</v>
      </c>
      <c r="H1234" s="603">
        <f t="shared" si="278"/>
        <v>0</v>
      </c>
      <c r="I1234" s="606">
        <f>+G1234*F1234</f>
        <v>1586.5</v>
      </c>
      <c r="J1234" s="376"/>
    </row>
    <row r="1235" spans="1:11" ht="23.4" x14ac:dyDescent="0.3">
      <c r="A1235" s="1068"/>
      <c r="B1235" s="873"/>
      <c r="C1235" s="282" t="s">
        <v>473</v>
      </c>
      <c r="D1235" s="437" t="s">
        <v>474</v>
      </c>
      <c r="E1235" s="283"/>
      <c r="F1235" s="438">
        <f t="shared" si="277"/>
        <v>2500</v>
      </c>
      <c r="G1235" s="587">
        <v>10.58</v>
      </c>
      <c r="H1235" s="603">
        <f t="shared" si="278"/>
        <v>0</v>
      </c>
      <c r="I1235" s="606">
        <f>+G1235*F1235</f>
        <v>26450</v>
      </c>
      <c r="J1235" s="376"/>
    </row>
    <row r="1236" spans="1:11" ht="23.4" x14ac:dyDescent="0.3">
      <c r="A1236" s="1068"/>
      <c r="B1236" s="873"/>
      <c r="C1236" s="282" t="s">
        <v>300</v>
      </c>
      <c r="D1236" s="437" t="s">
        <v>301</v>
      </c>
      <c r="E1236" s="283"/>
      <c r="F1236" s="438">
        <f t="shared" si="277"/>
        <v>1</v>
      </c>
      <c r="G1236" s="587">
        <v>2500</v>
      </c>
      <c r="H1236" s="603">
        <f t="shared" si="278"/>
        <v>0</v>
      </c>
      <c r="I1236" s="606">
        <f>+G1236*F1236</f>
        <v>2500</v>
      </c>
      <c r="J1236" s="376"/>
    </row>
    <row r="1237" spans="1:11" ht="24" thickBot="1" x14ac:dyDescent="0.35">
      <c r="A1237" s="1068"/>
      <c r="B1237" s="873"/>
      <c r="C1237" s="282" t="s">
        <v>519</v>
      </c>
      <c r="D1237" s="437" t="s">
        <v>333</v>
      </c>
      <c r="E1237" s="283"/>
      <c r="F1237" s="438">
        <f t="shared" si="277"/>
        <v>124032</v>
      </c>
      <c r="G1237" s="588">
        <v>10</v>
      </c>
      <c r="H1237" s="603">
        <f t="shared" si="278"/>
        <v>0</v>
      </c>
      <c r="I1237" s="606">
        <f t="shared" ref="I1237" si="280">+G1237*F1237</f>
        <v>1240320</v>
      </c>
      <c r="J1237" s="376"/>
    </row>
    <row r="1238" spans="1:11" ht="24" thickBot="1" x14ac:dyDescent="0.35">
      <c r="A1238" s="1068"/>
      <c r="B1238" s="1063" t="s">
        <v>294</v>
      </c>
      <c r="C1238" s="1064"/>
      <c r="D1238" s="875"/>
      <c r="E1238" s="329">
        <f>SUM(E1233:E1237)</f>
        <v>0</v>
      </c>
      <c r="F1238" s="329">
        <f>SUM(F1233:F1237)</f>
        <v>126833</v>
      </c>
      <c r="G1238" s="329"/>
      <c r="H1238" s="597">
        <f>SUM(H1233:H1237)</f>
        <v>0</v>
      </c>
      <c r="I1238" s="589">
        <f>SUM(I1233:I1237)</f>
        <v>1272191.5</v>
      </c>
      <c r="J1238" s="376"/>
    </row>
    <row r="1239" spans="1:11" ht="24" thickBot="1" x14ac:dyDescent="0.35">
      <c r="A1239" s="1068"/>
      <c r="B1239" s="873"/>
      <c r="C1239" s="282"/>
      <c r="D1239" s="437"/>
      <c r="E1239" s="283"/>
      <c r="F1239" s="320"/>
      <c r="G1239" s="588"/>
      <c r="H1239" s="598"/>
      <c r="I1239" s="285">
        <f t="shared" ref="I1239" si="281">+G1239*F1239</f>
        <v>0</v>
      </c>
      <c r="J1239" s="376"/>
    </row>
    <row r="1240" spans="1:11" ht="24" thickBot="1" x14ac:dyDescent="0.35">
      <c r="A1240" s="1069"/>
      <c r="B1240" s="1063" t="s">
        <v>290</v>
      </c>
      <c r="C1240" s="1064"/>
      <c r="D1240" s="871"/>
      <c r="E1240" s="329">
        <f>+E1238+E1232+E1218</f>
        <v>239463</v>
      </c>
      <c r="F1240" s="329">
        <f>+F1238+F1232+F1218</f>
        <v>2543712</v>
      </c>
      <c r="G1240" s="329"/>
      <c r="H1240" s="589">
        <f>+H1232+H1218+H1238</f>
        <v>7474314.1500000004</v>
      </c>
      <c r="I1240" s="589">
        <f>+I1232+I1218+I1238</f>
        <v>78912860.360000014</v>
      </c>
      <c r="J1240" s="376"/>
      <c r="K1240" s="757"/>
    </row>
    <row r="1241" spans="1:11" ht="23.4" x14ac:dyDescent="0.3">
      <c r="A1241" s="1067" t="s">
        <v>108</v>
      </c>
      <c r="B1241" s="873"/>
      <c r="C1241" s="282" t="s">
        <v>304</v>
      </c>
      <c r="D1241" s="437" t="s">
        <v>191</v>
      </c>
      <c r="E1241" s="283"/>
      <c r="F1241" s="438">
        <f t="shared" ref="F1241:F1261" si="282">+F1151+E1241</f>
        <v>35802</v>
      </c>
      <c r="G1241" s="612">
        <v>13.25</v>
      </c>
      <c r="H1241" s="607">
        <f t="shared" ref="H1241:H1261" si="283">E1241*G1241</f>
        <v>0</v>
      </c>
      <c r="I1241" s="606">
        <f t="shared" ref="I1241:I1261" si="284">+G1241*F1241</f>
        <v>474376.5</v>
      </c>
      <c r="J1241" s="376"/>
    </row>
    <row r="1242" spans="1:11" ht="23.4" x14ac:dyDescent="0.3">
      <c r="A1242" s="1068"/>
      <c r="B1242" s="873"/>
      <c r="C1242" s="282" t="s">
        <v>305</v>
      </c>
      <c r="D1242" s="437"/>
      <c r="E1242" s="283"/>
      <c r="F1242" s="438">
        <f t="shared" si="282"/>
        <v>1</v>
      </c>
      <c r="G1242" s="613">
        <v>5000</v>
      </c>
      <c r="H1242" s="607">
        <f t="shared" si="283"/>
        <v>0</v>
      </c>
      <c r="I1242" s="606">
        <f t="shared" si="284"/>
        <v>5000</v>
      </c>
      <c r="J1242" s="376"/>
    </row>
    <row r="1243" spans="1:11" ht="23.4" x14ac:dyDescent="0.3">
      <c r="A1243" s="1068"/>
      <c r="B1243" s="873"/>
      <c r="C1243" s="282" t="s">
        <v>305</v>
      </c>
      <c r="D1243" s="437"/>
      <c r="E1243" s="283"/>
      <c r="F1243" s="438">
        <f t="shared" si="282"/>
        <v>0</v>
      </c>
      <c r="G1243" s="613">
        <v>18000</v>
      </c>
      <c r="H1243" s="607">
        <f t="shared" si="283"/>
        <v>0</v>
      </c>
      <c r="I1243" s="606">
        <f t="shared" si="284"/>
        <v>0</v>
      </c>
      <c r="J1243" s="376"/>
    </row>
    <row r="1244" spans="1:11" ht="23.4" x14ac:dyDescent="0.3">
      <c r="A1244" s="1068"/>
      <c r="B1244" s="873"/>
      <c r="C1244" s="282" t="s">
        <v>317</v>
      </c>
      <c r="D1244" s="437" t="s">
        <v>191</v>
      </c>
      <c r="E1244" s="283"/>
      <c r="F1244" s="438">
        <f t="shared" si="282"/>
        <v>0</v>
      </c>
      <c r="G1244" s="612">
        <v>24.93</v>
      </c>
      <c r="H1244" s="607">
        <f t="shared" si="283"/>
        <v>0</v>
      </c>
      <c r="I1244" s="606">
        <f t="shared" si="284"/>
        <v>0</v>
      </c>
      <c r="J1244" s="376"/>
    </row>
    <row r="1245" spans="1:11" ht="23.4" x14ac:dyDescent="0.3">
      <c r="A1245" s="1068"/>
      <c r="B1245" s="873"/>
      <c r="C1245" s="282" t="s">
        <v>324</v>
      </c>
      <c r="D1245" s="437" t="s">
        <v>99</v>
      </c>
      <c r="E1245" s="283"/>
      <c r="F1245" s="438">
        <f t="shared" si="282"/>
        <v>0</v>
      </c>
      <c r="G1245" s="612">
        <v>26</v>
      </c>
      <c r="H1245" s="607">
        <f t="shared" si="283"/>
        <v>0</v>
      </c>
      <c r="I1245" s="606">
        <f t="shared" si="284"/>
        <v>0</v>
      </c>
      <c r="J1245" s="376"/>
    </row>
    <row r="1246" spans="1:11" ht="23.4" x14ac:dyDescent="0.3">
      <c r="A1246" s="1068"/>
      <c r="B1246" s="873"/>
      <c r="C1246" s="282" t="s">
        <v>325</v>
      </c>
      <c r="D1246" s="437" t="s">
        <v>191</v>
      </c>
      <c r="E1246" s="283"/>
      <c r="F1246" s="438">
        <f t="shared" si="282"/>
        <v>0</v>
      </c>
      <c r="G1246" s="612">
        <v>25.49</v>
      </c>
      <c r="H1246" s="607">
        <f t="shared" si="283"/>
        <v>0</v>
      </c>
      <c r="I1246" s="606">
        <f t="shared" si="284"/>
        <v>0</v>
      </c>
      <c r="J1246" s="376"/>
    </row>
    <row r="1247" spans="1:11" ht="23.4" x14ac:dyDescent="0.3">
      <c r="A1247" s="1068"/>
      <c r="B1247" s="873"/>
      <c r="C1247" s="282" t="s">
        <v>326</v>
      </c>
      <c r="D1247" s="437" t="s">
        <v>114</v>
      </c>
      <c r="E1247" s="283"/>
      <c r="F1247" s="438">
        <f t="shared" si="282"/>
        <v>0</v>
      </c>
      <c r="G1247" s="612">
        <v>24.93</v>
      </c>
      <c r="H1247" s="607">
        <f t="shared" si="283"/>
        <v>0</v>
      </c>
      <c r="I1247" s="606">
        <f t="shared" si="284"/>
        <v>0</v>
      </c>
      <c r="J1247" s="376"/>
    </row>
    <row r="1248" spans="1:11" ht="23.4" x14ac:dyDescent="0.3">
      <c r="A1248" s="1068"/>
      <c r="B1248" s="873"/>
      <c r="C1248" s="282" t="s">
        <v>327</v>
      </c>
      <c r="D1248" s="437" t="s">
        <v>303</v>
      </c>
      <c r="E1248" s="283"/>
      <c r="F1248" s="438">
        <f t="shared" si="282"/>
        <v>0</v>
      </c>
      <c r="G1248" s="612">
        <v>24.93</v>
      </c>
      <c r="H1248" s="607">
        <f t="shared" si="283"/>
        <v>0</v>
      </c>
      <c r="I1248" s="606">
        <f t="shared" si="284"/>
        <v>0</v>
      </c>
      <c r="J1248" s="376"/>
    </row>
    <row r="1249" spans="1:10" ht="23.4" x14ac:dyDescent="0.3">
      <c r="A1249" s="1068"/>
      <c r="B1249" s="873"/>
      <c r="C1249" s="282" t="s">
        <v>512</v>
      </c>
      <c r="D1249" s="437" t="s">
        <v>401</v>
      </c>
      <c r="E1249" s="283"/>
      <c r="F1249" s="438">
        <f t="shared" si="282"/>
        <v>47736</v>
      </c>
      <c r="G1249" s="612">
        <v>23.78</v>
      </c>
      <c r="H1249" s="607">
        <f t="shared" si="283"/>
        <v>0</v>
      </c>
      <c r="I1249" s="606">
        <f t="shared" si="284"/>
        <v>1135162.08</v>
      </c>
      <c r="J1249" s="376"/>
    </row>
    <row r="1250" spans="1:10" ht="23.4" x14ac:dyDescent="0.3">
      <c r="A1250" s="1068"/>
      <c r="B1250" s="873"/>
      <c r="C1250" s="282" t="s">
        <v>512</v>
      </c>
      <c r="D1250" s="437" t="s">
        <v>513</v>
      </c>
      <c r="E1250" s="283"/>
      <c r="F1250" s="438">
        <f t="shared" si="282"/>
        <v>115362</v>
      </c>
      <c r="G1250" s="612">
        <v>23.78</v>
      </c>
      <c r="H1250" s="607">
        <f t="shared" si="283"/>
        <v>0</v>
      </c>
      <c r="I1250" s="606">
        <f t="shared" si="284"/>
        <v>2743308.3600000003</v>
      </c>
      <c r="J1250" s="376"/>
    </row>
    <row r="1251" spans="1:10" ht="23.4" x14ac:dyDescent="0.3">
      <c r="A1251" s="1068"/>
      <c r="B1251" s="873"/>
      <c r="C1251" s="282" t="s">
        <v>394</v>
      </c>
      <c r="D1251" s="437" t="s">
        <v>338</v>
      </c>
      <c r="E1251" s="283"/>
      <c r="F1251" s="438">
        <f t="shared" si="282"/>
        <v>0</v>
      </c>
      <c r="G1251" s="612">
        <v>37.4566666666</v>
      </c>
      <c r="H1251" s="607">
        <f t="shared" si="283"/>
        <v>0</v>
      </c>
      <c r="I1251" s="606">
        <f t="shared" si="284"/>
        <v>0</v>
      </c>
      <c r="J1251" s="376"/>
    </row>
    <row r="1252" spans="1:10" ht="23.4" x14ac:dyDescent="0.3">
      <c r="A1252" s="1068"/>
      <c r="B1252" s="873"/>
      <c r="C1252" s="282" t="s">
        <v>395</v>
      </c>
      <c r="D1252" s="437" t="s">
        <v>338</v>
      </c>
      <c r="E1252" s="283">
        <v>7488</v>
      </c>
      <c r="F1252" s="438">
        <f t="shared" si="282"/>
        <v>22464</v>
      </c>
      <c r="G1252" s="612">
        <v>37.89</v>
      </c>
      <c r="H1252" s="607">
        <f t="shared" si="283"/>
        <v>283720.32000000001</v>
      </c>
      <c r="I1252" s="606">
        <f t="shared" si="284"/>
        <v>851160.96</v>
      </c>
      <c r="J1252" s="376"/>
    </row>
    <row r="1253" spans="1:10" ht="23.4" x14ac:dyDescent="0.3">
      <c r="A1253" s="1068"/>
      <c r="B1253" s="873"/>
      <c r="C1253" s="282" t="s">
        <v>326</v>
      </c>
      <c r="D1253" s="437" t="s">
        <v>302</v>
      </c>
      <c r="E1253" s="283"/>
      <c r="F1253" s="438">
        <f t="shared" si="282"/>
        <v>0</v>
      </c>
      <c r="G1253" s="612">
        <v>24.93</v>
      </c>
      <c r="H1253" s="607">
        <f t="shared" si="283"/>
        <v>0</v>
      </c>
      <c r="I1253" s="606">
        <f t="shared" si="284"/>
        <v>0</v>
      </c>
      <c r="J1253" s="376"/>
    </row>
    <row r="1254" spans="1:10" ht="23.4" x14ac:dyDescent="0.3">
      <c r="A1254" s="1068"/>
      <c r="B1254" s="873"/>
      <c r="C1254" s="282" t="s">
        <v>402</v>
      </c>
      <c r="D1254" s="437" t="s">
        <v>376</v>
      </c>
      <c r="E1254" s="283"/>
      <c r="F1254" s="438">
        <f t="shared" si="282"/>
        <v>0</v>
      </c>
      <c r="G1254" s="612">
        <v>24.93</v>
      </c>
      <c r="H1254" s="607">
        <f t="shared" si="283"/>
        <v>0</v>
      </c>
      <c r="I1254" s="606">
        <f t="shared" si="284"/>
        <v>0</v>
      </c>
      <c r="J1254" s="376"/>
    </row>
    <row r="1255" spans="1:10" ht="23.4" x14ac:dyDescent="0.3">
      <c r="A1255" s="1068"/>
      <c r="B1255" s="873"/>
      <c r="C1255" s="282" t="s">
        <v>350</v>
      </c>
      <c r="D1255" s="437" t="s">
        <v>313</v>
      </c>
      <c r="E1255" s="283"/>
      <c r="F1255" s="438">
        <f t="shared" si="282"/>
        <v>0</v>
      </c>
      <c r="G1255" s="612">
        <v>34.26</v>
      </c>
      <c r="H1255" s="607">
        <f t="shared" si="283"/>
        <v>0</v>
      </c>
      <c r="I1255" s="606">
        <f t="shared" si="284"/>
        <v>0</v>
      </c>
      <c r="J1255" s="376"/>
    </row>
    <row r="1256" spans="1:10" ht="23.4" x14ac:dyDescent="0.3">
      <c r="A1256" s="1068"/>
      <c r="B1256" s="873"/>
      <c r="C1256" s="282" t="s">
        <v>363</v>
      </c>
      <c r="D1256" s="437" t="s">
        <v>401</v>
      </c>
      <c r="E1256" s="283"/>
      <c r="F1256" s="438">
        <f t="shared" si="282"/>
        <v>0</v>
      </c>
      <c r="G1256" s="612">
        <v>37.89</v>
      </c>
      <c r="H1256" s="607">
        <f t="shared" si="283"/>
        <v>0</v>
      </c>
      <c r="I1256" s="606">
        <f t="shared" si="284"/>
        <v>0</v>
      </c>
      <c r="J1256" s="376"/>
    </row>
    <row r="1257" spans="1:10" ht="23.4" x14ac:dyDescent="0.3">
      <c r="A1257" s="1068"/>
      <c r="B1257" s="873"/>
      <c r="C1257" s="282" t="s">
        <v>406</v>
      </c>
      <c r="D1257" s="437" t="s">
        <v>376</v>
      </c>
      <c r="E1257" s="283"/>
      <c r="F1257" s="438">
        <f t="shared" si="282"/>
        <v>0</v>
      </c>
      <c r="G1257" s="612">
        <v>39</v>
      </c>
      <c r="H1257" s="607">
        <f t="shared" si="283"/>
        <v>0</v>
      </c>
      <c r="I1257" s="606">
        <f t="shared" si="284"/>
        <v>0</v>
      </c>
      <c r="J1257" s="376"/>
    </row>
    <row r="1258" spans="1:10" ht="23.4" x14ac:dyDescent="0.3">
      <c r="A1258" s="1068"/>
      <c r="B1258" s="873"/>
      <c r="C1258" s="282" t="s">
        <v>327</v>
      </c>
      <c r="D1258" s="437" t="s">
        <v>190</v>
      </c>
      <c r="E1258" s="283"/>
      <c r="F1258" s="438">
        <f t="shared" si="282"/>
        <v>67626</v>
      </c>
      <c r="G1258" s="612">
        <v>21.22</v>
      </c>
      <c r="H1258" s="607">
        <f t="shared" si="283"/>
        <v>0</v>
      </c>
      <c r="I1258" s="606">
        <f t="shared" si="284"/>
        <v>1435023.72</v>
      </c>
      <c r="J1258" s="376"/>
    </row>
    <row r="1259" spans="1:10" ht="23.4" x14ac:dyDescent="0.3">
      <c r="A1259" s="1068"/>
      <c r="B1259" s="873"/>
      <c r="C1259" s="282" t="s">
        <v>326</v>
      </c>
      <c r="D1259" s="437" t="s">
        <v>190</v>
      </c>
      <c r="E1259" s="283"/>
      <c r="F1259" s="438">
        <f t="shared" si="282"/>
        <v>0</v>
      </c>
      <c r="G1259" s="612">
        <v>21.22</v>
      </c>
      <c r="H1259" s="607">
        <f t="shared" si="283"/>
        <v>0</v>
      </c>
      <c r="I1259" s="606">
        <f t="shared" si="284"/>
        <v>0</v>
      </c>
      <c r="J1259" s="376"/>
    </row>
    <row r="1260" spans="1:10" ht="23.4" x14ac:dyDescent="0.3">
      <c r="A1260" s="1068"/>
      <c r="B1260" s="873"/>
      <c r="C1260" s="282" t="s">
        <v>377</v>
      </c>
      <c r="D1260" s="437" t="s">
        <v>333</v>
      </c>
      <c r="E1260" s="283"/>
      <c r="F1260" s="438">
        <f t="shared" si="282"/>
        <v>0</v>
      </c>
      <c r="G1260" s="612">
        <v>10000</v>
      </c>
      <c r="H1260" s="607">
        <f t="shared" si="283"/>
        <v>0</v>
      </c>
      <c r="I1260" s="606">
        <f t="shared" si="284"/>
        <v>0</v>
      </c>
      <c r="J1260" s="376"/>
    </row>
    <row r="1261" spans="1:10" ht="24" thickBot="1" x14ac:dyDescent="0.35">
      <c r="A1261" s="1068"/>
      <c r="B1261" s="873"/>
      <c r="C1261" s="282" t="s">
        <v>332</v>
      </c>
      <c r="D1261" s="437" t="s">
        <v>333</v>
      </c>
      <c r="E1261" s="283"/>
      <c r="F1261" s="438">
        <f t="shared" si="282"/>
        <v>0</v>
      </c>
      <c r="G1261" s="612">
        <v>360</v>
      </c>
      <c r="H1261" s="607">
        <f t="shared" si="283"/>
        <v>0</v>
      </c>
      <c r="I1261" s="606">
        <f t="shared" si="284"/>
        <v>0</v>
      </c>
      <c r="J1261" s="376"/>
    </row>
    <row r="1262" spans="1:10" ht="24" thickBot="1" x14ac:dyDescent="0.35">
      <c r="A1262" s="1069"/>
      <c r="B1262" s="1063" t="s">
        <v>289</v>
      </c>
      <c r="C1262" s="1064"/>
      <c r="D1262" s="875"/>
      <c r="E1262" s="329">
        <f>SUM(E1241:E1261)</f>
        <v>7488</v>
      </c>
      <c r="F1262" s="329">
        <f>SUM(F1241:F1261)</f>
        <v>288991</v>
      </c>
      <c r="G1262" s="329"/>
      <c r="H1262" s="597">
        <f>SUM(H1241:H1261)</f>
        <v>283720.32000000001</v>
      </c>
      <c r="I1262" s="589">
        <f>SUM(I1241:I1261)</f>
        <v>6644031.6200000001</v>
      </c>
      <c r="J1262" s="376"/>
    </row>
    <row r="1263" spans="1:10" ht="23.4" x14ac:dyDescent="0.3">
      <c r="A1263" s="1067" t="s">
        <v>109</v>
      </c>
      <c r="B1263" s="873"/>
      <c r="C1263" s="282" t="s">
        <v>296</v>
      </c>
      <c r="D1263" s="437" t="s">
        <v>258</v>
      </c>
      <c r="E1263" s="283">
        <v>7040</v>
      </c>
      <c r="F1263" s="438">
        <f t="shared" ref="F1263:F1285" si="285">+F1173+E1263</f>
        <v>17450</v>
      </c>
      <c r="G1263" s="612">
        <v>430.02</v>
      </c>
      <c r="H1263" s="603">
        <f>E1263*G1263</f>
        <v>3027340.8</v>
      </c>
      <c r="I1263" s="606">
        <f t="shared" ref="I1263:I1285" si="286">+G1263*F1263</f>
        <v>7503849</v>
      </c>
      <c r="J1263" s="376"/>
    </row>
    <row r="1264" spans="1:10" ht="23.4" x14ac:dyDescent="0.3">
      <c r="A1264" s="1068"/>
      <c r="B1264" s="873"/>
      <c r="C1264" s="282" t="s">
        <v>297</v>
      </c>
      <c r="D1264" s="437" t="s">
        <v>258</v>
      </c>
      <c r="E1264" s="283"/>
      <c r="F1264" s="438">
        <f t="shared" si="285"/>
        <v>4753</v>
      </c>
      <c r="G1264" s="612">
        <v>445.38</v>
      </c>
      <c r="H1264" s="603">
        <f t="shared" ref="H1264:H1285" si="287">E1264*G1264</f>
        <v>0</v>
      </c>
      <c r="I1264" s="606">
        <f t="shared" si="286"/>
        <v>2116891.14</v>
      </c>
      <c r="J1264" s="376"/>
    </row>
    <row r="1265" spans="1:10" ht="27" customHeight="1" x14ac:dyDescent="0.3">
      <c r="A1265" s="1068"/>
      <c r="B1265" s="873"/>
      <c r="C1265" s="282" t="s">
        <v>467</v>
      </c>
      <c r="D1265" s="437" t="s">
        <v>258</v>
      </c>
      <c r="E1265" s="283">
        <v>5120</v>
      </c>
      <c r="F1265" s="438">
        <f t="shared" si="285"/>
        <v>13120</v>
      </c>
      <c r="G1265" s="612">
        <v>445.38</v>
      </c>
      <c r="H1265" s="603">
        <f t="shared" si="287"/>
        <v>2280345.6000000001</v>
      </c>
      <c r="I1265" s="606">
        <f t="shared" si="286"/>
        <v>5843385.5999999996</v>
      </c>
      <c r="J1265" s="376"/>
    </row>
    <row r="1266" spans="1:10" ht="23.4" x14ac:dyDescent="0.3">
      <c r="A1266" s="1068"/>
      <c r="B1266" s="873"/>
      <c r="C1266" s="282" t="s">
        <v>330</v>
      </c>
      <c r="D1266" s="437" t="s">
        <v>258</v>
      </c>
      <c r="E1266" s="283"/>
      <c r="F1266" s="438">
        <f t="shared" si="285"/>
        <v>0</v>
      </c>
      <c r="G1266" s="612">
        <v>63.55</v>
      </c>
      <c r="H1266" s="603">
        <f t="shared" si="287"/>
        <v>0</v>
      </c>
      <c r="I1266" s="606">
        <f t="shared" si="286"/>
        <v>0</v>
      </c>
      <c r="J1266" s="376"/>
    </row>
    <row r="1267" spans="1:10" ht="23.4" x14ac:dyDescent="0.3">
      <c r="A1267" s="1068"/>
      <c r="B1267" s="873"/>
      <c r="C1267" s="282" t="s">
        <v>298</v>
      </c>
      <c r="D1267" s="437" t="s">
        <v>258</v>
      </c>
      <c r="E1267" s="283">
        <v>25224</v>
      </c>
      <c r="F1267" s="438">
        <f t="shared" si="285"/>
        <v>219120</v>
      </c>
      <c r="G1267" s="612">
        <v>71.44</v>
      </c>
      <c r="H1267" s="603">
        <f t="shared" si="287"/>
        <v>1802002.56</v>
      </c>
      <c r="I1267" s="606">
        <f t="shared" si="286"/>
        <v>15653932.799999999</v>
      </c>
      <c r="J1267" s="376"/>
    </row>
    <row r="1268" spans="1:10" ht="23.4" x14ac:dyDescent="0.3">
      <c r="A1268" s="1068"/>
      <c r="B1268" s="873"/>
      <c r="C1268" s="282" t="s">
        <v>299</v>
      </c>
      <c r="D1268" s="437" t="s">
        <v>258</v>
      </c>
      <c r="E1268" s="283"/>
      <c r="F1268" s="438">
        <f t="shared" si="285"/>
        <v>300</v>
      </c>
      <c r="G1268" s="612">
        <v>36.5</v>
      </c>
      <c r="H1268" s="603">
        <f t="shared" si="287"/>
        <v>0</v>
      </c>
      <c r="I1268" s="606">
        <f t="shared" si="286"/>
        <v>10950</v>
      </c>
      <c r="J1268" s="376"/>
    </row>
    <row r="1269" spans="1:10" ht="23.4" x14ac:dyDescent="0.3">
      <c r="A1269" s="1068"/>
      <c r="B1269" s="873"/>
      <c r="C1269" s="282" t="s">
        <v>514</v>
      </c>
      <c r="D1269" s="437" t="s">
        <v>258</v>
      </c>
      <c r="E1269" s="283"/>
      <c r="F1269" s="438">
        <f t="shared" si="285"/>
        <v>1114</v>
      </c>
      <c r="G1269" s="612">
        <v>320.35000000000002</v>
      </c>
      <c r="H1269" s="603">
        <f t="shared" si="287"/>
        <v>0</v>
      </c>
      <c r="I1269" s="606">
        <f t="shared" si="286"/>
        <v>356869.9</v>
      </c>
      <c r="J1269" s="376"/>
    </row>
    <row r="1270" spans="1:10" ht="23.4" x14ac:dyDescent="0.3">
      <c r="A1270" s="1068"/>
      <c r="B1270" s="873"/>
      <c r="C1270" s="282" t="s">
        <v>308</v>
      </c>
      <c r="D1270" s="437" t="s">
        <v>258</v>
      </c>
      <c r="E1270" s="283"/>
      <c r="F1270" s="438">
        <f t="shared" si="285"/>
        <v>8200</v>
      </c>
      <c r="G1270" s="612">
        <v>320.35000000000002</v>
      </c>
      <c r="H1270" s="603">
        <f t="shared" si="287"/>
        <v>0</v>
      </c>
      <c r="I1270" s="606">
        <f t="shared" si="286"/>
        <v>2626870</v>
      </c>
      <c r="J1270" s="376"/>
    </row>
    <row r="1271" spans="1:10" ht="23.4" x14ac:dyDescent="0.3">
      <c r="A1271" s="1068"/>
      <c r="B1271" s="873"/>
      <c r="C1271" s="282" t="s">
        <v>322</v>
      </c>
      <c r="D1271" s="437" t="s">
        <v>258</v>
      </c>
      <c r="E1271" s="283"/>
      <c r="F1271" s="438">
        <f t="shared" si="285"/>
        <v>0</v>
      </c>
      <c r="G1271" s="612">
        <v>434.41</v>
      </c>
      <c r="H1271" s="603">
        <f t="shared" si="287"/>
        <v>0</v>
      </c>
      <c r="I1271" s="606">
        <f t="shared" si="286"/>
        <v>0</v>
      </c>
      <c r="J1271" s="376"/>
    </row>
    <row r="1272" spans="1:10" ht="23.4" x14ac:dyDescent="0.3">
      <c r="A1272" s="1068"/>
      <c r="B1272" s="873"/>
      <c r="C1272" s="282" t="s">
        <v>305</v>
      </c>
      <c r="D1272" s="437" t="s">
        <v>258</v>
      </c>
      <c r="E1272" s="283"/>
      <c r="F1272" s="438">
        <f t="shared" si="285"/>
        <v>1</v>
      </c>
      <c r="G1272" s="612">
        <v>29690</v>
      </c>
      <c r="H1272" s="603">
        <f t="shared" si="287"/>
        <v>0</v>
      </c>
      <c r="I1272" s="606">
        <f t="shared" si="286"/>
        <v>29690</v>
      </c>
      <c r="J1272" s="376"/>
    </row>
    <row r="1273" spans="1:10" ht="23.4" x14ac:dyDescent="0.3">
      <c r="A1273" s="1068"/>
      <c r="B1273" s="873"/>
      <c r="C1273" s="282" t="s">
        <v>305</v>
      </c>
      <c r="D1273" s="437" t="s">
        <v>258</v>
      </c>
      <c r="E1273" s="283"/>
      <c r="F1273" s="438">
        <f t="shared" si="285"/>
        <v>5</v>
      </c>
      <c r="G1273" s="612">
        <v>26445</v>
      </c>
      <c r="H1273" s="603">
        <f t="shared" si="287"/>
        <v>0</v>
      </c>
      <c r="I1273" s="606">
        <f t="shared" si="286"/>
        <v>132225</v>
      </c>
      <c r="J1273" s="376"/>
    </row>
    <row r="1274" spans="1:10" ht="23.4" x14ac:dyDescent="0.3">
      <c r="A1274" s="1068"/>
      <c r="B1274" s="873"/>
      <c r="C1274" s="282" t="s">
        <v>341</v>
      </c>
      <c r="D1274" s="437" t="s">
        <v>375</v>
      </c>
      <c r="E1274" s="283">
        <v>2762</v>
      </c>
      <c r="F1274" s="438">
        <f t="shared" si="285"/>
        <v>8076</v>
      </c>
      <c r="G1274" s="612">
        <v>50</v>
      </c>
      <c r="H1274" s="603">
        <f t="shared" si="287"/>
        <v>138100</v>
      </c>
      <c r="I1274" s="606">
        <f t="shared" si="286"/>
        <v>403800</v>
      </c>
      <c r="J1274" s="376"/>
    </row>
    <row r="1275" spans="1:10" ht="23.4" x14ac:dyDescent="0.3">
      <c r="A1275" s="1068"/>
      <c r="B1275" s="873"/>
      <c r="C1275" s="282" t="s">
        <v>341</v>
      </c>
      <c r="D1275" s="437" t="s">
        <v>375</v>
      </c>
      <c r="E1275" s="283"/>
      <c r="F1275" s="438">
        <f t="shared" si="285"/>
        <v>0</v>
      </c>
      <c r="G1275" s="612">
        <v>45</v>
      </c>
      <c r="H1275" s="603">
        <f t="shared" si="287"/>
        <v>0</v>
      </c>
      <c r="I1275" s="606">
        <f t="shared" si="286"/>
        <v>0</v>
      </c>
      <c r="J1275" s="376"/>
    </row>
    <row r="1276" spans="1:10" ht="23.4" x14ac:dyDescent="0.3">
      <c r="A1276" s="1068"/>
      <c r="B1276" s="873"/>
      <c r="C1276" s="282" t="s">
        <v>364</v>
      </c>
      <c r="D1276" s="437" t="s">
        <v>428</v>
      </c>
      <c r="E1276" s="283"/>
      <c r="F1276" s="438">
        <f t="shared" si="285"/>
        <v>700</v>
      </c>
      <c r="G1276" s="612">
        <v>57.64</v>
      </c>
      <c r="H1276" s="603">
        <f t="shared" si="287"/>
        <v>0</v>
      </c>
      <c r="I1276" s="606">
        <f t="shared" si="286"/>
        <v>40348</v>
      </c>
      <c r="J1276" s="376"/>
    </row>
    <row r="1277" spans="1:10" ht="23.4" x14ac:dyDescent="0.3">
      <c r="A1277" s="1068"/>
      <c r="B1277" s="873"/>
      <c r="C1277" s="282" t="s">
        <v>364</v>
      </c>
      <c r="D1277" s="437" t="s">
        <v>407</v>
      </c>
      <c r="E1277" s="283"/>
      <c r="F1277" s="438">
        <f t="shared" si="285"/>
        <v>0</v>
      </c>
      <c r="G1277" s="612">
        <v>57.64</v>
      </c>
      <c r="H1277" s="603">
        <f t="shared" si="287"/>
        <v>0</v>
      </c>
      <c r="I1277" s="606">
        <f t="shared" si="286"/>
        <v>0</v>
      </c>
      <c r="J1277" s="376"/>
    </row>
    <row r="1278" spans="1:10" ht="23.4" x14ac:dyDescent="0.3">
      <c r="A1278" s="1068"/>
      <c r="B1278" s="873"/>
      <c r="C1278" s="282" t="s">
        <v>365</v>
      </c>
      <c r="D1278" s="437" t="s">
        <v>366</v>
      </c>
      <c r="E1278" s="283">
        <v>5143</v>
      </c>
      <c r="F1278" s="438">
        <f t="shared" si="285"/>
        <v>7383</v>
      </c>
      <c r="G1278" s="612">
        <v>434.41</v>
      </c>
      <c r="H1278" s="603">
        <f t="shared" si="287"/>
        <v>2234170.6300000004</v>
      </c>
      <c r="I1278" s="606">
        <f t="shared" si="286"/>
        <v>3207249.0300000003</v>
      </c>
      <c r="J1278" s="376"/>
    </row>
    <row r="1279" spans="1:10" ht="23.4" x14ac:dyDescent="0.3">
      <c r="A1279" s="1068"/>
      <c r="B1279" s="873"/>
      <c r="C1279" s="282" t="s">
        <v>381</v>
      </c>
      <c r="D1279" s="437" t="s">
        <v>258</v>
      </c>
      <c r="E1279" s="283"/>
      <c r="F1279" s="438">
        <f t="shared" si="285"/>
        <v>0</v>
      </c>
      <c r="G1279" s="612">
        <v>624.26</v>
      </c>
      <c r="H1279" s="603">
        <f t="shared" si="287"/>
        <v>0</v>
      </c>
      <c r="I1279" s="606">
        <f t="shared" si="286"/>
        <v>0</v>
      </c>
      <c r="J1279" s="376"/>
    </row>
    <row r="1280" spans="1:10" ht="23.4" x14ac:dyDescent="0.3">
      <c r="A1280" s="1068"/>
      <c r="B1280" s="873"/>
      <c r="C1280" s="282" t="s">
        <v>367</v>
      </c>
      <c r="D1280" s="437" t="s">
        <v>366</v>
      </c>
      <c r="E1280" s="283"/>
      <c r="F1280" s="438">
        <f t="shared" si="285"/>
        <v>5760</v>
      </c>
      <c r="G1280" s="612">
        <v>63.55</v>
      </c>
      <c r="H1280" s="603">
        <f t="shared" si="287"/>
        <v>0</v>
      </c>
      <c r="I1280" s="606">
        <f t="shared" si="286"/>
        <v>366048</v>
      </c>
      <c r="J1280" s="376"/>
    </row>
    <row r="1281" spans="1:10" ht="23.4" x14ac:dyDescent="0.3">
      <c r="A1281" s="1068"/>
      <c r="B1281" s="873"/>
      <c r="C1281" s="282" t="s">
        <v>429</v>
      </c>
      <c r="D1281" s="437" t="s">
        <v>258</v>
      </c>
      <c r="E1281" s="283">
        <v>30312</v>
      </c>
      <c r="F1281" s="438">
        <f t="shared" si="285"/>
        <v>128976</v>
      </c>
      <c r="G1281" s="612">
        <v>59.96</v>
      </c>
      <c r="H1281" s="603">
        <f t="shared" si="287"/>
        <v>1817507.52</v>
      </c>
      <c r="I1281" s="606">
        <f t="shared" si="286"/>
        <v>7733400.96</v>
      </c>
      <c r="J1281" s="376"/>
    </row>
    <row r="1282" spans="1:10" ht="23.4" x14ac:dyDescent="0.3">
      <c r="A1282" s="1068"/>
      <c r="B1282" s="873"/>
      <c r="C1282" s="282" t="s">
        <v>501</v>
      </c>
      <c r="D1282" s="437" t="s">
        <v>366</v>
      </c>
      <c r="E1282" s="283"/>
      <c r="F1282" s="438">
        <f t="shared" si="285"/>
        <v>8640</v>
      </c>
      <c r="G1282" s="612">
        <v>53.86</v>
      </c>
      <c r="H1282" s="603">
        <f t="shared" si="287"/>
        <v>0</v>
      </c>
      <c r="I1282" s="606">
        <f t="shared" si="286"/>
        <v>465350.40000000002</v>
      </c>
      <c r="J1282" s="376"/>
    </row>
    <row r="1283" spans="1:10" ht="23.4" x14ac:dyDescent="0.3">
      <c r="A1283" s="1068"/>
      <c r="B1283" s="873"/>
      <c r="C1283" s="282" t="s">
        <v>446</v>
      </c>
      <c r="D1283" s="437"/>
      <c r="E1283" s="283"/>
      <c r="F1283" s="438">
        <f t="shared" si="285"/>
        <v>8318</v>
      </c>
      <c r="G1283" s="612">
        <v>360</v>
      </c>
      <c r="H1283" s="603">
        <f t="shared" si="287"/>
        <v>0</v>
      </c>
      <c r="I1283" s="606">
        <f t="shared" si="286"/>
        <v>2994480</v>
      </c>
      <c r="J1283" s="376"/>
    </row>
    <row r="1284" spans="1:10" ht="23.4" x14ac:dyDescent="0.3">
      <c r="A1284" s="1068"/>
      <c r="B1284" s="873"/>
      <c r="C1284" s="282" t="s">
        <v>305</v>
      </c>
      <c r="D1284" s="437"/>
      <c r="E1284" s="283"/>
      <c r="F1284" s="438">
        <f t="shared" si="285"/>
        <v>0</v>
      </c>
      <c r="G1284" s="612">
        <v>39450</v>
      </c>
      <c r="H1284" s="603">
        <f t="shared" si="287"/>
        <v>0</v>
      </c>
      <c r="I1284" s="606">
        <f t="shared" si="286"/>
        <v>0</v>
      </c>
      <c r="J1284" s="376"/>
    </row>
    <row r="1285" spans="1:10" ht="24" thickBot="1" x14ac:dyDescent="0.35">
      <c r="A1285" s="1068"/>
      <c r="B1285" s="873"/>
      <c r="C1285" s="282" t="s">
        <v>364</v>
      </c>
      <c r="D1285" s="437" t="s">
        <v>258</v>
      </c>
      <c r="E1285" s="283"/>
      <c r="F1285" s="438">
        <f t="shared" si="285"/>
        <v>0</v>
      </c>
      <c r="G1285" s="612">
        <v>57.64</v>
      </c>
      <c r="H1285" s="603">
        <f t="shared" si="287"/>
        <v>0</v>
      </c>
      <c r="I1285" s="606">
        <f t="shared" si="286"/>
        <v>0</v>
      </c>
      <c r="J1285" s="376"/>
    </row>
    <row r="1286" spans="1:10" ht="24" thickBot="1" x14ac:dyDescent="0.35">
      <c r="A1286" s="1069"/>
      <c r="B1286" s="1063" t="s">
        <v>291</v>
      </c>
      <c r="C1286" s="1064"/>
      <c r="D1286" s="875"/>
      <c r="E1286" s="329">
        <f>SUM(E1263:E1285)</f>
        <v>75601</v>
      </c>
      <c r="F1286" s="329">
        <f>SUM(F1263:F1285)</f>
        <v>431916</v>
      </c>
      <c r="G1286" s="329"/>
      <c r="H1286" s="600">
        <f>SUM(H1263:H1285)</f>
        <v>11299467.110000001</v>
      </c>
      <c r="I1286" s="589">
        <f>SUM(I1263:I1285)</f>
        <v>49485339.829999998</v>
      </c>
      <c r="J1286" s="375"/>
    </row>
    <row r="1287" spans="1:10" ht="24" thickBot="1" x14ac:dyDescent="0.35">
      <c r="A1287" s="878"/>
      <c r="B1287" s="440"/>
      <c r="C1287" s="282" t="s">
        <v>446</v>
      </c>
      <c r="D1287" s="437"/>
      <c r="E1287" s="283"/>
      <c r="F1287" s="284">
        <f>+F1197+E1287</f>
        <v>0</v>
      </c>
      <c r="G1287" s="337"/>
      <c r="H1287" s="599">
        <f t="shared" ref="H1287" si="288">E1287*G1287</f>
        <v>0</v>
      </c>
      <c r="I1287" s="285">
        <f t="shared" ref="I1287" si="289">+G1287*F1287</f>
        <v>0</v>
      </c>
      <c r="J1287" s="376"/>
    </row>
    <row r="1288" spans="1:10" ht="24" thickBot="1" x14ac:dyDescent="0.35">
      <c r="A1288" s="878"/>
      <c r="B1288" s="1063" t="s">
        <v>238</v>
      </c>
      <c r="C1288" s="1064"/>
      <c r="D1288" s="871"/>
      <c r="E1288" s="329"/>
      <c r="F1288" s="330"/>
      <c r="G1288" s="329"/>
      <c r="H1288" s="597"/>
      <c r="I1288" s="327">
        <f>SUM(I1287)</f>
        <v>0</v>
      </c>
      <c r="J1288" s="352"/>
    </row>
    <row r="1289" spans="1:10" ht="24.6" thickBot="1" x14ac:dyDescent="0.35">
      <c r="A1289" s="322"/>
      <c r="B1289" s="1065" t="s">
        <v>182</v>
      </c>
      <c r="C1289" s="1066"/>
      <c r="D1289" s="872"/>
      <c r="E1289" s="377">
        <f>+E1286+E1262+E1240+E1238</f>
        <v>322552</v>
      </c>
      <c r="F1289" s="377">
        <f>+F1286+F1262+F1240+F1238</f>
        <v>3391452</v>
      </c>
      <c r="G1289" s="377"/>
      <c r="H1289" s="377"/>
      <c r="I1289" s="377">
        <f>+I1286+I1262+I1240+I1288</f>
        <v>135042231.81</v>
      </c>
      <c r="J1289" s="378"/>
    </row>
    <row r="1290" spans="1:10" ht="23.4" x14ac:dyDescent="0.3">
      <c r="A1290" s="991" t="s">
        <v>1</v>
      </c>
      <c r="B1290" s="994" t="s">
        <v>2</v>
      </c>
      <c r="C1290" s="1072" t="s">
        <v>477</v>
      </c>
      <c r="D1290" s="1043" t="s">
        <v>478</v>
      </c>
      <c r="E1290" s="1076" t="s">
        <v>559</v>
      </c>
      <c r="F1290" s="1001"/>
      <c r="G1290" s="1001"/>
      <c r="H1290" s="1001"/>
      <c r="I1290" s="1001"/>
      <c r="J1290" s="1002"/>
    </row>
    <row r="1291" spans="1:10" ht="23.4" x14ac:dyDescent="0.3">
      <c r="A1291" s="1070"/>
      <c r="B1291" s="1071"/>
      <c r="C1291" s="1073"/>
      <c r="D1291" s="1044"/>
      <c r="E1291" s="1077" t="s">
        <v>493</v>
      </c>
      <c r="F1291" s="1078"/>
      <c r="G1291" s="1077" t="s">
        <v>492</v>
      </c>
      <c r="H1291" s="1079"/>
      <c r="I1291" s="1079"/>
      <c r="J1291" s="1078"/>
    </row>
    <row r="1292" spans="1:10" x14ac:dyDescent="0.3">
      <c r="A1292" s="992"/>
      <c r="B1292" s="995"/>
      <c r="C1292" s="1074"/>
      <c r="D1292" s="1044"/>
      <c r="E1292" s="1003" t="s">
        <v>494</v>
      </c>
      <c r="F1292" s="1005" t="s">
        <v>495</v>
      </c>
      <c r="G1292" s="1081" t="s">
        <v>97</v>
      </c>
      <c r="H1292" s="1083" t="s">
        <v>98</v>
      </c>
      <c r="I1292" s="1083" t="s">
        <v>98</v>
      </c>
      <c r="J1292" s="1085" t="s">
        <v>12</v>
      </c>
    </row>
    <row r="1293" spans="1:10" ht="14.4" thickBot="1" x14ac:dyDescent="0.35">
      <c r="A1293" s="993"/>
      <c r="B1293" s="996"/>
      <c r="C1293" s="1075"/>
      <c r="D1293" s="1045"/>
      <c r="E1293" s="1004"/>
      <c r="F1293" s="1080"/>
      <c r="G1293" s="1082"/>
      <c r="H1293" s="1084"/>
      <c r="I1293" s="1084"/>
      <c r="J1293" s="1086"/>
    </row>
    <row r="1294" spans="1:10" ht="23.4" x14ac:dyDescent="0.3">
      <c r="A1294" s="1067" t="s">
        <v>110</v>
      </c>
      <c r="B1294" s="442"/>
      <c r="C1294" s="584" t="s">
        <v>292</v>
      </c>
      <c r="D1294" s="686" t="s">
        <v>284</v>
      </c>
      <c r="E1294" s="744"/>
      <c r="F1294" s="695">
        <f>+F1204+E1294</f>
        <v>0</v>
      </c>
      <c r="G1294" s="741">
        <v>111.09</v>
      </c>
      <c r="H1294" s="601">
        <f t="shared" ref="H1294:H1307" si="290">E1294*G1294</f>
        <v>0</v>
      </c>
      <c r="I1294" s="604">
        <f>+G1294*F1294</f>
        <v>0</v>
      </c>
      <c r="J1294" s="354"/>
    </row>
    <row r="1295" spans="1:10" ht="23.4" x14ac:dyDescent="0.3">
      <c r="A1295" s="1068"/>
      <c r="B1295" s="441"/>
      <c r="C1295" s="444" t="s">
        <v>285</v>
      </c>
      <c r="D1295" s="687" t="s">
        <v>286</v>
      </c>
      <c r="E1295" s="745"/>
      <c r="F1295" s="746">
        <f t="shared" ref="F1295:F1307" si="291">+F1205+E1295</f>
        <v>0</v>
      </c>
      <c r="G1295" s="742">
        <v>11</v>
      </c>
      <c r="H1295" s="602">
        <f t="shared" si="290"/>
        <v>0</v>
      </c>
      <c r="I1295" s="605">
        <f>+G1295*F1295</f>
        <v>0</v>
      </c>
      <c r="J1295" s="355"/>
    </row>
    <row r="1296" spans="1:10" ht="23.4" x14ac:dyDescent="0.3">
      <c r="A1296" s="1068"/>
      <c r="B1296" s="441"/>
      <c r="C1296" s="444" t="s">
        <v>321</v>
      </c>
      <c r="D1296" s="687" t="s">
        <v>400</v>
      </c>
      <c r="E1296" s="745"/>
      <c r="F1296" s="746">
        <f t="shared" si="291"/>
        <v>0</v>
      </c>
      <c r="G1296" s="742">
        <v>139.04</v>
      </c>
      <c r="H1296" s="602">
        <f t="shared" si="290"/>
        <v>0</v>
      </c>
      <c r="I1296" s="605">
        <f t="shared" ref="I1296:I1307" si="292">+G1296*F1296</f>
        <v>0</v>
      </c>
      <c r="J1296" s="355"/>
    </row>
    <row r="1297" spans="1:10" ht="23.4" x14ac:dyDescent="0.3">
      <c r="A1297" s="1068"/>
      <c r="B1297" s="441"/>
      <c r="C1297" s="444" t="s">
        <v>397</v>
      </c>
      <c r="D1297" s="687" t="s">
        <v>398</v>
      </c>
      <c r="E1297" s="745"/>
      <c r="F1297" s="746">
        <f t="shared" si="291"/>
        <v>895356</v>
      </c>
      <c r="G1297" s="795">
        <v>20.5</v>
      </c>
      <c r="H1297" s="602">
        <f t="shared" si="290"/>
        <v>0</v>
      </c>
      <c r="I1297" s="605">
        <f t="shared" si="292"/>
        <v>18354798</v>
      </c>
      <c r="J1297" s="355"/>
    </row>
    <row r="1298" spans="1:10" ht="23.4" x14ac:dyDescent="0.3">
      <c r="A1298" s="1068"/>
      <c r="B1298" s="441"/>
      <c r="C1298" s="444" t="s">
        <v>312</v>
      </c>
      <c r="D1298" s="687" t="s">
        <v>190</v>
      </c>
      <c r="E1298" s="745"/>
      <c r="F1298" s="746">
        <f t="shared" si="291"/>
        <v>0</v>
      </c>
      <c r="G1298" s="742">
        <v>14.79</v>
      </c>
      <c r="H1298" s="602">
        <f t="shared" si="290"/>
        <v>0</v>
      </c>
      <c r="I1298" s="605">
        <f t="shared" si="292"/>
        <v>0</v>
      </c>
      <c r="J1298" s="355"/>
    </row>
    <row r="1299" spans="1:10" ht="23.4" x14ac:dyDescent="0.3">
      <c r="A1299" s="1068"/>
      <c r="B1299" s="441"/>
      <c r="C1299" s="444" t="s">
        <v>321</v>
      </c>
      <c r="D1299" s="687" t="s">
        <v>286</v>
      </c>
      <c r="E1299" s="745">
        <v>1920</v>
      </c>
      <c r="F1299" s="746">
        <f t="shared" si="291"/>
        <v>7435</v>
      </c>
      <c r="G1299" s="742">
        <v>139.04</v>
      </c>
      <c r="H1299" s="602">
        <f t="shared" si="290"/>
        <v>266956.79999999999</v>
      </c>
      <c r="I1299" s="605">
        <f t="shared" si="292"/>
        <v>1033762.3999999999</v>
      </c>
      <c r="J1299" s="355"/>
    </row>
    <row r="1300" spans="1:10" ht="23.4" x14ac:dyDescent="0.3">
      <c r="A1300" s="1068"/>
      <c r="B1300" s="441"/>
      <c r="C1300" s="444" t="s">
        <v>472</v>
      </c>
      <c r="D1300" s="688" t="s">
        <v>396</v>
      </c>
      <c r="E1300" s="745"/>
      <c r="F1300" s="746">
        <f t="shared" si="291"/>
        <v>29760</v>
      </c>
      <c r="G1300" s="742">
        <v>147.58000000000001</v>
      </c>
      <c r="H1300" s="602">
        <f t="shared" si="290"/>
        <v>0</v>
      </c>
      <c r="I1300" s="605">
        <f t="shared" si="292"/>
        <v>4391980.8000000007</v>
      </c>
      <c r="J1300" s="355"/>
    </row>
    <row r="1301" spans="1:10" ht="23.4" x14ac:dyDescent="0.3">
      <c r="A1301" s="1068"/>
      <c r="B1301" s="441"/>
      <c r="C1301" s="444" t="s">
        <v>345</v>
      </c>
      <c r="D1301" s="688" t="s">
        <v>286</v>
      </c>
      <c r="E1301" s="745"/>
      <c r="F1301" s="746">
        <f t="shared" si="291"/>
        <v>36720</v>
      </c>
      <c r="G1301" s="742">
        <v>18.84</v>
      </c>
      <c r="H1301" s="602">
        <f t="shared" si="290"/>
        <v>0</v>
      </c>
      <c r="I1301" s="605">
        <f t="shared" si="292"/>
        <v>691804.8</v>
      </c>
      <c r="J1301" s="355"/>
    </row>
    <row r="1302" spans="1:10" ht="23.4" x14ac:dyDescent="0.3">
      <c r="A1302" s="1068"/>
      <c r="B1302" s="441"/>
      <c r="C1302" s="444" t="s">
        <v>357</v>
      </c>
      <c r="D1302" s="688" t="s">
        <v>252</v>
      </c>
      <c r="E1302" s="745"/>
      <c r="F1302" s="746">
        <f t="shared" si="291"/>
        <v>550800</v>
      </c>
      <c r="G1302" s="742">
        <v>21.18</v>
      </c>
      <c r="H1302" s="602">
        <f t="shared" si="290"/>
        <v>0</v>
      </c>
      <c r="I1302" s="605">
        <f t="shared" si="292"/>
        <v>11665944</v>
      </c>
      <c r="J1302" s="355"/>
    </row>
    <row r="1303" spans="1:10" ht="23.4" x14ac:dyDescent="0.3">
      <c r="A1303" s="1068"/>
      <c r="B1303" s="441"/>
      <c r="C1303" s="444" t="s">
        <v>359</v>
      </c>
      <c r="D1303" s="688" t="s">
        <v>360</v>
      </c>
      <c r="E1303" s="745"/>
      <c r="F1303" s="746">
        <f t="shared" si="291"/>
        <v>183600</v>
      </c>
      <c r="G1303" s="742">
        <v>21.28</v>
      </c>
      <c r="H1303" s="602">
        <f t="shared" si="290"/>
        <v>0</v>
      </c>
      <c r="I1303" s="605">
        <f t="shared" si="292"/>
        <v>3907008</v>
      </c>
      <c r="J1303" s="355"/>
    </row>
    <row r="1304" spans="1:10" ht="23.4" x14ac:dyDescent="0.3">
      <c r="A1304" s="1068"/>
      <c r="B1304" s="441"/>
      <c r="C1304" s="444" t="s">
        <v>445</v>
      </c>
      <c r="D1304" s="688" t="s">
        <v>436</v>
      </c>
      <c r="E1304" s="745"/>
      <c r="F1304" s="746">
        <f t="shared" si="291"/>
        <v>19840</v>
      </c>
      <c r="G1304" s="742">
        <v>143.28</v>
      </c>
      <c r="H1304" s="602">
        <f t="shared" si="290"/>
        <v>0</v>
      </c>
      <c r="I1304" s="605">
        <f t="shared" si="292"/>
        <v>2842675.2000000002</v>
      </c>
      <c r="J1304" s="355"/>
    </row>
    <row r="1305" spans="1:10" ht="23.4" x14ac:dyDescent="0.3">
      <c r="A1305" s="1068"/>
      <c r="B1305" s="441"/>
      <c r="C1305" s="444" t="s">
        <v>403</v>
      </c>
      <c r="D1305" s="687" t="s">
        <v>190</v>
      </c>
      <c r="E1305" s="745"/>
      <c r="F1305" s="746">
        <f t="shared" si="291"/>
        <v>135168</v>
      </c>
      <c r="G1305" s="742">
        <v>14.55</v>
      </c>
      <c r="H1305" s="602">
        <f t="shared" si="290"/>
        <v>0</v>
      </c>
      <c r="I1305" s="605">
        <f t="shared" si="292"/>
        <v>1966694.4000000001</v>
      </c>
      <c r="J1305" s="355"/>
    </row>
    <row r="1306" spans="1:10" ht="23.4" x14ac:dyDescent="0.3">
      <c r="A1306" s="1068"/>
      <c r="B1306" s="441"/>
      <c r="C1306" s="444" t="s">
        <v>362</v>
      </c>
      <c r="D1306" s="688" t="s">
        <v>202</v>
      </c>
      <c r="E1306" s="745"/>
      <c r="F1306" s="746">
        <f t="shared" si="291"/>
        <v>0</v>
      </c>
      <c r="G1306" s="742">
        <v>21.28</v>
      </c>
      <c r="H1306" s="602">
        <f t="shared" si="290"/>
        <v>0</v>
      </c>
      <c r="I1306" s="605">
        <f t="shared" si="292"/>
        <v>0</v>
      </c>
      <c r="J1306" s="355"/>
    </row>
    <row r="1307" spans="1:10" ht="24" thickBot="1" x14ac:dyDescent="0.35">
      <c r="A1307" s="1068"/>
      <c r="B1307" s="441"/>
      <c r="C1307" s="444" t="s">
        <v>374</v>
      </c>
      <c r="D1307" s="689" t="s">
        <v>191</v>
      </c>
      <c r="E1307" s="745"/>
      <c r="F1307" s="697">
        <f t="shared" si="291"/>
        <v>0</v>
      </c>
      <c r="G1307" s="742">
        <v>36.44</v>
      </c>
      <c r="H1307" s="602">
        <f t="shared" si="290"/>
        <v>0</v>
      </c>
      <c r="I1307" s="605">
        <f t="shared" si="292"/>
        <v>0</v>
      </c>
      <c r="J1307" s="355"/>
    </row>
    <row r="1308" spans="1:10" ht="24" thickBot="1" x14ac:dyDescent="0.35">
      <c r="A1308" s="1068"/>
      <c r="B1308" s="1063" t="s">
        <v>287</v>
      </c>
      <c r="C1308" s="1064"/>
      <c r="D1308" s="883"/>
      <c r="E1308" s="329">
        <f>SUM(E1294:E1307)</f>
        <v>1920</v>
      </c>
      <c r="F1308" s="743">
        <f>SUM(F1294:F1307)</f>
        <v>1858679</v>
      </c>
      <c r="G1308" s="329"/>
      <c r="H1308" s="597">
        <f>SUM(H1294:H1307)</f>
        <v>266956.79999999999</v>
      </c>
      <c r="I1308" s="589">
        <f>SUM(I1294:I1307)</f>
        <v>44854667.600000001</v>
      </c>
      <c r="J1308" s="352"/>
    </row>
    <row r="1309" spans="1:10" ht="23.4" x14ac:dyDescent="0.3">
      <c r="A1309" s="1068"/>
      <c r="B1309" s="881"/>
      <c r="C1309" s="282" t="s">
        <v>293</v>
      </c>
      <c r="D1309" s="437" t="s">
        <v>258</v>
      </c>
      <c r="E1309" s="283">
        <f>1250+1750</f>
        <v>3000</v>
      </c>
      <c r="F1309" s="438">
        <f t="shared" ref="F1309:F1319" si="293">+F1219+E1309</f>
        <v>60750</v>
      </c>
      <c r="G1309" s="587">
        <v>160.44999999999999</v>
      </c>
      <c r="H1309" s="603">
        <f t="shared" ref="H1309:H1322" si="294">E1309*G1309</f>
        <v>481349.99999999994</v>
      </c>
      <c r="I1309" s="606">
        <f t="shared" ref="I1309:I1322" si="295">+G1309*F1309</f>
        <v>9747337.5</v>
      </c>
      <c r="J1309" s="376"/>
    </row>
    <row r="1310" spans="1:10" ht="23.4" x14ac:dyDescent="0.3">
      <c r="A1310" s="1068"/>
      <c r="B1310" s="881"/>
      <c r="C1310" s="282" t="s">
        <v>309</v>
      </c>
      <c r="D1310" s="437" t="s">
        <v>258</v>
      </c>
      <c r="E1310" s="283"/>
      <c r="F1310" s="438">
        <f t="shared" si="293"/>
        <v>5000</v>
      </c>
      <c r="G1310" s="587">
        <v>160.44999999999999</v>
      </c>
      <c r="H1310" s="603">
        <f t="shared" si="294"/>
        <v>0</v>
      </c>
      <c r="I1310" s="606">
        <f t="shared" si="295"/>
        <v>802250</v>
      </c>
      <c r="J1310" s="376"/>
    </row>
    <row r="1311" spans="1:10" ht="23.4" x14ac:dyDescent="0.3">
      <c r="A1311" s="1068"/>
      <c r="B1311" s="881"/>
      <c r="C1311" s="282" t="s">
        <v>463</v>
      </c>
      <c r="D1311" s="437" t="s">
        <v>258</v>
      </c>
      <c r="E1311" s="283"/>
      <c r="F1311" s="438">
        <f t="shared" si="293"/>
        <v>13500</v>
      </c>
      <c r="G1311" s="587">
        <v>160.44999999999999</v>
      </c>
      <c r="H1311" s="603">
        <f t="shared" si="294"/>
        <v>0</v>
      </c>
      <c r="I1311" s="606">
        <f t="shared" si="295"/>
        <v>2166075</v>
      </c>
      <c r="J1311" s="376"/>
    </row>
    <row r="1312" spans="1:10" ht="23.4" x14ac:dyDescent="0.3">
      <c r="A1312" s="1068"/>
      <c r="B1312" s="881"/>
      <c r="C1312" s="282" t="s">
        <v>311</v>
      </c>
      <c r="D1312" s="437" t="s">
        <v>100</v>
      </c>
      <c r="E1312" s="283"/>
      <c r="F1312" s="438">
        <f t="shared" si="293"/>
        <v>0</v>
      </c>
      <c r="G1312" s="587">
        <v>27</v>
      </c>
      <c r="H1312" s="603">
        <f t="shared" si="294"/>
        <v>0</v>
      </c>
      <c r="I1312" s="606">
        <f t="shared" si="295"/>
        <v>0</v>
      </c>
      <c r="J1312" s="376"/>
    </row>
    <row r="1313" spans="1:10" ht="23.4" x14ac:dyDescent="0.3">
      <c r="A1313" s="1068"/>
      <c r="B1313" s="881"/>
      <c r="C1313" s="282" t="s">
        <v>311</v>
      </c>
      <c r="D1313" s="437" t="s">
        <v>318</v>
      </c>
      <c r="E1313" s="283"/>
      <c r="F1313" s="438">
        <f t="shared" si="293"/>
        <v>380160</v>
      </c>
      <c r="G1313" s="587">
        <v>27.5</v>
      </c>
      <c r="H1313" s="603">
        <f t="shared" si="294"/>
        <v>0</v>
      </c>
      <c r="I1313" s="606">
        <f t="shared" si="295"/>
        <v>10454400</v>
      </c>
      <c r="J1313" s="376"/>
    </row>
    <row r="1314" spans="1:10" ht="23.4" x14ac:dyDescent="0.3">
      <c r="A1314" s="1068"/>
      <c r="B1314" s="881"/>
      <c r="C1314" s="282" t="s">
        <v>299</v>
      </c>
      <c r="D1314" s="437" t="s">
        <v>318</v>
      </c>
      <c r="E1314" s="283"/>
      <c r="F1314" s="438">
        <f t="shared" si="293"/>
        <v>12680</v>
      </c>
      <c r="G1314" s="587">
        <v>34.5</v>
      </c>
      <c r="H1314" s="603">
        <f t="shared" si="294"/>
        <v>0</v>
      </c>
      <c r="I1314" s="606">
        <f t="shared" si="295"/>
        <v>437460</v>
      </c>
      <c r="J1314" s="376"/>
    </row>
    <row r="1315" spans="1:10" ht="23.4" x14ac:dyDescent="0.3">
      <c r="A1315" s="1068"/>
      <c r="B1315" s="881"/>
      <c r="C1315" s="282" t="s">
        <v>550</v>
      </c>
      <c r="D1315" s="437" t="s">
        <v>549</v>
      </c>
      <c r="E1315" s="283"/>
      <c r="F1315" s="438">
        <f t="shared" si="293"/>
        <v>31200</v>
      </c>
      <c r="G1315" s="587">
        <v>10.57</v>
      </c>
      <c r="H1315" s="603">
        <f t="shared" si="294"/>
        <v>0</v>
      </c>
      <c r="I1315" s="606">
        <f t="shared" si="295"/>
        <v>329784</v>
      </c>
      <c r="J1315" s="376"/>
    </row>
    <row r="1316" spans="1:10" ht="23.4" x14ac:dyDescent="0.3">
      <c r="A1316" s="1068"/>
      <c r="B1316" s="881"/>
      <c r="C1316" s="282" t="s">
        <v>299</v>
      </c>
      <c r="D1316" s="437" t="s">
        <v>549</v>
      </c>
      <c r="E1316" s="283"/>
      <c r="F1316" s="438">
        <f t="shared" si="293"/>
        <v>26</v>
      </c>
      <c r="G1316" s="587">
        <v>55.76</v>
      </c>
      <c r="H1316" s="603">
        <f t="shared" si="294"/>
        <v>0</v>
      </c>
      <c r="I1316" s="606">
        <f t="shared" si="295"/>
        <v>1449.76</v>
      </c>
      <c r="J1316" s="376"/>
    </row>
    <row r="1317" spans="1:10" ht="23.4" x14ac:dyDescent="0.3">
      <c r="A1317" s="1068"/>
      <c r="B1317" s="881"/>
      <c r="C1317" s="282" t="s">
        <v>505</v>
      </c>
      <c r="D1317" s="437" t="s">
        <v>258</v>
      </c>
      <c r="E1317" s="283"/>
      <c r="F1317" s="438">
        <f t="shared" si="293"/>
        <v>12307</v>
      </c>
      <c r="G1317" s="587">
        <v>160.44999999999999</v>
      </c>
      <c r="H1317" s="603">
        <f t="shared" si="294"/>
        <v>0</v>
      </c>
      <c r="I1317" s="606">
        <f t="shared" si="295"/>
        <v>1974658.15</v>
      </c>
      <c r="J1317" s="376"/>
    </row>
    <row r="1318" spans="1:10" ht="23.4" x14ac:dyDescent="0.3">
      <c r="A1318" s="1068"/>
      <c r="B1318" s="881"/>
      <c r="C1318" s="282" t="s">
        <v>388</v>
      </c>
      <c r="D1318" s="437" t="s">
        <v>258</v>
      </c>
      <c r="E1318" s="283">
        <v>5125</v>
      </c>
      <c r="F1318" s="438">
        <f t="shared" si="293"/>
        <v>37875</v>
      </c>
      <c r="G1318" s="587">
        <v>160.44999999999999</v>
      </c>
      <c r="H1318" s="603">
        <f t="shared" si="294"/>
        <v>822306.24999999988</v>
      </c>
      <c r="I1318" s="606">
        <f t="shared" si="295"/>
        <v>6077043.75</v>
      </c>
      <c r="J1318" s="376"/>
    </row>
    <row r="1319" spans="1:10" ht="23.4" x14ac:dyDescent="0.3">
      <c r="A1319" s="1068"/>
      <c r="B1319" s="881"/>
      <c r="C1319" s="282" t="s">
        <v>461</v>
      </c>
      <c r="D1319" s="437" t="s">
        <v>258</v>
      </c>
      <c r="E1319" s="283"/>
      <c r="F1319" s="438">
        <f t="shared" si="293"/>
        <v>6000</v>
      </c>
      <c r="G1319" s="587">
        <v>160.44999999999999</v>
      </c>
      <c r="H1319" s="603">
        <f t="shared" si="294"/>
        <v>0</v>
      </c>
      <c r="I1319" s="606">
        <f t="shared" si="295"/>
        <v>962699.99999999988</v>
      </c>
      <c r="J1319" s="376"/>
    </row>
    <row r="1320" spans="1:10" ht="23.4" x14ac:dyDescent="0.3">
      <c r="A1320" s="1068"/>
      <c r="B1320" s="887"/>
      <c r="C1320" s="282" t="s">
        <v>562</v>
      </c>
      <c r="D1320" s="437" t="s">
        <v>258</v>
      </c>
      <c r="E1320" s="283">
        <v>6125</v>
      </c>
      <c r="F1320" s="438">
        <f>+E1320</f>
        <v>6125</v>
      </c>
      <c r="G1320" s="587">
        <v>160.44999999999999</v>
      </c>
      <c r="H1320" s="603">
        <f t="shared" ref="H1320" si="296">E1320*G1320</f>
        <v>982756.24999999988</v>
      </c>
      <c r="I1320" s="606">
        <f t="shared" ref="I1320" si="297">+G1320*F1320</f>
        <v>982756.24999999988</v>
      </c>
      <c r="J1320" s="376"/>
    </row>
    <row r="1321" spans="1:10" ht="23.4" x14ac:dyDescent="0.3">
      <c r="A1321" s="1068"/>
      <c r="B1321" s="881"/>
      <c r="C1321" s="282" t="s">
        <v>331</v>
      </c>
      <c r="D1321" s="437" t="s">
        <v>258</v>
      </c>
      <c r="E1321" s="283">
        <f>2750+5000</f>
        <v>7750</v>
      </c>
      <c r="F1321" s="438">
        <f>+F1230+E1321</f>
        <v>14809</v>
      </c>
      <c r="G1321" s="587">
        <v>160.44999999999999</v>
      </c>
      <c r="H1321" s="603">
        <f t="shared" si="294"/>
        <v>1243487.5</v>
      </c>
      <c r="I1321" s="606">
        <f t="shared" si="295"/>
        <v>2376104.0499999998</v>
      </c>
      <c r="J1321" s="376"/>
    </row>
    <row r="1322" spans="1:10" ht="24" thickBot="1" x14ac:dyDescent="0.35">
      <c r="A1322" s="1068"/>
      <c r="B1322" s="881"/>
      <c r="C1322" s="282" t="s">
        <v>340</v>
      </c>
      <c r="D1322" s="437" t="s">
        <v>258</v>
      </c>
      <c r="E1322" s="283"/>
      <c r="F1322" s="438">
        <f>+F1231+E1322</f>
        <v>1688</v>
      </c>
      <c r="G1322" s="587">
        <v>160.44999999999999</v>
      </c>
      <c r="H1322" s="603">
        <f t="shared" si="294"/>
        <v>0</v>
      </c>
      <c r="I1322" s="606">
        <f t="shared" si="295"/>
        <v>270839.59999999998</v>
      </c>
      <c r="J1322" s="376"/>
    </row>
    <row r="1323" spans="1:10" ht="24" thickBot="1" x14ac:dyDescent="0.35">
      <c r="A1323" s="1068"/>
      <c r="B1323" s="1063" t="s">
        <v>288</v>
      </c>
      <c r="C1323" s="1064"/>
      <c r="D1323" s="883"/>
      <c r="E1323" s="329">
        <f>SUM(E1309:E1322)</f>
        <v>22000</v>
      </c>
      <c r="F1323" s="329">
        <f>SUM(F1309:F1322)</f>
        <v>582120</v>
      </c>
      <c r="G1323" s="329"/>
      <c r="H1323" s="597">
        <f>SUM(H1309:H1322)</f>
        <v>3529899.9999999995</v>
      </c>
      <c r="I1323" s="589">
        <f>SUM(I1309:I1322)</f>
        <v>36582858.059999995</v>
      </c>
      <c r="J1323" s="352"/>
    </row>
    <row r="1324" spans="1:10" ht="23.4" x14ac:dyDescent="0.3">
      <c r="A1324" s="1068"/>
      <c r="B1324" s="881"/>
      <c r="C1324" s="282" t="s">
        <v>434</v>
      </c>
      <c r="D1324" s="437" t="s">
        <v>435</v>
      </c>
      <c r="E1324" s="283"/>
      <c r="F1324" s="438">
        <f>+F1233+E1324</f>
        <v>250</v>
      </c>
      <c r="G1324" s="587">
        <v>5.34</v>
      </c>
      <c r="H1324" s="603">
        <f t="shared" ref="H1324:H1328" si="298">E1324*G1324</f>
        <v>0</v>
      </c>
      <c r="I1324" s="606">
        <f t="shared" ref="I1324" si="299">+G1324*F1324</f>
        <v>1335</v>
      </c>
      <c r="J1324" s="376"/>
    </row>
    <row r="1325" spans="1:10" ht="23.4" x14ac:dyDescent="0.3">
      <c r="A1325" s="1068"/>
      <c r="B1325" s="881"/>
      <c r="C1325" s="282" t="s">
        <v>464</v>
      </c>
      <c r="D1325" s="437" t="s">
        <v>286</v>
      </c>
      <c r="E1325" s="283"/>
      <c r="F1325" s="438">
        <f>+F1234+E1325</f>
        <v>50</v>
      </c>
      <c r="G1325" s="587">
        <v>31.73</v>
      </c>
      <c r="H1325" s="603">
        <f t="shared" si="298"/>
        <v>0</v>
      </c>
      <c r="I1325" s="606">
        <f>+G1325*F1325</f>
        <v>1586.5</v>
      </c>
      <c r="J1325" s="376"/>
    </row>
    <row r="1326" spans="1:10" ht="23.4" x14ac:dyDescent="0.3">
      <c r="A1326" s="1068"/>
      <c r="B1326" s="881"/>
      <c r="C1326" s="282" t="s">
        <v>473</v>
      </c>
      <c r="D1326" s="437" t="s">
        <v>474</v>
      </c>
      <c r="E1326" s="283"/>
      <c r="F1326" s="438">
        <f>+F1235+E1326</f>
        <v>2500</v>
      </c>
      <c r="G1326" s="587">
        <v>10.58</v>
      </c>
      <c r="H1326" s="603">
        <f t="shared" si="298"/>
        <v>0</v>
      </c>
      <c r="I1326" s="606">
        <f>+G1326*F1326</f>
        <v>26450</v>
      </c>
      <c r="J1326" s="376"/>
    </row>
    <row r="1327" spans="1:10" ht="23.4" x14ac:dyDescent="0.3">
      <c r="A1327" s="1068"/>
      <c r="B1327" s="881"/>
      <c r="C1327" s="282" t="s">
        <v>300</v>
      </c>
      <c r="D1327" s="437" t="s">
        <v>301</v>
      </c>
      <c r="E1327" s="283"/>
      <c r="F1327" s="438">
        <f>+F1236+E1327</f>
        <v>1</v>
      </c>
      <c r="G1327" s="587">
        <v>2500</v>
      </c>
      <c r="H1327" s="603">
        <f t="shared" si="298"/>
        <v>0</v>
      </c>
      <c r="I1327" s="606">
        <f>+G1327*F1327</f>
        <v>2500</v>
      </c>
      <c r="J1327" s="376"/>
    </row>
    <row r="1328" spans="1:10" ht="24" thickBot="1" x14ac:dyDescent="0.35">
      <c r="A1328" s="1068"/>
      <c r="B1328" s="881"/>
      <c r="C1328" s="282" t="s">
        <v>519</v>
      </c>
      <c r="D1328" s="437" t="s">
        <v>333</v>
      </c>
      <c r="E1328" s="283"/>
      <c r="F1328" s="438">
        <f>+F1237+E1328</f>
        <v>124032</v>
      </c>
      <c r="G1328" s="588">
        <v>10</v>
      </c>
      <c r="H1328" s="603">
        <f t="shared" si="298"/>
        <v>0</v>
      </c>
      <c r="I1328" s="606">
        <f t="shared" ref="I1328" si="300">+G1328*F1328</f>
        <v>1240320</v>
      </c>
      <c r="J1328" s="376"/>
    </row>
    <row r="1329" spans="1:11" ht="24" thickBot="1" x14ac:dyDescent="0.35">
      <c r="A1329" s="1068"/>
      <c r="B1329" s="1063" t="s">
        <v>294</v>
      </c>
      <c r="C1329" s="1064"/>
      <c r="D1329" s="883"/>
      <c r="E1329" s="329">
        <f>SUM(E1324:E1328)</f>
        <v>0</v>
      </c>
      <c r="F1329" s="329">
        <f>SUM(F1324:F1328)</f>
        <v>126833</v>
      </c>
      <c r="G1329" s="329"/>
      <c r="H1329" s="597">
        <f>SUM(H1324:H1328)</f>
        <v>0</v>
      </c>
      <c r="I1329" s="589">
        <f>SUM(I1324:I1328)</f>
        <v>1272191.5</v>
      </c>
      <c r="J1329" s="376"/>
    </row>
    <row r="1330" spans="1:11" ht="24" thickBot="1" x14ac:dyDescent="0.35">
      <c r="A1330" s="1068"/>
      <c r="B1330" s="881"/>
      <c r="C1330" s="282"/>
      <c r="D1330" s="437"/>
      <c r="E1330" s="283"/>
      <c r="F1330" s="320"/>
      <c r="G1330" s="588"/>
      <c r="H1330" s="598"/>
      <c r="I1330" s="285">
        <f t="shared" ref="I1330" si="301">+G1330*F1330</f>
        <v>0</v>
      </c>
      <c r="J1330" s="376"/>
    </row>
    <row r="1331" spans="1:11" ht="24" thickBot="1" x14ac:dyDescent="0.35">
      <c r="A1331" s="1069"/>
      <c r="B1331" s="1063" t="s">
        <v>290</v>
      </c>
      <c r="C1331" s="1064"/>
      <c r="D1331" s="879"/>
      <c r="E1331" s="329">
        <f>+E1329+E1323+E1308</f>
        <v>23920</v>
      </c>
      <c r="F1331" s="329">
        <f>+F1329+F1323+F1308</f>
        <v>2567632</v>
      </c>
      <c r="G1331" s="329"/>
      <c r="H1331" s="589">
        <f>+H1323+H1308+H1329</f>
        <v>3796856.7999999993</v>
      </c>
      <c r="I1331" s="589">
        <f>+I1323+I1308+I1329</f>
        <v>82709717.159999996</v>
      </c>
      <c r="J1331" s="376"/>
      <c r="K1331" s="757"/>
    </row>
    <row r="1332" spans="1:11" ht="23.4" x14ac:dyDescent="0.3">
      <c r="A1332" s="1067" t="s">
        <v>108</v>
      </c>
      <c r="B1332" s="881"/>
      <c r="C1332" s="282" t="s">
        <v>304</v>
      </c>
      <c r="D1332" s="437" t="s">
        <v>191</v>
      </c>
      <c r="E1332" s="283"/>
      <c r="F1332" s="438">
        <f t="shared" ref="F1332:F1352" si="302">+F1241+E1332</f>
        <v>35802</v>
      </c>
      <c r="G1332" s="612">
        <v>13.25</v>
      </c>
      <c r="H1332" s="607">
        <f t="shared" ref="H1332:H1352" si="303">E1332*G1332</f>
        <v>0</v>
      </c>
      <c r="I1332" s="606">
        <f t="shared" ref="I1332:I1352" si="304">+G1332*F1332</f>
        <v>474376.5</v>
      </c>
      <c r="J1332" s="376"/>
    </row>
    <row r="1333" spans="1:11" ht="23.4" x14ac:dyDescent="0.3">
      <c r="A1333" s="1068"/>
      <c r="B1333" s="881"/>
      <c r="C1333" s="282" t="s">
        <v>305</v>
      </c>
      <c r="D1333" s="437"/>
      <c r="E1333" s="283"/>
      <c r="F1333" s="438">
        <f t="shared" si="302"/>
        <v>1</v>
      </c>
      <c r="G1333" s="613">
        <v>5000</v>
      </c>
      <c r="H1333" s="607">
        <f t="shared" si="303"/>
        <v>0</v>
      </c>
      <c r="I1333" s="606">
        <f t="shared" si="304"/>
        <v>5000</v>
      </c>
      <c r="J1333" s="376"/>
    </row>
    <row r="1334" spans="1:11" ht="23.4" x14ac:dyDescent="0.3">
      <c r="A1334" s="1068"/>
      <c r="B1334" s="881"/>
      <c r="C1334" s="282" t="s">
        <v>305</v>
      </c>
      <c r="D1334" s="437"/>
      <c r="E1334" s="283"/>
      <c r="F1334" s="438">
        <f t="shared" si="302"/>
        <v>0</v>
      </c>
      <c r="G1334" s="613">
        <v>18000</v>
      </c>
      <c r="H1334" s="607">
        <f t="shared" si="303"/>
        <v>0</v>
      </c>
      <c r="I1334" s="606">
        <f t="shared" si="304"/>
        <v>0</v>
      </c>
      <c r="J1334" s="376"/>
    </row>
    <row r="1335" spans="1:11" ht="23.4" x14ac:dyDescent="0.3">
      <c r="A1335" s="1068"/>
      <c r="B1335" s="881"/>
      <c r="C1335" s="282" t="s">
        <v>317</v>
      </c>
      <c r="D1335" s="437" t="s">
        <v>191</v>
      </c>
      <c r="E1335" s="283"/>
      <c r="F1335" s="438">
        <f t="shared" si="302"/>
        <v>0</v>
      </c>
      <c r="G1335" s="612">
        <v>24.93</v>
      </c>
      <c r="H1335" s="607">
        <f t="shared" si="303"/>
        <v>0</v>
      </c>
      <c r="I1335" s="606">
        <f t="shared" si="304"/>
        <v>0</v>
      </c>
      <c r="J1335" s="376"/>
    </row>
    <row r="1336" spans="1:11" ht="23.4" x14ac:dyDescent="0.3">
      <c r="A1336" s="1068"/>
      <c r="B1336" s="881"/>
      <c r="C1336" s="282" t="s">
        <v>324</v>
      </c>
      <c r="D1336" s="437" t="s">
        <v>99</v>
      </c>
      <c r="E1336" s="283"/>
      <c r="F1336" s="438">
        <f t="shared" si="302"/>
        <v>0</v>
      </c>
      <c r="G1336" s="612">
        <v>26</v>
      </c>
      <c r="H1336" s="607">
        <f t="shared" si="303"/>
        <v>0</v>
      </c>
      <c r="I1336" s="606">
        <f t="shared" si="304"/>
        <v>0</v>
      </c>
      <c r="J1336" s="376"/>
    </row>
    <row r="1337" spans="1:11" ht="23.4" x14ac:dyDescent="0.3">
      <c r="A1337" s="1068"/>
      <c r="B1337" s="881"/>
      <c r="C1337" s="282" t="s">
        <v>325</v>
      </c>
      <c r="D1337" s="437" t="s">
        <v>191</v>
      </c>
      <c r="E1337" s="283"/>
      <c r="F1337" s="438">
        <f t="shared" si="302"/>
        <v>0</v>
      </c>
      <c r="G1337" s="612">
        <v>25.49</v>
      </c>
      <c r="H1337" s="607">
        <f t="shared" si="303"/>
        <v>0</v>
      </c>
      <c r="I1337" s="606">
        <f t="shared" si="304"/>
        <v>0</v>
      </c>
      <c r="J1337" s="376"/>
    </row>
    <row r="1338" spans="1:11" ht="23.4" x14ac:dyDescent="0.3">
      <c r="A1338" s="1068"/>
      <c r="B1338" s="881"/>
      <c r="C1338" s="282" t="s">
        <v>326</v>
      </c>
      <c r="D1338" s="437" t="s">
        <v>114</v>
      </c>
      <c r="E1338" s="283"/>
      <c r="F1338" s="438">
        <f t="shared" si="302"/>
        <v>0</v>
      </c>
      <c r="G1338" s="612">
        <v>24.93</v>
      </c>
      <c r="H1338" s="607">
        <f t="shared" si="303"/>
        <v>0</v>
      </c>
      <c r="I1338" s="606">
        <f t="shared" si="304"/>
        <v>0</v>
      </c>
      <c r="J1338" s="376"/>
    </row>
    <row r="1339" spans="1:11" ht="23.4" x14ac:dyDescent="0.3">
      <c r="A1339" s="1068"/>
      <c r="B1339" s="881"/>
      <c r="C1339" s="282" t="s">
        <v>327</v>
      </c>
      <c r="D1339" s="437" t="s">
        <v>303</v>
      </c>
      <c r="E1339" s="283"/>
      <c r="F1339" s="438">
        <f t="shared" si="302"/>
        <v>0</v>
      </c>
      <c r="G1339" s="612">
        <v>24.93</v>
      </c>
      <c r="H1339" s="607">
        <f t="shared" si="303"/>
        <v>0</v>
      </c>
      <c r="I1339" s="606">
        <f t="shared" si="304"/>
        <v>0</v>
      </c>
      <c r="J1339" s="376"/>
    </row>
    <row r="1340" spans="1:11" ht="23.4" x14ac:dyDescent="0.3">
      <c r="A1340" s="1068"/>
      <c r="B1340" s="881"/>
      <c r="C1340" s="282" t="s">
        <v>512</v>
      </c>
      <c r="D1340" s="437" t="s">
        <v>401</v>
      </c>
      <c r="E1340" s="283"/>
      <c r="F1340" s="438">
        <f t="shared" si="302"/>
        <v>47736</v>
      </c>
      <c r="G1340" s="612">
        <v>23.78</v>
      </c>
      <c r="H1340" s="607">
        <f t="shared" si="303"/>
        <v>0</v>
      </c>
      <c r="I1340" s="606">
        <f t="shared" si="304"/>
        <v>1135162.08</v>
      </c>
      <c r="J1340" s="376"/>
    </row>
    <row r="1341" spans="1:11" ht="23.4" x14ac:dyDescent="0.3">
      <c r="A1341" s="1068"/>
      <c r="B1341" s="881"/>
      <c r="C1341" s="282" t="s">
        <v>512</v>
      </c>
      <c r="D1341" s="437" t="s">
        <v>513</v>
      </c>
      <c r="E1341" s="283"/>
      <c r="F1341" s="438">
        <f t="shared" si="302"/>
        <v>115362</v>
      </c>
      <c r="G1341" s="612">
        <v>23.78</v>
      </c>
      <c r="H1341" s="607">
        <f t="shared" si="303"/>
        <v>0</v>
      </c>
      <c r="I1341" s="606">
        <f t="shared" si="304"/>
        <v>2743308.3600000003</v>
      </c>
      <c r="J1341" s="376"/>
    </row>
    <row r="1342" spans="1:11" ht="23.4" x14ac:dyDescent="0.3">
      <c r="A1342" s="1068"/>
      <c r="B1342" s="881"/>
      <c r="C1342" s="282" t="s">
        <v>394</v>
      </c>
      <c r="D1342" s="437" t="s">
        <v>338</v>
      </c>
      <c r="E1342" s="283"/>
      <c r="F1342" s="438">
        <f t="shared" si="302"/>
        <v>0</v>
      </c>
      <c r="G1342" s="612">
        <v>37.4566666666</v>
      </c>
      <c r="H1342" s="607">
        <f t="shared" si="303"/>
        <v>0</v>
      </c>
      <c r="I1342" s="606">
        <f t="shared" si="304"/>
        <v>0</v>
      </c>
      <c r="J1342" s="376"/>
    </row>
    <row r="1343" spans="1:11" ht="23.4" x14ac:dyDescent="0.3">
      <c r="A1343" s="1068"/>
      <c r="B1343" s="881"/>
      <c r="C1343" s="282" t="s">
        <v>395</v>
      </c>
      <c r="D1343" s="437" t="s">
        <v>338</v>
      </c>
      <c r="E1343" s="283"/>
      <c r="F1343" s="438">
        <f t="shared" si="302"/>
        <v>22464</v>
      </c>
      <c r="G1343" s="612">
        <v>37.89</v>
      </c>
      <c r="H1343" s="607">
        <f t="shared" si="303"/>
        <v>0</v>
      </c>
      <c r="I1343" s="606">
        <f t="shared" si="304"/>
        <v>851160.96</v>
      </c>
      <c r="J1343" s="376"/>
    </row>
    <row r="1344" spans="1:11" ht="23.4" x14ac:dyDescent="0.3">
      <c r="A1344" s="1068"/>
      <c r="B1344" s="881"/>
      <c r="C1344" s="282" t="s">
        <v>326</v>
      </c>
      <c r="D1344" s="437" t="s">
        <v>302</v>
      </c>
      <c r="E1344" s="283"/>
      <c r="F1344" s="438">
        <f t="shared" si="302"/>
        <v>0</v>
      </c>
      <c r="G1344" s="612">
        <v>24.93</v>
      </c>
      <c r="H1344" s="607">
        <f t="shared" si="303"/>
        <v>0</v>
      </c>
      <c r="I1344" s="606">
        <f t="shared" si="304"/>
        <v>0</v>
      </c>
      <c r="J1344" s="376"/>
    </row>
    <row r="1345" spans="1:10" ht="23.4" x14ac:dyDescent="0.3">
      <c r="A1345" s="1068"/>
      <c r="B1345" s="881"/>
      <c r="C1345" s="282" t="s">
        <v>402</v>
      </c>
      <c r="D1345" s="437" t="s">
        <v>376</v>
      </c>
      <c r="E1345" s="283"/>
      <c r="F1345" s="438">
        <f t="shared" si="302"/>
        <v>0</v>
      </c>
      <c r="G1345" s="612">
        <v>24.93</v>
      </c>
      <c r="H1345" s="607">
        <f t="shared" si="303"/>
        <v>0</v>
      </c>
      <c r="I1345" s="606">
        <f t="shared" si="304"/>
        <v>0</v>
      </c>
      <c r="J1345" s="376"/>
    </row>
    <row r="1346" spans="1:10" ht="23.4" x14ac:dyDescent="0.3">
      <c r="A1346" s="1068"/>
      <c r="B1346" s="881"/>
      <c r="C1346" s="282" t="s">
        <v>350</v>
      </c>
      <c r="D1346" s="437" t="s">
        <v>313</v>
      </c>
      <c r="E1346" s="283"/>
      <c r="F1346" s="438">
        <f t="shared" si="302"/>
        <v>0</v>
      </c>
      <c r="G1346" s="612">
        <v>34.26</v>
      </c>
      <c r="H1346" s="607">
        <f t="shared" si="303"/>
        <v>0</v>
      </c>
      <c r="I1346" s="606">
        <f t="shared" si="304"/>
        <v>0</v>
      </c>
      <c r="J1346" s="376"/>
    </row>
    <row r="1347" spans="1:10" ht="23.4" x14ac:dyDescent="0.3">
      <c r="A1347" s="1068"/>
      <c r="B1347" s="881"/>
      <c r="C1347" s="282" t="s">
        <v>363</v>
      </c>
      <c r="D1347" s="437" t="s">
        <v>401</v>
      </c>
      <c r="E1347" s="283"/>
      <c r="F1347" s="438">
        <f t="shared" si="302"/>
        <v>0</v>
      </c>
      <c r="G1347" s="612">
        <v>37.89</v>
      </c>
      <c r="H1347" s="607">
        <f t="shared" si="303"/>
        <v>0</v>
      </c>
      <c r="I1347" s="606">
        <f t="shared" si="304"/>
        <v>0</v>
      </c>
      <c r="J1347" s="376"/>
    </row>
    <row r="1348" spans="1:10" ht="23.4" x14ac:dyDescent="0.3">
      <c r="A1348" s="1068"/>
      <c r="B1348" s="881"/>
      <c r="C1348" s="282" t="s">
        <v>406</v>
      </c>
      <c r="D1348" s="437" t="s">
        <v>376</v>
      </c>
      <c r="E1348" s="283"/>
      <c r="F1348" s="438">
        <f t="shared" si="302"/>
        <v>0</v>
      </c>
      <c r="G1348" s="612">
        <v>39</v>
      </c>
      <c r="H1348" s="607">
        <f t="shared" si="303"/>
        <v>0</v>
      </c>
      <c r="I1348" s="606">
        <f t="shared" si="304"/>
        <v>0</v>
      </c>
      <c r="J1348" s="376"/>
    </row>
    <row r="1349" spans="1:10" ht="23.4" x14ac:dyDescent="0.3">
      <c r="A1349" s="1068"/>
      <c r="B1349" s="881"/>
      <c r="C1349" s="282" t="s">
        <v>327</v>
      </c>
      <c r="D1349" s="437" t="s">
        <v>190</v>
      </c>
      <c r="E1349" s="283"/>
      <c r="F1349" s="438">
        <f t="shared" si="302"/>
        <v>67626</v>
      </c>
      <c r="G1349" s="612">
        <v>21.22</v>
      </c>
      <c r="H1349" s="607">
        <f t="shared" si="303"/>
        <v>0</v>
      </c>
      <c r="I1349" s="606">
        <f t="shared" si="304"/>
        <v>1435023.72</v>
      </c>
      <c r="J1349" s="376"/>
    </row>
    <row r="1350" spans="1:10" ht="23.4" x14ac:dyDescent="0.3">
      <c r="A1350" s="1068"/>
      <c r="B1350" s="881"/>
      <c r="C1350" s="282" t="s">
        <v>326</v>
      </c>
      <c r="D1350" s="437" t="s">
        <v>190</v>
      </c>
      <c r="E1350" s="283"/>
      <c r="F1350" s="438">
        <f t="shared" si="302"/>
        <v>0</v>
      </c>
      <c r="G1350" s="612">
        <v>21.22</v>
      </c>
      <c r="H1350" s="607">
        <f t="shared" si="303"/>
        <v>0</v>
      </c>
      <c r="I1350" s="606">
        <f t="shared" si="304"/>
        <v>0</v>
      </c>
      <c r="J1350" s="376"/>
    </row>
    <row r="1351" spans="1:10" ht="23.4" x14ac:dyDescent="0.3">
      <c r="A1351" s="1068"/>
      <c r="B1351" s="881"/>
      <c r="C1351" s="282" t="s">
        <v>377</v>
      </c>
      <c r="D1351" s="437" t="s">
        <v>333</v>
      </c>
      <c r="E1351" s="283"/>
      <c r="F1351" s="438">
        <f t="shared" si="302"/>
        <v>0</v>
      </c>
      <c r="G1351" s="612">
        <v>10000</v>
      </c>
      <c r="H1351" s="607">
        <f t="shared" si="303"/>
        <v>0</v>
      </c>
      <c r="I1351" s="606">
        <f t="shared" si="304"/>
        <v>0</v>
      </c>
      <c r="J1351" s="376"/>
    </row>
    <row r="1352" spans="1:10" ht="24" thickBot="1" x14ac:dyDescent="0.35">
      <c r="A1352" s="1068"/>
      <c r="B1352" s="881"/>
      <c r="C1352" s="282" t="s">
        <v>332</v>
      </c>
      <c r="D1352" s="437" t="s">
        <v>333</v>
      </c>
      <c r="E1352" s="283"/>
      <c r="F1352" s="438">
        <f t="shared" si="302"/>
        <v>0</v>
      </c>
      <c r="G1352" s="612">
        <v>360</v>
      </c>
      <c r="H1352" s="607">
        <f t="shared" si="303"/>
        <v>0</v>
      </c>
      <c r="I1352" s="606">
        <f t="shared" si="304"/>
        <v>0</v>
      </c>
      <c r="J1352" s="376"/>
    </row>
    <row r="1353" spans="1:10" ht="24" thickBot="1" x14ac:dyDescent="0.35">
      <c r="A1353" s="1069"/>
      <c r="B1353" s="1063" t="s">
        <v>289</v>
      </c>
      <c r="C1353" s="1064"/>
      <c r="D1353" s="883"/>
      <c r="E1353" s="329">
        <f>SUM(E1332:E1352)</f>
        <v>0</v>
      </c>
      <c r="F1353" s="329">
        <f>SUM(F1332:F1352)</f>
        <v>288991</v>
      </c>
      <c r="G1353" s="329"/>
      <c r="H1353" s="597">
        <f>SUM(H1332:H1352)</f>
        <v>0</v>
      </c>
      <c r="I1353" s="589">
        <f>SUM(I1332:I1352)</f>
        <v>6644031.6200000001</v>
      </c>
      <c r="J1353" s="376"/>
    </row>
    <row r="1354" spans="1:10" ht="23.4" x14ac:dyDescent="0.3">
      <c r="A1354" s="1067" t="s">
        <v>109</v>
      </c>
      <c r="B1354" s="881"/>
      <c r="C1354" s="282" t="s">
        <v>296</v>
      </c>
      <c r="D1354" s="437" t="s">
        <v>258</v>
      </c>
      <c r="E1354" s="283"/>
      <c r="F1354" s="438">
        <f t="shared" ref="F1354:F1376" si="305">+F1263+E1354</f>
        <v>17450</v>
      </c>
      <c r="G1354" s="612">
        <v>430.02</v>
      </c>
      <c r="H1354" s="603">
        <f>E1354*G1354</f>
        <v>0</v>
      </c>
      <c r="I1354" s="606">
        <f t="shared" ref="I1354:I1376" si="306">+G1354*F1354</f>
        <v>7503849</v>
      </c>
      <c r="J1354" s="376"/>
    </row>
    <row r="1355" spans="1:10" ht="23.4" x14ac:dyDescent="0.3">
      <c r="A1355" s="1068"/>
      <c r="B1355" s="881"/>
      <c r="C1355" s="282" t="s">
        <v>297</v>
      </c>
      <c r="D1355" s="437" t="s">
        <v>258</v>
      </c>
      <c r="E1355" s="283"/>
      <c r="F1355" s="438">
        <f t="shared" si="305"/>
        <v>4753</v>
      </c>
      <c r="G1355" s="612">
        <v>445.38</v>
      </c>
      <c r="H1355" s="603">
        <f t="shared" ref="H1355:H1376" si="307">E1355*G1355</f>
        <v>0</v>
      </c>
      <c r="I1355" s="606">
        <f t="shared" si="306"/>
        <v>2116891.14</v>
      </c>
      <c r="J1355" s="376"/>
    </row>
    <row r="1356" spans="1:10" ht="27" customHeight="1" x14ac:dyDescent="0.3">
      <c r="A1356" s="1068"/>
      <c r="B1356" s="881"/>
      <c r="C1356" s="282" t="s">
        <v>467</v>
      </c>
      <c r="D1356" s="437" t="s">
        <v>258</v>
      </c>
      <c r="E1356" s="283"/>
      <c r="F1356" s="438">
        <f t="shared" si="305"/>
        <v>13120</v>
      </c>
      <c r="G1356" s="612">
        <v>445.38</v>
      </c>
      <c r="H1356" s="603">
        <f t="shared" si="307"/>
        <v>0</v>
      </c>
      <c r="I1356" s="606">
        <f t="shared" si="306"/>
        <v>5843385.5999999996</v>
      </c>
      <c r="J1356" s="376"/>
    </row>
    <row r="1357" spans="1:10" ht="23.4" x14ac:dyDescent="0.3">
      <c r="A1357" s="1068"/>
      <c r="B1357" s="881"/>
      <c r="C1357" s="282" t="s">
        <v>330</v>
      </c>
      <c r="D1357" s="437" t="s">
        <v>258</v>
      </c>
      <c r="E1357" s="283"/>
      <c r="F1357" s="438">
        <f t="shared" si="305"/>
        <v>0</v>
      </c>
      <c r="G1357" s="612">
        <v>63.55</v>
      </c>
      <c r="H1357" s="603">
        <f t="shared" si="307"/>
        <v>0</v>
      </c>
      <c r="I1357" s="606">
        <f t="shared" si="306"/>
        <v>0</v>
      </c>
      <c r="J1357" s="376"/>
    </row>
    <row r="1358" spans="1:10" ht="23.4" x14ac:dyDescent="0.3">
      <c r="A1358" s="1068"/>
      <c r="B1358" s="881"/>
      <c r="C1358" s="282" t="s">
        <v>298</v>
      </c>
      <c r="D1358" s="437" t="s">
        <v>258</v>
      </c>
      <c r="E1358" s="283">
        <v>11556</v>
      </c>
      <c r="F1358" s="438">
        <f t="shared" si="305"/>
        <v>230676</v>
      </c>
      <c r="G1358" s="612">
        <v>71.44</v>
      </c>
      <c r="H1358" s="603">
        <f t="shared" si="307"/>
        <v>825560.64</v>
      </c>
      <c r="I1358" s="606">
        <f t="shared" si="306"/>
        <v>16479493.439999999</v>
      </c>
      <c r="J1358" s="376"/>
    </row>
    <row r="1359" spans="1:10" ht="23.4" x14ac:dyDescent="0.3">
      <c r="A1359" s="1068"/>
      <c r="B1359" s="881"/>
      <c r="C1359" s="282" t="s">
        <v>299</v>
      </c>
      <c r="D1359" s="437" t="s">
        <v>258</v>
      </c>
      <c r="E1359" s="283"/>
      <c r="F1359" s="438">
        <f t="shared" si="305"/>
        <v>300</v>
      </c>
      <c r="G1359" s="612">
        <v>36.5</v>
      </c>
      <c r="H1359" s="603">
        <f t="shared" si="307"/>
        <v>0</v>
      </c>
      <c r="I1359" s="606">
        <f t="shared" si="306"/>
        <v>10950</v>
      </c>
      <c r="J1359" s="376"/>
    </row>
    <row r="1360" spans="1:10" ht="23.4" x14ac:dyDescent="0.3">
      <c r="A1360" s="1068"/>
      <c r="B1360" s="881"/>
      <c r="C1360" s="282" t="s">
        <v>514</v>
      </c>
      <c r="D1360" s="437" t="s">
        <v>258</v>
      </c>
      <c r="E1360" s="283"/>
      <c r="F1360" s="438">
        <f t="shared" si="305"/>
        <v>1114</v>
      </c>
      <c r="G1360" s="612">
        <v>320.35000000000002</v>
      </c>
      <c r="H1360" s="603">
        <f t="shared" si="307"/>
        <v>0</v>
      </c>
      <c r="I1360" s="606">
        <f t="shared" si="306"/>
        <v>356869.9</v>
      </c>
      <c r="J1360" s="376"/>
    </row>
    <row r="1361" spans="1:10" ht="23.4" x14ac:dyDescent="0.3">
      <c r="A1361" s="1068"/>
      <c r="B1361" s="881"/>
      <c r="C1361" s="282" t="s">
        <v>308</v>
      </c>
      <c r="D1361" s="437" t="s">
        <v>258</v>
      </c>
      <c r="E1361" s="283"/>
      <c r="F1361" s="438">
        <f t="shared" si="305"/>
        <v>8200</v>
      </c>
      <c r="G1361" s="612">
        <v>320.35000000000002</v>
      </c>
      <c r="H1361" s="603">
        <f t="shared" si="307"/>
        <v>0</v>
      </c>
      <c r="I1361" s="606">
        <f t="shared" si="306"/>
        <v>2626870</v>
      </c>
      <c r="J1361" s="376"/>
    </row>
    <row r="1362" spans="1:10" ht="23.4" x14ac:dyDescent="0.3">
      <c r="A1362" s="1068"/>
      <c r="B1362" s="881"/>
      <c r="C1362" s="282" t="s">
        <v>322</v>
      </c>
      <c r="D1362" s="437" t="s">
        <v>258</v>
      </c>
      <c r="E1362" s="283"/>
      <c r="F1362" s="438">
        <f t="shared" si="305"/>
        <v>0</v>
      </c>
      <c r="G1362" s="612">
        <v>434.41</v>
      </c>
      <c r="H1362" s="603">
        <f t="shared" si="307"/>
        <v>0</v>
      </c>
      <c r="I1362" s="606">
        <f t="shared" si="306"/>
        <v>0</v>
      </c>
      <c r="J1362" s="376"/>
    </row>
    <row r="1363" spans="1:10" ht="23.4" x14ac:dyDescent="0.3">
      <c r="A1363" s="1068"/>
      <c r="B1363" s="881"/>
      <c r="C1363" s="282" t="s">
        <v>305</v>
      </c>
      <c r="D1363" s="437" t="s">
        <v>258</v>
      </c>
      <c r="E1363" s="283"/>
      <c r="F1363" s="438">
        <f t="shared" si="305"/>
        <v>1</v>
      </c>
      <c r="G1363" s="612">
        <v>29690</v>
      </c>
      <c r="H1363" s="603">
        <f t="shared" si="307"/>
        <v>0</v>
      </c>
      <c r="I1363" s="606">
        <f t="shared" si="306"/>
        <v>29690</v>
      </c>
      <c r="J1363" s="376"/>
    </row>
    <row r="1364" spans="1:10" ht="23.4" x14ac:dyDescent="0.3">
      <c r="A1364" s="1068"/>
      <c r="B1364" s="881"/>
      <c r="C1364" s="282" t="s">
        <v>305</v>
      </c>
      <c r="D1364" s="437" t="s">
        <v>258</v>
      </c>
      <c r="E1364" s="283"/>
      <c r="F1364" s="438">
        <f t="shared" si="305"/>
        <v>5</v>
      </c>
      <c r="G1364" s="612">
        <v>26445</v>
      </c>
      <c r="H1364" s="603">
        <f t="shared" si="307"/>
        <v>0</v>
      </c>
      <c r="I1364" s="606">
        <f t="shared" si="306"/>
        <v>132225</v>
      </c>
      <c r="J1364" s="376"/>
    </row>
    <row r="1365" spans="1:10" ht="23.4" x14ac:dyDescent="0.3">
      <c r="A1365" s="1068"/>
      <c r="B1365" s="881"/>
      <c r="C1365" s="282" t="s">
        <v>341</v>
      </c>
      <c r="D1365" s="437" t="s">
        <v>375</v>
      </c>
      <c r="E1365" s="283"/>
      <c r="F1365" s="438">
        <f t="shared" si="305"/>
        <v>8076</v>
      </c>
      <c r="G1365" s="612">
        <v>50</v>
      </c>
      <c r="H1365" s="603">
        <f t="shared" si="307"/>
        <v>0</v>
      </c>
      <c r="I1365" s="606">
        <f t="shared" si="306"/>
        <v>403800</v>
      </c>
      <c r="J1365" s="376"/>
    </row>
    <row r="1366" spans="1:10" ht="23.4" x14ac:dyDescent="0.3">
      <c r="A1366" s="1068"/>
      <c r="B1366" s="881"/>
      <c r="C1366" s="282" t="s">
        <v>341</v>
      </c>
      <c r="D1366" s="437" t="s">
        <v>375</v>
      </c>
      <c r="E1366" s="283"/>
      <c r="F1366" s="438">
        <f t="shared" si="305"/>
        <v>0</v>
      </c>
      <c r="G1366" s="612">
        <v>45</v>
      </c>
      <c r="H1366" s="603">
        <f t="shared" si="307"/>
        <v>0</v>
      </c>
      <c r="I1366" s="606">
        <f t="shared" si="306"/>
        <v>0</v>
      </c>
      <c r="J1366" s="376"/>
    </row>
    <row r="1367" spans="1:10" ht="23.4" x14ac:dyDescent="0.3">
      <c r="A1367" s="1068"/>
      <c r="B1367" s="881"/>
      <c r="C1367" s="282" t="s">
        <v>364</v>
      </c>
      <c r="D1367" s="437" t="s">
        <v>428</v>
      </c>
      <c r="E1367" s="283"/>
      <c r="F1367" s="438">
        <f t="shared" si="305"/>
        <v>700</v>
      </c>
      <c r="G1367" s="612">
        <v>57.64</v>
      </c>
      <c r="H1367" s="603">
        <f t="shared" si="307"/>
        <v>0</v>
      </c>
      <c r="I1367" s="606">
        <f t="shared" si="306"/>
        <v>40348</v>
      </c>
      <c r="J1367" s="376"/>
    </row>
    <row r="1368" spans="1:10" ht="23.4" x14ac:dyDescent="0.3">
      <c r="A1368" s="1068"/>
      <c r="B1368" s="881"/>
      <c r="C1368" s="282" t="s">
        <v>364</v>
      </c>
      <c r="D1368" s="437" t="s">
        <v>407</v>
      </c>
      <c r="E1368" s="283"/>
      <c r="F1368" s="438">
        <f t="shared" si="305"/>
        <v>0</v>
      </c>
      <c r="G1368" s="612">
        <v>57.64</v>
      </c>
      <c r="H1368" s="603">
        <f t="shared" si="307"/>
        <v>0</v>
      </c>
      <c r="I1368" s="606">
        <f t="shared" si="306"/>
        <v>0</v>
      </c>
      <c r="J1368" s="376"/>
    </row>
    <row r="1369" spans="1:10" ht="23.4" x14ac:dyDescent="0.3">
      <c r="A1369" s="1068"/>
      <c r="B1369" s="881"/>
      <c r="C1369" s="282" t="s">
        <v>365</v>
      </c>
      <c r="D1369" s="437" t="s">
        <v>366</v>
      </c>
      <c r="E1369" s="283"/>
      <c r="F1369" s="438">
        <f t="shared" si="305"/>
        <v>7383</v>
      </c>
      <c r="G1369" s="612">
        <v>434.41</v>
      </c>
      <c r="H1369" s="603">
        <f t="shared" si="307"/>
        <v>0</v>
      </c>
      <c r="I1369" s="606">
        <f t="shared" si="306"/>
        <v>3207249.0300000003</v>
      </c>
      <c r="J1369" s="376"/>
    </row>
    <row r="1370" spans="1:10" ht="23.4" x14ac:dyDescent="0.3">
      <c r="A1370" s="1068"/>
      <c r="B1370" s="881"/>
      <c r="C1370" s="282" t="s">
        <v>381</v>
      </c>
      <c r="D1370" s="437" t="s">
        <v>258</v>
      </c>
      <c r="E1370" s="283"/>
      <c r="F1370" s="438">
        <f t="shared" si="305"/>
        <v>0</v>
      </c>
      <c r="G1370" s="612">
        <v>624.26</v>
      </c>
      <c r="H1370" s="603">
        <f t="shared" si="307"/>
        <v>0</v>
      </c>
      <c r="I1370" s="606">
        <f t="shared" si="306"/>
        <v>0</v>
      </c>
      <c r="J1370" s="376"/>
    </row>
    <row r="1371" spans="1:10" ht="23.4" x14ac:dyDescent="0.3">
      <c r="A1371" s="1068"/>
      <c r="B1371" s="881"/>
      <c r="C1371" s="282" t="s">
        <v>367</v>
      </c>
      <c r="D1371" s="437" t="s">
        <v>366</v>
      </c>
      <c r="E1371" s="283"/>
      <c r="F1371" s="438">
        <f t="shared" si="305"/>
        <v>5760</v>
      </c>
      <c r="G1371" s="612">
        <v>63.55</v>
      </c>
      <c r="H1371" s="603">
        <f t="shared" si="307"/>
        <v>0</v>
      </c>
      <c r="I1371" s="606">
        <f t="shared" si="306"/>
        <v>366048</v>
      </c>
      <c r="J1371" s="376"/>
    </row>
    <row r="1372" spans="1:10" ht="23.4" x14ac:dyDescent="0.3">
      <c r="A1372" s="1068"/>
      <c r="B1372" s="881"/>
      <c r="C1372" s="282" t="s">
        <v>429</v>
      </c>
      <c r="D1372" s="437" t="s">
        <v>258</v>
      </c>
      <c r="E1372" s="283">
        <v>23040</v>
      </c>
      <c r="F1372" s="438">
        <f t="shared" si="305"/>
        <v>152016</v>
      </c>
      <c r="G1372" s="612">
        <v>59.96</v>
      </c>
      <c r="H1372" s="603">
        <f t="shared" si="307"/>
        <v>1381478.3999999999</v>
      </c>
      <c r="I1372" s="606">
        <f t="shared" si="306"/>
        <v>9114879.3599999994</v>
      </c>
      <c r="J1372" s="376"/>
    </row>
    <row r="1373" spans="1:10" ht="23.4" x14ac:dyDescent="0.3">
      <c r="A1373" s="1068"/>
      <c r="B1373" s="881"/>
      <c r="C1373" s="282" t="s">
        <v>501</v>
      </c>
      <c r="D1373" s="437" t="s">
        <v>366</v>
      </c>
      <c r="E1373" s="283"/>
      <c r="F1373" s="438">
        <f t="shared" si="305"/>
        <v>8640</v>
      </c>
      <c r="G1373" s="612">
        <v>53.86</v>
      </c>
      <c r="H1373" s="603">
        <f t="shared" si="307"/>
        <v>0</v>
      </c>
      <c r="I1373" s="606">
        <f t="shared" si="306"/>
        <v>465350.40000000002</v>
      </c>
      <c r="J1373" s="376"/>
    </row>
    <row r="1374" spans="1:10" ht="23.4" x14ac:dyDescent="0.3">
      <c r="A1374" s="1068"/>
      <c r="B1374" s="881"/>
      <c r="C1374" s="282" t="s">
        <v>446</v>
      </c>
      <c r="D1374" s="437"/>
      <c r="E1374" s="283"/>
      <c r="F1374" s="438">
        <f t="shared" si="305"/>
        <v>8318</v>
      </c>
      <c r="G1374" s="612">
        <v>360</v>
      </c>
      <c r="H1374" s="603">
        <f t="shared" si="307"/>
        <v>0</v>
      </c>
      <c r="I1374" s="606">
        <f t="shared" si="306"/>
        <v>2994480</v>
      </c>
      <c r="J1374" s="376"/>
    </row>
    <row r="1375" spans="1:10" ht="23.4" x14ac:dyDescent="0.3">
      <c r="A1375" s="1068"/>
      <c r="B1375" s="881"/>
      <c r="C1375" s="282" t="s">
        <v>305</v>
      </c>
      <c r="D1375" s="437"/>
      <c r="E1375" s="283"/>
      <c r="F1375" s="438">
        <f t="shared" si="305"/>
        <v>0</v>
      </c>
      <c r="G1375" s="612">
        <v>39450</v>
      </c>
      <c r="H1375" s="603">
        <f t="shared" si="307"/>
        <v>0</v>
      </c>
      <c r="I1375" s="606">
        <f t="shared" si="306"/>
        <v>0</v>
      </c>
      <c r="J1375" s="376"/>
    </row>
    <row r="1376" spans="1:10" ht="24" thickBot="1" x14ac:dyDescent="0.35">
      <c r="A1376" s="1068"/>
      <c r="B1376" s="881"/>
      <c r="C1376" s="282" t="s">
        <v>364</v>
      </c>
      <c r="D1376" s="437" t="s">
        <v>258</v>
      </c>
      <c r="E1376" s="283"/>
      <c r="F1376" s="438">
        <f t="shared" si="305"/>
        <v>0</v>
      </c>
      <c r="G1376" s="612">
        <v>57.64</v>
      </c>
      <c r="H1376" s="603">
        <f t="shared" si="307"/>
        <v>0</v>
      </c>
      <c r="I1376" s="606">
        <f t="shared" si="306"/>
        <v>0</v>
      </c>
      <c r="J1376" s="376"/>
    </row>
    <row r="1377" spans="1:10" ht="24" thickBot="1" x14ac:dyDescent="0.35">
      <c r="A1377" s="1069"/>
      <c r="B1377" s="1063" t="s">
        <v>291</v>
      </c>
      <c r="C1377" s="1064"/>
      <c r="D1377" s="883"/>
      <c r="E1377" s="329">
        <f>SUM(E1354:E1376)</f>
        <v>34596</v>
      </c>
      <c r="F1377" s="329">
        <f>SUM(F1354:F1376)</f>
        <v>466512</v>
      </c>
      <c r="G1377" s="329"/>
      <c r="H1377" s="600">
        <f>SUM(H1354:H1376)</f>
        <v>2207039.04</v>
      </c>
      <c r="I1377" s="589">
        <f>SUM(I1354:I1376)</f>
        <v>51692378.869999997</v>
      </c>
      <c r="J1377" s="375"/>
    </row>
    <row r="1378" spans="1:10" ht="24" thickBot="1" x14ac:dyDescent="0.35">
      <c r="A1378" s="886"/>
      <c r="B1378" s="440"/>
      <c r="C1378" s="282" t="s">
        <v>446</v>
      </c>
      <c r="D1378" s="437"/>
      <c r="E1378" s="283"/>
      <c r="F1378" s="284">
        <f>+F1287+E1378</f>
        <v>0</v>
      </c>
      <c r="G1378" s="337"/>
      <c r="H1378" s="599">
        <f t="shared" ref="H1378" si="308">E1378*G1378</f>
        <v>0</v>
      </c>
      <c r="I1378" s="285">
        <f t="shared" ref="I1378" si="309">+G1378*F1378</f>
        <v>0</v>
      </c>
      <c r="J1378" s="376"/>
    </row>
    <row r="1379" spans="1:10" ht="24" thickBot="1" x14ac:dyDescent="0.35">
      <c r="A1379" s="886"/>
      <c r="B1379" s="1063" t="s">
        <v>238</v>
      </c>
      <c r="C1379" s="1064"/>
      <c r="D1379" s="879"/>
      <c r="E1379" s="329"/>
      <c r="F1379" s="330"/>
      <c r="G1379" s="329"/>
      <c r="H1379" s="597"/>
      <c r="I1379" s="327">
        <f>SUM(I1378)</f>
        <v>0</v>
      </c>
      <c r="J1379" s="352"/>
    </row>
    <row r="1380" spans="1:10" ht="24.6" thickBot="1" x14ac:dyDescent="0.35">
      <c r="A1380" s="322"/>
      <c r="B1380" s="1065" t="s">
        <v>182</v>
      </c>
      <c r="C1380" s="1066"/>
      <c r="D1380" s="880"/>
      <c r="E1380" s="377">
        <f>+E1377+E1353+E1331+E1329</f>
        <v>58516</v>
      </c>
      <c r="F1380" s="377">
        <f>+F1377+F1353+F1331+F1329</f>
        <v>3449968</v>
      </c>
      <c r="G1380" s="377"/>
      <c r="H1380" s="377"/>
      <c r="I1380" s="377">
        <f>+I1377+I1353+I1331+I1379</f>
        <v>141046127.64999998</v>
      </c>
      <c r="J1380" s="378"/>
    </row>
    <row r="1381" spans="1:10" ht="23.4" x14ac:dyDescent="0.3">
      <c r="A1381" s="991" t="s">
        <v>1</v>
      </c>
      <c r="B1381" s="994" t="s">
        <v>2</v>
      </c>
      <c r="C1381" s="1072" t="s">
        <v>477</v>
      </c>
      <c r="D1381" s="1043" t="s">
        <v>478</v>
      </c>
      <c r="E1381" s="1076" t="s">
        <v>570</v>
      </c>
      <c r="F1381" s="1001"/>
      <c r="G1381" s="1001"/>
      <c r="H1381" s="1001"/>
      <c r="I1381" s="1001"/>
      <c r="J1381" s="1002"/>
    </row>
    <row r="1382" spans="1:10" ht="23.4" x14ac:dyDescent="0.3">
      <c r="A1382" s="1070"/>
      <c r="B1382" s="1071"/>
      <c r="C1382" s="1073"/>
      <c r="D1382" s="1044"/>
      <c r="E1382" s="1077" t="s">
        <v>493</v>
      </c>
      <c r="F1382" s="1078"/>
      <c r="G1382" s="1077" t="s">
        <v>492</v>
      </c>
      <c r="H1382" s="1079"/>
      <c r="I1382" s="1079"/>
      <c r="J1382" s="1078"/>
    </row>
    <row r="1383" spans="1:10" x14ac:dyDescent="0.3">
      <c r="A1383" s="992"/>
      <c r="B1383" s="995"/>
      <c r="C1383" s="1074"/>
      <c r="D1383" s="1044"/>
      <c r="E1383" s="1003" t="s">
        <v>494</v>
      </c>
      <c r="F1383" s="1005" t="s">
        <v>495</v>
      </c>
      <c r="G1383" s="1081" t="s">
        <v>97</v>
      </c>
      <c r="H1383" s="1083" t="s">
        <v>98</v>
      </c>
      <c r="I1383" s="1083" t="s">
        <v>98</v>
      </c>
      <c r="J1383" s="1085" t="s">
        <v>12</v>
      </c>
    </row>
    <row r="1384" spans="1:10" ht="14.4" thickBot="1" x14ac:dyDescent="0.35">
      <c r="A1384" s="993"/>
      <c r="B1384" s="996"/>
      <c r="C1384" s="1075"/>
      <c r="D1384" s="1045"/>
      <c r="E1384" s="1004"/>
      <c r="F1384" s="1080"/>
      <c r="G1384" s="1082"/>
      <c r="H1384" s="1084"/>
      <c r="I1384" s="1084"/>
      <c r="J1384" s="1086"/>
    </row>
    <row r="1385" spans="1:10" ht="23.4" x14ac:dyDescent="0.3">
      <c r="A1385" s="1067" t="s">
        <v>110</v>
      </c>
      <c r="B1385" s="442"/>
      <c r="C1385" s="584" t="s">
        <v>565</v>
      </c>
      <c r="D1385" s="686" t="s">
        <v>436</v>
      </c>
      <c r="E1385" s="744">
        <v>15872</v>
      </c>
      <c r="F1385" s="695">
        <f>+F1294+E1385</f>
        <v>15872</v>
      </c>
      <c r="G1385" s="896">
        <v>107.85</v>
      </c>
      <c r="H1385" s="601">
        <f t="shared" ref="H1385:H1398" si="310">E1385*G1385</f>
        <v>1711795.2</v>
      </c>
      <c r="I1385" s="604">
        <f>+G1385*F1385</f>
        <v>1711795.2</v>
      </c>
      <c r="J1385" s="354"/>
    </row>
    <row r="1386" spans="1:10" ht="23.4" x14ac:dyDescent="0.3">
      <c r="A1386" s="1068"/>
      <c r="B1386" s="441"/>
      <c r="C1386" s="444" t="s">
        <v>285</v>
      </c>
      <c r="D1386" s="687" t="s">
        <v>286</v>
      </c>
      <c r="E1386" s="745"/>
      <c r="F1386" s="746">
        <f t="shared" ref="F1386:F1398" si="311">+F1295+E1386</f>
        <v>0</v>
      </c>
      <c r="G1386" s="742">
        <v>11</v>
      </c>
      <c r="H1386" s="602">
        <f t="shared" si="310"/>
        <v>0</v>
      </c>
      <c r="I1386" s="605">
        <f>+G1386*F1386</f>
        <v>0</v>
      </c>
      <c r="J1386" s="355"/>
    </row>
    <row r="1387" spans="1:10" ht="23.4" x14ac:dyDescent="0.3">
      <c r="A1387" s="1068"/>
      <c r="B1387" s="441"/>
      <c r="C1387" s="444" t="s">
        <v>321</v>
      </c>
      <c r="D1387" s="687" t="s">
        <v>400</v>
      </c>
      <c r="E1387" s="745"/>
      <c r="F1387" s="746">
        <f t="shared" si="311"/>
        <v>0</v>
      </c>
      <c r="G1387" s="742">
        <v>139.04</v>
      </c>
      <c r="H1387" s="602">
        <f t="shared" si="310"/>
        <v>0</v>
      </c>
      <c r="I1387" s="605">
        <f t="shared" ref="I1387:I1398" si="312">+G1387*F1387</f>
        <v>0</v>
      </c>
      <c r="J1387" s="355"/>
    </row>
    <row r="1388" spans="1:10" ht="23.4" x14ac:dyDescent="0.3">
      <c r="A1388" s="1068"/>
      <c r="B1388" s="441"/>
      <c r="C1388" s="444" t="s">
        <v>397</v>
      </c>
      <c r="D1388" s="687" t="s">
        <v>398</v>
      </c>
      <c r="E1388" s="745"/>
      <c r="F1388" s="746">
        <f t="shared" si="311"/>
        <v>895356</v>
      </c>
      <c r="G1388" s="795">
        <v>20.5</v>
      </c>
      <c r="H1388" s="602">
        <f t="shared" si="310"/>
        <v>0</v>
      </c>
      <c r="I1388" s="605">
        <f t="shared" si="312"/>
        <v>18354798</v>
      </c>
      <c r="J1388" s="355"/>
    </row>
    <row r="1389" spans="1:10" ht="23.4" x14ac:dyDescent="0.3">
      <c r="A1389" s="1068"/>
      <c r="B1389" s="441"/>
      <c r="C1389" s="444" t="s">
        <v>312</v>
      </c>
      <c r="D1389" s="687" t="s">
        <v>190</v>
      </c>
      <c r="E1389" s="745"/>
      <c r="F1389" s="746">
        <f t="shared" si="311"/>
        <v>0</v>
      </c>
      <c r="G1389" s="742">
        <v>14.79</v>
      </c>
      <c r="H1389" s="602">
        <f t="shared" si="310"/>
        <v>0</v>
      </c>
      <c r="I1389" s="605">
        <f t="shared" si="312"/>
        <v>0</v>
      </c>
      <c r="J1389" s="355"/>
    </row>
    <row r="1390" spans="1:10" ht="23.4" x14ac:dyDescent="0.3">
      <c r="A1390" s="1068"/>
      <c r="B1390" s="441"/>
      <c r="C1390" s="444" t="s">
        <v>321</v>
      </c>
      <c r="D1390" s="687" t="s">
        <v>286</v>
      </c>
      <c r="E1390" s="745"/>
      <c r="F1390" s="746">
        <f t="shared" si="311"/>
        <v>7435</v>
      </c>
      <c r="G1390" s="742">
        <v>139.04</v>
      </c>
      <c r="H1390" s="602">
        <f t="shared" si="310"/>
        <v>0</v>
      </c>
      <c r="I1390" s="605">
        <f t="shared" si="312"/>
        <v>1033762.3999999999</v>
      </c>
      <c r="J1390" s="355"/>
    </row>
    <row r="1391" spans="1:10" ht="23.4" x14ac:dyDescent="0.3">
      <c r="A1391" s="1068"/>
      <c r="B1391" s="441"/>
      <c r="C1391" s="444" t="s">
        <v>472</v>
      </c>
      <c r="D1391" s="688" t="s">
        <v>396</v>
      </c>
      <c r="E1391" s="745"/>
      <c r="F1391" s="746">
        <f t="shared" si="311"/>
        <v>29760</v>
      </c>
      <c r="G1391" s="742">
        <v>147.58000000000001</v>
      </c>
      <c r="H1391" s="602">
        <f t="shared" si="310"/>
        <v>0</v>
      </c>
      <c r="I1391" s="605">
        <f t="shared" si="312"/>
        <v>4391980.8000000007</v>
      </c>
      <c r="J1391" s="355"/>
    </row>
    <row r="1392" spans="1:10" ht="23.4" x14ac:dyDescent="0.3">
      <c r="A1392" s="1068"/>
      <c r="B1392" s="441"/>
      <c r="C1392" s="444" t="s">
        <v>345</v>
      </c>
      <c r="D1392" s="688" t="s">
        <v>286</v>
      </c>
      <c r="E1392" s="745">
        <v>18360</v>
      </c>
      <c r="F1392" s="746">
        <f t="shared" si="311"/>
        <v>55080</v>
      </c>
      <c r="G1392" s="742">
        <v>18.84</v>
      </c>
      <c r="H1392" s="602">
        <f t="shared" si="310"/>
        <v>345902.4</v>
      </c>
      <c r="I1392" s="605">
        <f t="shared" si="312"/>
        <v>1037707.2</v>
      </c>
      <c r="J1392" s="355"/>
    </row>
    <row r="1393" spans="1:10" ht="23.4" x14ac:dyDescent="0.3">
      <c r="A1393" s="1068"/>
      <c r="B1393" s="441"/>
      <c r="C1393" s="444" t="s">
        <v>357</v>
      </c>
      <c r="D1393" s="688" t="s">
        <v>252</v>
      </c>
      <c r="E1393" s="745"/>
      <c r="F1393" s="746">
        <f t="shared" si="311"/>
        <v>550800</v>
      </c>
      <c r="G1393" s="742">
        <v>21.18</v>
      </c>
      <c r="H1393" s="602">
        <f t="shared" si="310"/>
        <v>0</v>
      </c>
      <c r="I1393" s="605">
        <f t="shared" si="312"/>
        <v>11665944</v>
      </c>
      <c r="J1393" s="355"/>
    </row>
    <row r="1394" spans="1:10" ht="23.4" x14ac:dyDescent="0.3">
      <c r="A1394" s="1068"/>
      <c r="B1394" s="441"/>
      <c r="C1394" s="444" t="s">
        <v>359</v>
      </c>
      <c r="D1394" s="688" t="s">
        <v>360</v>
      </c>
      <c r="E1394" s="745">
        <f>183600+133682</f>
        <v>317282</v>
      </c>
      <c r="F1394" s="746">
        <f t="shared" si="311"/>
        <v>500882</v>
      </c>
      <c r="G1394" s="742">
        <v>21.28</v>
      </c>
      <c r="H1394" s="602">
        <f t="shared" si="310"/>
        <v>6751760.96</v>
      </c>
      <c r="I1394" s="605">
        <f t="shared" si="312"/>
        <v>10658768.960000001</v>
      </c>
      <c r="J1394" s="355"/>
    </row>
    <row r="1395" spans="1:10" ht="23.4" x14ac:dyDescent="0.3">
      <c r="A1395" s="1068"/>
      <c r="B1395" s="441"/>
      <c r="C1395" s="444" t="s">
        <v>445</v>
      </c>
      <c r="D1395" s="688" t="s">
        <v>436</v>
      </c>
      <c r="E1395" s="745"/>
      <c r="F1395" s="746">
        <f t="shared" si="311"/>
        <v>19840</v>
      </c>
      <c r="G1395" s="742">
        <v>143.28</v>
      </c>
      <c r="H1395" s="602">
        <f t="shared" si="310"/>
        <v>0</v>
      </c>
      <c r="I1395" s="605">
        <f t="shared" si="312"/>
        <v>2842675.2000000002</v>
      </c>
      <c r="J1395" s="355"/>
    </row>
    <row r="1396" spans="1:10" ht="23.4" x14ac:dyDescent="0.3">
      <c r="A1396" s="1068"/>
      <c r="B1396" s="441"/>
      <c r="C1396" s="444" t="s">
        <v>403</v>
      </c>
      <c r="D1396" s="687" t="s">
        <v>190</v>
      </c>
      <c r="E1396" s="745"/>
      <c r="F1396" s="746">
        <f t="shared" si="311"/>
        <v>135168</v>
      </c>
      <c r="G1396" s="742">
        <v>14.55</v>
      </c>
      <c r="H1396" s="602">
        <f t="shared" si="310"/>
        <v>0</v>
      </c>
      <c r="I1396" s="605">
        <f t="shared" si="312"/>
        <v>1966694.4000000001</v>
      </c>
      <c r="J1396" s="355"/>
    </row>
    <row r="1397" spans="1:10" ht="23.4" x14ac:dyDescent="0.3">
      <c r="A1397" s="1068"/>
      <c r="B1397" s="441"/>
      <c r="C1397" s="444" t="s">
        <v>362</v>
      </c>
      <c r="D1397" s="688" t="s">
        <v>202</v>
      </c>
      <c r="E1397" s="745"/>
      <c r="F1397" s="746">
        <f t="shared" si="311"/>
        <v>0</v>
      </c>
      <c r="G1397" s="742">
        <v>21.28</v>
      </c>
      <c r="H1397" s="602">
        <f t="shared" si="310"/>
        <v>0</v>
      </c>
      <c r="I1397" s="605">
        <f t="shared" si="312"/>
        <v>0</v>
      </c>
      <c r="J1397" s="355"/>
    </row>
    <row r="1398" spans="1:10" ht="24" thickBot="1" x14ac:dyDescent="0.35">
      <c r="A1398" s="1068"/>
      <c r="B1398" s="441"/>
      <c r="C1398" s="444" t="s">
        <v>374</v>
      </c>
      <c r="D1398" s="689" t="s">
        <v>191</v>
      </c>
      <c r="E1398" s="745"/>
      <c r="F1398" s="697">
        <f t="shared" si="311"/>
        <v>0</v>
      </c>
      <c r="G1398" s="742">
        <v>36.44</v>
      </c>
      <c r="H1398" s="602">
        <f t="shared" si="310"/>
        <v>0</v>
      </c>
      <c r="I1398" s="605">
        <f t="shared" si="312"/>
        <v>0</v>
      </c>
      <c r="J1398" s="355"/>
    </row>
    <row r="1399" spans="1:10" ht="24" thickBot="1" x14ac:dyDescent="0.35">
      <c r="A1399" s="1068"/>
      <c r="B1399" s="1063" t="s">
        <v>287</v>
      </c>
      <c r="C1399" s="1064"/>
      <c r="D1399" s="892"/>
      <c r="E1399" s="329">
        <f>SUM(E1385:E1398)</f>
        <v>351514</v>
      </c>
      <c r="F1399" s="743">
        <f>SUM(F1385:F1398)</f>
        <v>2210193</v>
      </c>
      <c r="G1399" s="329"/>
      <c r="H1399" s="597">
        <f>SUM(H1385:H1398)</f>
        <v>8809458.5600000005</v>
      </c>
      <c r="I1399" s="589">
        <f>SUM(I1385:I1398)</f>
        <v>53664126.159999996</v>
      </c>
      <c r="J1399" s="352"/>
    </row>
    <row r="1400" spans="1:10" ht="23.4" x14ac:dyDescent="0.3">
      <c r="A1400" s="1068"/>
      <c r="B1400" s="890"/>
      <c r="C1400" s="282" t="s">
        <v>293</v>
      </c>
      <c r="D1400" s="437" t="s">
        <v>258</v>
      </c>
      <c r="E1400" s="283"/>
      <c r="F1400" s="438">
        <f t="shared" ref="F1400:F1413" si="313">+F1309+E1400</f>
        <v>60750</v>
      </c>
      <c r="G1400" s="587">
        <v>160.44999999999999</v>
      </c>
      <c r="H1400" s="603">
        <f t="shared" ref="H1400:H1413" si="314">E1400*G1400</f>
        <v>0</v>
      </c>
      <c r="I1400" s="606">
        <f t="shared" ref="I1400:I1413" si="315">+G1400*F1400</f>
        <v>9747337.5</v>
      </c>
      <c r="J1400" s="376"/>
    </row>
    <row r="1401" spans="1:10" ht="23.4" x14ac:dyDescent="0.3">
      <c r="A1401" s="1068"/>
      <c r="B1401" s="890"/>
      <c r="C1401" s="282" t="s">
        <v>309</v>
      </c>
      <c r="D1401" s="437" t="s">
        <v>258</v>
      </c>
      <c r="E1401" s="283">
        <v>7000</v>
      </c>
      <c r="F1401" s="438">
        <f t="shared" si="313"/>
        <v>12000</v>
      </c>
      <c r="G1401" s="587">
        <v>160.44999999999999</v>
      </c>
      <c r="H1401" s="603">
        <f t="shared" si="314"/>
        <v>1123150</v>
      </c>
      <c r="I1401" s="606">
        <f t="shared" si="315"/>
        <v>1925399.9999999998</v>
      </c>
      <c r="J1401" s="376"/>
    </row>
    <row r="1402" spans="1:10" ht="23.4" x14ac:dyDescent="0.3">
      <c r="A1402" s="1068"/>
      <c r="B1402" s="890"/>
      <c r="C1402" s="282" t="s">
        <v>463</v>
      </c>
      <c r="D1402" s="437" t="s">
        <v>258</v>
      </c>
      <c r="E1402" s="283">
        <v>3500</v>
      </c>
      <c r="F1402" s="438">
        <f t="shared" si="313"/>
        <v>17000</v>
      </c>
      <c r="G1402" s="587">
        <v>160.44999999999999</v>
      </c>
      <c r="H1402" s="603">
        <f t="shared" si="314"/>
        <v>561575</v>
      </c>
      <c r="I1402" s="606">
        <f t="shared" si="315"/>
        <v>2727650</v>
      </c>
      <c r="J1402" s="376"/>
    </row>
    <row r="1403" spans="1:10" ht="23.4" x14ac:dyDescent="0.3">
      <c r="A1403" s="1068"/>
      <c r="B1403" s="890"/>
      <c r="C1403" s="282" t="s">
        <v>311</v>
      </c>
      <c r="D1403" s="437" t="s">
        <v>100</v>
      </c>
      <c r="E1403" s="283">
        <v>37620</v>
      </c>
      <c r="F1403" s="438">
        <f t="shared" si="313"/>
        <v>37620</v>
      </c>
      <c r="G1403" s="587">
        <v>27</v>
      </c>
      <c r="H1403" s="603">
        <f t="shared" si="314"/>
        <v>1015740</v>
      </c>
      <c r="I1403" s="606">
        <f t="shared" si="315"/>
        <v>1015740</v>
      </c>
      <c r="J1403" s="376"/>
    </row>
    <row r="1404" spans="1:10" ht="23.4" x14ac:dyDescent="0.3">
      <c r="A1404" s="1068"/>
      <c r="B1404" s="890"/>
      <c r="C1404" s="282" t="s">
        <v>311</v>
      </c>
      <c r="D1404" s="437" t="s">
        <v>318</v>
      </c>
      <c r="E1404" s="283"/>
      <c r="F1404" s="438">
        <f t="shared" si="313"/>
        <v>380160</v>
      </c>
      <c r="G1404" s="587">
        <v>27.5</v>
      </c>
      <c r="H1404" s="603">
        <f t="shared" si="314"/>
        <v>0</v>
      </c>
      <c r="I1404" s="606">
        <f t="shared" si="315"/>
        <v>10454400</v>
      </c>
      <c r="J1404" s="376"/>
    </row>
    <row r="1405" spans="1:10" ht="23.4" x14ac:dyDescent="0.3">
      <c r="A1405" s="1068"/>
      <c r="B1405" s="890"/>
      <c r="C1405" s="282" t="s">
        <v>299</v>
      </c>
      <c r="D1405" s="437" t="s">
        <v>318</v>
      </c>
      <c r="E1405" s="283"/>
      <c r="F1405" s="438">
        <f t="shared" si="313"/>
        <v>12680</v>
      </c>
      <c r="G1405" s="587">
        <v>34.5</v>
      </c>
      <c r="H1405" s="603">
        <f t="shared" si="314"/>
        <v>0</v>
      </c>
      <c r="I1405" s="606">
        <f t="shared" si="315"/>
        <v>437460</v>
      </c>
      <c r="J1405" s="376"/>
    </row>
    <row r="1406" spans="1:10" ht="23.4" x14ac:dyDescent="0.3">
      <c r="A1406" s="1068"/>
      <c r="B1406" s="890"/>
      <c r="C1406" s="282" t="s">
        <v>550</v>
      </c>
      <c r="D1406" s="437" t="s">
        <v>549</v>
      </c>
      <c r="E1406" s="283"/>
      <c r="F1406" s="438">
        <f t="shared" si="313"/>
        <v>31200</v>
      </c>
      <c r="G1406" s="587">
        <v>10.57</v>
      </c>
      <c r="H1406" s="603">
        <f t="shared" si="314"/>
        <v>0</v>
      </c>
      <c r="I1406" s="606">
        <f t="shared" si="315"/>
        <v>329784</v>
      </c>
      <c r="J1406" s="376"/>
    </row>
    <row r="1407" spans="1:10" ht="23.4" x14ac:dyDescent="0.3">
      <c r="A1407" s="1068"/>
      <c r="B1407" s="890"/>
      <c r="C1407" s="282" t="s">
        <v>299</v>
      </c>
      <c r="D1407" s="437" t="s">
        <v>549</v>
      </c>
      <c r="E1407" s="283"/>
      <c r="F1407" s="438">
        <f t="shared" si="313"/>
        <v>26</v>
      </c>
      <c r="G1407" s="587">
        <v>55.76</v>
      </c>
      <c r="H1407" s="603">
        <f t="shared" si="314"/>
        <v>0</v>
      </c>
      <c r="I1407" s="606">
        <f t="shared" si="315"/>
        <v>1449.76</v>
      </c>
      <c r="J1407" s="376"/>
    </row>
    <row r="1408" spans="1:10" ht="23.4" x14ac:dyDescent="0.3">
      <c r="A1408" s="1068"/>
      <c r="B1408" s="890"/>
      <c r="C1408" s="282" t="s">
        <v>505</v>
      </c>
      <c r="D1408" s="437" t="s">
        <v>258</v>
      </c>
      <c r="E1408" s="283"/>
      <c r="F1408" s="438">
        <f t="shared" si="313"/>
        <v>12307</v>
      </c>
      <c r="G1408" s="587">
        <v>160.44999999999999</v>
      </c>
      <c r="H1408" s="603">
        <f t="shared" si="314"/>
        <v>0</v>
      </c>
      <c r="I1408" s="606">
        <f t="shared" si="315"/>
        <v>1974658.15</v>
      </c>
      <c r="J1408" s="376"/>
    </row>
    <row r="1409" spans="1:13" ht="23.4" x14ac:dyDescent="0.3">
      <c r="A1409" s="1068"/>
      <c r="B1409" s="890"/>
      <c r="C1409" s="282" t="s">
        <v>388</v>
      </c>
      <c r="D1409" s="437" t="s">
        <v>258</v>
      </c>
      <c r="E1409" s="283"/>
      <c r="F1409" s="438">
        <f t="shared" si="313"/>
        <v>37875</v>
      </c>
      <c r="G1409" s="587">
        <v>160.44999999999999</v>
      </c>
      <c r="H1409" s="603">
        <f t="shared" si="314"/>
        <v>0</v>
      </c>
      <c r="I1409" s="606">
        <f t="shared" si="315"/>
        <v>6077043.75</v>
      </c>
      <c r="J1409" s="376"/>
    </row>
    <row r="1410" spans="1:13" ht="23.4" x14ac:dyDescent="0.3">
      <c r="A1410" s="1068"/>
      <c r="B1410" s="890"/>
      <c r="C1410" s="282" t="s">
        <v>461</v>
      </c>
      <c r="D1410" s="437" t="s">
        <v>258</v>
      </c>
      <c r="E1410" s="283"/>
      <c r="F1410" s="438">
        <f t="shared" si="313"/>
        <v>6000</v>
      </c>
      <c r="G1410" s="587">
        <v>160.44999999999999</v>
      </c>
      <c r="H1410" s="603">
        <f t="shared" si="314"/>
        <v>0</v>
      </c>
      <c r="I1410" s="606">
        <f t="shared" si="315"/>
        <v>962699.99999999988</v>
      </c>
      <c r="J1410" s="376"/>
    </row>
    <row r="1411" spans="1:13" ht="23.4" x14ac:dyDescent="0.3">
      <c r="A1411" s="1068"/>
      <c r="B1411" s="890"/>
      <c r="C1411" s="282" t="s">
        <v>562</v>
      </c>
      <c r="D1411" s="437" t="s">
        <v>258</v>
      </c>
      <c r="E1411" s="283">
        <v>1875</v>
      </c>
      <c r="F1411" s="438">
        <f t="shared" si="313"/>
        <v>8000</v>
      </c>
      <c r="G1411" s="587">
        <v>160.44999999999999</v>
      </c>
      <c r="H1411" s="603">
        <f t="shared" si="314"/>
        <v>300843.75</v>
      </c>
      <c r="I1411" s="606">
        <f t="shared" si="315"/>
        <v>1283600</v>
      </c>
      <c r="J1411" s="376"/>
    </row>
    <row r="1412" spans="1:13" ht="23.4" x14ac:dyDescent="0.3">
      <c r="A1412" s="1068"/>
      <c r="B1412" s="890"/>
      <c r="C1412" s="282" t="s">
        <v>331</v>
      </c>
      <c r="D1412" s="437" t="s">
        <v>258</v>
      </c>
      <c r="E1412" s="283"/>
      <c r="F1412" s="438">
        <f t="shared" si="313"/>
        <v>14809</v>
      </c>
      <c r="G1412" s="587">
        <v>160.44999999999999</v>
      </c>
      <c r="H1412" s="603">
        <f t="shared" si="314"/>
        <v>0</v>
      </c>
      <c r="I1412" s="606">
        <f t="shared" si="315"/>
        <v>2376104.0499999998</v>
      </c>
      <c r="J1412" s="376"/>
    </row>
    <row r="1413" spans="1:13" ht="24" thickBot="1" x14ac:dyDescent="0.35">
      <c r="A1413" s="1068"/>
      <c r="B1413" s="890"/>
      <c r="C1413" s="282" t="s">
        <v>340</v>
      </c>
      <c r="D1413" s="437" t="s">
        <v>258</v>
      </c>
      <c r="E1413" s="283">
        <v>812</v>
      </c>
      <c r="F1413" s="438">
        <f t="shared" si="313"/>
        <v>2500</v>
      </c>
      <c r="G1413" s="587">
        <v>160.44999999999999</v>
      </c>
      <c r="H1413" s="603">
        <f t="shared" si="314"/>
        <v>130285.4</v>
      </c>
      <c r="I1413" s="606">
        <f t="shared" si="315"/>
        <v>401125</v>
      </c>
      <c r="J1413" s="376"/>
    </row>
    <row r="1414" spans="1:13" ht="24" thickBot="1" x14ac:dyDescent="0.35">
      <c r="A1414" s="1068"/>
      <c r="B1414" s="1063" t="s">
        <v>288</v>
      </c>
      <c r="C1414" s="1064"/>
      <c r="D1414" s="892"/>
      <c r="E1414" s="329">
        <f>SUM(E1400:E1413)</f>
        <v>50807</v>
      </c>
      <c r="F1414" s="329">
        <f>SUM(F1400:F1413)</f>
        <v>632927</v>
      </c>
      <c r="G1414" s="329"/>
      <c r="H1414" s="597">
        <f>SUM(H1400:H1413)</f>
        <v>3131594.15</v>
      </c>
      <c r="I1414" s="589">
        <f>SUM(I1400:I1413)</f>
        <v>39714452.209999993</v>
      </c>
      <c r="J1414" s="352"/>
    </row>
    <row r="1415" spans="1:13" ht="23.4" x14ac:dyDescent="0.3">
      <c r="A1415" s="1068"/>
      <c r="B1415" s="890"/>
      <c r="C1415" s="282" t="s">
        <v>434</v>
      </c>
      <c r="D1415" s="437" t="s">
        <v>435</v>
      </c>
      <c r="E1415" s="283"/>
      <c r="F1415" s="438">
        <f t="shared" ref="F1415:F1419" si="316">+F1324+E1415</f>
        <v>250</v>
      </c>
      <c r="G1415" s="587">
        <v>5.34</v>
      </c>
      <c r="H1415" s="603">
        <f t="shared" ref="H1415:H1419" si="317">E1415*G1415</f>
        <v>0</v>
      </c>
      <c r="I1415" s="606">
        <f t="shared" ref="I1415" si="318">+G1415*F1415</f>
        <v>1335</v>
      </c>
      <c r="J1415" s="376"/>
    </row>
    <row r="1416" spans="1:13" ht="23.4" x14ac:dyDescent="0.3">
      <c r="A1416" s="1068"/>
      <c r="B1416" s="890"/>
      <c r="C1416" s="282" t="s">
        <v>464</v>
      </c>
      <c r="D1416" s="437" t="s">
        <v>286</v>
      </c>
      <c r="E1416" s="283"/>
      <c r="F1416" s="438">
        <f t="shared" si="316"/>
        <v>50</v>
      </c>
      <c r="G1416" s="587">
        <v>31.73</v>
      </c>
      <c r="H1416" s="603">
        <f t="shared" si="317"/>
        <v>0</v>
      </c>
      <c r="I1416" s="606">
        <f>+G1416*F1416</f>
        <v>1586.5</v>
      </c>
      <c r="J1416" s="376"/>
    </row>
    <row r="1417" spans="1:13" ht="23.4" x14ac:dyDescent="0.3">
      <c r="A1417" s="1068"/>
      <c r="B1417" s="890"/>
      <c r="C1417" s="282" t="s">
        <v>473</v>
      </c>
      <c r="D1417" s="437" t="s">
        <v>474</v>
      </c>
      <c r="E1417" s="283"/>
      <c r="F1417" s="438">
        <f t="shared" si="316"/>
        <v>2500</v>
      </c>
      <c r="G1417" s="587">
        <v>10.58</v>
      </c>
      <c r="H1417" s="603">
        <f t="shared" si="317"/>
        <v>0</v>
      </c>
      <c r="I1417" s="606">
        <f>+G1417*F1417</f>
        <v>26450</v>
      </c>
      <c r="J1417" s="376"/>
    </row>
    <row r="1418" spans="1:13" ht="23.4" x14ac:dyDescent="0.3">
      <c r="A1418" s="1068"/>
      <c r="B1418" s="890"/>
      <c r="C1418" s="282" t="s">
        <v>300</v>
      </c>
      <c r="D1418" s="437" t="s">
        <v>301</v>
      </c>
      <c r="E1418" s="283"/>
      <c r="F1418" s="438">
        <f t="shared" si="316"/>
        <v>1</v>
      </c>
      <c r="G1418" s="587">
        <v>2500</v>
      </c>
      <c r="H1418" s="603">
        <f t="shared" si="317"/>
        <v>0</v>
      </c>
      <c r="I1418" s="606">
        <f>+G1418*F1418</f>
        <v>2500</v>
      </c>
      <c r="J1418" s="376"/>
    </row>
    <row r="1419" spans="1:13" ht="24" thickBot="1" x14ac:dyDescent="0.35">
      <c r="A1419" s="1068"/>
      <c r="B1419" s="890"/>
      <c r="C1419" s="282" t="s">
        <v>519</v>
      </c>
      <c r="D1419" s="437" t="s">
        <v>333</v>
      </c>
      <c r="E1419" s="283"/>
      <c r="F1419" s="438">
        <f t="shared" si="316"/>
        <v>124032</v>
      </c>
      <c r="G1419" s="588">
        <v>10</v>
      </c>
      <c r="H1419" s="603">
        <f t="shared" si="317"/>
        <v>0</v>
      </c>
      <c r="I1419" s="606">
        <f t="shared" ref="I1419" si="319">+G1419*F1419</f>
        <v>1240320</v>
      </c>
      <c r="J1419" s="376"/>
    </row>
    <row r="1420" spans="1:13" ht="24" thickBot="1" x14ac:dyDescent="0.35">
      <c r="A1420" s="1068"/>
      <c r="B1420" s="1063" t="s">
        <v>294</v>
      </c>
      <c r="C1420" s="1064"/>
      <c r="D1420" s="892"/>
      <c r="E1420" s="329">
        <f>SUM(E1415:E1419)</f>
        <v>0</v>
      </c>
      <c r="F1420" s="329">
        <f>SUM(F1415:F1419)</f>
        <v>126833</v>
      </c>
      <c r="G1420" s="329"/>
      <c r="H1420" s="597">
        <f>SUM(H1415:H1419)</f>
        <v>0</v>
      </c>
      <c r="I1420" s="589">
        <f>SUM(I1415:I1419)</f>
        <v>1272191.5</v>
      </c>
      <c r="J1420" s="376"/>
    </row>
    <row r="1421" spans="1:13" ht="24" thickBot="1" x14ac:dyDescent="0.35">
      <c r="A1421" s="1068"/>
      <c r="B1421" s="890"/>
      <c r="C1421" s="282"/>
      <c r="D1421" s="437"/>
      <c r="E1421" s="283"/>
      <c r="F1421" s="320"/>
      <c r="G1421" s="588"/>
      <c r="H1421" s="598"/>
      <c r="I1421" s="285">
        <f t="shared" ref="I1421" si="320">+G1421*F1421</f>
        <v>0</v>
      </c>
      <c r="J1421" s="376"/>
    </row>
    <row r="1422" spans="1:13" ht="24" thickBot="1" x14ac:dyDescent="0.35">
      <c r="A1422" s="1069"/>
      <c r="B1422" s="1063" t="s">
        <v>290</v>
      </c>
      <c r="C1422" s="1064"/>
      <c r="D1422" s="888"/>
      <c r="E1422" s="329">
        <f>+E1420+E1414+E1399</f>
        <v>402321</v>
      </c>
      <c r="F1422" s="329">
        <f>+F1420+F1414+F1399</f>
        <v>2969953</v>
      </c>
      <c r="G1422" s="329"/>
      <c r="H1422" s="589">
        <f>+H1414+H1399+H1420</f>
        <v>11941052.710000001</v>
      </c>
      <c r="I1422" s="589">
        <f>+I1414+I1399+I1420</f>
        <v>94650769.86999999</v>
      </c>
      <c r="J1422" s="376"/>
      <c r="K1422" s="757"/>
      <c r="M1422" s="757"/>
    </row>
    <row r="1423" spans="1:13" ht="23.4" x14ac:dyDescent="0.3">
      <c r="A1423" s="1067" t="s">
        <v>108</v>
      </c>
      <c r="B1423" s="890"/>
      <c r="C1423" s="282" t="s">
        <v>304</v>
      </c>
      <c r="D1423" s="437" t="s">
        <v>191</v>
      </c>
      <c r="E1423" s="283"/>
      <c r="F1423" s="438">
        <f t="shared" ref="F1423:F1443" si="321">+F1332+E1423</f>
        <v>35802</v>
      </c>
      <c r="G1423" s="612">
        <v>13.25</v>
      </c>
      <c r="H1423" s="607">
        <f t="shared" ref="H1423:H1443" si="322">E1423*G1423</f>
        <v>0</v>
      </c>
      <c r="I1423" s="606">
        <f t="shared" ref="I1423:I1443" si="323">+G1423*F1423</f>
        <v>474376.5</v>
      </c>
      <c r="J1423" s="376"/>
    </row>
    <row r="1424" spans="1:13" ht="23.4" x14ac:dyDescent="0.3">
      <c r="A1424" s="1068"/>
      <c r="B1424" s="890"/>
      <c r="C1424" s="282" t="s">
        <v>305</v>
      </c>
      <c r="D1424" s="437"/>
      <c r="E1424" s="283"/>
      <c r="F1424" s="438">
        <f t="shared" si="321"/>
        <v>1</v>
      </c>
      <c r="G1424" s="613">
        <v>5000</v>
      </c>
      <c r="H1424" s="607">
        <f t="shared" si="322"/>
        <v>0</v>
      </c>
      <c r="I1424" s="606">
        <f t="shared" si="323"/>
        <v>5000</v>
      </c>
      <c r="J1424" s="376"/>
    </row>
    <row r="1425" spans="1:10" ht="23.4" x14ac:dyDescent="0.3">
      <c r="A1425" s="1068"/>
      <c r="B1425" s="890"/>
      <c r="C1425" s="282" t="s">
        <v>305</v>
      </c>
      <c r="D1425" s="437"/>
      <c r="E1425" s="283"/>
      <c r="F1425" s="438">
        <f t="shared" si="321"/>
        <v>0</v>
      </c>
      <c r="G1425" s="613">
        <v>18000</v>
      </c>
      <c r="H1425" s="607">
        <f t="shared" si="322"/>
        <v>0</v>
      </c>
      <c r="I1425" s="606">
        <f t="shared" si="323"/>
        <v>0</v>
      </c>
      <c r="J1425" s="376"/>
    </row>
    <row r="1426" spans="1:10" ht="23.4" x14ac:dyDescent="0.3">
      <c r="A1426" s="1068"/>
      <c r="B1426" s="890"/>
      <c r="C1426" s="282" t="s">
        <v>317</v>
      </c>
      <c r="D1426" s="437" t="s">
        <v>191</v>
      </c>
      <c r="E1426" s="283"/>
      <c r="F1426" s="438">
        <f t="shared" si="321"/>
        <v>0</v>
      </c>
      <c r="G1426" s="612">
        <v>24.93</v>
      </c>
      <c r="H1426" s="607">
        <f t="shared" si="322"/>
        <v>0</v>
      </c>
      <c r="I1426" s="606">
        <f t="shared" si="323"/>
        <v>0</v>
      </c>
      <c r="J1426" s="376"/>
    </row>
    <row r="1427" spans="1:10" ht="23.4" x14ac:dyDescent="0.3">
      <c r="A1427" s="1068"/>
      <c r="B1427" s="890"/>
      <c r="C1427" s="282" t="s">
        <v>324</v>
      </c>
      <c r="D1427" s="437" t="s">
        <v>99</v>
      </c>
      <c r="E1427" s="283"/>
      <c r="F1427" s="438">
        <f t="shared" si="321"/>
        <v>0</v>
      </c>
      <c r="G1427" s="612">
        <v>26</v>
      </c>
      <c r="H1427" s="607">
        <f t="shared" si="322"/>
        <v>0</v>
      </c>
      <c r="I1427" s="606">
        <f t="shared" si="323"/>
        <v>0</v>
      </c>
      <c r="J1427" s="376"/>
    </row>
    <row r="1428" spans="1:10" ht="23.4" x14ac:dyDescent="0.3">
      <c r="A1428" s="1068"/>
      <c r="B1428" s="890"/>
      <c r="C1428" s="282" t="s">
        <v>575</v>
      </c>
      <c r="D1428" s="437" t="s">
        <v>507</v>
      </c>
      <c r="E1428" s="283">
        <v>246636</v>
      </c>
      <c r="F1428" s="438">
        <f t="shared" si="321"/>
        <v>246636</v>
      </c>
      <c r="G1428" s="612">
        <v>20.76</v>
      </c>
      <c r="H1428" s="607">
        <f t="shared" si="322"/>
        <v>5120163.3600000003</v>
      </c>
      <c r="I1428" s="606">
        <f t="shared" si="323"/>
        <v>5120163.3600000003</v>
      </c>
      <c r="J1428" s="376"/>
    </row>
    <row r="1429" spans="1:10" ht="23.4" x14ac:dyDescent="0.3">
      <c r="A1429" s="1068"/>
      <c r="B1429" s="890"/>
      <c r="C1429" s="282" t="s">
        <v>326</v>
      </c>
      <c r="D1429" s="437" t="s">
        <v>114</v>
      </c>
      <c r="E1429" s="283"/>
      <c r="F1429" s="438">
        <f t="shared" si="321"/>
        <v>0</v>
      </c>
      <c r="G1429" s="612">
        <v>24.93</v>
      </c>
      <c r="H1429" s="607">
        <f t="shared" si="322"/>
        <v>0</v>
      </c>
      <c r="I1429" s="606">
        <f t="shared" si="323"/>
        <v>0</v>
      </c>
      <c r="J1429" s="376"/>
    </row>
    <row r="1430" spans="1:10" ht="23.4" x14ac:dyDescent="0.3">
      <c r="A1430" s="1068"/>
      <c r="B1430" s="890"/>
      <c r="C1430" s="282" t="s">
        <v>327</v>
      </c>
      <c r="D1430" s="437" t="s">
        <v>303</v>
      </c>
      <c r="E1430" s="283"/>
      <c r="F1430" s="438">
        <f t="shared" si="321"/>
        <v>0</v>
      </c>
      <c r="G1430" s="612">
        <v>24.93</v>
      </c>
      <c r="H1430" s="607">
        <f t="shared" si="322"/>
        <v>0</v>
      </c>
      <c r="I1430" s="606">
        <f t="shared" si="323"/>
        <v>0</v>
      </c>
      <c r="J1430" s="376"/>
    </row>
    <row r="1431" spans="1:10" ht="23.4" x14ac:dyDescent="0.3">
      <c r="A1431" s="1068"/>
      <c r="B1431" s="890"/>
      <c r="C1431" s="282" t="s">
        <v>512</v>
      </c>
      <c r="D1431" s="437" t="s">
        <v>401</v>
      </c>
      <c r="E1431" s="283"/>
      <c r="F1431" s="438">
        <f t="shared" si="321"/>
        <v>47736</v>
      </c>
      <c r="G1431" s="612">
        <v>23.78</v>
      </c>
      <c r="H1431" s="607">
        <f t="shared" si="322"/>
        <v>0</v>
      </c>
      <c r="I1431" s="606">
        <f t="shared" si="323"/>
        <v>1135162.08</v>
      </c>
      <c r="J1431" s="376"/>
    </row>
    <row r="1432" spans="1:10" ht="23.4" x14ac:dyDescent="0.3">
      <c r="A1432" s="1068"/>
      <c r="B1432" s="890"/>
      <c r="C1432" s="282" t="s">
        <v>512</v>
      </c>
      <c r="D1432" s="437" t="s">
        <v>513</v>
      </c>
      <c r="E1432" s="283"/>
      <c r="F1432" s="438">
        <f t="shared" si="321"/>
        <v>115362</v>
      </c>
      <c r="G1432" s="612">
        <v>23.78</v>
      </c>
      <c r="H1432" s="607">
        <f t="shared" si="322"/>
        <v>0</v>
      </c>
      <c r="I1432" s="606">
        <f t="shared" si="323"/>
        <v>2743308.3600000003</v>
      </c>
      <c r="J1432" s="376"/>
    </row>
    <row r="1433" spans="1:10" ht="23.4" x14ac:dyDescent="0.3">
      <c r="A1433" s="1068"/>
      <c r="B1433" s="890"/>
      <c r="C1433" s="282" t="s">
        <v>394</v>
      </c>
      <c r="D1433" s="437" t="s">
        <v>338</v>
      </c>
      <c r="E1433" s="283"/>
      <c r="F1433" s="438">
        <f t="shared" si="321"/>
        <v>0</v>
      </c>
      <c r="G1433" s="612">
        <v>37.4566666666</v>
      </c>
      <c r="H1433" s="607">
        <f t="shared" si="322"/>
        <v>0</v>
      </c>
      <c r="I1433" s="606">
        <f t="shared" si="323"/>
        <v>0</v>
      </c>
      <c r="J1433" s="376"/>
    </row>
    <row r="1434" spans="1:10" ht="23.4" x14ac:dyDescent="0.3">
      <c r="A1434" s="1068"/>
      <c r="B1434" s="890"/>
      <c r="C1434" s="282" t="s">
        <v>395</v>
      </c>
      <c r="D1434" s="437" t="s">
        <v>338</v>
      </c>
      <c r="E1434" s="283"/>
      <c r="F1434" s="438">
        <f t="shared" si="321"/>
        <v>22464</v>
      </c>
      <c r="G1434" s="612">
        <v>37.89</v>
      </c>
      <c r="H1434" s="607">
        <f t="shared" si="322"/>
        <v>0</v>
      </c>
      <c r="I1434" s="606">
        <f t="shared" si="323"/>
        <v>851160.96</v>
      </c>
      <c r="J1434" s="376"/>
    </row>
    <row r="1435" spans="1:10" ht="23.4" x14ac:dyDescent="0.3">
      <c r="A1435" s="1068"/>
      <c r="B1435" s="890"/>
      <c r="C1435" s="282" t="s">
        <v>327</v>
      </c>
      <c r="D1435" s="437" t="s">
        <v>302</v>
      </c>
      <c r="E1435" s="283">
        <v>123318</v>
      </c>
      <c r="F1435" s="438">
        <f t="shared" si="321"/>
        <v>123318</v>
      </c>
      <c r="G1435" s="612">
        <v>24.93</v>
      </c>
      <c r="H1435" s="607">
        <f t="shared" si="322"/>
        <v>3074317.7399999998</v>
      </c>
      <c r="I1435" s="606">
        <f t="shared" si="323"/>
        <v>3074317.7399999998</v>
      </c>
      <c r="J1435" s="376"/>
    </row>
    <row r="1436" spans="1:10" ht="23.4" x14ac:dyDescent="0.3">
      <c r="A1436" s="1068"/>
      <c r="B1436" s="890"/>
      <c r="C1436" s="282" t="s">
        <v>402</v>
      </c>
      <c r="D1436" s="437" t="s">
        <v>376</v>
      </c>
      <c r="E1436" s="283"/>
      <c r="F1436" s="438">
        <f t="shared" si="321"/>
        <v>0</v>
      </c>
      <c r="G1436" s="612">
        <v>24.93</v>
      </c>
      <c r="H1436" s="607">
        <f t="shared" si="322"/>
        <v>0</v>
      </c>
      <c r="I1436" s="606">
        <f t="shared" si="323"/>
        <v>0</v>
      </c>
      <c r="J1436" s="376"/>
    </row>
    <row r="1437" spans="1:10" ht="23.4" x14ac:dyDescent="0.3">
      <c r="A1437" s="1068"/>
      <c r="B1437" s="890"/>
      <c r="C1437" s="282" t="s">
        <v>350</v>
      </c>
      <c r="D1437" s="437" t="s">
        <v>313</v>
      </c>
      <c r="E1437" s="283"/>
      <c r="F1437" s="438">
        <f t="shared" si="321"/>
        <v>0</v>
      </c>
      <c r="G1437" s="612">
        <v>34.26</v>
      </c>
      <c r="H1437" s="607">
        <f t="shared" si="322"/>
        <v>0</v>
      </c>
      <c r="I1437" s="606">
        <f t="shared" si="323"/>
        <v>0</v>
      </c>
      <c r="J1437" s="376"/>
    </row>
    <row r="1438" spans="1:10" ht="23.4" x14ac:dyDescent="0.3">
      <c r="A1438" s="1068"/>
      <c r="B1438" s="890"/>
      <c r="C1438" s="282" t="s">
        <v>363</v>
      </c>
      <c r="D1438" s="437" t="s">
        <v>401</v>
      </c>
      <c r="E1438" s="283"/>
      <c r="F1438" s="438">
        <f t="shared" si="321"/>
        <v>0</v>
      </c>
      <c r="G1438" s="612">
        <v>37.89</v>
      </c>
      <c r="H1438" s="607">
        <f t="shared" si="322"/>
        <v>0</v>
      </c>
      <c r="I1438" s="606">
        <f t="shared" si="323"/>
        <v>0</v>
      </c>
      <c r="J1438" s="376"/>
    </row>
    <row r="1439" spans="1:10" ht="23.4" x14ac:dyDescent="0.3">
      <c r="A1439" s="1068"/>
      <c r="B1439" s="890"/>
      <c r="C1439" s="282" t="s">
        <v>406</v>
      </c>
      <c r="D1439" s="437" t="s">
        <v>376</v>
      </c>
      <c r="E1439" s="283"/>
      <c r="F1439" s="438">
        <f t="shared" si="321"/>
        <v>0</v>
      </c>
      <c r="G1439" s="612">
        <v>39</v>
      </c>
      <c r="H1439" s="607">
        <f t="shared" si="322"/>
        <v>0</v>
      </c>
      <c r="I1439" s="606">
        <f t="shared" si="323"/>
        <v>0</v>
      </c>
      <c r="J1439" s="376"/>
    </row>
    <row r="1440" spans="1:10" ht="23.4" x14ac:dyDescent="0.3">
      <c r="A1440" s="1068"/>
      <c r="B1440" s="890"/>
      <c r="C1440" s="282" t="s">
        <v>327</v>
      </c>
      <c r="D1440" s="437" t="s">
        <v>190</v>
      </c>
      <c r="E1440" s="283"/>
      <c r="F1440" s="438">
        <f t="shared" si="321"/>
        <v>67626</v>
      </c>
      <c r="G1440" s="612">
        <v>21.22</v>
      </c>
      <c r="H1440" s="607">
        <f t="shared" si="322"/>
        <v>0</v>
      </c>
      <c r="I1440" s="606">
        <f t="shared" si="323"/>
        <v>1435023.72</v>
      </c>
      <c r="J1440" s="376"/>
    </row>
    <row r="1441" spans="1:10" ht="23.4" x14ac:dyDescent="0.3">
      <c r="A1441" s="1068"/>
      <c r="B1441" s="890"/>
      <c r="C1441" s="282" t="s">
        <v>326</v>
      </c>
      <c r="D1441" s="437" t="s">
        <v>190</v>
      </c>
      <c r="E1441" s="283"/>
      <c r="F1441" s="438">
        <f t="shared" si="321"/>
        <v>0</v>
      </c>
      <c r="G1441" s="612">
        <v>21.22</v>
      </c>
      <c r="H1441" s="607">
        <f t="shared" si="322"/>
        <v>0</v>
      </c>
      <c r="I1441" s="606">
        <f t="shared" si="323"/>
        <v>0</v>
      </c>
      <c r="J1441" s="376"/>
    </row>
    <row r="1442" spans="1:10" ht="23.4" x14ac:dyDescent="0.3">
      <c r="A1442" s="1068"/>
      <c r="B1442" s="890"/>
      <c r="C1442" s="282" t="s">
        <v>377</v>
      </c>
      <c r="D1442" s="437" t="s">
        <v>333</v>
      </c>
      <c r="E1442" s="283"/>
      <c r="F1442" s="438">
        <f t="shared" si="321"/>
        <v>0</v>
      </c>
      <c r="G1442" s="612">
        <v>10000</v>
      </c>
      <c r="H1442" s="607">
        <f t="shared" si="322"/>
        <v>0</v>
      </c>
      <c r="I1442" s="606">
        <f t="shared" si="323"/>
        <v>0</v>
      </c>
      <c r="J1442" s="376"/>
    </row>
    <row r="1443" spans="1:10" ht="24" thickBot="1" x14ac:dyDescent="0.35">
      <c r="A1443" s="1068"/>
      <c r="B1443" s="890"/>
      <c r="C1443" s="282" t="s">
        <v>332</v>
      </c>
      <c r="D1443" s="437" t="s">
        <v>333</v>
      </c>
      <c r="E1443" s="283"/>
      <c r="F1443" s="438">
        <f t="shared" si="321"/>
        <v>0</v>
      </c>
      <c r="G1443" s="612">
        <v>360</v>
      </c>
      <c r="H1443" s="607">
        <f t="shared" si="322"/>
        <v>0</v>
      </c>
      <c r="I1443" s="606">
        <f t="shared" si="323"/>
        <v>0</v>
      </c>
      <c r="J1443" s="376"/>
    </row>
    <row r="1444" spans="1:10" ht="24" thickBot="1" x14ac:dyDescent="0.35">
      <c r="A1444" s="1069"/>
      <c r="B1444" s="1063" t="s">
        <v>289</v>
      </c>
      <c r="C1444" s="1064"/>
      <c r="D1444" s="892"/>
      <c r="E1444" s="329">
        <f>SUM(E1423:E1443)</f>
        <v>369954</v>
      </c>
      <c r="F1444" s="329">
        <f>SUM(F1423:F1443)</f>
        <v>658945</v>
      </c>
      <c r="G1444" s="329"/>
      <c r="H1444" s="597">
        <f>SUM(H1423:H1443)</f>
        <v>8194481.0999999996</v>
      </c>
      <c r="I1444" s="589">
        <f>SUM(I1423:I1443)</f>
        <v>14838512.720000003</v>
      </c>
      <c r="J1444" s="376"/>
    </row>
    <row r="1445" spans="1:10" ht="23.4" x14ac:dyDescent="0.3">
      <c r="A1445" s="1067" t="s">
        <v>109</v>
      </c>
      <c r="B1445" s="890"/>
      <c r="C1445" s="282" t="s">
        <v>296</v>
      </c>
      <c r="D1445" s="437" t="s">
        <v>258</v>
      </c>
      <c r="E1445" s="283">
        <v>7680</v>
      </c>
      <c r="F1445" s="438">
        <f t="shared" ref="F1445:F1467" si="324">+F1354+E1445</f>
        <v>25130</v>
      </c>
      <c r="G1445" s="612">
        <v>430.02</v>
      </c>
      <c r="H1445" s="603">
        <f>E1445*G1445</f>
        <v>3302553.5999999996</v>
      </c>
      <c r="I1445" s="606">
        <f t="shared" ref="I1445:I1467" si="325">+G1445*F1445</f>
        <v>10806402.6</v>
      </c>
      <c r="J1445" s="376"/>
    </row>
    <row r="1446" spans="1:10" ht="23.4" x14ac:dyDescent="0.3">
      <c r="A1446" s="1068"/>
      <c r="B1446" s="890"/>
      <c r="C1446" s="282" t="s">
        <v>297</v>
      </c>
      <c r="D1446" s="437" t="s">
        <v>258</v>
      </c>
      <c r="E1446" s="283"/>
      <c r="F1446" s="438">
        <f t="shared" si="324"/>
        <v>4753</v>
      </c>
      <c r="G1446" s="612">
        <v>445.38</v>
      </c>
      <c r="H1446" s="603">
        <f t="shared" ref="H1446:H1467" si="326">E1446*G1446</f>
        <v>0</v>
      </c>
      <c r="I1446" s="606">
        <f t="shared" si="325"/>
        <v>2116891.14</v>
      </c>
      <c r="J1446" s="376"/>
    </row>
    <row r="1447" spans="1:10" ht="27" customHeight="1" x14ac:dyDescent="0.3">
      <c r="A1447" s="1068"/>
      <c r="B1447" s="890"/>
      <c r="C1447" s="282" t="s">
        <v>467</v>
      </c>
      <c r="D1447" s="437" t="s">
        <v>258</v>
      </c>
      <c r="E1447" s="283">
        <v>960</v>
      </c>
      <c r="F1447" s="438">
        <f t="shared" si="324"/>
        <v>14080</v>
      </c>
      <c r="G1447" s="612">
        <v>445.38</v>
      </c>
      <c r="H1447" s="603">
        <f t="shared" si="326"/>
        <v>427564.79999999999</v>
      </c>
      <c r="I1447" s="606">
        <f t="shared" si="325"/>
        <v>6270950.4000000004</v>
      </c>
      <c r="J1447" s="376"/>
    </row>
    <row r="1448" spans="1:10" ht="23.4" x14ac:dyDescent="0.3">
      <c r="A1448" s="1068"/>
      <c r="B1448" s="890"/>
      <c r="C1448" s="282" t="s">
        <v>330</v>
      </c>
      <c r="D1448" s="437" t="s">
        <v>258</v>
      </c>
      <c r="E1448" s="283"/>
      <c r="F1448" s="438">
        <f t="shared" si="324"/>
        <v>0</v>
      </c>
      <c r="G1448" s="612">
        <v>63.55</v>
      </c>
      <c r="H1448" s="603">
        <f t="shared" si="326"/>
        <v>0</v>
      </c>
      <c r="I1448" s="606">
        <f t="shared" si="325"/>
        <v>0</v>
      </c>
      <c r="J1448" s="376"/>
    </row>
    <row r="1449" spans="1:10" ht="23.4" x14ac:dyDescent="0.3">
      <c r="A1449" s="1068"/>
      <c r="B1449" s="890"/>
      <c r="C1449" s="282" t="s">
        <v>298</v>
      </c>
      <c r="D1449" s="437" t="s">
        <v>258</v>
      </c>
      <c r="E1449" s="283">
        <v>72772</v>
      </c>
      <c r="F1449" s="438">
        <f t="shared" si="324"/>
        <v>303448</v>
      </c>
      <c r="G1449" s="612">
        <v>71.44</v>
      </c>
      <c r="H1449" s="603">
        <f t="shared" si="326"/>
        <v>5198831.68</v>
      </c>
      <c r="I1449" s="606">
        <f t="shared" si="325"/>
        <v>21678325.120000001</v>
      </c>
      <c r="J1449" s="376"/>
    </row>
    <row r="1450" spans="1:10" ht="23.4" x14ac:dyDescent="0.3">
      <c r="A1450" s="1068"/>
      <c r="B1450" s="890"/>
      <c r="C1450" s="282" t="s">
        <v>299</v>
      </c>
      <c r="D1450" s="437" t="s">
        <v>258</v>
      </c>
      <c r="E1450" s="283"/>
      <c r="F1450" s="438">
        <f t="shared" si="324"/>
        <v>300</v>
      </c>
      <c r="G1450" s="612">
        <v>36.5</v>
      </c>
      <c r="H1450" s="603">
        <f t="shared" si="326"/>
        <v>0</v>
      </c>
      <c r="I1450" s="606">
        <f t="shared" si="325"/>
        <v>10950</v>
      </c>
      <c r="J1450" s="376"/>
    </row>
    <row r="1451" spans="1:10" ht="23.4" x14ac:dyDescent="0.3">
      <c r="A1451" s="1068"/>
      <c r="B1451" s="890"/>
      <c r="C1451" s="282" t="s">
        <v>514</v>
      </c>
      <c r="D1451" s="437" t="s">
        <v>258</v>
      </c>
      <c r="E1451" s="283">
        <v>2800</v>
      </c>
      <c r="F1451" s="438">
        <f t="shared" si="324"/>
        <v>3914</v>
      </c>
      <c r="G1451" s="612">
        <v>320.35000000000002</v>
      </c>
      <c r="H1451" s="603">
        <f t="shared" si="326"/>
        <v>896980.00000000012</v>
      </c>
      <c r="I1451" s="606">
        <f t="shared" si="325"/>
        <v>1253849.9000000001</v>
      </c>
      <c r="J1451" s="376"/>
    </row>
    <row r="1452" spans="1:10" ht="23.4" x14ac:dyDescent="0.3">
      <c r="A1452" s="1068"/>
      <c r="B1452" s="890"/>
      <c r="C1452" s="282" t="s">
        <v>308</v>
      </c>
      <c r="D1452" s="437" t="s">
        <v>258</v>
      </c>
      <c r="E1452" s="283"/>
      <c r="F1452" s="438">
        <f t="shared" si="324"/>
        <v>8200</v>
      </c>
      <c r="G1452" s="612">
        <v>320.35000000000002</v>
      </c>
      <c r="H1452" s="603">
        <f t="shared" si="326"/>
        <v>0</v>
      </c>
      <c r="I1452" s="606">
        <f t="shared" si="325"/>
        <v>2626870</v>
      </c>
      <c r="J1452" s="376"/>
    </row>
    <row r="1453" spans="1:10" ht="23.4" x14ac:dyDescent="0.3">
      <c r="A1453" s="1068"/>
      <c r="B1453" s="890"/>
      <c r="C1453" s="282" t="s">
        <v>322</v>
      </c>
      <c r="D1453" s="437" t="s">
        <v>258</v>
      </c>
      <c r="E1453" s="283"/>
      <c r="F1453" s="438">
        <f t="shared" si="324"/>
        <v>0</v>
      </c>
      <c r="G1453" s="612">
        <v>434.41</v>
      </c>
      <c r="H1453" s="603">
        <f t="shared" si="326"/>
        <v>0</v>
      </c>
      <c r="I1453" s="606">
        <f t="shared" si="325"/>
        <v>0</v>
      </c>
      <c r="J1453" s="376"/>
    </row>
    <row r="1454" spans="1:10" ht="23.4" x14ac:dyDescent="0.3">
      <c r="A1454" s="1068"/>
      <c r="B1454" s="890"/>
      <c r="C1454" s="282" t="s">
        <v>305</v>
      </c>
      <c r="D1454" s="437" t="s">
        <v>258</v>
      </c>
      <c r="E1454" s="283"/>
      <c r="F1454" s="438">
        <f t="shared" si="324"/>
        <v>1</v>
      </c>
      <c r="G1454" s="612">
        <v>29690</v>
      </c>
      <c r="H1454" s="603">
        <f t="shared" si="326"/>
        <v>0</v>
      </c>
      <c r="I1454" s="606">
        <f t="shared" si="325"/>
        <v>29690</v>
      </c>
      <c r="J1454" s="376"/>
    </row>
    <row r="1455" spans="1:10" ht="23.4" x14ac:dyDescent="0.3">
      <c r="A1455" s="1068"/>
      <c r="B1455" s="890"/>
      <c r="C1455" s="282" t="s">
        <v>305</v>
      </c>
      <c r="D1455" s="437" t="s">
        <v>258</v>
      </c>
      <c r="E1455" s="283"/>
      <c r="F1455" s="438">
        <f t="shared" si="324"/>
        <v>5</v>
      </c>
      <c r="G1455" s="612">
        <v>26445</v>
      </c>
      <c r="H1455" s="603">
        <f t="shared" si="326"/>
        <v>0</v>
      </c>
      <c r="I1455" s="606">
        <f t="shared" si="325"/>
        <v>132225</v>
      </c>
      <c r="J1455" s="376"/>
    </row>
    <row r="1456" spans="1:10" ht="23.4" x14ac:dyDescent="0.3">
      <c r="A1456" s="1068"/>
      <c r="B1456" s="890"/>
      <c r="C1456" s="282" t="s">
        <v>341</v>
      </c>
      <c r="D1456" s="437" t="s">
        <v>375</v>
      </c>
      <c r="E1456" s="283"/>
      <c r="F1456" s="438">
        <f t="shared" si="324"/>
        <v>8076</v>
      </c>
      <c r="G1456" s="612">
        <v>50</v>
      </c>
      <c r="H1456" s="603">
        <f t="shared" si="326"/>
        <v>0</v>
      </c>
      <c r="I1456" s="606">
        <f t="shared" si="325"/>
        <v>403800</v>
      </c>
      <c r="J1456" s="376"/>
    </row>
    <row r="1457" spans="1:10" ht="23.4" x14ac:dyDescent="0.3">
      <c r="A1457" s="1068"/>
      <c r="B1457" s="890"/>
      <c r="C1457" s="282" t="s">
        <v>341</v>
      </c>
      <c r="D1457" s="437" t="s">
        <v>375</v>
      </c>
      <c r="E1457" s="283"/>
      <c r="F1457" s="438">
        <f t="shared" si="324"/>
        <v>0</v>
      </c>
      <c r="G1457" s="612">
        <v>45</v>
      </c>
      <c r="H1457" s="603">
        <f t="shared" si="326"/>
        <v>0</v>
      </c>
      <c r="I1457" s="606">
        <f t="shared" si="325"/>
        <v>0</v>
      </c>
      <c r="J1457" s="376"/>
    </row>
    <row r="1458" spans="1:10" ht="23.4" x14ac:dyDescent="0.3">
      <c r="A1458" s="1068"/>
      <c r="B1458" s="890"/>
      <c r="C1458" s="282" t="s">
        <v>364</v>
      </c>
      <c r="D1458" s="437" t="s">
        <v>428</v>
      </c>
      <c r="E1458" s="283"/>
      <c r="F1458" s="438">
        <f t="shared" si="324"/>
        <v>700</v>
      </c>
      <c r="G1458" s="612">
        <v>57.64</v>
      </c>
      <c r="H1458" s="603">
        <f t="shared" si="326"/>
        <v>0</v>
      </c>
      <c r="I1458" s="606">
        <f t="shared" si="325"/>
        <v>40348</v>
      </c>
      <c r="J1458" s="376"/>
    </row>
    <row r="1459" spans="1:10" ht="23.4" x14ac:dyDescent="0.3">
      <c r="A1459" s="1068"/>
      <c r="B1459" s="890"/>
      <c r="C1459" s="282" t="s">
        <v>364</v>
      </c>
      <c r="D1459" s="437" t="s">
        <v>407</v>
      </c>
      <c r="E1459" s="283"/>
      <c r="F1459" s="438">
        <f t="shared" si="324"/>
        <v>0</v>
      </c>
      <c r="G1459" s="612">
        <v>57.64</v>
      </c>
      <c r="H1459" s="603">
        <f t="shared" si="326"/>
        <v>0</v>
      </c>
      <c r="I1459" s="606">
        <f t="shared" si="325"/>
        <v>0</v>
      </c>
      <c r="J1459" s="376"/>
    </row>
    <row r="1460" spans="1:10" ht="23.4" x14ac:dyDescent="0.3">
      <c r="A1460" s="1068"/>
      <c r="B1460" s="890"/>
      <c r="C1460" s="282" t="s">
        <v>365</v>
      </c>
      <c r="D1460" s="437" t="s">
        <v>366</v>
      </c>
      <c r="E1460" s="283"/>
      <c r="F1460" s="438">
        <f t="shared" si="324"/>
        <v>7383</v>
      </c>
      <c r="G1460" s="612">
        <v>434.41</v>
      </c>
      <c r="H1460" s="603">
        <f t="shared" si="326"/>
        <v>0</v>
      </c>
      <c r="I1460" s="606">
        <f t="shared" si="325"/>
        <v>3207249.0300000003</v>
      </c>
      <c r="J1460" s="376"/>
    </row>
    <row r="1461" spans="1:10" ht="23.4" x14ac:dyDescent="0.3">
      <c r="A1461" s="1068"/>
      <c r="B1461" s="890"/>
      <c r="C1461" s="282" t="s">
        <v>381</v>
      </c>
      <c r="D1461" s="437" t="s">
        <v>258</v>
      </c>
      <c r="E1461" s="283"/>
      <c r="F1461" s="438">
        <f t="shared" si="324"/>
        <v>0</v>
      </c>
      <c r="G1461" s="612">
        <v>624.26</v>
      </c>
      <c r="H1461" s="603">
        <f t="shared" si="326"/>
        <v>0</v>
      </c>
      <c r="I1461" s="606">
        <f t="shared" si="325"/>
        <v>0</v>
      </c>
      <c r="J1461" s="376"/>
    </row>
    <row r="1462" spans="1:10" ht="23.4" x14ac:dyDescent="0.3">
      <c r="A1462" s="1068"/>
      <c r="B1462" s="890"/>
      <c r="C1462" s="282" t="s">
        <v>367</v>
      </c>
      <c r="D1462" s="437" t="s">
        <v>366</v>
      </c>
      <c r="E1462" s="283"/>
      <c r="F1462" s="438">
        <f t="shared" si="324"/>
        <v>5760</v>
      </c>
      <c r="G1462" s="612">
        <v>63.55</v>
      </c>
      <c r="H1462" s="603">
        <f t="shared" si="326"/>
        <v>0</v>
      </c>
      <c r="I1462" s="606">
        <f t="shared" si="325"/>
        <v>366048</v>
      </c>
      <c r="J1462" s="376"/>
    </row>
    <row r="1463" spans="1:10" ht="23.4" x14ac:dyDescent="0.3">
      <c r="A1463" s="1068"/>
      <c r="B1463" s="890"/>
      <c r="C1463" s="282" t="s">
        <v>429</v>
      </c>
      <c r="D1463" s="437" t="s">
        <v>258</v>
      </c>
      <c r="E1463" s="283"/>
      <c r="F1463" s="438">
        <f t="shared" si="324"/>
        <v>152016</v>
      </c>
      <c r="G1463" s="612">
        <v>59.96</v>
      </c>
      <c r="H1463" s="603">
        <f t="shared" si="326"/>
        <v>0</v>
      </c>
      <c r="I1463" s="606">
        <f t="shared" si="325"/>
        <v>9114879.3599999994</v>
      </c>
      <c r="J1463" s="376"/>
    </row>
    <row r="1464" spans="1:10" ht="23.4" x14ac:dyDescent="0.3">
      <c r="A1464" s="1068"/>
      <c r="B1464" s="890"/>
      <c r="C1464" s="282" t="s">
        <v>501</v>
      </c>
      <c r="D1464" s="437" t="s">
        <v>366</v>
      </c>
      <c r="E1464" s="283"/>
      <c r="F1464" s="438">
        <f t="shared" si="324"/>
        <v>8640</v>
      </c>
      <c r="G1464" s="612">
        <v>53.86</v>
      </c>
      <c r="H1464" s="603">
        <f t="shared" si="326"/>
        <v>0</v>
      </c>
      <c r="I1464" s="606">
        <f t="shared" si="325"/>
        <v>465350.40000000002</v>
      </c>
      <c r="J1464" s="376"/>
    </row>
    <row r="1465" spans="1:10" ht="23.4" x14ac:dyDescent="0.3">
      <c r="A1465" s="1068"/>
      <c r="B1465" s="890"/>
      <c r="C1465" s="282" t="s">
        <v>446</v>
      </c>
      <c r="D1465" s="437"/>
      <c r="E1465" s="283"/>
      <c r="F1465" s="438">
        <f t="shared" si="324"/>
        <v>8318</v>
      </c>
      <c r="G1465" s="612">
        <v>360</v>
      </c>
      <c r="H1465" s="603">
        <f t="shared" si="326"/>
        <v>0</v>
      </c>
      <c r="I1465" s="606">
        <f t="shared" si="325"/>
        <v>2994480</v>
      </c>
      <c r="J1465" s="376"/>
    </row>
    <row r="1466" spans="1:10" ht="23.4" x14ac:dyDescent="0.3">
      <c r="A1466" s="1068"/>
      <c r="B1466" s="890"/>
      <c r="C1466" s="282" t="s">
        <v>305</v>
      </c>
      <c r="D1466" s="437"/>
      <c r="E1466" s="283"/>
      <c r="F1466" s="438">
        <f t="shared" si="324"/>
        <v>0</v>
      </c>
      <c r="G1466" s="612">
        <v>39450</v>
      </c>
      <c r="H1466" s="603">
        <f t="shared" si="326"/>
        <v>0</v>
      </c>
      <c r="I1466" s="606">
        <f t="shared" si="325"/>
        <v>0</v>
      </c>
      <c r="J1466" s="376"/>
    </row>
    <row r="1467" spans="1:10" ht="24" thickBot="1" x14ac:dyDescent="0.35">
      <c r="A1467" s="1068"/>
      <c r="B1467" s="890"/>
      <c r="C1467" s="282" t="s">
        <v>364</v>
      </c>
      <c r="D1467" s="437" t="s">
        <v>566</v>
      </c>
      <c r="E1467" s="283">
        <v>160</v>
      </c>
      <c r="F1467" s="438">
        <f t="shared" si="324"/>
        <v>160</v>
      </c>
      <c r="G1467" s="612">
        <v>57.64</v>
      </c>
      <c r="H1467" s="603">
        <f t="shared" si="326"/>
        <v>9222.4</v>
      </c>
      <c r="I1467" s="606">
        <f t="shared" si="325"/>
        <v>9222.4</v>
      </c>
      <c r="J1467" s="376"/>
    </row>
    <row r="1468" spans="1:10" ht="24" thickBot="1" x14ac:dyDescent="0.35">
      <c r="A1468" s="1069"/>
      <c r="B1468" s="1063" t="s">
        <v>291</v>
      </c>
      <c r="C1468" s="1064"/>
      <c r="D1468" s="892"/>
      <c r="E1468" s="329">
        <f>SUM(E1445:E1467)</f>
        <v>84372</v>
      </c>
      <c r="F1468" s="329">
        <f>SUM(F1445:F1467)</f>
        <v>550884</v>
      </c>
      <c r="G1468" s="329"/>
      <c r="H1468" s="600">
        <f>SUM(H1445:H1467)</f>
        <v>9835152.4799999986</v>
      </c>
      <c r="I1468" s="589">
        <f>SUM(I1445:I1467)</f>
        <v>61527531.350000001</v>
      </c>
      <c r="J1468" s="375"/>
    </row>
    <row r="1469" spans="1:10" ht="24" thickBot="1" x14ac:dyDescent="0.35">
      <c r="A1469" s="895"/>
      <c r="B1469" s="440"/>
      <c r="C1469" s="282" t="s">
        <v>446</v>
      </c>
      <c r="D1469" s="437"/>
      <c r="E1469" s="283"/>
      <c r="F1469" s="284">
        <f>+F1378+E1469</f>
        <v>0</v>
      </c>
      <c r="G1469" s="337"/>
      <c r="H1469" s="599">
        <f t="shared" ref="H1469" si="327">E1469*G1469</f>
        <v>0</v>
      </c>
      <c r="I1469" s="285">
        <f t="shared" ref="I1469" si="328">+G1469*F1469</f>
        <v>0</v>
      </c>
      <c r="J1469" s="376"/>
    </row>
    <row r="1470" spans="1:10" ht="24" thickBot="1" x14ac:dyDescent="0.35">
      <c r="A1470" s="895"/>
      <c r="B1470" s="1063" t="s">
        <v>238</v>
      </c>
      <c r="C1470" s="1064"/>
      <c r="D1470" s="888"/>
      <c r="E1470" s="329"/>
      <c r="F1470" s="330"/>
      <c r="G1470" s="329"/>
      <c r="H1470" s="597"/>
      <c r="I1470" s="327">
        <f>SUM(I1469)</f>
        <v>0</v>
      </c>
      <c r="J1470" s="352"/>
    </row>
    <row r="1471" spans="1:10" ht="24.6" thickBot="1" x14ac:dyDescent="0.35">
      <c r="A1471" s="322"/>
      <c r="B1471" s="1065" t="s">
        <v>182</v>
      </c>
      <c r="C1471" s="1066"/>
      <c r="D1471" s="889"/>
      <c r="E1471" s="377">
        <f>+E1468+E1444+E1422+E1420</f>
        <v>856647</v>
      </c>
      <c r="F1471" s="377">
        <f>+F1468+F1444+F1422+F1420</f>
        <v>4306615</v>
      </c>
      <c r="G1471" s="377"/>
      <c r="H1471" s="377"/>
      <c r="I1471" s="377">
        <f>+I1468+I1444+I1422+I1470</f>
        <v>171016813.94</v>
      </c>
      <c r="J1471" s="378"/>
    </row>
    <row r="1472" spans="1:10" ht="23.4" x14ac:dyDescent="0.3">
      <c r="A1472" s="991" t="s">
        <v>1</v>
      </c>
      <c r="B1472" s="994" t="s">
        <v>2</v>
      </c>
      <c r="C1472" s="1072" t="s">
        <v>477</v>
      </c>
      <c r="D1472" s="1043" t="s">
        <v>478</v>
      </c>
      <c r="E1472" s="1076" t="s">
        <v>572</v>
      </c>
      <c r="F1472" s="1001"/>
      <c r="G1472" s="1001"/>
      <c r="H1472" s="1001"/>
      <c r="I1472" s="1001"/>
      <c r="J1472" s="1002"/>
    </row>
    <row r="1473" spans="1:10" ht="23.4" x14ac:dyDescent="0.3">
      <c r="A1473" s="1070"/>
      <c r="B1473" s="1071"/>
      <c r="C1473" s="1073"/>
      <c r="D1473" s="1044"/>
      <c r="E1473" s="1077" t="s">
        <v>493</v>
      </c>
      <c r="F1473" s="1078"/>
      <c r="G1473" s="1077" t="s">
        <v>492</v>
      </c>
      <c r="H1473" s="1079"/>
      <c r="I1473" s="1079"/>
      <c r="J1473" s="1078"/>
    </row>
    <row r="1474" spans="1:10" x14ac:dyDescent="0.3">
      <c r="A1474" s="992"/>
      <c r="B1474" s="995"/>
      <c r="C1474" s="1074"/>
      <c r="D1474" s="1044"/>
      <c r="E1474" s="1003" t="s">
        <v>494</v>
      </c>
      <c r="F1474" s="1005" t="s">
        <v>495</v>
      </c>
      <c r="G1474" s="1081" t="s">
        <v>97</v>
      </c>
      <c r="H1474" s="1083" t="s">
        <v>98</v>
      </c>
      <c r="I1474" s="1083" t="s">
        <v>98</v>
      </c>
      <c r="J1474" s="1085" t="s">
        <v>12</v>
      </c>
    </row>
    <row r="1475" spans="1:10" ht="14.4" thickBot="1" x14ac:dyDescent="0.35">
      <c r="A1475" s="993"/>
      <c r="B1475" s="996"/>
      <c r="C1475" s="1075"/>
      <c r="D1475" s="1045"/>
      <c r="E1475" s="1004"/>
      <c r="F1475" s="1080"/>
      <c r="G1475" s="1082"/>
      <c r="H1475" s="1084"/>
      <c r="I1475" s="1084"/>
      <c r="J1475" s="1086"/>
    </row>
    <row r="1476" spans="1:10" ht="23.4" x14ac:dyDescent="0.3">
      <c r="A1476" s="1067" t="s">
        <v>110</v>
      </c>
      <c r="B1476" s="442"/>
      <c r="C1476" s="584" t="s">
        <v>565</v>
      </c>
      <c r="D1476" s="686" t="s">
        <v>436</v>
      </c>
      <c r="E1476" s="952">
        <v>7424</v>
      </c>
      <c r="F1476" s="695">
        <f>+F1385+E1476</f>
        <v>23296</v>
      </c>
      <c r="G1476" s="896">
        <v>107.85</v>
      </c>
      <c r="H1476" s="601">
        <f t="shared" ref="H1476:H1490" si="329">E1476*G1476</f>
        <v>800678.39999999991</v>
      </c>
      <c r="I1476" s="604">
        <f>+G1476*F1476</f>
        <v>2512473.6</v>
      </c>
      <c r="J1476" s="354"/>
    </row>
    <row r="1477" spans="1:10" ht="23.4" x14ac:dyDescent="0.3">
      <c r="A1477" s="1068"/>
      <c r="B1477" s="441"/>
      <c r="C1477" s="444" t="s">
        <v>285</v>
      </c>
      <c r="D1477" s="687" t="s">
        <v>286</v>
      </c>
      <c r="E1477" s="745">
        <v>-25.09</v>
      </c>
      <c r="F1477" s="746">
        <f t="shared" ref="F1477:F1482" si="330">+F1386+E1477</f>
        <v>-25.09</v>
      </c>
      <c r="G1477" s="742">
        <v>11</v>
      </c>
      <c r="H1477" s="602">
        <f t="shared" si="329"/>
        <v>-275.99</v>
      </c>
      <c r="I1477" s="605">
        <f>+G1477*F1477</f>
        <v>-275.99</v>
      </c>
      <c r="J1477" s="355"/>
    </row>
    <row r="1478" spans="1:10" ht="23.4" x14ac:dyDescent="0.3">
      <c r="A1478" s="1068"/>
      <c r="B1478" s="441"/>
      <c r="C1478" s="444" t="s">
        <v>321</v>
      </c>
      <c r="D1478" s="687" t="s">
        <v>400</v>
      </c>
      <c r="E1478" s="745"/>
      <c r="F1478" s="746">
        <f t="shared" si="330"/>
        <v>0</v>
      </c>
      <c r="G1478" s="742">
        <v>139.04</v>
      </c>
      <c r="H1478" s="602">
        <f t="shared" si="329"/>
        <v>0</v>
      </c>
      <c r="I1478" s="605">
        <f t="shared" ref="I1478:I1490" si="331">+G1478*F1478</f>
        <v>0</v>
      </c>
      <c r="J1478" s="355"/>
    </row>
    <row r="1479" spans="1:10" ht="23.4" x14ac:dyDescent="0.3">
      <c r="A1479" s="1068"/>
      <c r="B1479" s="441"/>
      <c r="C1479" s="444" t="s">
        <v>397</v>
      </c>
      <c r="D1479" s="687" t="s">
        <v>398</v>
      </c>
      <c r="E1479" s="745"/>
      <c r="F1479" s="746">
        <f t="shared" si="330"/>
        <v>895356</v>
      </c>
      <c r="G1479" s="795">
        <v>20.5</v>
      </c>
      <c r="H1479" s="602">
        <f t="shared" si="329"/>
        <v>0</v>
      </c>
      <c r="I1479" s="605">
        <f t="shared" si="331"/>
        <v>18354798</v>
      </c>
      <c r="J1479" s="355"/>
    </row>
    <row r="1480" spans="1:10" ht="23.4" x14ac:dyDescent="0.3">
      <c r="A1480" s="1068"/>
      <c r="B1480" s="441"/>
      <c r="C1480" s="444" t="s">
        <v>312</v>
      </c>
      <c r="D1480" s="687" t="s">
        <v>190</v>
      </c>
      <c r="E1480" s="745"/>
      <c r="F1480" s="746">
        <f t="shared" si="330"/>
        <v>0</v>
      </c>
      <c r="G1480" s="742">
        <v>14.79</v>
      </c>
      <c r="H1480" s="602">
        <f t="shared" si="329"/>
        <v>0</v>
      </c>
      <c r="I1480" s="605">
        <f t="shared" si="331"/>
        <v>0</v>
      </c>
      <c r="J1480" s="355"/>
    </row>
    <row r="1481" spans="1:10" ht="23.4" x14ac:dyDescent="0.3">
      <c r="A1481" s="1068"/>
      <c r="B1481" s="441"/>
      <c r="C1481" s="444" t="s">
        <v>321</v>
      </c>
      <c r="D1481" s="687" t="s">
        <v>286</v>
      </c>
      <c r="E1481" s="745"/>
      <c r="F1481" s="746">
        <f t="shared" si="330"/>
        <v>7435</v>
      </c>
      <c r="G1481" s="742">
        <v>139.04</v>
      </c>
      <c r="H1481" s="602">
        <f t="shared" si="329"/>
        <v>0</v>
      </c>
      <c r="I1481" s="605">
        <f t="shared" si="331"/>
        <v>1033762.3999999999</v>
      </c>
      <c r="J1481" s="355"/>
    </row>
    <row r="1482" spans="1:10" ht="23.4" x14ac:dyDescent="0.3">
      <c r="A1482" s="1068"/>
      <c r="B1482" s="441"/>
      <c r="C1482" s="444" t="s">
        <v>472</v>
      </c>
      <c r="D1482" s="688" t="s">
        <v>396</v>
      </c>
      <c r="E1482" s="745"/>
      <c r="F1482" s="746">
        <f t="shared" si="330"/>
        <v>29760</v>
      </c>
      <c r="G1482" s="742">
        <v>147.58000000000001</v>
      </c>
      <c r="H1482" s="602">
        <f t="shared" si="329"/>
        <v>0</v>
      </c>
      <c r="I1482" s="605">
        <f t="shared" si="331"/>
        <v>4391980.8000000007</v>
      </c>
      <c r="J1482" s="355"/>
    </row>
    <row r="1483" spans="1:10" ht="23.4" x14ac:dyDescent="0.3">
      <c r="A1483" s="1068"/>
      <c r="B1483" s="441"/>
      <c r="C1483" s="444" t="s">
        <v>345</v>
      </c>
      <c r="D1483" s="688" t="s">
        <v>576</v>
      </c>
      <c r="E1483" s="951">
        <v>48960</v>
      </c>
      <c r="F1483" s="746">
        <f>+E1483</f>
        <v>48960</v>
      </c>
      <c r="G1483" s="742">
        <v>18.84</v>
      </c>
      <c r="H1483" s="602">
        <f>E1483*G1483</f>
        <v>922406.40000000002</v>
      </c>
      <c r="I1483" s="605">
        <f>+G1483*F1483</f>
        <v>922406.40000000002</v>
      </c>
      <c r="J1483" s="355"/>
    </row>
    <row r="1484" spans="1:10" ht="23.4" x14ac:dyDescent="0.3">
      <c r="A1484" s="1068"/>
      <c r="B1484" s="441"/>
      <c r="C1484" s="444" t="s">
        <v>345</v>
      </c>
      <c r="D1484" s="688" t="s">
        <v>286</v>
      </c>
      <c r="E1484" s="950">
        <v>18360</v>
      </c>
      <c r="F1484" s="746">
        <f t="shared" ref="F1484:F1490" si="332">+F1392+E1484</f>
        <v>73440</v>
      </c>
      <c r="G1484" s="742">
        <v>18.84</v>
      </c>
      <c r="H1484" s="602">
        <f t="shared" si="329"/>
        <v>345902.4</v>
      </c>
      <c r="I1484" s="605">
        <f t="shared" si="331"/>
        <v>1383609.6</v>
      </c>
      <c r="J1484" s="355"/>
    </row>
    <row r="1485" spans="1:10" ht="23.4" x14ac:dyDescent="0.3">
      <c r="A1485" s="1068"/>
      <c r="B1485" s="441"/>
      <c r="C1485" s="444" t="s">
        <v>357</v>
      </c>
      <c r="D1485" s="688" t="s">
        <v>252</v>
      </c>
      <c r="E1485" s="745"/>
      <c r="F1485" s="746">
        <f t="shared" si="332"/>
        <v>550800</v>
      </c>
      <c r="G1485" s="742">
        <v>21.18</v>
      </c>
      <c r="H1485" s="602">
        <f t="shared" si="329"/>
        <v>0</v>
      </c>
      <c r="I1485" s="605">
        <f t="shared" si="331"/>
        <v>11665944</v>
      </c>
      <c r="J1485" s="355"/>
    </row>
    <row r="1486" spans="1:10" ht="23.4" x14ac:dyDescent="0.3">
      <c r="A1486" s="1068"/>
      <c r="B1486" s="441"/>
      <c r="C1486" s="444" t="s">
        <v>359</v>
      </c>
      <c r="D1486" s="688" t="s">
        <v>360</v>
      </c>
      <c r="E1486" s="745"/>
      <c r="F1486" s="746">
        <f t="shared" si="332"/>
        <v>500882</v>
      </c>
      <c r="G1486" s="742">
        <v>21.28</v>
      </c>
      <c r="H1486" s="602">
        <f t="shared" si="329"/>
        <v>0</v>
      </c>
      <c r="I1486" s="605">
        <f t="shared" si="331"/>
        <v>10658768.960000001</v>
      </c>
      <c r="J1486" s="355"/>
    </row>
    <row r="1487" spans="1:10" ht="23.4" x14ac:dyDescent="0.3">
      <c r="A1487" s="1068"/>
      <c r="B1487" s="441"/>
      <c r="C1487" s="444" t="s">
        <v>445</v>
      </c>
      <c r="D1487" s="688" t="s">
        <v>436</v>
      </c>
      <c r="E1487" s="745"/>
      <c r="F1487" s="746">
        <f t="shared" si="332"/>
        <v>19840</v>
      </c>
      <c r="G1487" s="742">
        <v>143.28</v>
      </c>
      <c r="H1487" s="602">
        <f t="shared" si="329"/>
        <v>0</v>
      </c>
      <c r="I1487" s="605">
        <f t="shared" si="331"/>
        <v>2842675.2000000002</v>
      </c>
      <c r="J1487" s="355"/>
    </row>
    <row r="1488" spans="1:10" ht="23.4" x14ac:dyDescent="0.3">
      <c r="A1488" s="1068"/>
      <c r="B1488" s="441"/>
      <c r="C1488" s="444" t="s">
        <v>403</v>
      </c>
      <c r="D1488" s="687" t="s">
        <v>190</v>
      </c>
      <c r="E1488" s="745"/>
      <c r="F1488" s="746">
        <f t="shared" si="332"/>
        <v>135168</v>
      </c>
      <c r="G1488" s="742">
        <v>14.55</v>
      </c>
      <c r="H1488" s="602">
        <f t="shared" si="329"/>
        <v>0</v>
      </c>
      <c r="I1488" s="605">
        <f t="shared" si="331"/>
        <v>1966694.4000000001</v>
      </c>
      <c r="J1488" s="355"/>
    </row>
    <row r="1489" spans="1:10" ht="23.4" x14ac:dyDescent="0.3">
      <c r="A1489" s="1068"/>
      <c r="B1489" s="441"/>
      <c r="C1489" s="444" t="s">
        <v>362</v>
      </c>
      <c r="D1489" s="688" t="s">
        <v>202</v>
      </c>
      <c r="E1489" s="745"/>
      <c r="F1489" s="746">
        <f t="shared" si="332"/>
        <v>0</v>
      </c>
      <c r="G1489" s="742">
        <v>21.28</v>
      </c>
      <c r="H1489" s="602">
        <f t="shared" si="329"/>
        <v>0</v>
      </c>
      <c r="I1489" s="605">
        <f t="shared" si="331"/>
        <v>0</v>
      </c>
      <c r="J1489" s="355"/>
    </row>
    <row r="1490" spans="1:10" ht="24" thickBot="1" x14ac:dyDescent="0.35">
      <c r="A1490" s="1068"/>
      <c r="B1490" s="441"/>
      <c r="C1490" s="444" t="s">
        <v>374</v>
      </c>
      <c r="D1490" s="689" t="s">
        <v>191</v>
      </c>
      <c r="E1490" s="745"/>
      <c r="F1490" s="697">
        <f t="shared" si="332"/>
        <v>0</v>
      </c>
      <c r="G1490" s="742">
        <v>36.44</v>
      </c>
      <c r="H1490" s="602">
        <f t="shared" si="329"/>
        <v>0</v>
      </c>
      <c r="I1490" s="605">
        <f t="shared" si="331"/>
        <v>0</v>
      </c>
      <c r="J1490" s="355"/>
    </row>
    <row r="1491" spans="1:10" ht="24" thickBot="1" x14ac:dyDescent="0.35">
      <c r="A1491" s="1068"/>
      <c r="B1491" s="1063" t="s">
        <v>287</v>
      </c>
      <c r="C1491" s="1064"/>
      <c r="D1491" s="901"/>
      <c r="E1491" s="329">
        <f>SUM(E1476:E1490)</f>
        <v>74718.91</v>
      </c>
      <c r="F1491" s="743">
        <f>SUM(F1476:F1490)</f>
        <v>2284911.91</v>
      </c>
      <c r="G1491" s="329"/>
      <c r="H1491" s="597">
        <f>SUM(H1476:H1490)</f>
        <v>2068711.21</v>
      </c>
      <c r="I1491" s="589">
        <f>SUM(I1476:I1490)</f>
        <v>55732837.370000005</v>
      </c>
      <c r="J1491" s="352"/>
    </row>
    <row r="1492" spans="1:10" ht="23.4" x14ac:dyDescent="0.3">
      <c r="A1492" s="1068"/>
      <c r="B1492" s="899"/>
      <c r="C1492" s="282" t="s">
        <v>293</v>
      </c>
      <c r="D1492" s="437" t="s">
        <v>258</v>
      </c>
      <c r="E1492" s="283"/>
      <c r="F1492" s="438">
        <f t="shared" ref="F1492:F1505" si="333">+F1400+E1492</f>
        <v>60750</v>
      </c>
      <c r="G1492" s="587">
        <v>160.44999999999999</v>
      </c>
      <c r="H1492" s="603">
        <f t="shared" ref="H1492:H1505" si="334">E1492*G1492</f>
        <v>0</v>
      </c>
      <c r="I1492" s="606">
        <f t="shared" ref="I1492:I1505" si="335">+G1492*F1492</f>
        <v>9747337.5</v>
      </c>
      <c r="J1492" s="376"/>
    </row>
    <row r="1493" spans="1:10" ht="23.4" x14ac:dyDescent="0.3">
      <c r="A1493" s="1068"/>
      <c r="B1493" s="899"/>
      <c r="C1493" s="282" t="s">
        <v>309</v>
      </c>
      <c r="D1493" s="437" t="s">
        <v>258</v>
      </c>
      <c r="E1493" s="953">
        <v>5000</v>
      </c>
      <c r="F1493" s="438">
        <f t="shared" si="333"/>
        <v>17000</v>
      </c>
      <c r="G1493" s="587">
        <v>160.44999999999999</v>
      </c>
      <c r="H1493" s="603">
        <f t="shared" si="334"/>
        <v>802250</v>
      </c>
      <c r="I1493" s="606">
        <f t="shared" si="335"/>
        <v>2727650</v>
      </c>
      <c r="J1493" s="376"/>
    </row>
    <row r="1494" spans="1:10" ht="23.4" x14ac:dyDescent="0.3">
      <c r="A1494" s="1068"/>
      <c r="B1494" s="899"/>
      <c r="C1494" s="282" t="s">
        <v>463</v>
      </c>
      <c r="D1494" s="437" t="s">
        <v>258</v>
      </c>
      <c r="E1494" s="949">
        <v>2625</v>
      </c>
      <c r="F1494" s="438">
        <f t="shared" si="333"/>
        <v>19625</v>
      </c>
      <c r="G1494" s="587">
        <v>160.44999999999999</v>
      </c>
      <c r="H1494" s="603">
        <f t="shared" si="334"/>
        <v>421181.24999999994</v>
      </c>
      <c r="I1494" s="606">
        <f t="shared" si="335"/>
        <v>3148831.25</v>
      </c>
      <c r="J1494" s="376"/>
    </row>
    <row r="1495" spans="1:10" ht="23.4" x14ac:dyDescent="0.3">
      <c r="A1495" s="1068"/>
      <c r="B1495" s="899"/>
      <c r="C1495" s="282" t="s">
        <v>311</v>
      </c>
      <c r="D1495" s="437" t="s">
        <v>100</v>
      </c>
      <c r="E1495" s="283"/>
      <c r="F1495" s="438">
        <f t="shared" si="333"/>
        <v>37620</v>
      </c>
      <c r="G1495" s="587">
        <v>27</v>
      </c>
      <c r="H1495" s="603">
        <f t="shared" si="334"/>
        <v>0</v>
      </c>
      <c r="I1495" s="606">
        <f t="shared" si="335"/>
        <v>1015740</v>
      </c>
      <c r="J1495" s="376"/>
    </row>
    <row r="1496" spans="1:10" ht="23.4" x14ac:dyDescent="0.3">
      <c r="A1496" s="1068"/>
      <c r="B1496" s="899"/>
      <c r="C1496" s="282" t="s">
        <v>311</v>
      </c>
      <c r="D1496" s="437" t="s">
        <v>318</v>
      </c>
      <c r="E1496" s="283"/>
      <c r="F1496" s="438">
        <f t="shared" si="333"/>
        <v>380160</v>
      </c>
      <c r="G1496" s="587">
        <v>27.5</v>
      </c>
      <c r="H1496" s="603">
        <f t="shared" si="334"/>
        <v>0</v>
      </c>
      <c r="I1496" s="606">
        <f t="shared" si="335"/>
        <v>10454400</v>
      </c>
      <c r="J1496" s="376"/>
    </row>
    <row r="1497" spans="1:10" ht="23.4" x14ac:dyDescent="0.3">
      <c r="A1497" s="1068"/>
      <c r="B1497" s="899"/>
      <c r="C1497" s="282" t="s">
        <v>299</v>
      </c>
      <c r="D1497" s="437" t="s">
        <v>318</v>
      </c>
      <c r="E1497" s="283"/>
      <c r="F1497" s="438">
        <f t="shared" si="333"/>
        <v>12680</v>
      </c>
      <c r="G1497" s="587">
        <v>34.5</v>
      </c>
      <c r="H1497" s="603">
        <f t="shared" si="334"/>
        <v>0</v>
      </c>
      <c r="I1497" s="606">
        <f t="shared" si="335"/>
        <v>437460</v>
      </c>
      <c r="J1497" s="376"/>
    </row>
    <row r="1498" spans="1:10" ht="23.4" x14ac:dyDescent="0.3">
      <c r="A1498" s="1068"/>
      <c r="B1498" s="899"/>
      <c r="C1498" s="282" t="s">
        <v>550</v>
      </c>
      <c r="D1498" s="437" t="s">
        <v>549</v>
      </c>
      <c r="E1498" s="283"/>
      <c r="F1498" s="438">
        <f t="shared" si="333"/>
        <v>31200</v>
      </c>
      <c r="G1498" s="587">
        <v>10.57</v>
      </c>
      <c r="H1498" s="603">
        <f t="shared" si="334"/>
        <v>0</v>
      </c>
      <c r="I1498" s="606">
        <f t="shared" si="335"/>
        <v>329784</v>
      </c>
      <c r="J1498" s="376"/>
    </row>
    <row r="1499" spans="1:10" ht="23.4" x14ac:dyDescent="0.3">
      <c r="A1499" s="1068"/>
      <c r="B1499" s="899"/>
      <c r="C1499" s="282" t="s">
        <v>299</v>
      </c>
      <c r="D1499" s="437" t="s">
        <v>549</v>
      </c>
      <c r="E1499" s="283"/>
      <c r="F1499" s="438">
        <f t="shared" si="333"/>
        <v>26</v>
      </c>
      <c r="G1499" s="587">
        <v>55.76</v>
      </c>
      <c r="H1499" s="603">
        <f t="shared" si="334"/>
        <v>0</v>
      </c>
      <c r="I1499" s="606">
        <f t="shared" si="335"/>
        <v>1449.76</v>
      </c>
      <c r="J1499" s="376"/>
    </row>
    <row r="1500" spans="1:10" ht="23.4" x14ac:dyDescent="0.3">
      <c r="A1500" s="1068"/>
      <c r="B1500" s="899"/>
      <c r="C1500" s="282" t="s">
        <v>505</v>
      </c>
      <c r="D1500" s="437" t="s">
        <v>258</v>
      </c>
      <c r="E1500" s="283"/>
      <c r="F1500" s="438">
        <f t="shared" si="333"/>
        <v>12307</v>
      </c>
      <c r="G1500" s="587">
        <v>160.44999999999999</v>
      </c>
      <c r="H1500" s="603">
        <f t="shared" si="334"/>
        <v>0</v>
      </c>
      <c r="I1500" s="606">
        <f t="shared" si="335"/>
        <v>1974658.15</v>
      </c>
      <c r="J1500" s="376"/>
    </row>
    <row r="1501" spans="1:10" ht="23.4" x14ac:dyDescent="0.3">
      <c r="A1501" s="1068"/>
      <c r="B1501" s="899"/>
      <c r="C1501" s="282" t="s">
        <v>388</v>
      </c>
      <c r="D1501" s="437" t="s">
        <v>258</v>
      </c>
      <c r="E1501" s="283"/>
      <c r="F1501" s="438">
        <f t="shared" si="333"/>
        <v>37875</v>
      </c>
      <c r="G1501" s="587">
        <v>160.44999999999999</v>
      </c>
      <c r="H1501" s="603">
        <f t="shared" si="334"/>
        <v>0</v>
      </c>
      <c r="I1501" s="606">
        <f t="shared" si="335"/>
        <v>6077043.75</v>
      </c>
      <c r="J1501" s="376"/>
    </row>
    <row r="1502" spans="1:10" ht="23.4" x14ac:dyDescent="0.3">
      <c r="A1502" s="1068"/>
      <c r="B1502" s="899"/>
      <c r="C1502" s="282" t="s">
        <v>461</v>
      </c>
      <c r="D1502" s="437" t="s">
        <v>258</v>
      </c>
      <c r="E1502" s="283"/>
      <c r="F1502" s="438">
        <f t="shared" si="333"/>
        <v>6000</v>
      </c>
      <c r="G1502" s="587">
        <v>160.44999999999999</v>
      </c>
      <c r="H1502" s="603">
        <f t="shared" si="334"/>
        <v>0</v>
      </c>
      <c r="I1502" s="606">
        <f t="shared" si="335"/>
        <v>962699.99999999988</v>
      </c>
      <c r="J1502" s="376"/>
    </row>
    <row r="1503" spans="1:10" ht="23.4" x14ac:dyDescent="0.3">
      <c r="A1503" s="1068"/>
      <c r="B1503" s="899"/>
      <c r="C1503" s="282" t="s">
        <v>562</v>
      </c>
      <c r="D1503" s="437" t="s">
        <v>258</v>
      </c>
      <c r="E1503" s="949">
        <v>10500</v>
      </c>
      <c r="F1503" s="438">
        <f t="shared" si="333"/>
        <v>18500</v>
      </c>
      <c r="G1503" s="587">
        <v>160.44999999999999</v>
      </c>
      <c r="H1503" s="603">
        <f t="shared" si="334"/>
        <v>1684724.9999999998</v>
      </c>
      <c r="I1503" s="606">
        <f t="shared" si="335"/>
        <v>2968325</v>
      </c>
      <c r="J1503" s="376"/>
    </row>
    <row r="1504" spans="1:10" ht="23.4" x14ac:dyDescent="0.3">
      <c r="A1504" s="1068"/>
      <c r="B1504" s="899"/>
      <c r="C1504" s="282" t="s">
        <v>331</v>
      </c>
      <c r="D1504" s="437" t="s">
        <v>258</v>
      </c>
      <c r="E1504" s="283"/>
      <c r="F1504" s="438">
        <f t="shared" si="333"/>
        <v>14809</v>
      </c>
      <c r="G1504" s="587">
        <v>160.44999999999999</v>
      </c>
      <c r="H1504" s="603">
        <f t="shared" si="334"/>
        <v>0</v>
      </c>
      <c r="I1504" s="606">
        <f t="shared" si="335"/>
        <v>2376104.0499999998</v>
      </c>
      <c r="J1504" s="376"/>
    </row>
    <row r="1505" spans="1:13" ht="24" thickBot="1" x14ac:dyDescent="0.35">
      <c r="A1505" s="1068"/>
      <c r="B1505" s="899"/>
      <c r="C1505" s="282" t="s">
        <v>340</v>
      </c>
      <c r="D1505" s="437" t="s">
        <v>258</v>
      </c>
      <c r="E1505" s="283"/>
      <c r="F1505" s="438">
        <f t="shared" si="333"/>
        <v>2500</v>
      </c>
      <c r="G1505" s="587">
        <v>160.44999999999999</v>
      </c>
      <c r="H1505" s="603">
        <f t="shared" si="334"/>
        <v>0</v>
      </c>
      <c r="I1505" s="606">
        <f t="shared" si="335"/>
        <v>401125</v>
      </c>
      <c r="J1505" s="376"/>
    </row>
    <row r="1506" spans="1:13" ht="24" thickBot="1" x14ac:dyDescent="0.35">
      <c r="A1506" s="1068"/>
      <c r="B1506" s="1063" t="s">
        <v>288</v>
      </c>
      <c r="C1506" s="1064"/>
      <c r="D1506" s="901"/>
      <c r="E1506" s="329">
        <f>SUM(E1492:E1505)</f>
        <v>18125</v>
      </c>
      <c r="F1506" s="329">
        <f>SUM(F1492:F1505)</f>
        <v>651052</v>
      </c>
      <c r="G1506" s="329"/>
      <c r="H1506" s="597">
        <f>SUM(H1492:H1505)</f>
        <v>2908156.25</v>
      </c>
      <c r="I1506" s="589">
        <f>SUM(I1492:I1505)</f>
        <v>42622608.459999993</v>
      </c>
      <c r="J1506" s="352"/>
    </row>
    <row r="1507" spans="1:13" ht="23.4" x14ac:dyDescent="0.3">
      <c r="A1507" s="1068"/>
      <c r="B1507" s="899"/>
      <c r="C1507" s="282" t="s">
        <v>434</v>
      </c>
      <c r="D1507" s="437" t="s">
        <v>435</v>
      </c>
      <c r="E1507" s="283"/>
      <c r="F1507" s="438">
        <f>+F1415+E1507</f>
        <v>250</v>
      </c>
      <c r="G1507" s="587">
        <v>5.34</v>
      </c>
      <c r="H1507" s="603">
        <f t="shared" ref="H1507:H1511" si="336">E1507*G1507</f>
        <v>0</v>
      </c>
      <c r="I1507" s="606">
        <f t="shared" ref="I1507" si="337">+G1507*F1507</f>
        <v>1335</v>
      </c>
      <c r="J1507" s="376"/>
    </row>
    <row r="1508" spans="1:13" ht="23.4" x14ac:dyDescent="0.3">
      <c r="A1508" s="1068"/>
      <c r="B1508" s="899"/>
      <c r="C1508" s="282" t="s">
        <v>464</v>
      </c>
      <c r="D1508" s="437" t="s">
        <v>286</v>
      </c>
      <c r="E1508" s="283"/>
      <c r="F1508" s="438">
        <f>+F1416+E1508</f>
        <v>50</v>
      </c>
      <c r="G1508" s="587">
        <v>31.73</v>
      </c>
      <c r="H1508" s="603">
        <f t="shared" si="336"/>
        <v>0</v>
      </c>
      <c r="I1508" s="606">
        <f>+G1508*F1508</f>
        <v>1586.5</v>
      </c>
      <c r="J1508" s="376"/>
    </row>
    <row r="1509" spans="1:13" ht="23.4" x14ac:dyDescent="0.3">
      <c r="A1509" s="1068"/>
      <c r="B1509" s="899"/>
      <c r="C1509" s="282" t="s">
        <v>473</v>
      </c>
      <c r="D1509" s="437" t="s">
        <v>474</v>
      </c>
      <c r="E1509" s="283"/>
      <c r="F1509" s="438">
        <f>+F1417+E1509</f>
        <v>2500</v>
      </c>
      <c r="G1509" s="587">
        <v>10.58</v>
      </c>
      <c r="H1509" s="603">
        <f t="shared" si="336"/>
        <v>0</v>
      </c>
      <c r="I1509" s="606">
        <f>+G1509*F1509</f>
        <v>26450</v>
      </c>
      <c r="J1509" s="376"/>
    </row>
    <row r="1510" spans="1:13" ht="23.4" x14ac:dyDescent="0.3">
      <c r="A1510" s="1068"/>
      <c r="B1510" s="899"/>
      <c r="C1510" s="282" t="s">
        <v>300</v>
      </c>
      <c r="D1510" s="437" t="s">
        <v>301</v>
      </c>
      <c r="E1510" s="953">
        <v>5</v>
      </c>
      <c r="F1510" s="438">
        <f>+F1418+E1510</f>
        <v>6</v>
      </c>
      <c r="G1510" s="587">
        <v>2500</v>
      </c>
      <c r="H1510" s="603">
        <f t="shared" si="336"/>
        <v>12500</v>
      </c>
      <c r="I1510" s="606">
        <f>+G1510*F1510</f>
        <v>15000</v>
      </c>
      <c r="J1510" s="376"/>
    </row>
    <row r="1511" spans="1:13" ht="24" thickBot="1" x14ac:dyDescent="0.35">
      <c r="A1511" s="1068"/>
      <c r="B1511" s="899"/>
      <c r="C1511" s="282" t="s">
        <v>519</v>
      </c>
      <c r="D1511" s="437" t="s">
        <v>333</v>
      </c>
      <c r="E1511" s="283"/>
      <c r="F1511" s="438">
        <f>+F1419+E1511</f>
        <v>124032</v>
      </c>
      <c r="G1511" s="588">
        <v>10</v>
      </c>
      <c r="H1511" s="603">
        <f t="shared" si="336"/>
        <v>0</v>
      </c>
      <c r="I1511" s="606">
        <f t="shared" ref="I1511" si="338">+G1511*F1511</f>
        <v>1240320</v>
      </c>
      <c r="J1511" s="376"/>
    </row>
    <row r="1512" spans="1:13" ht="24" thickBot="1" x14ac:dyDescent="0.35">
      <c r="A1512" s="1068"/>
      <c r="B1512" s="1063" t="s">
        <v>294</v>
      </c>
      <c r="C1512" s="1064"/>
      <c r="D1512" s="901"/>
      <c r="E1512" s="329">
        <f>SUM(E1507:E1511)</f>
        <v>5</v>
      </c>
      <c r="F1512" s="329">
        <f>SUM(F1507:F1511)</f>
        <v>126838</v>
      </c>
      <c r="G1512" s="329"/>
      <c r="H1512" s="597">
        <f>SUM(H1507:H1511)</f>
        <v>12500</v>
      </c>
      <c r="I1512" s="589">
        <f>SUM(I1507:I1511)</f>
        <v>1284691.5</v>
      </c>
      <c r="J1512" s="376"/>
    </row>
    <row r="1513" spans="1:13" ht="24" thickBot="1" x14ac:dyDescent="0.35">
      <c r="A1513" s="1068"/>
      <c r="B1513" s="899"/>
      <c r="C1513" s="282"/>
      <c r="D1513" s="437"/>
      <c r="E1513" s="283"/>
      <c r="F1513" s="320"/>
      <c r="G1513" s="588"/>
      <c r="H1513" s="598"/>
      <c r="I1513" s="285">
        <f t="shared" ref="I1513" si="339">+G1513*F1513</f>
        <v>0</v>
      </c>
      <c r="J1513" s="376"/>
    </row>
    <row r="1514" spans="1:13" ht="24" thickBot="1" x14ac:dyDescent="0.35">
      <c r="A1514" s="1069"/>
      <c r="B1514" s="1063" t="s">
        <v>290</v>
      </c>
      <c r="C1514" s="1064"/>
      <c r="D1514" s="897"/>
      <c r="E1514" s="329">
        <f>+E1512+E1506+E1491</f>
        <v>92848.91</v>
      </c>
      <c r="F1514" s="329">
        <f>+F1512+F1506+F1491</f>
        <v>3062801.91</v>
      </c>
      <c r="G1514" s="329"/>
      <c r="H1514" s="589">
        <f>+H1506+H1491+H1512</f>
        <v>4989367.46</v>
      </c>
      <c r="I1514" s="589">
        <f>+I1506+I1491+I1512</f>
        <v>99640137.329999998</v>
      </c>
      <c r="J1514" s="376"/>
      <c r="K1514" s="757"/>
      <c r="M1514" s="757"/>
    </row>
    <row r="1515" spans="1:13" ht="23.4" x14ac:dyDescent="0.3">
      <c r="A1515" s="1067" t="s">
        <v>108</v>
      </c>
      <c r="B1515" s="899"/>
      <c r="C1515" s="282" t="s">
        <v>304</v>
      </c>
      <c r="D1515" s="437" t="s">
        <v>191</v>
      </c>
      <c r="E1515" s="283"/>
      <c r="F1515" s="438">
        <f t="shared" ref="F1515:F1535" si="340">+F1423+E1515</f>
        <v>35802</v>
      </c>
      <c r="G1515" s="612">
        <v>13.25</v>
      </c>
      <c r="H1515" s="607">
        <f t="shared" ref="H1515:H1535" si="341">E1515*G1515</f>
        <v>0</v>
      </c>
      <c r="I1515" s="606">
        <f t="shared" ref="I1515:I1535" si="342">+G1515*F1515</f>
        <v>474376.5</v>
      </c>
      <c r="J1515" s="376"/>
    </row>
    <row r="1516" spans="1:13" ht="23.4" x14ac:dyDescent="0.3">
      <c r="A1516" s="1068"/>
      <c r="B1516" s="899"/>
      <c r="C1516" s="282" t="s">
        <v>305</v>
      </c>
      <c r="D1516" s="437"/>
      <c r="E1516" s="283"/>
      <c r="F1516" s="438">
        <f t="shared" si="340"/>
        <v>1</v>
      </c>
      <c r="G1516" s="613">
        <v>5000</v>
      </c>
      <c r="H1516" s="607">
        <f t="shared" si="341"/>
        <v>0</v>
      </c>
      <c r="I1516" s="606">
        <f t="shared" si="342"/>
        <v>5000</v>
      </c>
      <c r="J1516" s="376"/>
    </row>
    <row r="1517" spans="1:13" ht="23.4" x14ac:dyDescent="0.3">
      <c r="A1517" s="1068"/>
      <c r="B1517" s="899"/>
      <c r="C1517" s="282" t="s">
        <v>305</v>
      </c>
      <c r="D1517" s="437"/>
      <c r="E1517" s="283"/>
      <c r="F1517" s="438">
        <f t="shared" si="340"/>
        <v>0</v>
      </c>
      <c r="G1517" s="613">
        <v>18000</v>
      </c>
      <c r="H1517" s="607">
        <f t="shared" si="341"/>
        <v>0</v>
      </c>
      <c r="I1517" s="606">
        <f t="shared" si="342"/>
        <v>0</v>
      </c>
      <c r="J1517" s="376"/>
    </row>
    <row r="1518" spans="1:13" ht="23.4" x14ac:dyDescent="0.3">
      <c r="A1518" s="1068"/>
      <c r="B1518" s="899"/>
      <c r="C1518" s="282" t="s">
        <v>317</v>
      </c>
      <c r="D1518" s="437" t="s">
        <v>191</v>
      </c>
      <c r="E1518" s="283"/>
      <c r="F1518" s="438">
        <f t="shared" si="340"/>
        <v>0</v>
      </c>
      <c r="G1518" s="612">
        <v>24.93</v>
      </c>
      <c r="H1518" s="607">
        <f t="shared" si="341"/>
        <v>0</v>
      </c>
      <c r="I1518" s="606">
        <f t="shared" si="342"/>
        <v>0</v>
      </c>
      <c r="J1518" s="376"/>
    </row>
    <row r="1519" spans="1:13" ht="23.4" x14ac:dyDescent="0.3">
      <c r="A1519" s="1068"/>
      <c r="B1519" s="899"/>
      <c r="C1519" s="282" t="s">
        <v>324</v>
      </c>
      <c r="D1519" s="437" t="s">
        <v>99</v>
      </c>
      <c r="E1519" s="283"/>
      <c r="F1519" s="438">
        <f t="shared" si="340"/>
        <v>0</v>
      </c>
      <c r="G1519" s="612">
        <v>26</v>
      </c>
      <c r="H1519" s="607">
        <f t="shared" si="341"/>
        <v>0</v>
      </c>
      <c r="I1519" s="606">
        <f t="shared" si="342"/>
        <v>0</v>
      </c>
      <c r="J1519" s="376"/>
    </row>
    <row r="1520" spans="1:13" ht="23.4" x14ac:dyDescent="0.3">
      <c r="A1520" s="1068"/>
      <c r="B1520" s="899"/>
      <c r="C1520" s="282" t="s">
        <v>575</v>
      </c>
      <c r="D1520" s="437" t="s">
        <v>507</v>
      </c>
      <c r="E1520" s="283"/>
      <c r="F1520" s="438">
        <f t="shared" si="340"/>
        <v>246636</v>
      </c>
      <c r="G1520" s="612">
        <v>20.76</v>
      </c>
      <c r="H1520" s="607">
        <f t="shared" si="341"/>
        <v>0</v>
      </c>
      <c r="I1520" s="606">
        <f t="shared" si="342"/>
        <v>5120163.3600000003</v>
      </c>
      <c r="J1520" s="376"/>
    </row>
    <row r="1521" spans="1:10" ht="23.4" x14ac:dyDescent="0.3">
      <c r="A1521" s="1068"/>
      <c r="B1521" s="899"/>
      <c r="C1521" s="282" t="s">
        <v>326</v>
      </c>
      <c r="D1521" s="437" t="s">
        <v>114</v>
      </c>
      <c r="E1521" s="283"/>
      <c r="F1521" s="438">
        <f t="shared" si="340"/>
        <v>0</v>
      </c>
      <c r="G1521" s="612">
        <v>24.93</v>
      </c>
      <c r="H1521" s="607">
        <f t="shared" si="341"/>
        <v>0</v>
      </c>
      <c r="I1521" s="606">
        <f t="shared" si="342"/>
        <v>0</v>
      </c>
      <c r="J1521" s="376"/>
    </row>
    <row r="1522" spans="1:10" ht="23.4" x14ac:dyDescent="0.3">
      <c r="A1522" s="1068"/>
      <c r="B1522" s="899"/>
      <c r="C1522" s="282" t="s">
        <v>327</v>
      </c>
      <c r="D1522" s="437" t="s">
        <v>303</v>
      </c>
      <c r="E1522" s="283"/>
      <c r="F1522" s="438">
        <f t="shared" si="340"/>
        <v>0</v>
      </c>
      <c r="G1522" s="612">
        <v>24.93</v>
      </c>
      <c r="H1522" s="607">
        <f t="shared" si="341"/>
        <v>0</v>
      </c>
      <c r="I1522" s="606">
        <f t="shared" si="342"/>
        <v>0</v>
      </c>
      <c r="J1522" s="376"/>
    </row>
    <row r="1523" spans="1:10" ht="23.4" x14ac:dyDescent="0.3">
      <c r="A1523" s="1068"/>
      <c r="B1523" s="899"/>
      <c r="C1523" s="282" t="s">
        <v>512</v>
      </c>
      <c r="D1523" s="437" t="s">
        <v>401</v>
      </c>
      <c r="E1523" s="283"/>
      <c r="F1523" s="438">
        <f t="shared" si="340"/>
        <v>47736</v>
      </c>
      <c r="G1523" s="612">
        <v>23.78</v>
      </c>
      <c r="H1523" s="607">
        <f t="shared" si="341"/>
        <v>0</v>
      </c>
      <c r="I1523" s="606">
        <f t="shared" si="342"/>
        <v>1135162.08</v>
      </c>
      <c r="J1523" s="376"/>
    </row>
    <row r="1524" spans="1:10" ht="23.4" x14ac:dyDescent="0.3">
      <c r="A1524" s="1068"/>
      <c r="B1524" s="899"/>
      <c r="C1524" s="282" t="s">
        <v>512</v>
      </c>
      <c r="D1524" s="437" t="s">
        <v>513</v>
      </c>
      <c r="E1524" s="283"/>
      <c r="F1524" s="438">
        <f t="shared" si="340"/>
        <v>115362</v>
      </c>
      <c r="G1524" s="612">
        <v>23.78</v>
      </c>
      <c r="H1524" s="607">
        <f t="shared" si="341"/>
        <v>0</v>
      </c>
      <c r="I1524" s="606">
        <f t="shared" si="342"/>
        <v>2743308.3600000003</v>
      </c>
      <c r="J1524" s="376"/>
    </row>
    <row r="1525" spans="1:10" ht="23.4" x14ac:dyDescent="0.3">
      <c r="A1525" s="1068"/>
      <c r="B1525" s="899"/>
      <c r="C1525" s="282" t="s">
        <v>394</v>
      </c>
      <c r="D1525" s="437" t="s">
        <v>338</v>
      </c>
      <c r="E1525" s="283"/>
      <c r="F1525" s="438">
        <f t="shared" si="340"/>
        <v>0</v>
      </c>
      <c r="G1525" s="612">
        <v>37.4566666666</v>
      </c>
      <c r="H1525" s="607">
        <f t="shared" si="341"/>
        <v>0</v>
      </c>
      <c r="I1525" s="606">
        <f t="shared" si="342"/>
        <v>0</v>
      </c>
      <c r="J1525" s="376"/>
    </row>
    <row r="1526" spans="1:10" ht="23.4" x14ac:dyDescent="0.3">
      <c r="A1526" s="1068"/>
      <c r="B1526" s="899"/>
      <c r="C1526" s="282" t="s">
        <v>395</v>
      </c>
      <c r="D1526" s="437" t="s">
        <v>338</v>
      </c>
      <c r="E1526" s="283"/>
      <c r="F1526" s="438">
        <f t="shared" si="340"/>
        <v>22464</v>
      </c>
      <c r="G1526" s="612">
        <v>37.89</v>
      </c>
      <c r="H1526" s="607">
        <f t="shared" si="341"/>
        <v>0</v>
      </c>
      <c r="I1526" s="606">
        <f t="shared" si="342"/>
        <v>851160.96</v>
      </c>
      <c r="J1526" s="376"/>
    </row>
    <row r="1527" spans="1:10" ht="23.4" x14ac:dyDescent="0.3">
      <c r="A1527" s="1068"/>
      <c r="B1527" s="899"/>
      <c r="C1527" s="282" t="s">
        <v>327</v>
      </c>
      <c r="D1527" s="437" t="s">
        <v>302</v>
      </c>
      <c r="E1527" s="283"/>
      <c r="F1527" s="438">
        <f t="shared" si="340"/>
        <v>123318</v>
      </c>
      <c r="G1527" s="612">
        <v>24.93</v>
      </c>
      <c r="H1527" s="607">
        <f t="shared" si="341"/>
        <v>0</v>
      </c>
      <c r="I1527" s="606">
        <f t="shared" si="342"/>
        <v>3074317.7399999998</v>
      </c>
      <c r="J1527" s="376"/>
    </row>
    <row r="1528" spans="1:10" ht="23.4" x14ac:dyDescent="0.3">
      <c r="A1528" s="1068"/>
      <c r="B1528" s="899"/>
      <c r="C1528" s="282" t="s">
        <v>402</v>
      </c>
      <c r="D1528" s="437" t="s">
        <v>376</v>
      </c>
      <c r="E1528" s="283"/>
      <c r="F1528" s="438">
        <f t="shared" si="340"/>
        <v>0</v>
      </c>
      <c r="G1528" s="612">
        <v>24.93</v>
      </c>
      <c r="H1528" s="607">
        <f t="shared" si="341"/>
        <v>0</v>
      </c>
      <c r="I1528" s="606">
        <f t="shared" si="342"/>
        <v>0</v>
      </c>
      <c r="J1528" s="376"/>
    </row>
    <row r="1529" spans="1:10" ht="23.4" x14ac:dyDescent="0.3">
      <c r="A1529" s="1068"/>
      <c r="B1529" s="899"/>
      <c r="C1529" s="282" t="s">
        <v>350</v>
      </c>
      <c r="D1529" s="437" t="s">
        <v>313</v>
      </c>
      <c r="E1529" s="283"/>
      <c r="F1529" s="438">
        <f t="shared" si="340"/>
        <v>0</v>
      </c>
      <c r="G1529" s="612">
        <v>34.26</v>
      </c>
      <c r="H1529" s="607">
        <f t="shared" si="341"/>
        <v>0</v>
      </c>
      <c r="I1529" s="606">
        <f t="shared" si="342"/>
        <v>0</v>
      </c>
      <c r="J1529" s="376"/>
    </row>
    <row r="1530" spans="1:10" ht="23.4" x14ac:dyDescent="0.3">
      <c r="A1530" s="1068"/>
      <c r="B1530" s="899"/>
      <c r="C1530" s="282" t="s">
        <v>363</v>
      </c>
      <c r="D1530" s="437" t="s">
        <v>401</v>
      </c>
      <c r="E1530" s="283"/>
      <c r="F1530" s="438">
        <f t="shared" si="340"/>
        <v>0</v>
      </c>
      <c r="G1530" s="612">
        <v>37.89</v>
      </c>
      <c r="H1530" s="607">
        <f t="shared" si="341"/>
        <v>0</v>
      </c>
      <c r="I1530" s="606">
        <f t="shared" si="342"/>
        <v>0</v>
      </c>
      <c r="J1530" s="376"/>
    </row>
    <row r="1531" spans="1:10" ht="23.4" x14ac:dyDescent="0.3">
      <c r="A1531" s="1068"/>
      <c r="B1531" s="899"/>
      <c r="C1531" s="282" t="s">
        <v>406</v>
      </c>
      <c r="D1531" s="437" t="s">
        <v>376</v>
      </c>
      <c r="E1531" s="283"/>
      <c r="F1531" s="438">
        <f t="shared" si="340"/>
        <v>0</v>
      </c>
      <c r="G1531" s="612">
        <v>39</v>
      </c>
      <c r="H1531" s="607">
        <f t="shared" si="341"/>
        <v>0</v>
      </c>
      <c r="I1531" s="606">
        <f t="shared" si="342"/>
        <v>0</v>
      </c>
      <c r="J1531" s="376"/>
    </row>
    <row r="1532" spans="1:10" ht="23.4" x14ac:dyDescent="0.3">
      <c r="A1532" s="1068"/>
      <c r="B1532" s="899"/>
      <c r="C1532" s="282" t="s">
        <v>327</v>
      </c>
      <c r="D1532" s="437" t="s">
        <v>190</v>
      </c>
      <c r="E1532" s="283"/>
      <c r="F1532" s="438">
        <f t="shared" si="340"/>
        <v>67626</v>
      </c>
      <c r="G1532" s="612">
        <v>21.22</v>
      </c>
      <c r="H1532" s="607">
        <f t="shared" si="341"/>
        <v>0</v>
      </c>
      <c r="I1532" s="606">
        <f t="shared" si="342"/>
        <v>1435023.72</v>
      </c>
      <c r="J1532" s="376"/>
    </row>
    <row r="1533" spans="1:10" ht="23.4" x14ac:dyDescent="0.3">
      <c r="A1533" s="1068"/>
      <c r="B1533" s="899"/>
      <c r="C1533" s="282" t="s">
        <v>326</v>
      </c>
      <c r="D1533" s="437" t="s">
        <v>190</v>
      </c>
      <c r="E1533" s="283"/>
      <c r="F1533" s="438">
        <f t="shared" si="340"/>
        <v>0</v>
      </c>
      <c r="G1533" s="612">
        <v>21.22</v>
      </c>
      <c r="H1533" s="607">
        <f t="shared" si="341"/>
        <v>0</v>
      </c>
      <c r="I1533" s="606">
        <f t="shared" si="342"/>
        <v>0</v>
      </c>
      <c r="J1533" s="376"/>
    </row>
    <row r="1534" spans="1:10" ht="23.4" x14ac:dyDescent="0.3">
      <c r="A1534" s="1068"/>
      <c r="B1534" s="899"/>
      <c r="C1534" s="282" t="s">
        <v>377</v>
      </c>
      <c r="D1534" s="437" t="s">
        <v>333</v>
      </c>
      <c r="E1534" s="283"/>
      <c r="F1534" s="438">
        <f t="shared" si="340"/>
        <v>0</v>
      </c>
      <c r="G1534" s="612">
        <v>10000</v>
      </c>
      <c r="H1534" s="607">
        <f t="shared" si="341"/>
        <v>0</v>
      </c>
      <c r="I1534" s="606">
        <f t="shared" si="342"/>
        <v>0</v>
      </c>
      <c r="J1534" s="376"/>
    </row>
    <row r="1535" spans="1:10" ht="24" thickBot="1" x14ac:dyDescent="0.35">
      <c r="A1535" s="1068"/>
      <c r="B1535" s="899"/>
      <c r="C1535" s="282" t="s">
        <v>332</v>
      </c>
      <c r="D1535" s="437" t="s">
        <v>333</v>
      </c>
      <c r="E1535" s="283"/>
      <c r="F1535" s="438">
        <f t="shared" si="340"/>
        <v>0</v>
      </c>
      <c r="G1535" s="612">
        <v>360</v>
      </c>
      <c r="H1535" s="607">
        <f t="shared" si="341"/>
        <v>0</v>
      </c>
      <c r="I1535" s="606">
        <f t="shared" si="342"/>
        <v>0</v>
      </c>
      <c r="J1535" s="376"/>
    </row>
    <row r="1536" spans="1:10" ht="24" thickBot="1" x14ac:dyDescent="0.35">
      <c r="A1536" s="1069"/>
      <c r="B1536" s="1063" t="s">
        <v>289</v>
      </c>
      <c r="C1536" s="1064"/>
      <c r="D1536" s="901"/>
      <c r="E1536" s="329">
        <f>SUM(E1515:E1535)</f>
        <v>0</v>
      </c>
      <c r="F1536" s="329">
        <f>SUM(F1515:F1535)</f>
        <v>658945</v>
      </c>
      <c r="G1536" s="329"/>
      <c r="H1536" s="597">
        <f>SUM(H1515:H1535)</f>
        <v>0</v>
      </c>
      <c r="I1536" s="589">
        <f>SUM(I1515:I1535)</f>
        <v>14838512.720000003</v>
      </c>
      <c r="J1536" s="376"/>
    </row>
    <row r="1537" spans="1:10" ht="23.4" x14ac:dyDescent="0.3">
      <c r="A1537" s="1067" t="s">
        <v>109</v>
      </c>
      <c r="B1537" s="899"/>
      <c r="C1537" s="282" t="s">
        <v>296</v>
      </c>
      <c r="D1537" s="437" t="s">
        <v>258</v>
      </c>
      <c r="E1537" s="283">
        <v>3000</v>
      </c>
      <c r="F1537" s="438">
        <f t="shared" ref="F1537:F1559" si="343">+F1445+E1537</f>
        <v>28130</v>
      </c>
      <c r="G1537" s="612">
        <v>430.02</v>
      </c>
      <c r="H1537" s="603">
        <f>E1537*G1537</f>
        <v>1290060</v>
      </c>
      <c r="I1537" s="606">
        <f t="shared" ref="I1537:I1559" si="344">+G1537*F1537</f>
        <v>12096462.6</v>
      </c>
      <c r="J1537" s="376"/>
    </row>
    <row r="1538" spans="1:10" ht="23.4" x14ac:dyDescent="0.3">
      <c r="A1538" s="1068"/>
      <c r="B1538" s="899"/>
      <c r="C1538" s="282" t="s">
        <v>297</v>
      </c>
      <c r="D1538" s="437" t="s">
        <v>258</v>
      </c>
      <c r="E1538" s="283"/>
      <c r="F1538" s="438">
        <f t="shared" si="343"/>
        <v>4753</v>
      </c>
      <c r="G1538" s="612">
        <v>445.38</v>
      </c>
      <c r="H1538" s="603">
        <f t="shared" ref="H1538:H1559" si="345">E1538*G1538</f>
        <v>0</v>
      </c>
      <c r="I1538" s="606">
        <f t="shared" si="344"/>
        <v>2116891.14</v>
      </c>
      <c r="J1538" s="376"/>
    </row>
    <row r="1539" spans="1:10" ht="27" customHeight="1" x14ac:dyDescent="0.3">
      <c r="A1539" s="1068"/>
      <c r="B1539" s="899"/>
      <c r="C1539" s="282" t="s">
        <v>467</v>
      </c>
      <c r="D1539" s="437" t="s">
        <v>258</v>
      </c>
      <c r="E1539" s="283">
        <v>1517</v>
      </c>
      <c r="F1539" s="438">
        <f t="shared" si="343"/>
        <v>15597</v>
      </c>
      <c r="G1539" s="612">
        <v>445.38</v>
      </c>
      <c r="H1539" s="603">
        <f t="shared" si="345"/>
        <v>675641.46</v>
      </c>
      <c r="I1539" s="606">
        <f t="shared" si="344"/>
        <v>6946591.8600000003</v>
      </c>
      <c r="J1539" s="376"/>
    </row>
    <row r="1540" spans="1:10" ht="23.4" x14ac:dyDescent="0.3">
      <c r="A1540" s="1068"/>
      <c r="B1540" s="899"/>
      <c r="C1540" s="282" t="s">
        <v>330</v>
      </c>
      <c r="D1540" s="437" t="s">
        <v>258</v>
      </c>
      <c r="E1540" s="283"/>
      <c r="F1540" s="438">
        <f t="shared" si="343"/>
        <v>0</v>
      </c>
      <c r="G1540" s="612">
        <v>63.55</v>
      </c>
      <c r="H1540" s="603">
        <f t="shared" si="345"/>
        <v>0</v>
      </c>
      <c r="I1540" s="606">
        <f t="shared" si="344"/>
        <v>0</v>
      </c>
      <c r="J1540" s="376"/>
    </row>
    <row r="1541" spans="1:10" ht="23.4" x14ac:dyDescent="0.3">
      <c r="A1541" s="1068"/>
      <c r="B1541" s="899"/>
      <c r="C1541" s="282" t="s">
        <v>298</v>
      </c>
      <c r="D1541" s="437" t="s">
        <v>258</v>
      </c>
      <c r="E1541" s="283">
        <f>25200+6720</f>
        <v>31920</v>
      </c>
      <c r="F1541" s="438">
        <f t="shared" si="343"/>
        <v>335368</v>
      </c>
      <c r="G1541" s="612">
        <v>71.44</v>
      </c>
      <c r="H1541" s="603">
        <f t="shared" si="345"/>
        <v>2280364.7999999998</v>
      </c>
      <c r="I1541" s="606">
        <f t="shared" si="344"/>
        <v>23958689.919999998</v>
      </c>
      <c r="J1541" s="376"/>
    </row>
    <row r="1542" spans="1:10" ht="23.4" x14ac:dyDescent="0.3">
      <c r="A1542" s="1068"/>
      <c r="B1542" s="899"/>
      <c r="C1542" s="282" t="s">
        <v>299</v>
      </c>
      <c r="D1542" s="437" t="s">
        <v>258</v>
      </c>
      <c r="E1542" s="283"/>
      <c r="F1542" s="438">
        <f t="shared" si="343"/>
        <v>300</v>
      </c>
      <c r="G1542" s="612">
        <v>36.5</v>
      </c>
      <c r="H1542" s="603">
        <f t="shared" si="345"/>
        <v>0</v>
      </c>
      <c r="I1542" s="606">
        <f t="shared" si="344"/>
        <v>10950</v>
      </c>
      <c r="J1542" s="376"/>
    </row>
    <row r="1543" spans="1:10" ht="23.4" x14ac:dyDescent="0.3">
      <c r="A1543" s="1068"/>
      <c r="B1543" s="899"/>
      <c r="C1543" s="282" t="s">
        <v>514</v>
      </c>
      <c r="D1543" s="437" t="s">
        <v>258</v>
      </c>
      <c r="E1543" s="283"/>
      <c r="F1543" s="438">
        <f t="shared" si="343"/>
        <v>3914</v>
      </c>
      <c r="G1543" s="612">
        <v>320.35000000000002</v>
      </c>
      <c r="H1543" s="603">
        <f t="shared" si="345"/>
        <v>0</v>
      </c>
      <c r="I1543" s="606">
        <f t="shared" si="344"/>
        <v>1253849.9000000001</v>
      </c>
      <c r="J1543" s="376"/>
    </row>
    <row r="1544" spans="1:10" ht="23.4" x14ac:dyDescent="0.3">
      <c r="A1544" s="1068"/>
      <c r="B1544" s="899"/>
      <c r="C1544" s="282" t="s">
        <v>308</v>
      </c>
      <c r="D1544" s="437" t="s">
        <v>258</v>
      </c>
      <c r="E1544" s="283">
        <v>3460</v>
      </c>
      <c r="F1544" s="438">
        <f t="shared" si="343"/>
        <v>11660</v>
      </c>
      <c r="G1544" s="612">
        <v>320.35000000000002</v>
      </c>
      <c r="H1544" s="603">
        <f t="shared" si="345"/>
        <v>1108411</v>
      </c>
      <c r="I1544" s="606">
        <f t="shared" si="344"/>
        <v>3735281.0000000005</v>
      </c>
      <c r="J1544" s="376"/>
    </row>
    <row r="1545" spans="1:10" ht="23.4" x14ac:dyDescent="0.3">
      <c r="A1545" s="1068"/>
      <c r="B1545" s="899"/>
      <c r="C1545" s="282" t="s">
        <v>322</v>
      </c>
      <c r="D1545" s="437" t="s">
        <v>258</v>
      </c>
      <c r="E1545" s="283"/>
      <c r="F1545" s="438">
        <f t="shared" si="343"/>
        <v>0</v>
      </c>
      <c r="G1545" s="612">
        <v>434.41</v>
      </c>
      <c r="H1545" s="603">
        <f t="shared" si="345"/>
        <v>0</v>
      </c>
      <c r="I1545" s="606">
        <f t="shared" si="344"/>
        <v>0</v>
      </c>
      <c r="J1545" s="376"/>
    </row>
    <row r="1546" spans="1:10" ht="23.4" x14ac:dyDescent="0.3">
      <c r="A1546" s="1068"/>
      <c r="B1546" s="899"/>
      <c r="C1546" s="282" t="s">
        <v>305</v>
      </c>
      <c r="D1546" s="437" t="s">
        <v>258</v>
      </c>
      <c r="E1546" s="283"/>
      <c r="F1546" s="438">
        <f t="shared" si="343"/>
        <v>1</v>
      </c>
      <c r="G1546" s="612">
        <v>29690</v>
      </c>
      <c r="H1546" s="603">
        <f t="shared" si="345"/>
        <v>0</v>
      </c>
      <c r="I1546" s="606">
        <f t="shared" si="344"/>
        <v>29690</v>
      </c>
      <c r="J1546" s="376"/>
    </row>
    <row r="1547" spans="1:10" ht="23.4" x14ac:dyDescent="0.3">
      <c r="A1547" s="1068"/>
      <c r="B1547" s="899"/>
      <c r="C1547" s="282" t="s">
        <v>305</v>
      </c>
      <c r="D1547" s="437" t="s">
        <v>258</v>
      </c>
      <c r="E1547" s="283"/>
      <c r="F1547" s="438">
        <f t="shared" si="343"/>
        <v>5</v>
      </c>
      <c r="G1547" s="612">
        <v>26445</v>
      </c>
      <c r="H1547" s="603">
        <f t="shared" si="345"/>
        <v>0</v>
      </c>
      <c r="I1547" s="606">
        <f t="shared" si="344"/>
        <v>132225</v>
      </c>
      <c r="J1547" s="376"/>
    </row>
    <row r="1548" spans="1:10" ht="23.4" x14ac:dyDescent="0.3">
      <c r="A1548" s="1068"/>
      <c r="B1548" s="899"/>
      <c r="C1548" s="282" t="s">
        <v>341</v>
      </c>
      <c r="D1548" s="437" t="s">
        <v>375</v>
      </c>
      <c r="E1548" s="283"/>
      <c r="F1548" s="438">
        <f t="shared" si="343"/>
        <v>8076</v>
      </c>
      <c r="G1548" s="612">
        <v>50</v>
      </c>
      <c r="H1548" s="603">
        <f t="shared" si="345"/>
        <v>0</v>
      </c>
      <c r="I1548" s="606">
        <f t="shared" si="344"/>
        <v>403800</v>
      </c>
      <c r="J1548" s="376"/>
    </row>
    <row r="1549" spans="1:10" ht="23.4" x14ac:dyDescent="0.3">
      <c r="A1549" s="1068"/>
      <c r="B1549" s="899"/>
      <c r="C1549" s="282" t="s">
        <v>341</v>
      </c>
      <c r="D1549" s="437" t="s">
        <v>375</v>
      </c>
      <c r="E1549" s="283"/>
      <c r="F1549" s="438">
        <f t="shared" si="343"/>
        <v>0</v>
      </c>
      <c r="G1549" s="612">
        <v>45</v>
      </c>
      <c r="H1549" s="603">
        <f t="shared" si="345"/>
        <v>0</v>
      </c>
      <c r="I1549" s="606">
        <f t="shared" si="344"/>
        <v>0</v>
      </c>
      <c r="J1549" s="376"/>
    </row>
    <row r="1550" spans="1:10" ht="23.4" x14ac:dyDescent="0.3">
      <c r="A1550" s="1068"/>
      <c r="B1550" s="899"/>
      <c r="C1550" s="282" t="s">
        <v>364</v>
      </c>
      <c r="D1550" s="437" t="s">
        <v>428</v>
      </c>
      <c r="E1550" s="283"/>
      <c r="F1550" s="438">
        <f t="shared" si="343"/>
        <v>700</v>
      </c>
      <c r="G1550" s="612">
        <v>57.64</v>
      </c>
      <c r="H1550" s="603">
        <f t="shared" si="345"/>
        <v>0</v>
      </c>
      <c r="I1550" s="606">
        <f t="shared" si="344"/>
        <v>40348</v>
      </c>
      <c r="J1550" s="376"/>
    </row>
    <row r="1551" spans="1:10" ht="23.4" x14ac:dyDescent="0.3">
      <c r="A1551" s="1068"/>
      <c r="B1551" s="899"/>
      <c r="C1551" s="282" t="s">
        <v>364</v>
      </c>
      <c r="D1551" s="437" t="s">
        <v>407</v>
      </c>
      <c r="E1551" s="283"/>
      <c r="F1551" s="438">
        <f t="shared" si="343"/>
        <v>0</v>
      </c>
      <c r="G1551" s="612">
        <v>57.64</v>
      </c>
      <c r="H1551" s="603">
        <f t="shared" si="345"/>
        <v>0</v>
      </c>
      <c r="I1551" s="606">
        <f t="shared" si="344"/>
        <v>0</v>
      </c>
      <c r="J1551" s="376"/>
    </row>
    <row r="1552" spans="1:10" ht="23.4" x14ac:dyDescent="0.3">
      <c r="A1552" s="1068"/>
      <c r="B1552" s="899"/>
      <c r="C1552" s="282" t="s">
        <v>365</v>
      </c>
      <c r="D1552" s="437" t="s">
        <v>366</v>
      </c>
      <c r="E1552" s="283"/>
      <c r="F1552" s="438">
        <f t="shared" si="343"/>
        <v>7383</v>
      </c>
      <c r="G1552" s="612">
        <v>434.41</v>
      </c>
      <c r="H1552" s="603">
        <f t="shared" si="345"/>
        <v>0</v>
      </c>
      <c r="I1552" s="606">
        <f t="shared" si="344"/>
        <v>3207249.0300000003</v>
      </c>
      <c r="J1552" s="376"/>
    </row>
    <row r="1553" spans="1:10" ht="23.4" x14ac:dyDescent="0.3">
      <c r="A1553" s="1068"/>
      <c r="B1553" s="899"/>
      <c r="C1553" s="282" t="s">
        <v>381</v>
      </c>
      <c r="D1553" s="437" t="s">
        <v>258</v>
      </c>
      <c r="E1553" s="283"/>
      <c r="F1553" s="438">
        <f t="shared" si="343"/>
        <v>0</v>
      </c>
      <c r="G1553" s="612">
        <v>624.26</v>
      </c>
      <c r="H1553" s="603">
        <f t="shared" si="345"/>
        <v>0</v>
      </c>
      <c r="I1553" s="606">
        <f t="shared" si="344"/>
        <v>0</v>
      </c>
      <c r="J1553" s="376"/>
    </row>
    <row r="1554" spans="1:10" ht="23.4" x14ac:dyDescent="0.3">
      <c r="A1554" s="1068"/>
      <c r="B1554" s="899"/>
      <c r="C1554" s="282" t="s">
        <v>367</v>
      </c>
      <c r="D1554" s="437" t="s">
        <v>366</v>
      </c>
      <c r="E1554" s="283"/>
      <c r="F1554" s="438">
        <f t="shared" si="343"/>
        <v>5760</v>
      </c>
      <c r="G1554" s="612">
        <v>63.55</v>
      </c>
      <c r="H1554" s="603">
        <f t="shared" si="345"/>
        <v>0</v>
      </c>
      <c r="I1554" s="606">
        <f t="shared" si="344"/>
        <v>366048</v>
      </c>
      <c r="J1554" s="376"/>
    </row>
    <row r="1555" spans="1:10" ht="23.4" x14ac:dyDescent="0.3">
      <c r="A1555" s="1068"/>
      <c r="B1555" s="899"/>
      <c r="C1555" s="282" t="s">
        <v>429</v>
      </c>
      <c r="D1555" s="437" t="s">
        <v>258</v>
      </c>
      <c r="E1555" s="283">
        <v>5760</v>
      </c>
      <c r="F1555" s="438">
        <f t="shared" si="343"/>
        <v>157776</v>
      </c>
      <c r="G1555" s="612">
        <v>59.96</v>
      </c>
      <c r="H1555" s="603">
        <f t="shared" si="345"/>
        <v>345369.59999999998</v>
      </c>
      <c r="I1555" s="606">
        <f t="shared" si="344"/>
        <v>9460248.9600000009</v>
      </c>
      <c r="J1555" s="376"/>
    </row>
    <row r="1556" spans="1:10" ht="23.4" x14ac:dyDescent="0.3">
      <c r="A1556" s="1068"/>
      <c r="B1556" s="899"/>
      <c r="C1556" s="282" t="s">
        <v>501</v>
      </c>
      <c r="D1556" s="437" t="s">
        <v>366</v>
      </c>
      <c r="E1556" s="283"/>
      <c r="F1556" s="438">
        <f t="shared" si="343"/>
        <v>8640</v>
      </c>
      <c r="G1556" s="612">
        <v>53.86</v>
      </c>
      <c r="H1556" s="603">
        <f t="shared" si="345"/>
        <v>0</v>
      </c>
      <c r="I1556" s="606">
        <f t="shared" si="344"/>
        <v>465350.40000000002</v>
      </c>
      <c r="J1556" s="376"/>
    </row>
    <row r="1557" spans="1:10" ht="23.4" x14ac:dyDescent="0.3">
      <c r="A1557" s="1068"/>
      <c r="B1557" s="899"/>
      <c r="C1557" s="282" t="s">
        <v>446</v>
      </c>
      <c r="D1557" s="437"/>
      <c r="E1557" s="283"/>
      <c r="F1557" s="438">
        <f t="shared" si="343"/>
        <v>8318</v>
      </c>
      <c r="G1557" s="612">
        <v>360</v>
      </c>
      <c r="H1557" s="603">
        <f t="shared" si="345"/>
        <v>0</v>
      </c>
      <c r="I1557" s="606">
        <f t="shared" si="344"/>
        <v>2994480</v>
      </c>
      <c r="J1557" s="376"/>
    </row>
    <row r="1558" spans="1:10" ht="23.4" x14ac:dyDescent="0.3">
      <c r="A1558" s="1068"/>
      <c r="B1558" s="899"/>
      <c r="C1558" s="282" t="s">
        <v>305</v>
      </c>
      <c r="D1558" s="437"/>
      <c r="E1558" s="283"/>
      <c r="F1558" s="438">
        <f t="shared" si="343"/>
        <v>0</v>
      </c>
      <c r="G1558" s="612">
        <v>39450</v>
      </c>
      <c r="H1558" s="603">
        <f t="shared" si="345"/>
        <v>0</v>
      </c>
      <c r="I1558" s="606">
        <f t="shared" si="344"/>
        <v>0</v>
      </c>
      <c r="J1558" s="376"/>
    </row>
    <row r="1559" spans="1:10" ht="24" thickBot="1" x14ac:dyDescent="0.35">
      <c r="A1559" s="1068"/>
      <c r="B1559" s="899"/>
      <c r="C1559" s="282" t="s">
        <v>364</v>
      </c>
      <c r="D1559" s="437" t="s">
        <v>566</v>
      </c>
      <c r="E1559" s="283"/>
      <c r="F1559" s="438">
        <f t="shared" si="343"/>
        <v>160</v>
      </c>
      <c r="G1559" s="612">
        <v>57.64</v>
      </c>
      <c r="H1559" s="603">
        <f t="shared" si="345"/>
        <v>0</v>
      </c>
      <c r="I1559" s="606">
        <f t="shared" si="344"/>
        <v>9222.4</v>
      </c>
      <c r="J1559" s="376"/>
    </row>
    <row r="1560" spans="1:10" ht="24" thickBot="1" x14ac:dyDescent="0.35">
      <c r="A1560" s="1069"/>
      <c r="B1560" s="1063" t="s">
        <v>291</v>
      </c>
      <c r="C1560" s="1064"/>
      <c r="D1560" s="901"/>
      <c r="E1560" s="329">
        <f>SUM(E1537:E1559)</f>
        <v>45657</v>
      </c>
      <c r="F1560" s="329">
        <f>SUM(F1537:F1559)</f>
        <v>596541</v>
      </c>
      <c r="G1560" s="329"/>
      <c r="H1560" s="600">
        <f>SUM(H1537:H1559)</f>
        <v>5699846.8599999994</v>
      </c>
      <c r="I1560" s="589">
        <f>SUM(I1537:I1559)</f>
        <v>67227378.210000008</v>
      </c>
      <c r="J1560" s="375"/>
    </row>
    <row r="1561" spans="1:10" ht="24" thickBot="1" x14ac:dyDescent="0.35">
      <c r="A1561" s="904"/>
      <c r="B1561" s="440"/>
      <c r="C1561" s="282" t="s">
        <v>446</v>
      </c>
      <c r="D1561" s="437"/>
      <c r="E1561" s="283"/>
      <c r="F1561" s="284">
        <f>+F1469+E1561</f>
        <v>0</v>
      </c>
      <c r="G1561" s="337"/>
      <c r="H1561" s="599">
        <f t="shared" ref="H1561" si="346">E1561*G1561</f>
        <v>0</v>
      </c>
      <c r="I1561" s="285">
        <f t="shared" ref="I1561" si="347">+G1561*F1561</f>
        <v>0</v>
      </c>
      <c r="J1561" s="376"/>
    </row>
    <row r="1562" spans="1:10" ht="24" thickBot="1" x14ac:dyDescent="0.35">
      <c r="A1562" s="904"/>
      <c r="B1562" s="1063" t="s">
        <v>238</v>
      </c>
      <c r="C1562" s="1064"/>
      <c r="D1562" s="897"/>
      <c r="E1562" s="329"/>
      <c r="F1562" s="330"/>
      <c r="G1562" s="329"/>
      <c r="H1562" s="597"/>
      <c r="I1562" s="327">
        <f>SUM(I1561)</f>
        <v>0</v>
      </c>
      <c r="J1562" s="352"/>
    </row>
    <row r="1563" spans="1:10" ht="24.6" thickBot="1" x14ac:dyDescent="0.35">
      <c r="A1563" s="322"/>
      <c r="B1563" s="1065" t="s">
        <v>182</v>
      </c>
      <c r="C1563" s="1066"/>
      <c r="D1563" s="898"/>
      <c r="E1563" s="377">
        <f>+E1560+E1536+E1514+E1512</f>
        <v>138510.91</v>
      </c>
      <c r="F1563" s="377">
        <f>+F1560+F1536+F1514+F1512</f>
        <v>4445125.91</v>
      </c>
      <c r="G1563" s="377"/>
      <c r="H1563" s="377"/>
      <c r="I1563" s="377">
        <f>+I1560+I1536+I1514+I1562</f>
        <v>181706028.25999999</v>
      </c>
      <c r="J1563" s="378"/>
    </row>
    <row r="1564" spans="1:10" ht="35.25" customHeight="1" x14ac:dyDescent="0.3">
      <c r="A1564" s="991" t="s">
        <v>1</v>
      </c>
      <c r="B1564" s="994" t="s">
        <v>2</v>
      </c>
      <c r="C1564" s="1072" t="s">
        <v>477</v>
      </c>
      <c r="D1564" s="1043" t="s">
        <v>478</v>
      </c>
      <c r="E1564" s="1076" t="s">
        <v>577</v>
      </c>
      <c r="F1564" s="1001"/>
      <c r="G1564" s="1001"/>
      <c r="H1564" s="1001"/>
      <c r="I1564" s="1001"/>
      <c r="J1564" s="1002"/>
    </row>
    <row r="1565" spans="1:10" ht="35.25" customHeight="1" x14ac:dyDescent="0.3">
      <c r="A1565" s="1070"/>
      <c r="B1565" s="1071"/>
      <c r="C1565" s="1073"/>
      <c r="D1565" s="1044"/>
      <c r="E1565" s="1077" t="s">
        <v>493</v>
      </c>
      <c r="F1565" s="1078"/>
      <c r="G1565" s="1077" t="s">
        <v>492</v>
      </c>
      <c r="H1565" s="1079"/>
      <c r="I1565" s="1079"/>
      <c r="J1565" s="1078"/>
    </row>
    <row r="1566" spans="1:10" ht="35.25" customHeight="1" x14ac:dyDescent="0.3">
      <c r="A1566" s="992"/>
      <c r="B1566" s="995"/>
      <c r="C1566" s="1074"/>
      <c r="D1566" s="1044"/>
      <c r="E1566" s="1003" t="s">
        <v>494</v>
      </c>
      <c r="F1566" s="1005" t="s">
        <v>495</v>
      </c>
      <c r="G1566" s="1081" t="s">
        <v>97</v>
      </c>
      <c r="H1566" s="1083" t="s">
        <v>98</v>
      </c>
      <c r="I1566" s="1083" t="s">
        <v>98</v>
      </c>
      <c r="J1566" s="1085" t="s">
        <v>12</v>
      </c>
    </row>
    <row r="1567" spans="1:10" ht="35.25" customHeight="1" thickBot="1" x14ac:dyDescent="0.35">
      <c r="A1567" s="993"/>
      <c r="B1567" s="996"/>
      <c r="C1567" s="1075"/>
      <c r="D1567" s="1045"/>
      <c r="E1567" s="1004"/>
      <c r="F1567" s="1080"/>
      <c r="G1567" s="1082"/>
      <c r="H1567" s="1084"/>
      <c r="I1567" s="1084"/>
      <c r="J1567" s="1086"/>
    </row>
    <row r="1568" spans="1:10" ht="35.25" customHeight="1" x14ac:dyDescent="0.3">
      <c r="A1568" s="1067" t="s">
        <v>110</v>
      </c>
      <c r="B1568" s="442"/>
      <c r="C1568" s="584" t="s">
        <v>565</v>
      </c>
      <c r="D1568" s="686" t="s">
        <v>436</v>
      </c>
      <c r="E1568" s="744"/>
      <c r="F1568" s="695">
        <f>+F1476+E1568</f>
        <v>23296</v>
      </c>
      <c r="G1568" s="896">
        <v>107.85</v>
      </c>
      <c r="H1568" s="601">
        <f t="shared" ref="H1568:H1582" si="348">E1568*G1568</f>
        <v>0</v>
      </c>
      <c r="I1568" s="604">
        <f>+G1568*F1568</f>
        <v>2512473.6</v>
      </c>
      <c r="J1568" s="354"/>
    </row>
    <row r="1569" spans="1:10" ht="35.25" customHeight="1" x14ac:dyDescent="0.3">
      <c r="A1569" s="1068"/>
      <c r="B1569" s="441"/>
      <c r="C1569" s="444" t="s">
        <v>285</v>
      </c>
      <c r="D1569" s="687" t="s">
        <v>286</v>
      </c>
      <c r="E1569" s="745"/>
      <c r="F1569" s="746">
        <f t="shared" ref="F1569:F1582" si="349">+F1477+E1569</f>
        <v>-25.09</v>
      </c>
      <c r="G1569" s="742">
        <v>11</v>
      </c>
      <c r="H1569" s="602">
        <f t="shared" si="348"/>
        <v>0</v>
      </c>
      <c r="I1569" s="605">
        <f>+G1569*F1569</f>
        <v>-275.99</v>
      </c>
      <c r="J1569" s="355"/>
    </row>
    <row r="1570" spans="1:10" ht="35.25" customHeight="1" x14ac:dyDescent="0.3">
      <c r="A1570" s="1068"/>
      <c r="B1570" s="441"/>
      <c r="C1570" s="444" t="s">
        <v>321</v>
      </c>
      <c r="D1570" s="687" t="s">
        <v>400</v>
      </c>
      <c r="E1570" s="745"/>
      <c r="F1570" s="746">
        <f t="shared" si="349"/>
        <v>0</v>
      </c>
      <c r="G1570" s="742">
        <v>139.04</v>
      </c>
      <c r="H1570" s="602">
        <f t="shared" si="348"/>
        <v>0</v>
      </c>
      <c r="I1570" s="605">
        <f t="shared" ref="I1570:I1582" si="350">+G1570*F1570</f>
        <v>0</v>
      </c>
      <c r="J1570" s="355"/>
    </row>
    <row r="1571" spans="1:10" ht="35.25" customHeight="1" x14ac:dyDescent="0.3">
      <c r="A1571" s="1068"/>
      <c r="B1571" s="441"/>
      <c r="C1571" s="444" t="s">
        <v>397</v>
      </c>
      <c r="D1571" s="687" t="s">
        <v>398</v>
      </c>
      <c r="E1571" s="745"/>
      <c r="F1571" s="746">
        <f t="shared" si="349"/>
        <v>895356</v>
      </c>
      <c r="G1571" s="795">
        <v>20.5</v>
      </c>
      <c r="H1571" s="602">
        <f t="shared" si="348"/>
        <v>0</v>
      </c>
      <c r="I1571" s="605">
        <f t="shared" si="350"/>
        <v>18354798</v>
      </c>
      <c r="J1571" s="355"/>
    </row>
    <row r="1572" spans="1:10" ht="35.25" customHeight="1" x14ac:dyDescent="0.3">
      <c r="A1572" s="1068"/>
      <c r="B1572" s="441"/>
      <c r="C1572" s="444" t="s">
        <v>312</v>
      </c>
      <c r="D1572" s="687" t="s">
        <v>190</v>
      </c>
      <c r="E1572" s="745"/>
      <c r="F1572" s="746">
        <f t="shared" si="349"/>
        <v>0</v>
      </c>
      <c r="G1572" s="742">
        <v>14.79</v>
      </c>
      <c r="H1572" s="602">
        <f t="shared" si="348"/>
        <v>0</v>
      </c>
      <c r="I1572" s="605">
        <f t="shared" si="350"/>
        <v>0</v>
      </c>
      <c r="J1572" s="355"/>
    </row>
    <row r="1573" spans="1:10" ht="35.25" customHeight="1" x14ac:dyDescent="0.3">
      <c r="A1573" s="1068"/>
      <c r="B1573" s="441"/>
      <c r="C1573" s="444" t="s">
        <v>321</v>
      </c>
      <c r="D1573" s="687" t="s">
        <v>286</v>
      </c>
      <c r="E1573" s="745"/>
      <c r="F1573" s="746">
        <f t="shared" si="349"/>
        <v>7435</v>
      </c>
      <c r="G1573" s="742">
        <v>139.04</v>
      </c>
      <c r="H1573" s="602">
        <f t="shared" si="348"/>
        <v>0</v>
      </c>
      <c r="I1573" s="605">
        <f t="shared" si="350"/>
        <v>1033762.3999999999</v>
      </c>
      <c r="J1573" s="355"/>
    </row>
    <row r="1574" spans="1:10" ht="35.25" customHeight="1" x14ac:dyDescent="0.3">
      <c r="A1574" s="1068"/>
      <c r="B1574" s="441"/>
      <c r="C1574" s="444" t="s">
        <v>472</v>
      </c>
      <c r="D1574" s="688" t="s">
        <v>396</v>
      </c>
      <c r="E1574" s="745"/>
      <c r="F1574" s="746">
        <f t="shared" si="349"/>
        <v>29760</v>
      </c>
      <c r="G1574" s="742">
        <v>147.58000000000001</v>
      </c>
      <c r="H1574" s="602">
        <f t="shared" si="348"/>
        <v>0</v>
      </c>
      <c r="I1574" s="605">
        <f t="shared" si="350"/>
        <v>4391980.8000000007</v>
      </c>
      <c r="J1574" s="355"/>
    </row>
    <row r="1575" spans="1:10" ht="35.25" customHeight="1" x14ac:dyDescent="0.3">
      <c r="A1575" s="1068"/>
      <c r="B1575" s="441"/>
      <c r="C1575" s="444" t="s">
        <v>345</v>
      </c>
      <c r="D1575" s="688" t="s">
        <v>576</v>
      </c>
      <c r="E1575" s="745"/>
      <c r="F1575" s="746">
        <f t="shared" si="349"/>
        <v>48960</v>
      </c>
      <c r="G1575" s="742">
        <v>18.84</v>
      </c>
      <c r="H1575" s="602">
        <f t="shared" si="348"/>
        <v>0</v>
      </c>
      <c r="I1575" s="605">
        <f t="shared" si="350"/>
        <v>922406.40000000002</v>
      </c>
      <c r="J1575" s="355"/>
    </row>
    <row r="1576" spans="1:10" ht="35.25" customHeight="1" x14ac:dyDescent="0.3">
      <c r="A1576" s="1068"/>
      <c r="B1576" s="441"/>
      <c r="C1576" s="444" t="s">
        <v>345</v>
      </c>
      <c r="D1576" s="688" t="s">
        <v>286</v>
      </c>
      <c r="E1576" s="745"/>
      <c r="F1576" s="746">
        <f t="shared" si="349"/>
        <v>73440</v>
      </c>
      <c r="G1576" s="742">
        <v>18.84</v>
      </c>
      <c r="H1576" s="602">
        <f t="shared" si="348"/>
        <v>0</v>
      </c>
      <c r="I1576" s="605">
        <f t="shared" si="350"/>
        <v>1383609.6</v>
      </c>
      <c r="J1576" s="355"/>
    </row>
    <row r="1577" spans="1:10" ht="35.25" customHeight="1" x14ac:dyDescent="0.3">
      <c r="A1577" s="1068"/>
      <c r="B1577" s="441"/>
      <c r="C1577" s="444" t="s">
        <v>357</v>
      </c>
      <c r="D1577" s="688" t="s">
        <v>252</v>
      </c>
      <c r="E1577" s="745"/>
      <c r="F1577" s="746">
        <f t="shared" si="349"/>
        <v>550800</v>
      </c>
      <c r="G1577" s="742">
        <v>21.18</v>
      </c>
      <c r="H1577" s="602">
        <f t="shared" si="348"/>
        <v>0</v>
      </c>
      <c r="I1577" s="605">
        <f t="shared" si="350"/>
        <v>11665944</v>
      </c>
      <c r="J1577" s="355"/>
    </row>
    <row r="1578" spans="1:10" ht="35.25" customHeight="1" x14ac:dyDescent="0.3">
      <c r="A1578" s="1068"/>
      <c r="B1578" s="441"/>
      <c r="C1578" s="444" t="s">
        <v>359</v>
      </c>
      <c r="D1578" s="688" t="s">
        <v>360</v>
      </c>
      <c r="E1578" s="745"/>
      <c r="F1578" s="746">
        <f t="shared" si="349"/>
        <v>500882</v>
      </c>
      <c r="G1578" s="742">
        <v>21.28</v>
      </c>
      <c r="H1578" s="602">
        <f t="shared" si="348"/>
        <v>0</v>
      </c>
      <c r="I1578" s="605">
        <f t="shared" si="350"/>
        <v>10658768.960000001</v>
      </c>
      <c r="J1578" s="355"/>
    </row>
    <row r="1579" spans="1:10" ht="35.25" customHeight="1" x14ac:dyDescent="0.3">
      <c r="A1579" s="1068"/>
      <c r="B1579" s="441"/>
      <c r="C1579" s="444" t="s">
        <v>445</v>
      </c>
      <c r="D1579" s="688" t="s">
        <v>436</v>
      </c>
      <c r="E1579" s="745"/>
      <c r="F1579" s="746">
        <f t="shared" si="349"/>
        <v>19840</v>
      </c>
      <c r="G1579" s="742">
        <v>143.28</v>
      </c>
      <c r="H1579" s="602">
        <f t="shared" si="348"/>
        <v>0</v>
      </c>
      <c r="I1579" s="605">
        <f t="shared" si="350"/>
        <v>2842675.2000000002</v>
      </c>
      <c r="J1579" s="355"/>
    </row>
    <row r="1580" spans="1:10" ht="35.25" customHeight="1" x14ac:dyDescent="0.3">
      <c r="A1580" s="1068"/>
      <c r="B1580" s="441"/>
      <c r="C1580" s="444" t="s">
        <v>587</v>
      </c>
      <c r="D1580" s="687" t="s">
        <v>190</v>
      </c>
      <c r="E1580" s="745">
        <v>261888</v>
      </c>
      <c r="F1580" s="746">
        <f t="shared" si="349"/>
        <v>397056</v>
      </c>
      <c r="G1580" s="742">
        <v>14.55</v>
      </c>
      <c r="H1580" s="602">
        <f t="shared" si="348"/>
        <v>3810470.4000000004</v>
      </c>
      <c r="I1580" s="605">
        <f t="shared" si="350"/>
        <v>5777164.8000000007</v>
      </c>
      <c r="J1580" s="355"/>
    </row>
    <row r="1581" spans="1:10" ht="35.25" customHeight="1" x14ac:dyDescent="0.3">
      <c r="A1581" s="1068"/>
      <c r="B1581" s="441"/>
      <c r="C1581" s="444" t="s">
        <v>362</v>
      </c>
      <c r="D1581" s="688" t="s">
        <v>202</v>
      </c>
      <c r="E1581" s="745"/>
      <c r="F1581" s="746">
        <f t="shared" si="349"/>
        <v>0</v>
      </c>
      <c r="G1581" s="742">
        <v>21.28</v>
      </c>
      <c r="H1581" s="602">
        <f t="shared" si="348"/>
        <v>0</v>
      </c>
      <c r="I1581" s="605">
        <f t="shared" si="350"/>
        <v>0</v>
      </c>
      <c r="J1581" s="355"/>
    </row>
    <row r="1582" spans="1:10" ht="35.25" customHeight="1" thickBot="1" x14ac:dyDescent="0.35">
      <c r="A1582" s="1068"/>
      <c r="B1582" s="441"/>
      <c r="C1582" s="444" t="s">
        <v>374</v>
      </c>
      <c r="D1582" s="689" t="s">
        <v>191</v>
      </c>
      <c r="E1582" s="745"/>
      <c r="F1582" s="697">
        <f t="shared" si="349"/>
        <v>0</v>
      </c>
      <c r="G1582" s="742">
        <v>36.44</v>
      </c>
      <c r="H1582" s="602">
        <f t="shared" si="348"/>
        <v>0</v>
      </c>
      <c r="I1582" s="605">
        <f t="shared" si="350"/>
        <v>0</v>
      </c>
      <c r="J1582" s="355"/>
    </row>
    <row r="1583" spans="1:10" ht="35.25" customHeight="1" thickBot="1" x14ac:dyDescent="0.35">
      <c r="A1583" s="1068"/>
      <c r="B1583" s="1063" t="s">
        <v>287</v>
      </c>
      <c r="C1583" s="1064"/>
      <c r="D1583" s="909"/>
      <c r="E1583" s="329">
        <f>SUM(E1568:E1582)</f>
        <v>261888</v>
      </c>
      <c r="F1583" s="743">
        <f>SUM(F1568:F1582)</f>
        <v>2546799.91</v>
      </c>
      <c r="G1583" s="329"/>
      <c r="H1583" s="597">
        <f>SUM(H1568:H1582)</f>
        <v>3810470.4000000004</v>
      </c>
      <c r="I1583" s="589">
        <f>SUM(I1568:I1582)</f>
        <v>59543307.770000011</v>
      </c>
      <c r="J1583" s="352"/>
    </row>
    <row r="1584" spans="1:10" ht="35.25" customHeight="1" x14ac:dyDescent="0.3">
      <c r="A1584" s="1068"/>
      <c r="B1584" s="907"/>
      <c r="C1584" s="282" t="s">
        <v>293</v>
      </c>
      <c r="D1584" s="437" t="s">
        <v>258</v>
      </c>
      <c r="E1584" s="283"/>
      <c r="F1584" s="438">
        <f t="shared" ref="F1584:F1597" si="351">+F1492+E1584</f>
        <v>60750</v>
      </c>
      <c r="G1584" s="587">
        <v>160.44999999999999</v>
      </c>
      <c r="H1584" s="603">
        <f t="shared" ref="H1584:H1597" si="352">E1584*G1584</f>
        <v>0</v>
      </c>
      <c r="I1584" s="606">
        <f t="shared" ref="I1584:I1597" si="353">+G1584*F1584</f>
        <v>9747337.5</v>
      </c>
      <c r="J1584" s="376"/>
    </row>
    <row r="1585" spans="1:10" ht="35.25" customHeight="1" x14ac:dyDescent="0.3">
      <c r="A1585" s="1068"/>
      <c r="B1585" s="907"/>
      <c r="C1585" s="282" t="s">
        <v>309</v>
      </c>
      <c r="D1585" s="437" t="s">
        <v>258</v>
      </c>
      <c r="E1585" s="283"/>
      <c r="F1585" s="438">
        <f t="shared" si="351"/>
        <v>17000</v>
      </c>
      <c r="G1585" s="587">
        <v>160.44999999999999</v>
      </c>
      <c r="H1585" s="603">
        <f t="shared" si="352"/>
        <v>0</v>
      </c>
      <c r="I1585" s="606">
        <f t="shared" si="353"/>
        <v>2727650</v>
      </c>
      <c r="J1585" s="376"/>
    </row>
    <row r="1586" spans="1:10" ht="35.25" customHeight="1" x14ac:dyDescent="0.3">
      <c r="A1586" s="1068"/>
      <c r="B1586" s="907"/>
      <c r="C1586" s="282" t="s">
        <v>463</v>
      </c>
      <c r="D1586" s="437" t="s">
        <v>258</v>
      </c>
      <c r="E1586" s="283"/>
      <c r="F1586" s="438">
        <f t="shared" si="351"/>
        <v>19625</v>
      </c>
      <c r="G1586" s="587">
        <v>160.44999999999999</v>
      </c>
      <c r="H1586" s="603">
        <f t="shared" si="352"/>
        <v>0</v>
      </c>
      <c r="I1586" s="606">
        <f t="shared" si="353"/>
        <v>3148831.25</v>
      </c>
      <c r="J1586" s="376"/>
    </row>
    <row r="1587" spans="1:10" ht="35.25" customHeight="1" x14ac:dyDescent="0.3">
      <c r="A1587" s="1068"/>
      <c r="B1587" s="907"/>
      <c r="C1587" s="282" t="s">
        <v>311</v>
      </c>
      <c r="D1587" s="437" t="s">
        <v>100</v>
      </c>
      <c r="E1587" s="283"/>
      <c r="F1587" s="438">
        <f t="shared" si="351"/>
        <v>37620</v>
      </c>
      <c r="G1587" s="587">
        <v>27</v>
      </c>
      <c r="H1587" s="603">
        <f t="shared" si="352"/>
        <v>0</v>
      </c>
      <c r="I1587" s="606">
        <f t="shared" si="353"/>
        <v>1015740</v>
      </c>
      <c r="J1587" s="376"/>
    </row>
    <row r="1588" spans="1:10" ht="35.25" customHeight="1" x14ac:dyDescent="0.3">
      <c r="A1588" s="1068"/>
      <c r="B1588" s="907"/>
      <c r="C1588" s="282" t="s">
        <v>311</v>
      </c>
      <c r="D1588" s="437" t="s">
        <v>318</v>
      </c>
      <c r="E1588" s="283"/>
      <c r="F1588" s="438">
        <f t="shared" si="351"/>
        <v>380160</v>
      </c>
      <c r="G1588" s="587">
        <v>27.5</v>
      </c>
      <c r="H1588" s="603">
        <f t="shared" si="352"/>
        <v>0</v>
      </c>
      <c r="I1588" s="606">
        <f t="shared" si="353"/>
        <v>10454400</v>
      </c>
      <c r="J1588" s="376"/>
    </row>
    <row r="1589" spans="1:10" ht="35.25" customHeight="1" x14ac:dyDescent="0.3">
      <c r="A1589" s="1068"/>
      <c r="B1589" s="907"/>
      <c r="C1589" s="282" t="s">
        <v>299</v>
      </c>
      <c r="D1589" s="437" t="s">
        <v>318</v>
      </c>
      <c r="E1589" s="283"/>
      <c r="F1589" s="438">
        <f t="shared" si="351"/>
        <v>12680</v>
      </c>
      <c r="G1589" s="587">
        <v>34.5</v>
      </c>
      <c r="H1589" s="603">
        <f t="shared" si="352"/>
        <v>0</v>
      </c>
      <c r="I1589" s="606">
        <f t="shared" si="353"/>
        <v>437460</v>
      </c>
      <c r="J1589" s="376"/>
    </row>
    <row r="1590" spans="1:10" ht="35.25" customHeight="1" x14ac:dyDescent="0.3">
      <c r="A1590" s="1068"/>
      <c r="B1590" s="907"/>
      <c r="C1590" s="282" t="s">
        <v>550</v>
      </c>
      <c r="D1590" s="437" t="s">
        <v>549</v>
      </c>
      <c r="E1590" s="283"/>
      <c r="F1590" s="438">
        <f t="shared" si="351"/>
        <v>31200</v>
      </c>
      <c r="G1590" s="587">
        <v>10.57</v>
      </c>
      <c r="H1590" s="603">
        <f t="shared" si="352"/>
        <v>0</v>
      </c>
      <c r="I1590" s="606">
        <f t="shared" si="353"/>
        <v>329784</v>
      </c>
      <c r="J1590" s="376"/>
    </row>
    <row r="1591" spans="1:10" ht="35.25" customHeight="1" x14ac:dyDescent="0.3">
      <c r="A1591" s="1068"/>
      <c r="B1591" s="907"/>
      <c r="C1591" s="282" t="s">
        <v>299</v>
      </c>
      <c r="D1591" s="437" t="s">
        <v>549</v>
      </c>
      <c r="E1591" s="283"/>
      <c r="F1591" s="438">
        <f t="shared" si="351"/>
        <v>26</v>
      </c>
      <c r="G1591" s="587">
        <v>55.76</v>
      </c>
      <c r="H1591" s="603">
        <f t="shared" si="352"/>
        <v>0</v>
      </c>
      <c r="I1591" s="606">
        <f t="shared" si="353"/>
        <v>1449.76</v>
      </c>
      <c r="J1591" s="376"/>
    </row>
    <row r="1592" spans="1:10" ht="35.25" customHeight="1" x14ac:dyDescent="0.3">
      <c r="A1592" s="1068"/>
      <c r="B1592" s="907"/>
      <c r="C1592" s="282" t="s">
        <v>505</v>
      </c>
      <c r="D1592" s="437" t="s">
        <v>258</v>
      </c>
      <c r="E1592" s="283"/>
      <c r="F1592" s="438">
        <f t="shared" si="351"/>
        <v>12307</v>
      </c>
      <c r="G1592" s="587">
        <v>160.44999999999999</v>
      </c>
      <c r="H1592" s="603">
        <f t="shared" si="352"/>
        <v>0</v>
      </c>
      <c r="I1592" s="606">
        <f t="shared" si="353"/>
        <v>1974658.15</v>
      </c>
      <c r="J1592" s="376"/>
    </row>
    <row r="1593" spans="1:10" ht="35.25" customHeight="1" x14ac:dyDescent="0.3">
      <c r="A1593" s="1068"/>
      <c r="B1593" s="907"/>
      <c r="C1593" s="282" t="s">
        <v>388</v>
      </c>
      <c r="D1593" s="437" t="s">
        <v>258</v>
      </c>
      <c r="E1593" s="283"/>
      <c r="F1593" s="438">
        <f t="shared" si="351"/>
        <v>37875</v>
      </c>
      <c r="G1593" s="587">
        <v>160.44999999999999</v>
      </c>
      <c r="H1593" s="603">
        <f t="shared" si="352"/>
        <v>0</v>
      </c>
      <c r="I1593" s="606">
        <f t="shared" si="353"/>
        <v>6077043.75</v>
      </c>
      <c r="J1593" s="376"/>
    </row>
    <row r="1594" spans="1:10" ht="35.25" customHeight="1" x14ac:dyDescent="0.3">
      <c r="A1594" s="1068"/>
      <c r="B1594" s="907"/>
      <c r="C1594" s="282" t="s">
        <v>461</v>
      </c>
      <c r="D1594" s="437" t="s">
        <v>258</v>
      </c>
      <c r="E1594" s="283"/>
      <c r="F1594" s="438">
        <f t="shared" si="351"/>
        <v>6000</v>
      </c>
      <c r="G1594" s="587">
        <v>160.44999999999999</v>
      </c>
      <c r="H1594" s="603">
        <f t="shared" si="352"/>
        <v>0</v>
      </c>
      <c r="I1594" s="606">
        <f t="shared" si="353"/>
        <v>962699.99999999988</v>
      </c>
      <c r="J1594" s="376"/>
    </row>
    <row r="1595" spans="1:10" ht="35.25" customHeight="1" x14ac:dyDescent="0.3">
      <c r="A1595" s="1068"/>
      <c r="B1595" s="907"/>
      <c r="C1595" s="282" t="s">
        <v>562</v>
      </c>
      <c r="D1595" s="437" t="s">
        <v>258</v>
      </c>
      <c r="E1595" s="283"/>
      <c r="F1595" s="438">
        <f t="shared" si="351"/>
        <v>18500</v>
      </c>
      <c r="G1595" s="587">
        <v>160.44999999999999</v>
      </c>
      <c r="H1595" s="603">
        <f t="shared" si="352"/>
        <v>0</v>
      </c>
      <c r="I1595" s="606">
        <f t="shared" si="353"/>
        <v>2968325</v>
      </c>
      <c r="J1595" s="376"/>
    </row>
    <row r="1596" spans="1:10" ht="35.25" customHeight="1" x14ac:dyDescent="0.3">
      <c r="A1596" s="1068"/>
      <c r="B1596" s="907"/>
      <c r="C1596" s="282" t="s">
        <v>331</v>
      </c>
      <c r="D1596" s="437" t="s">
        <v>258</v>
      </c>
      <c r="E1596" s="283"/>
      <c r="F1596" s="438">
        <f t="shared" si="351"/>
        <v>14809</v>
      </c>
      <c r="G1596" s="587">
        <v>160.44999999999999</v>
      </c>
      <c r="H1596" s="603">
        <f t="shared" si="352"/>
        <v>0</v>
      </c>
      <c r="I1596" s="606">
        <f t="shared" si="353"/>
        <v>2376104.0499999998</v>
      </c>
      <c r="J1596" s="376"/>
    </row>
    <row r="1597" spans="1:10" ht="35.25" customHeight="1" thickBot="1" x14ac:dyDescent="0.35">
      <c r="A1597" s="1068"/>
      <c r="B1597" s="907"/>
      <c r="C1597" s="282" t="s">
        <v>340</v>
      </c>
      <c r="D1597" s="437" t="s">
        <v>258</v>
      </c>
      <c r="E1597" s="283"/>
      <c r="F1597" s="438">
        <f t="shared" si="351"/>
        <v>2500</v>
      </c>
      <c r="G1597" s="587">
        <v>160.44999999999999</v>
      </c>
      <c r="H1597" s="603">
        <f t="shared" si="352"/>
        <v>0</v>
      </c>
      <c r="I1597" s="606">
        <f t="shared" si="353"/>
        <v>401125</v>
      </c>
      <c r="J1597" s="376"/>
    </row>
    <row r="1598" spans="1:10" ht="35.25" customHeight="1" thickBot="1" x14ac:dyDescent="0.35">
      <c r="A1598" s="1068"/>
      <c r="B1598" s="1063" t="s">
        <v>288</v>
      </c>
      <c r="C1598" s="1064"/>
      <c r="D1598" s="909"/>
      <c r="E1598" s="329">
        <f>SUM(E1584:E1597)</f>
        <v>0</v>
      </c>
      <c r="F1598" s="329">
        <f>SUM(F1584:F1597)</f>
        <v>651052</v>
      </c>
      <c r="G1598" s="329"/>
      <c r="H1598" s="597">
        <f>SUM(H1584:H1597)</f>
        <v>0</v>
      </c>
      <c r="I1598" s="589">
        <f>SUM(I1584:I1597)</f>
        <v>42622608.459999993</v>
      </c>
      <c r="J1598" s="352"/>
    </row>
    <row r="1599" spans="1:10" ht="35.25" customHeight="1" x14ac:dyDescent="0.3">
      <c r="A1599" s="1068"/>
      <c r="B1599" s="907"/>
      <c r="C1599" s="282" t="s">
        <v>434</v>
      </c>
      <c r="D1599" s="437" t="s">
        <v>435</v>
      </c>
      <c r="E1599" s="283"/>
      <c r="F1599" s="438">
        <f t="shared" ref="F1599:F1603" si="354">+F1507+E1599</f>
        <v>250</v>
      </c>
      <c r="G1599" s="587">
        <v>5.34</v>
      </c>
      <c r="H1599" s="603">
        <f t="shared" ref="H1599:H1603" si="355">E1599*G1599</f>
        <v>0</v>
      </c>
      <c r="I1599" s="606">
        <f t="shared" ref="I1599" si="356">+G1599*F1599</f>
        <v>1335</v>
      </c>
      <c r="J1599" s="376"/>
    </row>
    <row r="1600" spans="1:10" ht="35.25" customHeight="1" x14ac:dyDescent="0.3">
      <c r="A1600" s="1068"/>
      <c r="B1600" s="907"/>
      <c r="C1600" s="282" t="s">
        <v>464</v>
      </c>
      <c r="D1600" s="437" t="s">
        <v>286</v>
      </c>
      <c r="E1600" s="283"/>
      <c r="F1600" s="438">
        <f t="shared" si="354"/>
        <v>50</v>
      </c>
      <c r="G1600" s="587">
        <v>31.73</v>
      </c>
      <c r="H1600" s="603">
        <f t="shared" si="355"/>
        <v>0</v>
      </c>
      <c r="I1600" s="606">
        <f>+G1600*F1600</f>
        <v>1586.5</v>
      </c>
      <c r="J1600" s="376"/>
    </row>
    <row r="1601" spans="1:13" ht="35.25" customHeight="1" x14ac:dyDescent="0.3">
      <c r="A1601" s="1068"/>
      <c r="B1601" s="907"/>
      <c r="C1601" s="282" t="s">
        <v>473</v>
      </c>
      <c r="D1601" s="437" t="s">
        <v>474</v>
      </c>
      <c r="E1601" s="283"/>
      <c r="F1601" s="438">
        <f t="shared" si="354"/>
        <v>2500</v>
      </c>
      <c r="G1601" s="587">
        <v>10.58</v>
      </c>
      <c r="H1601" s="603">
        <f t="shared" si="355"/>
        <v>0</v>
      </c>
      <c r="I1601" s="606">
        <f>+G1601*F1601</f>
        <v>26450</v>
      </c>
      <c r="J1601" s="376"/>
    </row>
    <row r="1602" spans="1:13" ht="35.25" customHeight="1" x14ac:dyDescent="0.3">
      <c r="A1602" s="1068"/>
      <c r="B1602" s="907"/>
      <c r="C1602" s="282" t="s">
        <v>300</v>
      </c>
      <c r="D1602" s="437" t="s">
        <v>301</v>
      </c>
      <c r="E1602" s="283">
        <v>4</v>
      </c>
      <c r="F1602" s="438">
        <f t="shared" si="354"/>
        <v>10</v>
      </c>
      <c r="G1602" s="587">
        <v>2500</v>
      </c>
      <c r="H1602" s="603">
        <f t="shared" si="355"/>
        <v>10000</v>
      </c>
      <c r="I1602" s="606">
        <f>+G1602*F1602</f>
        <v>25000</v>
      </c>
      <c r="J1602" s="376"/>
    </row>
    <row r="1603" spans="1:13" ht="35.25" customHeight="1" thickBot="1" x14ac:dyDescent="0.35">
      <c r="A1603" s="1068"/>
      <c r="B1603" s="907"/>
      <c r="C1603" s="282" t="s">
        <v>519</v>
      </c>
      <c r="D1603" s="437" t="s">
        <v>333</v>
      </c>
      <c r="E1603" s="283"/>
      <c r="F1603" s="438">
        <f t="shared" si="354"/>
        <v>124032</v>
      </c>
      <c r="G1603" s="588">
        <v>10</v>
      </c>
      <c r="H1603" s="603">
        <f t="shared" si="355"/>
        <v>0</v>
      </c>
      <c r="I1603" s="606">
        <f t="shared" ref="I1603" si="357">+G1603*F1603</f>
        <v>1240320</v>
      </c>
      <c r="J1603" s="376"/>
    </row>
    <row r="1604" spans="1:13" ht="35.25" customHeight="1" thickBot="1" x14ac:dyDescent="0.35">
      <c r="A1604" s="1068"/>
      <c r="B1604" s="1063" t="s">
        <v>294</v>
      </c>
      <c r="C1604" s="1064"/>
      <c r="D1604" s="909"/>
      <c r="E1604" s="329">
        <f>SUM(E1599:E1603)</f>
        <v>4</v>
      </c>
      <c r="F1604" s="329">
        <f>SUM(F1599:F1603)</f>
        <v>126842</v>
      </c>
      <c r="G1604" s="329"/>
      <c r="H1604" s="597">
        <f>SUM(H1599:H1603)</f>
        <v>10000</v>
      </c>
      <c r="I1604" s="589">
        <f>SUM(I1599:I1603)</f>
        <v>1294691.5</v>
      </c>
      <c r="J1604" s="376"/>
    </row>
    <row r="1605" spans="1:13" ht="35.25" customHeight="1" thickBot="1" x14ac:dyDescent="0.35">
      <c r="A1605" s="1068"/>
      <c r="B1605" s="907"/>
      <c r="C1605" s="282"/>
      <c r="D1605" s="437"/>
      <c r="E1605" s="283"/>
      <c r="F1605" s="320"/>
      <c r="G1605" s="588"/>
      <c r="H1605" s="598"/>
      <c r="I1605" s="285">
        <f t="shared" ref="I1605" si="358">+G1605*F1605</f>
        <v>0</v>
      </c>
      <c r="J1605" s="376"/>
    </row>
    <row r="1606" spans="1:13" ht="35.25" customHeight="1" thickBot="1" x14ac:dyDescent="0.35">
      <c r="A1606" s="1069"/>
      <c r="B1606" s="1063" t="s">
        <v>290</v>
      </c>
      <c r="C1606" s="1064"/>
      <c r="D1606" s="905"/>
      <c r="E1606" s="329">
        <f>+E1604+E1598+E1583</f>
        <v>261892</v>
      </c>
      <c r="F1606" s="329">
        <f>+F1604+F1598+F1583</f>
        <v>3324693.91</v>
      </c>
      <c r="G1606" s="329"/>
      <c r="H1606" s="589">
        <f>+H1598+H1583+H1604</f>
        <v>3820470.4000000004</v>
      </c>
      <c r="I1606" s="589">
        <f>+I1598+I1583+I1604</f>
        <v>103460607.73</v>
      </c>
      <c r="J1606" s="376"/>
      <c r="K1606" s="757"/>
      <c r="M1606" s="757"/>
    </row>
    <row r="1607" spans="1:13" ht="35.25" customHeight="1" x14ac:dyDescent="0.3">
      <c r="A1607" s="1067" t="s">
        <v>108</v>
      </c>
      <c r="B1607" s="907"/>
      <c r="C1607" s="282" t="s">
        <v>304</v>
      </c>
      <c r="D1607" s="437" t="s">
        <v>191</v>
      </c>
      <c r="E1607" s="283"/>
      <c r="F1607" s="438">
        <f t="shared" ref="F1607:F1627" si="359">+F1515+E1607</f>
        <v>35802</v>
      </c>
      <c r="G1607" s="612">
        <v>13.25</v>
      </c>
      <c r="H1607" s="607">
        <f t="shared" ref="H1607:H1627" si="360">E1607*G1607</f>
        <v>0</v>
      </c>
      <c r="I1607" s="606">
        <f t="shared" ref="I1607:I1627" si="361">+G1607*F1607</f>
        <v>474376.5</v>
      </c>
      <c r="J1607" s="376"/>
    </row>
    <row r="1608" spans="1:13" ht="35.25" customHeight="1" x14ac:dyDescent="0.3">
      <c r="A1608" s="1068"/>
      <c r="B1608" s="907"/>
      <c r="C1608" s="282" t="s">
        <v>305</v>
      </c>
      <c r="D1608" s="437"/>
      <c r="E1608" s="283"/>
      <c r="F1608" s="438">
        <f t="shared" si="359"/>
        <v>1</v>
      </c>
      <c r="G1608" s="613">
        <v>5000</v>
      </c>
      <c r="H1608" s="607">
        <f t="shared" si="360"/>
        <v>0</v>
      </c>
      <c r="I1608" s="606">
        <f t="shared" si="361"/>
        <v>5000</v>
      </c>
      <c r="J1608" s="376"/>
    </row>
    <row r="1609" spans="1:13" ht="35.25" customHeight="1" x14ac:dyDescent="0.3">
      <c r="A1609" s="1068"/>
      <c r="B1609" s="907"/>
      <c r="C1609" s="282" t="s">
        <v>305</v>
      </c>
      <c r="D1609" s="437"/>
      <c r="E1609" s="283"/>
      <c r="F1609" s="438">
        <f t="shared" si="359"/>
        <v>0</v>
      </c>
      <c r="G1609" s="613">
        <v>18000</v>
      </c>
      <c r="H1609" s="607">
        <f t="shared" si="360"/>
        <v>0</v>
      </c>
      <c r="I1609" s="606">
        <f t="shared" si="361"/>
        <v>0</v>
      </c>
      <c r="J1609" s="376"/>
    </row>
    <row r="1610" spans="1:13" ht="35.25" customHeight="1" x14ac:dyDescent="0.3">
      <c r="A1610" s="1068"/>
      <c r="B1610" s="907"/>
      <c r="C1610" s="282" t="s">
        <v>317</v>
      </c>
      <c r="D1610" s="437" t="s">
        <v>191</v>
      </c>
      <c r="E1610" s="283"/>
      <c r="F1610" s="438">
        <f t="shared" si="359"/>
        <v>0</v>
      </c>
      <c r="G1610" s="612">
        <v>24.93</v>
      </c>
      <c r="H1610" s="607">
        <f t="shared" si="360"/>
        <v>0</v>
      </c>
      <c r="I1610" s="606">
        <f t="shared" si="361"/>
        <v>0</v>
      </c>
      <c r="J1610" s="376"/>
    </row>
    <row r="1611" spans="1:13" ht="35.25" customHeight="1" x14ac:dyDescent="0.3">
      <c r="A1611" s="1068"/>
      <c r="B1611" s="907"/>
      <c r="C1611" s="282" t="s">
        <v>324</v>
      </c>
      <c r="D1611" s="437" t="s">
        <v>99</v>
      </c>
      <c r="E1611" s="283"/>
      <c r="F1611" s="438">
        <f t="shared" si="359"/>
        <v>0</v>
      </c>
      <c r="G1611" s="612">
        <v>26</v>
      </c>
      <c r="H1611" s="607">
        <f t="shared" si="360"/>
        <v>0</v>
      </c>
      <c r="I1611" s="606">
        <f t="shared" si="361"/>
        <v>0</v>
      </c>
      <c r="J1611" s="376"/>
    </row>
    <row r="1612" spans="1:13" ht="35.25" customHeight="1" x14ac:dyDescent="0.3">
      <c r="A1612" s="1068"/>
      <c r="B1612" s="907"/>
      <c r="C1612" s="282" t="s">
        <v>575</v>
      </c>
      <c r="D1612" s="437" t="s">
        <v>507</v>
      </c>
      <c r="E1612" s="283"/>
      <c r="F1612" s="438">
        <f t="shared" si="359"/>
        <v>246636</v>
      </c>
      <c r="G1612" s="612">
        <v>20.76</v>
      </c>
      <c r="H1612" s="607">
        <f t="shared" si="360"/>
        <v>0</v>
      </c>
      <c r="I1612" s="606">
        <f t="shared" si="361"/>
        <v>5120163.3600000003</v>
      </c>
      <c r="J1612" s="376"/>
    </row>
    <row r="1613" spans="1:13" ht="35.25" customHeight="1" x14ac:dyDescent="0.3">
      <c r="A1613" s="1068"/>
      <c r="B1613" s="907"/>
      <c r="C1613" s="282" t="s">
        <v>326</v>
      </c>
      <c r="D1613" s="437" t="s">
        <v>114</v>
      </c>
      <c r="E1613" s="283"/>
      <c r="F1613" s="438">
        <f t="shared" si="359"/>
        <v>0</v>
      </c>
      <c r="G1613" s="612">
        <v>24.93</v>
      </c>
      <c r="H1613" s="607">
        <f t="shared" si="360"/>
        <v>0</v>
      </c>
      <c r="I1613" s="606">
        <f t="shared" si="361"/>
        <v>0</v>
      </c>
      <c r="J1613" s="376"/>
    </row>
    <row r="1614" spans="1:13" ht="35.25" customHeight="1" x14ac:dyDescent="0.3">
      <c r="A1614" s="1068"/>
      <c r="B1614" s="907"/>
      <c r="C1614" s="282" t="s">
        <v>327</v>
      </c>
      <c r="D1614" s="437" t="s">
        <v>303</v>
      </c>
      <c r="E1614" s="283"/>
      <c r="F1614" s="438">
        <f t="shared" si="359"/>
        <v>0</v>
      </c>
      <c r="G1614" s="612">
        <v>24.93</v>
      </c>
      <c r="H1614" s="607">
        <f t="shared" si="360"/>
        <v>0</v>
      </c>
      <c r="I1614" s="606">
        <f t="shared" si="361"/>
        <v>0</v>
      </c>
      <c r="J1614" s="376"/>
    </row>
    <row r="1615" spans="1:13" ht="35.25" customHeight="1" x14ac:dyDescent="0.3">
      <c r="A1615" s="1068"/>
      <c r="B1615" s="907"/>
      <c r="C1615" s="282" t="s">
        <v>512</v>
      </c>
      <c r="D1615" s="437" t="s">
        <v>401</v>
      </c>
      <c r="E1615" s="283"/>
      <c r="F1615" s="438">
        <f t="shared" si="359"/>
        <v>47736</v>
      </c>
      <c r="G1615" s="612">
        <v>23.78</v>
      </c>
      <c r="H1615" s="607">
        <f t="shared" si="360"/>
        <v>0</v>
      </c>
      <c r="I1615" s="606">
        <f t="shared" si="361"/>
        <v>1135162.08</v>
      </c>
      <c r="J1615" s="376"/>
    </row>
    <row r="1616" spans="1:13" ht="35.25" customHeight="1" x14ac:dyDescent="0.3">
      <c r="A1616" s="1068"/>
      <c r="B1616" s="907"/>
      <c r="C1616" s="282" t="s">
        <v>512</v>
      </c>
      <c r="D1616" s="437" t="s">
        <v>513</v>
      </c>
      <c r="E1616" s="283"/>
      <c r="F1616" s="438">
        <f t="shared" si="359"/>
        <v>115362</v>
      </c>
      <c r="G1616" s="612">
        <v>23.78</v>
      </c>
      <c r="H1616" s="607">
        <f t="shared" si="360"/>
        <v>0</v>
      </c>
      <c r="I1616" s="606">
        <f t="shared" si="361"/>
        <v>2743308.3600000003</v>
      </c>
      <c r="J1616" s="376"/>
    </row>
    <row r="1617" spans="1:10" ht="35.25" customHeight="1" x14ac:dyDescent="0.3">
      <c r="A1617" s="1068"/>
      <c r="B1617" s="907"/>
      <c r="C1617" s="282" t="s">
        <v>394</v>
      </c>
      <c r="D1617" s="437" t="s">
        <v>338</v>
      </c>
      <c r="E1617" s="283"/>
      <c r="F1617" s="438">
        <f t="shared" si="359"/>
        <v>0</v>
      </c>
      <c r="G1617" s="612">
        <v>37.4566666666</v>
      </c>
      <c r="H1617" s="607">
        <f t="shared" si="360"/>
        <v>0</v>
      </c>
      <c r="I1617" s="606">
        <f t="shared" si="361"/>
        <v>0</v>
      </c>
      <c r="J1617" s="376"/>
    </row>
    <row r="1618" spans="1:10" ht="35.25" customHeight="1" x14ac:dyDescent="0.3">
      <c r="A1618" s="1068"/>
      <c r="B1618" s="907"/>
      <c r="C1618" s="282" t="s">
        <v>395</v>
      </c>
      <c r="D1618" s="437" t="s">
        <v>338</v>
      </c>
      <c r="E1618" s="283"/>
      <c r="F1618" s="438">
        <f t="shared" si="359"/>
        <v>22464</v>
      </c>
      <c r="G1618" s="612">
        <v>37.89</v>
      </c>
      <c r="H1618" s="607">
        <f t="shared" si="360"/>
        <v>0</v>
      </c>
      <c r="I1618" s="606">
        <f t="shared" si="361"/>
        <v>851160.96</v>
      </c>
      <c r="J1618" s="376"/>
    </row>
    <row r="1619" spans="1:10" ht="35.25" customHeight="1" x14ac:dyDescent="0.3">
      <c r="A1619" s="1068"/>
      <c r="B1619" s="907"/>
      <c r="C1619" s="282" t="s">
        <v>327</v>
      </c>
      <c r="D1619" s="437" t="s">
        <v>302</v>
      </c>
      <c r="E1619" s="283"/>
      <c r="F1619" s="438">
        <f t="shared" si="359"/>
        <v>123318</v>
      </c>
      <c r="G1619" s="612">
        <v>24.93</v>
      </c>
      <c r="H1619" s="607">
        <f t="shared" si="360"/>
        <v>0</v>
      </c>
      <c r="I1619" s="606">
        <f t="shared" si="361"/>
        <v>3074317.7399999998</v>
      </c>
      <c r="J1619" s="376"/>
    </row>
    <row r="1620" spans="1:10" ht="35.25" customHeight="1" x14ac:dyDescent="0.3">
      <c r="A1620" s="1068"/>
      <c r="B1620" s="907"/>
      <c r="C1620" s="282" t="s">
        <v>402</v>
      </c>
      <c r="D1620" s="437" t="s">
        <v>376</v>
      </c>
      <c r="E1620" s="283"/>
      <c r="F1620" s="438">
        <f t="shared" si="359"/>
        <v>0</v>
      </c>
      <c r="G1620" s="612">
        <v>24.93</v>
      </c>
      <c r="H1620" s="607">
        <f t="shared" si="360"/>
        <v>0</v>
      </c>
      <c r="I1620" s="606">
        <f t="shared" si="361"/>
        <v>0</v>
      </c>
      <c r="J1620" s="376"/>
    </row>
    <row r="1621" spans="1:10" ht="35.25" customHeight="1" x14ac:dyDescent="0.3">
      <c r="A1621" s="1068"/>
      <c r="B1621" s="907"/>
      <c r="C1621" s="282" t="s">
        <v>350</v>
      </c>
      <c r="D1621" s="437" t="s">
        <v>313</v>
      </c>
      <c r="E1621" s="283"/>
      <c r="F1621" s="438">
        <f t="shared" si="359"/>
        <v>0</v>
      </c>
      <c r="G1621" s="612">
        <v>34.26</v>
      </c>
      <c r="H1621" s="607">
        <f t="shared" si="360"/>
        <v>0</v>
      </c>
      <c r="I1621" s="606">
        <f t="shared" si="361"/>
        <v>0</v>
      </c>
      <c r="J1621" s="376"/>
    </row>
    <row r="1622" spans="1:10" ht="35.25" customHeight="1" x14ac:dyDescent="0.3">
      <c r="A1622" s="1068"/>
      <c r="B1622" s="907"/>
      <c r="C1622" s="282" t="s">
        <v>363</v>
      </c>
      <c r="D1622" s="437" t="s">
        <v>401</v>
      </c>
      <c r="E1622" s="283"/>
      <c r="F1622" s="438">
        <f t="shared" si="359"/>
        <v>0</v>
      </c>
      <c r="G1622" s="612">
        <v>37.89</v>
      </c>
      <c r="H1622" s="607">
        <f t="shared" si="360"/>
        <v>0</v>
      </c>
      <c r="I1622" s="606">
        <f t="shared" si="361"/>
        <v>0</v>
      </c>
      <c r="J1622" s="376"/>
    </row>
    <row r="1623" spans="1:10" ht="35.25" customHeight="1" x14ac:dyDescent="0.3">
      <c r="A1623" s="1068"/>
      <c r="B1623" s="907"/>
      <c r="C1623" s="282" t="s">
        <v>406</v>
      </c>
      <c r="D1623" s="437" t="s">
        <v>376</v>
      </c>
      <c r="E1623" s="283"/>
      <c r="F1623" s="438">
        <f t="shared" si="359"/>
        <v>0</v>
      </c>
      <c r="G1623" s="612">
        <v>39</v>
      </c>
      <c r="H1623" s="607">
        <f t="shared" si="360"/>
        <v>0</v>
      </c>
      <c r="I1623" s="606">
        <f t="shared" si="361"/>
        <v>0</v>
      </c>
      <c r="J1623" s="376"/>
    </row>
    <row r="1624" spans="1:10" ht="35.25" customHeight="1" x14ac:dyDescent="0.3">
      <c r="A1624" s="1068"/>
      <c r="B1624" s="907"/>
      <c r="C1624" s="282" t="s">
        <v>327</v>
      </c>
      <c r="D1624" s="437" t="s">
        <v>190</v>
      </c>
      <c r="E1624" s="283"/>
      <c r="F1624" s="438">
        <f t="shared" si="359"/>
        <v>67626</v>
      </c>
      <c r="G1624" s="612">
        <v>21.22</v>
      </c>
      <c r="H1624" s="607">
        <f t="shared" si="360"/>
        <v>0</v>
      </c>
      <c r="I1624" s="606">
        <f t="shared" si="361"/>
        <v>1435023.72</v>
      </c>
      <c r="J1624" s="376"/>
    </row>
    <row r="1625" spans="1:10" ht="35.25" customHeight="1" x14ac:dyDescent="0.3">
      <c r="A1625" s="1068"/>
      <c r="B1625" s="907"/>
      <c r="C1625" s="282" t="s">
        <v>326</v>
      </c>
      <c r="D1625" s="437" t="s">
        <v>190</v>
      </c>
      <c r="E1625" s="283"/>
      <c r="F1625" s="438">
        <f t="shared" si="359"/>
        <v>0</v>
      </c>
      <c r="G1625" s="612">
        <v>21.22</v>
      </c>
      <c r="H1625" s="607">
        <f t="shared" si="360"/>
        <v>0</v>
      </c>
      <c r="I1625" s="606">
        <f t="shared" si="361"/>
        <v>0</v>
      </c>
      <c r="J1625" s="376"/>
    </row>
    <row r="1626" spans="1:10" ht="35.25" customHeight="1" x14ac:dyDescent="0.3">
      <c r="A1626" s="1068"/>
      <c r="B1626" s="907"/>
      <c r="C1626" s="282" t="s">
        <v>377</v>
      </c>
      <c r="D1626" s="437" t="s">
        <v>333</v>
      </c>
      <c r="E1626" s="283"/>
      <c r="F1626" s="438">
        <f t="shared" si="359"/>
        <v>0</v>
      </c>
      <c r="G1626" s="612">
        <v>10000</v>
      </c>
      <c r="H1626" s="607">
        <f t="shared" si="360"/>
        <v>0</v>
      </c>
      <c r="I1626" s="606">
        <f t="shared" si="361"/>
        <v>0</v>
      </c>
      <c r="J1626" s="376"/>
    </row>
    <row r="1627" spans="1:10" ht="35.25" customHeight="1" thickBot="1" x14ac:dyDescent="0.35">
      <c r="A1627" s="1068"/>
      <c r="B1627" s="907"/>
      <c r="C1627" s="282" t="s">
        <v>332</v>
      </c>
      <c r="D1627" s="437" t="s">
        <v>333</v>
      </c>
      <c r="E1627" s="283"/>
      <c r="F1627" s="438">
        <f t="shared" si="359"/>
        <v>0</v>
      </c>
      <c r="G1627" s="612">
        <v>360</v>
      </c>
      <c r="H1627" s="607">
        <f t="shared" si="360"/>
        <v>0</v>
      </c>
      <c r="I1627" s="606">
        <f t="shared" si="361"/>
        <v>0</v>
      </c>
      <c r="J1627" s="376"/>
    </row>
    <row r="1628" spans="1:10" ht="35.25" customHeight="1" thickBot="1" x14ac:dyDescent="0.35">
      <c r="A1628" s="1069"/>
      <c r="B1628" s="1063" t="s">
        <v>289</v>
      </c>
      <c r="C1628" s="1064"/>
      <c r="D1628" s="909"/>
      <c r="E1628" s="329">
        <f>SUM(E1607:E1627)</f>
        <v>0</v>
      </c>
      <c r="F1628" s="329">
        <f>SUM(F1607:F1627)</f>
        <v>658945</v>
      </c>
      <c r="G1628" s="329"/>
      <c r="H1628" s="597">
        <f>SUM(H1607:H1627)</f>
        <v>0</v>
      </c>
      <c r="I1628" s="589">
        <f>SUM(I1607:I1627)</f>
        <v>14838512.720000003</v>
      </c>
      <c r="J1628" s="376"/>
    </row>
    <row r="1629" spans="1:10" ht="35.25" customHeight="1" x14ac:dyDescent="0.3">
      <c r="A1629" s="1067" t="s">
        <v>109</v>
      </c>
      <c r="B1629" s="907"/>
      <c r="C1629" s="282" t="s">
        <v>296</v>
      </c>
      <c r="D1629" s="437" t="s">
        <v>258</v>
      </c>
      <c r="E1629" s="283">
        <v>4800</v>
      </c>
      <c r="F1629" s="438">
        <f t="shared" ref="F1629:F1651" si="362">+F1537+E1629</f>
        <v>32930</v>
      </c>
      <c r="G1629" s="612">
        <v>430.02</v>
      </c>
      <c r="H1629" s="603">
        <f>E1629*G1629</f>
        <v>2064096</v>
      </c>
      <c r="I1629" s="606">
        <f t="shared" ref="I1629:I1651" si="363">+G1629*F1629</f>
        <v>14160558.6</v>
      </c>
      <c r="J1629" s="376"/>
    </row>
    <row r="1630" spans="1:10" ht="35.25" customHeight="1" x14ac:dyDescent="0.3">
      <c r="A1630" s="1068"/>
      <c r="B1630" s="907"/>
      <c r="C1630" s="282" t="s">
        <v>297</v>
      </c>
      <c r="D1630" s="437" t="s">
        <v>258</v>
      </c>
      <c r="E1630" s="283"/>
      <c r="F1630" s="438">
        <f t="shared" si="362"/>
        <v>4753</v>
      </c>
      <c r="G1630" s="612">
        <v>445.38</v>
      </c>
      <c r="H1630" s="603">
        <f t="shared" ref="H1630:H1651" si="364">E1630*G1630</f>
        <v>0</v>
      </c>
      <c r="I1630" s="606">
        <f t="shared" si="363"/>
        <v>2116891.14</v>
      </c>
      <c r="J1630" s="376"/>
    </row>
    <row r="1631" spans="1:10" ht="35.25" customHeight="1" x14ac:dyDescent="0.3">
      <c r="A1631" s="1068"/>
      <c r="B1631" s="907"/>
      <c r="C1631" s="282" t="s">
        <v>467</v>
      </c>
      <c r="D1631" s="437" t="s">
        <v>258</v>
      </c>
      <c r="E1631" s="283"/>
      <c r="F1631" s="438">
        <f t="shared" si="362"/>
        <v>15597</v>
      </c>
      <c r="G1631" s="612">
        <v>445.38</v>
      </c>
      <c r="H1631" s="603">
        <f t="shared" si="364"/>
        <v>0</v>
      </c>
      <c r="I1631" s="606">
        <f t="shared" si="363"/>
        <v>6946591.8600000003</v>
      </c>
      <c r="J1631" s="376"/>
    </row>
    <row r="1632" spans="1:10" ht="35.25" customHeight="1" x14ac:dyDescent="0.3">
      <c r="A1632" s="1068"/>
      <c r="B1632" s="907"/>
      <c r="C1632" s="282" t="s">
        <v>330</v>
      </c>
      <c r="D1632" s="437" t="s">
        <v>258</v>
      </c>
      <c r="E1632" s="283"/>
      <c r="F1632" s="438">
        <f t="shared" si="362"/>
        <v>0</v>
      </c>
      <c r="G1632" s="612">
        <v>63.55</v>
      </c>
      <c r="H1632" s="603">
        <f t="shared" si="364"/>
        <v>0</v>
      </c>
      <c r="I1632" s="606">
        <f t="shared" si="363"/>
        <v>0</v>
      </c>
      <c r="J1632" s="376"/>
    </row>
    <row r="1633" spans="1:10" ht="35.25" customHeight="1" x14ac:dyDescent="0.3">
      <c r="A1633" s="1068"/>
      <c r="B1633" s="907"/>
      <c r="C1633" s="282" t="s">
        <v>298</v>
      </c>
      <c r="D1633" s="437" t="s">
        <v>258</v>
      </c>
      <c r="E1633" s="283">
        <v>24852</v>
      </c>
      <c r="F1633" s="438">
        <f t="shared" si="362"/>
        <v>360220</v>
      </c>
      <c r="G1633" s="612">
        <v>71.44</v>
      </c>
      <c r="H1633" s="603">
        <f t="shared" si="364"/>
        <v>1775426.88</v>
      </c>
      <c r="I1633" s="606">
        <f t="shared" si="363"/>
        <v>25734116.800000001</v>
      </c>
      <c r="J1633" s="376"/>
    </row>
    <row r="1634" spans="1:10" ht="35.25" customHeight="1" x14ac:dyDescent="0.3">
      <c r="A1634" s="1068"/>
      <c r="B1634" s="907"/>
      <c r="C1634" s="282" t="s">
        <v>299</v>
      </c>
      <c r="D1634" s="437" t="s">
        <v>258</v>
      </c>
      <c r="E1634" s="283"/>
      <c r="F1634" s="438">
        <f t="shared" si="362"/>
        <v>300</v>
      </c>
      <c r="G1634" s="612">
        <v>36.5</v>
      </c>
      <c r="H1634" s="603">
        <f t="shared" si="364"/>
        <v>0</v>
      </c>
      <c r="I1634" s="606">
        <f t="shared" si="363"/>
        <v>10950</v>
      </c>
      <c r="J1634" s="376"/>
    </row>
    <row r="1635" spans="1:10" ht="35.25" customHeight="1" x14ac:dyDescent="0.3">
      <c r="A1635" s="1068"/>
      <c r="B1635" s="907"/>
      <c r="C1635" s="282" t="s">
        <v>514</v>
      </c>
      <c r="D1635" s="437" t="s">
        <v>258</v>
      </c>
      <c r="E1635" s="283"/>
      <c r="F1635" s="438">
        <f t="shared" si="362"/>
        <v>3914</v>
      </c>
      <c r="G1635" s="612">
        <v>320.35000000000002</v>
      </c>
      <c r="H1635" s="603">
        <f t="shared" si="364"/>
        <v>0</v>
      </c>
      <c r="I1635" s="606">
        <f t="shared" si="363"/>
        <v>1253849.9000000001</v>
      </c>
      <c r="J1635" s="376"/>
    </row>
    <row r="1636" spans="1:10" ht="35.25" customHeight="1" x14ac:dyDescent="0.3">
      <c r="A1636" s="1068"/>
      <c r="B1636" s="907"/>
      <c r="C1636" s="282" t="s">
        <v>308</v>
      </c>
      <c r="D1636" s="437" t="s">
        <v>258</v>
      </c>
      <c r="E1636" s="283"/>
      <c r="F1636" s="438">
        <f t="shared" si="362"/>
        <v>11660</v>
      </c>
      <c r="G1636" s="612">
        <v>320.35000000000002</v>
      </c>
      <c r="H1636" s="603">
        <f t="shared" si="364"/>
        <v>0</v>
      </c>
      <c r="I1636" s="606">
        <f t="shared" si="363"/>
        <v>3735281.0000000005</v>
      </c>
      <c r="J1636" s="376"/>
    </row>
    <row r="1637" spans="1:10" ht="35.25" customHeight="1" x14ac:dyDescent="0.3">
      <c r="A1637" s="1068"/>
      <c r="B1637" s="907"/>
      <c r="C1637" s="282" t="s">
        <v>322</v>
      </c>
      <c r="D1637" s="437" t="s">
        <v>258</v>
      </c>
      <c r="E1637" s="283"/>
      <c r="F1637" s="438">
        <f t="shared" si="362"/>
        <v>0</v>
      </c>
      <c r="G1637" s="612">
        <v>434.41</v>
      </c>
      <c r="H1637" s="603">
        <f t="shared" si="364"/>
        <v>0</v>
      </c>
      <c r="I1637" s="606">
        <f t="shared" si="363"/>
        <v>0</v>
      </c>
      <c r="J1637" s="376"/>
    </row>
    <row r="1638" spans="1:10" ht="35.25" customHeight="1" x14ac:dyDescent="0.3">
      <c r="A1638" s="1068"/>
      <c r="B1638" s="907"/>
      <c r="C1638" s="282" t="s">
        <v>305</v>
      </c>
      <c r="D1638" s="437" t="s">
        <v>258</v>
      </c>
      <c r="E1638" s="283"/>
      <c r="F1638" s="438">
        <f t="shared" si="362"/>
        <v>1</v>
      </c>
      <c r="G1638" s="612">
        <v>29690</v>
      </c>
      <c r="H1638" s="603">
        <f t="shared" si="364"/>
        <v>0</v>
      </c>
      <c r="I1638" s="606">
        <f t="shared" si="363"/>
        <v>29690</v>
      </c>
      <c r="J1638" s="376"/>
    </row>
    <row r="1639" spans="1:10" ht="35.25" customHeight="1" x14ac:dyDescent="0.3">
      <c r="A1639" s="1068"/>
      <c r="B1639" s="907"/>
      <c r="C1639" s="282" t="s">
        <v>305</v>
      </c>
      <c r="D1639" s="437" t="s">
        <v>258</v>
      </c>
      <c r="E1639" s="283"/>
      <c r="F1639" s="438">
        <f t="shared" si="362"/>
        <v>5</v>
      </c>
      <c r="G1639" s="612">
        <v>26445</v>
      </c>
      <c r="H1639" s="603">
        <f t="shared" si="364"/>
        <v>0</v>
      </c>
      <c r="I1639" s="606">
        <f t="shared" si="363"/>
        <v>132225</v>
      </c>
      <c r="J1639" s="376"/>
    </row>
    <row r="1640" spans="1:10" ht="35.25" customHeight="1" x14ac:dyDescent="0.3">
      <c r="A1640" s="1068"/>
      <c r="B1640" s="907"/>
      <c r="C1640" s="282" t="s">
        <v>341</v>
      </c>
      <c r="D1640" s="437" t="s">
        <v>375</v>
      </c>
      <c r="E1640" s="283"/>
      <c r="F1640" s="438">
        <f t="shared" si="362"/>
        <v>8076</v>
      </c>
      <c r="G1640" s="612">
        <v>50</v>
      </c>
      <c r="H1640" s="603">
        <f t="shared" si="364"/>
        <v>0</v>
      </c>
      <c r="I1640" s="606">
        <f t="shared" si="363"/>
        <v>403800</v>
      </c>
      <c r="J1640" s="376"/>
    </row>
    <row r="1641" spans="1:10" ht="35.25" customHeight="1" x14ac:dyDescent="0.3">
      <c r="A1641" s="1068"/>
      <c r="B1641" s="907"/>
      <c r="C1641" s="282" t="s">
        <v>341</v>
      </c>
      <c r="D1641" s="437" t="s">
        <v>375</v>
      </c>
      <c r="E1641" s="283"/>
      <c r="F1641" s="438">
        <f t="shared" si="362"/>
        <v>0</v>
      </c>
      <c r="G1641" s="612">
        <v>45</v>
      </c>
      <c r="H1641" s="603">
        <f t="shared" si="364"/>
        <v>0</v>
      </c>
      <c r="I1641" s="606">
        <f t="shared" si="363"/>
        <v>0</v>
      </c>
      <c r="J1641" s="376"/>
    </row>
    <row r="1642" spans="1:10" ht="35.25" customHeight="1" x14ac:dyDescent="0.3">
      <c r="A1642" s="1068"/>
      <c r="B1642" s="907"/>
      <c r="C1642" s="282" t="s">
        <v>364</v>
      </c>
      <c r="D1642" s="437" t="s">
        <v>428</v>
      </c>
      <c r="E1642" s="283"/>
      <c r="F1642" s="438">
        <f t="shared" si="362"/>
        <v>700</v>
      </c>
      <c r="G1642" s="612">
        <v>57.64</v>
      </c>
      <c r="H1642" s="603">
        <f t="shared" si="364"/>
        <v>0</v>
      </c>
      <c r="I1642" s="606">
        <f t="shared" si="363"/>
        <v>40348</v>
      </c>
      <c r="J1642" s="376"/>
    </row>
    <row r="1643" spans="1:10" ht="35.25" customHeight="1" x14ac:dyDescent="0.3">
      <c r="A1643" s="1068"/>
      <c r="B1643" s="907"/>
      <c r="C1643" s="282" t="s">
        <v>364</v>
      </c>
      <c r="D1643" s="437" t="s">
        <v>407</v>
      </c>
      <c r="E1643" s="283"/>
      <c r="F1643" s="438">
        <f t="shared" si="362"/>
        <v>0</v>
      </c>
      <c r="G1643" s="612">
        <v>57.64</v>
      </c>
      <c r="H1643" s="603">
        <f t="shared" si="364"/>
        <v>0</v>
      </c>
      <c r="I1643" s="606">
        <f t="shared" si="363"/>
        <v>0</v>
      </c>
      <c r="J1643" s="376"/>
    </row>
    <row r="1644" spans="1:10" ht="35.25" customHeight="1" x14ac:dyDescent="0.3">
      <c r="A1644" s="1068"/>
      <c r="B1644" s="907"/>
      <c r="C1644" s="282" t="s">
        <v>365</v>
      </c>
      <c r="D1644" s="437" t="s">
        <v>366</v>
      </c>
      <c r="E1644" s="283"/>
      <c r="F1644" s="438">
        <f t="shared" si="362"/>
        <v>7383</v>
      </c>
      <c r="G1644" s="612">
        <v>434.41</v>
      </c>
      <c r="H1644" s="603">
        <f t="shared" si="364"/>
        <v>0</v>
      </c>
      <c r="I1644" s="606">
        <f t="shared" si="363"/>
        <v>3207249.0300000003</v>
      </c>
      <c r="J1644" s="376"/>
    </row>
    <row r="1645" spans="1:10" ht="35.25" customHeight="1" x14ac:dyDescent="0.3">
      <c r="A1645" s="1068"/>
      <c r="B1645" s="907"/>
      <c r="C1645" s="282" t="s">
        <v>381</v>
      </c>
      <c r="D1645" s="437" t="s">
        <v>258</v>
      </c>
      <c r="E1645" s="283"/>
      <c r="F1645" s="438">
        <f t="shared" si="362"/>
        <v>0</v>
      </c>
      <c r="G1645" s="612">
        <v>624.26</v>
      </c>
      <c r="H1645" s="603">
        <f t="shared" si="364"/>
        <v>0</v>
      </c>
      <c r="I1645" s="606">
        <f t="shared" si="363"/>
        <v>0</v>
      </c>
      <c r="J1645" s="376"/>
    </row>
    <row r="1646" spans="1:10" ht="35.25" customHeight="1" x14ac:dyDescent="0.3">
      <c r="A1646" s="1068"/>
      <c r="B1646" s="907"/>
      <c r="C1646" s="282" t="s">
        <v>367</v>
      </c>
      <c r="D1646" s="437" t="s">
        <v>366</v>
      </c>
      <c r="E1646" s="283"/>
      <c r="F1646" s="438">
        <f t="shared" si="362"/>
        <v>5760</v>
      </c>
      <c r="G1646" s="612">
        <v>63.55</v>
      </c>
      <c r="H1646" s="603">
        <f t="shared" si="364"/>
        <v>0</v>
      </c>
      <c r="I1646" s="606">
        <f t="shared" si="363"/>
        <v>366048</v>
      </c>
      <c r="J1646" s="376"/>
    </row>
    <row r="1647" spans="1:10" ht="35.25" customHeight="1" x14ac:dyDescent="0.3">
      <c r="A1647" s="1068"/>
      <c r="B1647" s="907"/>
      <c r="C1647" s="282" t="s">
        <v>429</v>
      </c>
      <c r="D1647" s="437" t="s">
        <v>258</v>
      </c>
      <c r="E1647" s="283"/>
      <c r="F1647" s="438">
        <f t="shared" si="362"/>
        <v>157776</v>
      </c>
      <c r="G1647" s="612">
        <v>59.96</v>
      </c>
      <c r="H1647" s="603">
        <f t="shared" si="364"/>
        <v>0</v>
      </c>
      <c r="I1647" s="606">
        <f t="shared" si="363"/>
        <v>9460248.9600000009</v>
      </c>
      <c r="J1647" s="376"/>
    </row>
    <row r="1648" spans="1:10" ht="35.25" customHeight="1" x14ac:dyDescent="0.3">
      <c r="A1648" s="1068"/>
      <c r="B1648" s="907"/>
      <c r="C1648" s="282" t="s">
        <v>501</v>
      </c>
      <c r="D1648" s="437" t="s">
        <v>366</v>
      </c>
      <c r="E1648" s="283"/>
      <c r="F1648" s="438">
        <f t="shared" si="362"/>
        <v>8640</v>
      </c>
      <c r="G1648" s="612">
        <v>53.86</v>
      </c>
      <c r="H1648" s="603">
        <f t="shared" si="364"/>
        <v>0</v>
      </c>
      <c r="I1648" s="606">
        <f t="shared" si="363"/>
        <v>465350.40000000002</v>
      </c>
      <c r="J1648" s="376"/>
    </row>
    <row r="1649" spans="1:10" ht="35.25" customHeight="1" x14ac:dyDescent="0.3">
      <c r="A1649" s="1068"/>
      <c r="B1649" s="907"/>
      <c r="C1649" s="282" t="s">
        <v>446</v>
      </c>
      <c r="D1649" s="437"/>
      <c r="E1649" s="283"/>
      <c r="F1649" s="438">
        <f t="shared" si="362"/>
        <v>8318</v>
      </c>
      <c r="G1649" s="612">
        <v>360</v>
      </c>
      <c r="H1649" s="603">
        <f t="shared" si="364"/>
        <v>0</v>
      </c>
      <c r="I1649" s="606">
        <f t="shared" si="363"/>
        <v>2994480</v>
      </c>
      <c r="J1649" s="376"/>
    </row>
    <row r="1650" spans="1:10" ht="35.25" customHeight="1" x14ac:dyDescent="0.3">
      <c r="A1650" s="1068"/>
      <c r="B1650" s="907"/>
      <c r="C1650" s="282" t="s">
        <v>305</v>
      </c>
      <c r="D1650" s="437"/>
      <c r="E1650" s="283"/>
      <c r="F1650" s="438">
        <f t="shared" si="362"/>
        <v>0</v>
      </c>
      <c r="G1650" s="612">
        <v>39450</v>
      </c>
      <c r="H1650" s="603">
        <f t="shared" si="364"/>
        <v>0</v>
      </c>
      <c r="I1650" s="606">
        <f t="shared" si="363"/>
        <v>0</v>
      </c>
      <c r="J1650" s="376"/>
    </row>
    <row r="1651" spans="1:10" ht="35.25" customHeight="1" thickBot="1" x14ac:dyDescent="0.35">
      <c r="A1651" s="1068"/>
      <c r="B1651" s="907"/>
      <c r="C1651" s="282" t="s">
        <v>364</v>
      </c>
      <c r="D1651" s="437" t="s">
        <v>566</v>
      </c>
      <c r="E1651" s="283"/>
      <c r="F1651" s="438">
        <f t="shared" si="362"/>
        <v>160</v>
      </c>
      <c r="G1651" s="612">
        <v>57.64</v>
      </c>
      <c r="H1651" s="603">
        <f t="shared" si="364"/>
        <v>0</v>
      </c>
      <c r="I1651" s="606">
        <f t="shared" si="363"/>
        <v>9222.4</v>
      </c>
      <c r="J1651" s="376"/>
    </row>
    <row r="1652" spans="1:10" ht="35.25" customHeight="1" thickBot="1" x14ac:dyDescent="0.35">
      <c r="A1652" s="1069"/>
      <c r="B1652" s="1063" t="s">
        <v>291</v>
      </c>
      <c r="C1652" s="1064"/>
      <c r="D1652" s="909"/>
      <c r="E1652" s="329">
        <f>SUM(E1629:E1651)</f>
        <v>29652</v>
      </c>
      <c r="F1652" s="329">
        <f>SUM(F1629:F1651)</f>
        <v>626193</v>
      </c>
      <c r="G1652" s="329"/>
      <c r="H1652" s="600">
        <f>SUM(H1629:H1651)</f>
        <v>3839522.88</v>
      </c>
      <c r="I1652" s="589">
        <f>SUM(I1629:I1651)</f>
        <v>71066901.090000018</v>
      </c>
      <c r="J1652" s="375"/>
    </row>
    <row r="1653" spans="1:10" ht="35.25" customHeight="1" thickBot="1" x14ac:dyDescent="0.35">
      <c r="A1653" s="912"/>
      <c r="B1653" s="440"/>
      <c r="C1653" s="282" t="s">
        <v>446</v>
      </c>
      <c r="D1653" s="437"/>
      <c r="E1653" s="283"/>
      <c r="F1653" s="284">
        <f>+F1561+E1653</f>
        <v>0</v>
      </c>
      <c r="G1653" s="337"/>
      <c r="H1653" s="599">
        <f t="shared" ref="H1653" si="365">E1653*G1653</f>
        <v>0</v>
      </c>
      <c r="I1653" s="285">
        <f t="shared" ref="I1653" si="366">+G1653*F1653</f>
        <v>0</v>
      </c>
      <c r="J1653" s="376"/>
    </row>
    <row r="1654" spans="1:10" ht="35.25" customHeight="1" thickBot="1" x14ac:dyDescent="0.35">
      <c r="A1654" s="912"/>
      <c r="B1654" s="1063" t="s">
        <v>238</v>
      </c>
      <c r="C1654" s="1064"/>
      <c r="D1654" s="905"/>
      <c r="E1654" s="329"/>
      <c r="F1654" s="330"/>
      <c r="G1654" s="329"/>
      <c r="H1654" s="597"/>
      <c r="I1654" s="327">
        <f>SUM(I1653)</f>
        <v>0</v>
      </c>
      <c r="J1654" s="352"/>
    </row>
    <row r="1655" spans="1:10" ht="35.25" customHeight="1" thickBot="1" x14ac:dyDescent="0.35">
      <c r="A1655" s="322"/>
      <c r="B1655" s="1065" t="s">
        <v>182</v>
      </c>
      <c r="C1655" s="1066"/>
      <c r="D1655" s="906"/>
      <c r="E1655" s="377">
        <f>+E1652+E1628+E1606+E1604</f>
        <v>291548</v>
      </c>
      <c r="F1655" s="377">
        <f>+F1652+F1628+F1606+F1604</f>
        <v>4736673.91</v>
      </c>
      <c r="G1655" s="377"/>
      <c r="H1655" s="377"/>
      <c r="I1655" s="377">
        <f>+I1652+I1628+I1606+I1654</f>
        <v>189366021.54000002</v>
      </c>
      <c r="J1655" s="378"/>
    </row>
    <row r="1656" spans="1:10" ht="35.25" customHeight="1" x14ac:dyDescent="0.3">
      <c r="A1656" s="991" t="s">
        <v>1</v>
      </c>
      <c r="B1656" s="994" t="s">
        <v>2</v>
      </c>
      <c r="C1656" s="1072" t="s">
        <v>477</v>
      </c>
      <c r="D1656" s="1043" t="s">
        <v>478</v>
      </c>
      <c r="E1656" s="1076" t="s">
        <v>589</v>
      </c>
      <c r="F1656" s="1001"/>
      <c r="G1656" s="1001"/>
      <c r="H1656" s="1001"/>
      <c r="I1656" s="1001"/>
      <c r="J1656" s="1002"/>
    </row>
    <row r="1657" spans="1:10" ht="35.25" customHeight="1" x14ac:dyDescent="0.3">
      <c r="A1657" s="1070"/>
      <c r="B1657" s="1071"/>
      <c r="C1657" s="1073"/>
      <c r="D1657" s="1044"/>
      <c r="E1657" s="1077" t="s">
        <v>493</v>
      </c>
      <c r="F1657" s="1078"/>
      <c r="G1657" s="1077" t="s">
        <v>492</v>
      </c>
      <c r="H1657" s="1079"/>
      <c r="I1657" s="1079"/>
      <c r="J1657" s="1078"/>
    </row>
    <row r="1658" spans="1:10" ht="35.25" customHeight="1" x14ac:dyDescent="0.3">
      <c r="A1658" s="992"/>
      <c r="B1658" s="995"/>
      <c r="C1658" s="1074"/>
      <c r="D1658" s="1044"/>
      <c r="E1658" s="1003" t="s">
        <v>494</v>
      </c>
      <c r="F1658" s="1005" t="s">
        <v>495</v>
      </c>
      <c r="G1658" s="1081" t="s">
        <v>97</v>
      </c>
      <c r="H1658" s="1083" t="s">
        <v>98</v>
      </c>
      <c r="I1658" s="1083" t="s">
        <v>98</v>
      </c>
      <c r="J1658" s="1085" t="s">
        <v>12</v>
      </c>
    </row>
    <row r="1659" spans="1:10" ht="35.25" customHeight="1" thickBot="1" x14ac:dyDescent="0.35">
      <c r="A1659" s="993"/>
      <c r="B1659" s="996"/>
      <c r="C1659" s="1075"/>
      <c r="D1659" s="1045"/>
      <c r="E1659" s="1004"/>
      <c r="F1659" s="1080"/>
      <c r="G1659" s="1082"/>
      <c r="H1659" s="1084"/>
      <c r="I1659" s="1084"/>
      <c r="J1659" s="1086"/>
    </row>
    <row r="1660" spans="1:10" ht="35.25" customHeight="1" x14ac:dyDescent="0.3">
      <c r="A1660" s="1067" t="s">
        <v>110</v>
      </c>
      <c r="B1660" s="442"/>
      <c r="C1660" s="584" t="s">
        <v>565</v>
      </c>
      <c r="D1660" s="686" t="s">
        <v>436</v>
      </c>
      <c r="E1660" s="744"/>
      <c r="F1660" s="695">
        <f>+F1568+E1660</f>
        <v>23296</v>
      </c>
      <c r="G1660" s="896">
        <v>107.85</v>
      </c>
      <c r="H1660" s="601">
        <f t="shared" ref="H1660:H1674" si="367">E1660*G1660</f>
        <v>0</v>
      </c>
      <c r="I1660" s="604">
        <f>+G1660*F1660</f>
        <v>2512473.6</v>
      </c>
      <c r="J1660" s="354"/>
    </row>
    <row r="1661" spans="1:10" ht="35.25" customHeight="1" x14ac:dyDescent="0.3">
      <c r="A1661" s="1068"/>
      <c r="B1661" s="441"/>
      <c r="C1661" s="444" t="s">
        <v>285</v>
      </c>
      <c r="D1661" s="687" t="s">
        <v>286</v>
      </c>
      <c r="E1661" s="745"/>
      <c r="F1661" s="746">
        <f t="shared" ref="F1661:F1664" si="368">+F1569+E1661</f>
        <v>-25.09</v>
      </c>
      <c r="G1661" s="742">
        <v>11</v>
      </c>
      <c r="H1661" s="602">
        <f t="shared" si="367"/>
        <v>0</v>
      </c>
      <c r="I1661" s="605">
        <f>+G1661*F1661</f>
        <v>-275.99</v>
      </c>
      <c r="J1661" s="355"/>
    </row>
    <row r="1662" spans="1:10" ht="35.25" customHeight="1" x14ac:dyDescent="0.3">
      <c r="A1662" s="1068"/>
      <c r="B1662" s="441"/>
      <c r="C1662" s="444" t="s">
        <v>321</v>
      </c>
      <c r="D1662" s="687" t="s">
        <v>593</v>
      </c>
      <c r="E1662" s="745">
        <v>640</v>
      </c>
      <c r="F1662" s="746">
        <f t="shared" si="368"/>
        <v>640</v>
      </c>
      <c r="G1662" s="742">
        <v>139.04</v>
      </c>
      <c r="H1662" s="602">
        <f t="shared" si="367"/>
        <v>88985.599999999991</v>
      </c>
      <c r="I1662" s="605">
        <f t="shared" ref="I1662:I1674" si="369">+G1662*F1662</f>
        <v>88985.599999999991</v>
      </c>
      <c r="J1662" s="355"/>
    </row>
    <row r="1663" spans="1:10" ht="35.25" customHeight="1" x14ac:dyDescent="0.3">
      <c r="A1663" s="1068"/>
      <c r="B1663" s="441"/>
      <c r="C1663" s="444" t="s">
        <v>397</v>
      </c>
      <c r="D1663" s="687" t="s">
        <v>398</v>
      </c>
      <c r="E1663" s="745"/>
      <c r="F1663" s="746">
        <f t="shared" si="368"/>
        <v>895356</v>
      </c>
      <c r="G1663" s="795">
        <v>20.5</v>
      </c>
      <c r="H1663" s="602">
        <f t="shared" si="367"/>
        <v>0</v>
      </c>
      <c r="I1663" s="605">
        <f t="shared" si="369"/>
        <v>18354798</v>
      </c>
      <c r="J1663" s="355"/>
    </row>
    <row r="1664" spans="1:10" ht="35.25" customHeight="1" x14ac:dyDescent="0.3">
      <c r="A1664" s="1068"/>
      <c r="B1664" s="441"/>
      <c r="C1664" s="444" t="s">
        <v>312</v>
      </c>
      <c r="D1664" s="687" t="s">
        <v>190</v>
      </c>
      <c r="E1664" s="745"/>
      <c r="F1664" s="746">
        <f t="shared" si="368"/>
        <v>0</v>
      </c>
      <c r="G1664" s="742">
        <v>14.79</v>
      </c>
      <c r="H1664" s="602">
        <f t="shared" si="367"/>
        <v>0</v>
      </c>
      <c r="I1664" s="605">
        <f t="shared" si="369"/>
        <v>0</v>
      </c>
      <c r="J1664" s="355"/>
    </row>
    <row r="1665" spans="1:10" ht="35.25" customHeight="1" x14ac:dyDescent="0.3">
      <c r="A1665" s="1068"/>
      <c r="B1665" s="441"/>
      <c r="C1665" s="444" t="s">
        <v>321</v>
      </c>
      <c r="D1665" s="687" t="s">
        <v>286</v>
      </c>
      <c r="E1665" s="745"/>
      <c r="F1665" s="746">
        <f t="shared" ref="F1665:F1674" si="370">+F1573+E1665</f>
        <v>7435</v>
      </c>
      <c r="G1665" s="742">
        <v>139.04</v>
      </c>
      <c r="H1665" s="602">
        <f t="shared" si="367"/>
        <v>0</v>
      </c>
      <c r="I1665" s="605">
        <f t="shared" si="369"/>
        <v>1033762.3999999999</v>
      </c>
      <c r="J1665" s="355"/>
    </row>
    <row r="1666" spans="1:10" ht="35.25" customHeight="1" x14ac:dyDescent="0.3">
      <c r="A1666" s="1068"/>
      <c r="B1666" s="441"/>
      <c r="C1666" s="444" t="s">
        <v>472</v>
      </c>
      <c r="D1666" s="688" t="s">
        <v>396</v>
      </c>
      <c r="E1666" s="745">
        <v>18621</v>
      </c>
      <c r="F1666" s="746">
        <f t="shared" si="370"/>
        <v>48381</v>
      </c>
      <c r="G1666" s="742">
        <v>147.58000000000001</v>
      </c>
      <c r="H1666" s="602">
        <f t="shared" si="367"/>
        <v>2748087.18</v>
      </c>
      <c r="I1666" s="605">
        <f t="shared" si="369"/>
        <v>7140067.9800000004</v>
      </c>
      <c r="J1666" s="355"/>
    </row>
    <row r="1667" spans="1:10" ht="35.25" customHeight="1" x14ac:dyDescent="0.3">
      <c r="A1667" s="1068"/>
      <c r="B1667" s="441"/>
      <c r="C1667" s="444" t="s">
        <v>345</v>
      </c>
      <c r="D1667" s="688" t="s">
        <v>576</v>
      </c>
      <c r="E1667" s="745"/>
      <c r="F1667" s="746">
        <f t="shared" si="370"/>
        <v>48960</v>
      </c>
      <c r="G1667" s="742">
        <v>18.84</v>
      </c>
      <c r="H1667" s="602">
        <f t="shared" si="367"/>
        <v>0</v>
      </c>
      <c r="I1667" s="605">
        <f t="shared" si="369"/>
        <v>922406.40000000002</v>
      </c>
      <c r="J1667" s="355"/>
    </row>
    <row r="1668" spans="1:10" ht="35.25" customHeight="1" x14ac:dyDescent="0.3">
      <c r="A1668" s="1068"/>
      <c r="B1668" s="441"/>
      <c r="C1668" s="444" t="s">
        <v>345</v>
      </c>
      <c r="D1668" s="688" t="s">
        <v>286</v>
      </c>
      <c r="E1668" s="745"/>
      <c r="F1668" s="746">
        <f t="shared" si="370"/>
        <v>73440</v>
      </c>
      <c r="G1668" s="742">
        <v>18.84</v>
      </c>
      <c r="H1668" s="602">
        <f t="shared" si="367"/>
        <v>0</v>
      </c>
      <c r="I1668" s="605">
        <f t="shared" si="369"/>
        <v>1383609.6</v>
      </c>
      <c r="J1668" s="355"/>
    </row>
    <row r="1669" spans="1:10" ht="35.25" customHeight="1" x14ac:dyDescent="0.3">
      <c r="A1669" s="1068"/>
      <c r="B1669" s="441"/>
      <c r="C1669" s="444" t="s">
        <v>357</v>
      </c>
      <c r="D1669" s="688" t="s">
        <v>252</v>
      </c>
      <c r="E1669" s="745"/>
      <c r="F1669" s="746">
        <f t="shared" si="370"/>
        <v>550800</v>
      </c>
      <c r="G1669" s="742">
        <v>21.18</v>
      </c>
      <c r="H1669" s="602">
        <f t="shared" si="367"/>
        <v>0</v>
      </c>
      <c r="I1669" s="605">
        <f t="shared" si="369"/>
        <v>11665944</v>
      </c>
      <c r="J1669" s="355"/>
    </row>
    <row r="1670" spans="1:10" ht="35.25" customHeight="1" x14ac:dyDescent="0.3">
      <c r="A1670" s="1068"/>
      <c r="B1670" s="441"/>
      <c r="C1670" s="444" t="s">
        <v>359</v>
      </c>
      <c r="D1670" s="688" t="s">
        <v>360</v>
      </c>
      <c r="E1670" s="745"/>
      <c r="F1670" s="746">
        <f t="shared" si="370"/>
        <v>500882</v>
      </c>
      <c r="G1670" s="742">
        <v>21.28</v>
      </c>
      <c r="H1670" s="602">
        <f t="shared" si="367"/>
        <v>0</v>
      </c>
      <c r="I1670" s="605">
        <f t="shared" si="369"/>
        <v>10658768.960000001</v>
      </c>
      <c r="J1670" s="355"/>
    </row>
    <row r="1671" spans="1:10" ht="35.25" customHeight="1" x14ac:dyDescent="0.3">
      <c r="A1671" s="1068"/>
      <c r="B1671" s="441"/>
      <c r="C1671" s="444" t="s">
        <v>445</v>
      </c>
      <c r="D1671" s="688" t="s">
        <v>436</v>
      </c>
      <c r="E1671" s="745"/>
      <c r="F1671" s="746">
        <f t="shared" si="370"/>
        <v>19840</v>
      </c>
      <c r="G1671" s="742">
        <v>143.28</v>
      </c>
      <c r="H1671" s="602">
        <f t="shared" si="367"/>
        <v>0</v>
      </c>
      <c r="I1671" s="605">
        <f t="shared" si="369"/>
        <v>2842675.2000000002</v>
      </c>
      <c r="J1671" s="355"/>
    </row>
    <row r="1672" spans="1:10" ht="35.25" customHeight="1" x14ac:dyDescent="0.3">
      <c r="A1672" s="1068"/>
      <c r="B1672" s="441"/>
      <c r="C1672" s="444" t="s">
        <v>587</v>
      </c>
      <c r="D1672" s="687" t="s">
        <v>190</v>
      </c>
      <c r="E1672" s="745"/>
      <c r="F1672" s="746">
        <f t="shared" si="370"/>
        <v>397056</v>
      </c>
      <c r="G1672" s="742">
        <v>14.55</v>
      </c>
      <c r="H1672" s="602">
        <f t="shared" si="367"/>
        <v>0</v>
      </c>
      <c r="I1672" s="605">
        <f t="shared" si="369"/>
        <v>5777164.8000000007</v>
      </c>
      <c r="J1672" s="355"/>
    </row>
    <row r="1673" spans="1:10" ht="35.25" customHeight="1" x14ac:dyDescent="0.3">
      <c r="A1673" s="1068"/>
      <c r="B1673" s="441"/>
      <c r="C1673" s="444" t="s">
        <v>362</v>
      </c>
      <c r="D1673" s="688" t="s">
        <v>202</v>
      </c>
      <c r="E1673" s="745"/>
      <c r="F1673" s="746">
        <f t="shared" si="370"/>
        <v>0</v>
      </c>
      <c r="G1673" s="742">
        <v>21.28</v>
      </c>
      <c r="H1673" s="602">
        <f t="shared" si="367"/>
        <v>0</v>
      </c>
      <c r="I1673" s="605">
        <f t="shared" si="369"/>
        <v>0</v>
      </c>
      <c r="J1673" s="355"/>
    </row>
    <row r="1674" spans="1:10" ht="35.25" customHeight="1" thickBot="1" x14ac:dyDescent="0.35">
      <c r="A1674" s="1068"/>
      <c r="B1674" s="441"/>
      <c r="C1674" s="444" t="s">
        <v>374</v>
      </c>
      <c r="D1674" s="689" t="s">
        <v>191</v>
      </c>
      <c r="E1674" s="745"/>
      <c r="F1674" s="697">
        <f t="shared" si="370"/>
        <v>0</v>
      </c>
      <c r="G1674" s="742">
        <v>36.44</v>
      </c>
      <c r="H1674" s="602">
        <f t="shared" si="367"/>
        <v>0</v>
      </c>
      <c r="I1674" s="605">
        <f t="shared" si="369"/>
        <v>0</v>
      </c>
      <c r="J1674" s="355"/>
    </row>
    <row r="1675" spans="1:10" ht="35.25" customHeight="1" thickBot="1" x14ac:dyDescent="0.35">
      <c r="A1675" s="1068"/>
      <c r="B1675" s="1063" t="s">
        <v>287</v>
      </c>
      <c r="C1675" s="1064"/>
      <c r="D1675" s="922"/>
      <c r="E1675" s="329">
        <f>SUM(E1660:E1674)</f>
        <v>19261</v>
      </c>
      <c r="F1675" s="743">
        <f>SUM(F1660:F1674)</f>
        <v>2566060.91</v>
      </c>
      <c r="G1675" s="329"/>
      <c r="H1675" s="597">
        <f>SUM(H1660:H1674)</f>
        <v>2837072.7800000003</v>
      </c>
      <c r="I1675" s="589">
        <f>SUM(I1660:I1674)</f>
        <v>62380380.550000012</v>
      </c>
      <c r="J1675" s="352"/>
    </row>
    <row r="1676" spans="1:10" ht="35.25" customHeight="1" x14ac:dyDescent="0.3">
      <c r="A1676" s="1068"/>
      <c r="B1676" s="920"/>
      <c r="C1676" s="282" t="s">
        <v>293</v>
      </c>
      <c r="D1676" s="437" t="s">
        <v>258</v>
      </c>
      <c r="E1676" s="283">
        <v>8750</v>
      </c>
      <c r="F1676" s="438">
        <f t="shared" ref="F1676:F1689" si="371">+F1584+E1676</f>
        <v>69500</v>
      </c>
      <c r="G1676" s="587">
        <v>160.44999999999999</v>
      </c>
      <c r="H1676" s="603">
        <f t="shared" ref="H1676:H1689" si="372">E1676*G1676</f>
        <v>1403937.5</v>
      </c>
      <c r="I1676" s="606">
        <f t="shared" ref="I1676:I1689" si="373">+G1676*F1676</f>
        <v>11151275</v>
      </c>
      <c r="J1676" s="376"/>
    </row>
    <row r="1677" spans="1:10" ht="35.25" customHeight="1" x14ac:dyDescent="0.3">
      <c r="A1677" s="1068"/>
      <c r="B1677" s="920"/>
      <c r="C1677" s="282" t="s">
        <v>309</v>
      </c>
      <c r="D1677" s="437" t="s">
        <v>258</v>
      </c>
      <c r="E1677" s="283"/>
      <c r="F1677" s="438">
        <f t="shared" si="371"/>
        <v>17000</v>
      </c>
      <c r="G1677" s="587">
        <v>160.44999999999999</v>
      </c>
      <c r="H1677" s="603">
        <f t="shared" si="372"/>
        <v>0</v>
      </c>
      <c r="I1677" s="606">
        <f t="shared" si="373"/>
        <v>2727650</v>
      </c>
      <c r="J1677" s="376"/>
    </row>
    <row r="1678" spans="1:10" ht="35.25" customHeight="1" x14ac:dyDescent="0.3">
      <c r="A1678" s="1068"/>
      <c r="B1678" s="920"/>
      <c r="C1678" s="282" t="s">
        <v>463</v>
      </c>
      <c r="D1678" s="437" t="s">
        <v>258</v>
      </c>
      <c r="E1678" s="283"/>
      <c r="F1678" s="438">
        <f t="shared" si="371"/>
        <v>19625</v>
      </c>
      <c r="G1678" s="587">
        <v>160.44999999999999</v>
      </c>
      <c r="H1678" s="603">
        <f t="shared" si="372"/>
        <v>0</v>
      </c>
      <c r="I1678" s="606">
        <f t="shared" si="373"/>
        <v>3148831.25</v>
      </c>
      <c r="J1678" s="376"/>
    </row>
    <row r="1679" spans="1:10" ht="35.25" customHeight="1" x14ac:dyDescent="0.3">
      <c r="A1679" s="1068"/>
      <c r="B1679" s="920"/>
      <c r="C1679" s="282" t="s">
        <v>311</v>
      </c>
      <c r="D1679" s="437" t="s">
        <v>100</v>
      </c>
      <c r="E1679" s="283"/>
      <c r="F1679" s="438">
        <f t="shared" si="371"/>
        <v>37620</v>
      </c>
      <c r="G1679" s="587">
        <v>27</v>
      </c>
      <c r="H1679" s="603">
        <f t="shared" si="372"/>
        <v>0</v>
      </c>
      <c r="I1679" s="606">
        <f t="shared" si="373"/>
        <v>1015740</v>
      </c>
      <c r="J1679" s="376"/>
    </row>
    <row r="1680" spans="1:10" ht="35.25" customHeight="1" x14ac:dyDescent="0.3">
      <c r="A1680" s="1068"/>
      <c r="B1680" s="920"/>
      <c r="C1680" s="282" t="s">
        <v>311</v>
      </c>
      <c r="D1680" s="437" t="s">
        <v>318</v>
      </c>
      <c r="E1680" s="283"/>
      <c r="F1680" s="438">
        <f t="shared" si="371"/>
        <v>380160</v>
      </c>
      <c r="G1680" s="587">
        <v>27.5</v>
      </c>
      <c r="H1680" s="603">
        <f t="shared" si="372"/>
        <v>0</v>
      </c>
      <c r="I1680" s="606">
        <f t="shared" si="373"/>
        <v>10454400</v>
      </c>
      <c r="J1680" s="376"/>
    </row>
    <row r="1681" spans="1:10" ht="35.25" customHeight="1" x14ac:dyDescent="0.3">
      <c r="A1681" s="1068"/>
      <c r="B1681" s="920"/>
      <c r="C1681" s="282" t="s">
        <v>299</v>
      </c>
      <c r="D1681" s="437" t="s">
        <v>318</v>
      </c>
      <c r="E1681" s="283"/>
      <c r="F1681" s="438">
        <f t="shared" si="371"/>
        <v>12680</v>
      </c>
      <c r="G1681" s="587">
        <v>34.5</v>
      </c>
      <c r="H1681" s="603">
        <f t="shared" si="372"/>
        <v>0</v>
      </c>
      <c r="I1681" s="606">
        <f t="shared" si="373"/>
        <v>437460</v>
      </c>
      <c r="J1681" s="376"/>
    </row>
    <row r="1682" spans="1:10" ht="35.25" customHeight="1" x14ac:dyDescent="0.3">
      <c r="A1682" s="1068"/>
      <c r="B1682" s="920"/>
      <c r="C1682" s="282" t="s">
        <v>550</v>
      </c>
      <c r="D1682" s="437" t="s">
        <v>549</v>
      </c>
      <c r="E1682" s="283"/>
      <c r="F1682" s="438">
        <f t="shared" si="371"/>
        <v>31200</v>
      </c>
      <c r="G1682" s="587">
        <v>10.57</v>
      </c>
      <c r="H1682" s="603">
        <f t="shared" si="372"/>
        <v>0</v>
      </c>
      <c r="I1682" s="606">
        <f t="shared" si="373"/>
        <v>329784</v>
      </c>
      <c r="J1682" s="376"/>
    </row>
    <row r="1683" spans="1:10" ht="35.25" customHeight="1" x14ac:dyDescent="0.3">
      <c r="A1683" s="1068"/>
      <c r="B1683" s="920"/>
      <c r="C1683" s="282" t="s">
        <v>299</v>
      </c>
      <c r="D1683" s="437" t="s">
        <v>549</v>
      </c>
      <c r="E1683" s="283"/>
      <c r="F1683" s="438">
        <f t="shared" si="371"/>
        <v>26</v>
      </c>
      <c r="G1683" s="587">
        <v>55.76</v>
      </c>
      <c r="H1683" s="603">
        <f t="shared" si="372"/>
        <v>0</v>
      </c>
      <c r="I1683" s="606">
        <f t="shared" si="373"/>
        <v>1449.76</v>
      </c>
      <c r="J1683" s="376"/>
    </row>
    <row r="1684" spans="1:10" ht="35.25" customHeight="1" x14ac:dyDescent="0.3">
      <c r="A1684" s="1068"/>
      <c r="B1684" s="920"/>
      <c r="C1684" s="282" t="s">
        <v>505</v>
      </c>
      <c r="D1684" s="437" t="s">
        <v>258</v>
      </c>
      <c r="E1684" s="283">
        <v>7000</v>
      </c>
      <c r="F1684" s="438">
        <f t="shared" si="371"/>
        <v>19307</v>
      </c>
      <c r="G1684" s="587">
        <v>160.44999999999999</v>
      </c>
      <c r="H1684" s="603">
        <f t="shared" si="372"/>
        <v>1123150</v>
      </c>
      <c r="I1684" s="606">
        <f t="shared" si="373"/>
        <v>3097808.15</v>
      </c>
      <c r="J1684" s="376"/>
    </row>
    <row r="1685" spans="1:10" ht="35.25" customHeight="1" x14ac:dyDescent="0.3">
      <c r="A1685" s="1068"/>
      <c r="B1685" s="920"/>
      <c r="C1685" s="282" t="s">
        <v>388</v>
      </c>
      <c r="D1685" s="437" t="s">
        <v>258</v>
      </c>
      <c r="E1685" s="283">
        <v>875</v>
      </c>
      <c r="F1685" s="438">
        <f t="shared" si="371"/>
        <v>38750</v>
      </c>
      <c r="G1685" s="587">
        <v>160.44999999999999</v>
      </c>
      <c r="H1685" s="603">
        <f t="shared" si="372"/>
        <v>140393.75</v>
      </c>
      <c r="I1685" s="606">
        <f t="shared" si="373"/>
        <v>6217437.5</v>
      </c>
      <c r="J1685" s="376"/>
    </row>
    <row r="1686" spans="1:10" ht="35.25" customHeight="1" x14ac:dyDescent="0.3">
      <c r="A1686" s="1068"/>
      <c r="B1686" s="920"/>
      <c r="C1686" s="282" t="s">
        <v>461</v>
      </c>
      <c r="D1686" s="437" t="s">
        <v>258</v>
      </c>
      <c r="E1686" s="283"/>
      <c r="F1686" s="438">
        <f t="shared" si="371"/>
        <v>6000</v>
      </c>
      <c r="G1686" s="587">
        <v>160.44999999999999</v>
      </c>
      <c r="H1686" s="603">
        <f t="shared" si="372"/>
        <v>0</v>
      </c>
      <c r="I1686" s="606">
        <f t="shared" si="373"/>
        <v>962699.99999999988</v>
      </c>
      <c r="J1686" s="376"/>
    </row>
    <row r="1687" spans="1:10" ht="35.25" customHeight="1" x14ac:dyDescent="0.3">
      <c r="A1687" s="1068"/>
      <c r="B1687" s="920"/>
      <c r="C1687" s="282" t="s">
        <v>562</v>
      </c>
      <c r="D1687" s="437" t="s">
        <v>258</v>
      </c>
      <c r="E1687" s="283"/>
      <c r="F1687" s="438">
        <f t="shared" si="371"/>
        <v>18500</v>
      </c>
      <c r="G1687" s="587">
        <v>160.44999999999999</v>
      </c>
      <c r="H1687" s="603">
        <f t="shared" si="372"/>
        <v>0</v>
      </c>
      <c r="I1687" s="606">
        <f t="shared" si="373"/>
        <v>2968325</v>
      </c>
      <c r="J1687" s="376"/>
    </row>
    <row r="1688" spans="1:10" ht="35.25" customHeight="1" x14ac:dyDescent="0.3">
      <c r="A1688" s="1068"/>
      <c r="B1688" s="920"/>
      <c r="C1688" s="282" t="s">
        <v>331</v>
      </c>
      <c r="D1688" s="437" t="s">
        <v>258</v>
      </c>
      <c r="E1688" s="283"/>
      <c r="F1688" s="438">
        <f t="shared" si="371"/>
        <v>14809</v>
      </c>
      <c r="G1688" s="587">
        <v>160.44999999999999</v>
      </c>
      <c r="H1688" s="603">
        <f t="shared" si="372"/>
        <v>0</v>
      </c>
      <c r="I1688" s="606">
        <f t="shared" si="373"/>
        <v>2376104.0499999998</v>
      </c>
      <c r="J1688" s="376"/>
    </row>
    <row r="1689" spans="1:10" ht="35.25" customHeight="1" thickBot="1" x14ac:dyDescent="0.35">
      <c r="A1689" s="1068"/>
      <c r="B1689" s="920"/>
      <c r="C1689" s="282" t="s">
        <v>340</v>
      </c>
      <c r="D1689" s="437" t="s">
        <v>258</v>
      </c>
      <c r="E1689" s="283"/>
      <c r="F1689" s="438">
        <f t="shared" si="371"/>
        <v>2500</v>
      </c>
      <c r="G1689" s="587">
        <v>160.44999999999999</v>
      </c>
      <c r="H1689" s="603">
        <f t="shared" si="372"/>
        <v>0</v>
      </c>
      <c r="I1689" s="606">
        <f t="shared" si="373"/>
        <v>401125</v>
      </c>
      <c r="J1689" s="376"/>
    </row>
    <row r="1690" spans="1:10" ht="35.25" customHeight="1" thickBot="1" x14ac:dyDescent="0.35">
      <c r="A1690" s="1068"/>
      <c r="B1690" s="1063" t="s">
        <v>288</v>
      </c>
      <c r="C1690" s="1064"/>
      <c r="D1690" s="922"/>
      <c r="E1690" s="329">
        <f>SUM(E1676:E1689)</f>
        <v>16625</v>
      </c>
      <c r="F1690" s="329">
        <f>SUM(F1676:F1689)</f>
        <v>667677</v>
      </c>
      <c r="G1690" s="329"/>
      <c r="H1690" s="597">
        <f>SUM(H1676:H1689)</f>
        <v>2667481.25</v>
      </c>
      <c r="I1690" s="589">
        <f>SUM(I1676:I1689)</f>
        <v>45290089.709999993</v>
      </c>
      <c r="J1690" s="352"/>
    </row>
    <row r="1691" spans="1:10" ht="35.25" customHeight="1" x14ac:dyDescent="0.3">
      <c r="A1691" s="1068"/>
      <c r="B1691" s="920"/>
      <c r="C1691" s="282" t="s">
        <v>434</v>
      </c>
      <c r="D1691" s="437" t="s">
        <v>435</v>
      </c>
      <c r="E1691" s="283"/>
      <c r="F1691" s="438">
        <f>+F1599+E1691</f>
        <v>250</v>
      </c>
      <c r="G1691" s="587">
        <v>5.34</v>
      </c>
      <c r="H1691" s="603">
        <f t="shared" ref="H1691:H1697" si="374">E1691*G1691</f>
        <v>0</v>
      </c>
      <c r="I1691" s="606">
        <f t="shared" ref="I1691" si="375">+G1691*F1691</f>
        <v>1335</v>
      </c>
      <c r="J1691" s="376"/>
    </row>
    <row r="1692" spans="1:10" ht="35.25" customHeight="1" x14ac:dyDescent="0.3">
      <c r="A1692" s="1068"/>
      <c r="B1692" s="920"/>
      <c r="C1692" s="282" t="s">
        <v>464</v>
      </c>
      <c r="D1692" s="437" t="s">
        <v>286</v>
      </c>
      <c r="E1692" s="283"/>
      <c r="F1692" s="438">
        <f t="shared" ref="F1692:F1694" si="376">+F1600+E1692</f>
        <v>50</v>
      </c>
      <c r="G1692" s="587">
        <v>31.73</v>
      </c>
      <c r="H1692" s="603">
        <f t="shared" si="374"/>
        <v>0</v>
      </c>
      <c r="I1692" s="606">
        <f>+G1692*F1692</f>
        <v>1586.5</v>
      </c>
      <c r="J1692" s="376"/>
    </row>
    <row r="1693" spans="1:10" ht="35.25" customHeight="1" x14ac:dyDescent="0.3">
      <c r="A1693" s="1068"/>
      <c r="B1693" s="920"/>
      <c r="C1693" s="282" t="s">
        <v>473</v>
      </c>
      <c r="D1693" s="437" t="s">
        <v>474</v>
      </c>
      <c r="E1693" s="283"/>
      <c r="F1693" s="438">
        <f t="shared" si="376"/>
        <v>2500</v>
      </c>
      <c r="G1693" s="587">
        <v>10.58</v>
      </c>
      <c r="H1693" s="603">
        <f t="shared" si="374"/>
        <v>0</v>
      </c>
      <c r="I1693" s="606">
        <f>+G1693*F1693</f>
        <v>26450</v>
      </c>
      <c r="J1693" s="376"/>
    </row>
    <row r="1694" spans="1:10" ht="35.25" customHeight="1" x14ac:dyDescent="0.3">
      <c r="A1694" s="1068"/>
      <c r="B1694" s="926"/>
      <c r="C1694" s="282" t="s">
        <v>300</v>
      </c>
      <c r="D1694" s="437" t="s">
        <v>301</v>
      </c>
      <c r="E1694" s="283"/>
      <c r="F1694" s="438">
        <f t="shared" si="376"/>
        <v>10</v>
      </c>
      <c r="G1694" s="587">
        <v>2500</v>
      </c>
      <c r="H1694" s="603">
        <f t="shared" ref="H1694:H1695" si="377">E1694*G1694</f>
        <v>0</v>
      </c>
      <c r="I1694" s="606">
        <f>+G1694*F1694</f>
        <v>25000</v>
      </c>
      <c r="J1694" s="376"/>
    </row>
    <row r="1695" spans="1:10" ht="35.25" customHeight="1" x14ac:dyDescent="0.3">
      <c r="A1695" s="1068"/>
      <c r="B1695" s="926"/>
      <c r="C1695" s="282" t="s">
        <v>594</v>
      </c>
      <c r="D1695" s="437"/>
      <c r="E1695" s="283">
        <v>1</v>
      </c>
      <c r="F1695" s="438">
        <f>+E1695</f>
        <v>1</v>
      </c>
      <c r="G1695" s="587">
        <v>30000</v>
      </c>
      <c r="H1695" s="603">
        <f t="shared" si="377"/>
        <v>30000</v>
      </c>
      <c r="I1695" s="606">
        <f>+G1695*F1695</f>
        <v>30000</v>
      </c>
      <c r="J1695" s="376"/>
    </row>
    <row r="1696" spans="1:10" ht="35.25" customHeight="1" x14ac:dyDescent="0.3">
      <c r="A1696" s="1068"/>
      <c r="B1696" s="920"/>
      <c r="C1696" s="282" t="s">
        <v>446</v>
      </c>
      <c r="D1696" s="437" t="s">
        <v>333</v>
      </c>
      <c r="E1696" s="283">
        <v>12676</v>
      </c>
      <c r="F1696" s="438">
        <f>+E1696</f>
        <v>12676</v>
      </c>
      <c r="G1696" s="587">
        <v>360</v>
      </c>
      <c r="H1696" s="603">
        <f t="shared" si="374"/>
        <v>4563360</v>
      </c>
      <c r="I1696" s="606">
        <f>+G1696*F1696</f>
        <v>4563360</v>
      </c>
      <c r="J1696" s="376"/>
    </row>
    <row r="1697" spans="1:13" ht="35.25" customHeight="1" thickBot="1" x14ac:dyDescent="0.35">
      <c r="A1697" s="1068"/>
      <c r="B1697" s="920"/>
      <c r="C1697" s="282" t="s">
        <v>519</v>
      </c>
      <c r="D1697" s="437" t="s">
        <v>333</v>
      </c>
      <c r="E1697" s="283"/>
      <c r="F1697" s="438">
        <f>+F1603+E1697</f>
        <v>124032</v>
      </c>
      <c r="G1697" s="588">
        <v>10</v>
      </c>
      <c r="H1697" s="603">
        <f t="shared" si="374"/>
        <v>0</v>
      </c>
      <c r="I1697" s="606">
        <f t="shared" ref="I1697" si="378">+G1697*F1697</f>
        <v>1240320</v>
      </c>
      <c r="J1697" s="376"/>
    </row>
    <row r="1698" spans="1:13" ht="35.25" customHeight="1" thickBot="1" x14ac:dyDescent="0.35">
      <c r="A1698" s="1068"/>
      <c r="B1698" s="1063" t="s">
        <v>294</v>
      </c>
      <c r="C1698" s="1064"/>
      <c r="D1698" s="922"/>
      <c r="E1698" s="329">
        <f>SUM(E1691:E1697)</f>
        <v>12677</v>
      </c>
      <c r="F1698" s="329">
        <f>SUM(F1691:F1697)</f>
        <v>139519</v>
      </c>
      <c r="G1698" s="329"/>
      <c r="H1698" s="597">
        <f>SUM(H1691:H1697)</f>
        <v>4593360</v>
      </c>
      <c r="I1698" s="589">
        <f>SUM(I1691:I1697)</f>
        <v>5888051.5</v>
      </c>
      <c r="J1698" s="376"/>
    </row>
    <row r="1699" spans="1:13" ht="35.25" customHeight="1" thickBot="1" x14ac:dyDescent="0.35">
      <c r="A1699" s="1068"/>
      <c r="B1699" s="920"/>
      <c r="C1699" s="282"/>
      <c r="D1699" s="437"/>
      <c r="E1699" s="283"/>
      <c r="F1699" s="320"/>
      <c r="G1699" s="588"/>
      <c r="H1699" s="598"/>
      <c r="I1699" s="285">
        <f t="shared" ref="I1699" si="379">+G1699*F1699</f>
        <v>0</v>
      </c>
      <c r="J1699" s="376"/>
    </row>
    <row r="1700" spans="1:13" ht="35.25" customHeight="1" thickBot="1" x14ac:dyDescent="0.35">
      <c r="A1700" s="1069"/>
      <c r="B1700" s="1063" t="s">
        <v>290</v>
      </c>
      <c r="C1700" s="1064"/>
      <c r="D1700" s="918"/>
      <c r="E1700" s="329">
        <f>+E1698+E1690+E1675</f>
        <v>48563</v>
      </c>
      <c r="F1700" s="329">
        <f>+F1698+F1690+F1675</f>
        <v>3373256.91</v>
      </c>
      <c r="G1700" s="329"/>
      <c r="H1700" s="589">
        <f>+H1690+H1675+H1698</f>
        <v>10097914.030000001</v>
      </c>
      <c r="I1700" s="589">
        <f>+I1690+I1675+I1698</f>
        <v>113558521.76000001</v>
      </c>
      <c r="J1700" s="376"/>
      <c r="K1700" s="757"/>
      <c r="M1700" s="757"/>
    </row>
    <row r="1701" spans="1:13" ht="35.25" customHeight="1" x14ac:dyDescent="0.3">
      <c r="A1701" s="1067" t="s">
        <v>108</v>
      </c>
      <c r="B1701" s="920"/>
      <c r="C1701" s="282" t="s">
        <v>304</v>
      </c>
      <c r="D1701" s="437" t="s">
        <v>191</v>
      </c>
      <c r="E1701" s="283"/>
      <c r="F1701" s="438">
        <f t="shared" ref="F1701:F1721" si="380">+F1607+E1701</f>
        <v>35802</v>
      </c>
      <c r="G1701" s="612">
        <v>13.25</v>
      </c>
      <c r="H1701" s="607">
        <f t="shared" ref="H1701:H1721" si="381">E1701*G1701</f>
        <v>0</v>
      </c>
      <c r="I1701" s="606">
        <f t="shared" ref="I1701:I1721" si="382">+G1701*F1701</f>
        <v>474376.5</v>
      </c>
      <c r="J1701" s="376"/>
    </row>
    <row r="1702" spans="1:13" ht="35.25" customHeight="1" x14ac:dyDescent="0.3">
      <c r="A1702" s="1068"/>
      <c r="B1702" s="920"/>
      <c r="C1702" s="282" t="s">
        <v>305</v>
      </c>
      <c r="D1702" s="437"/>
      <c r="E1702" s="283"/>
      <c r="F1702" s="438">
        <f t="shared" si="380"/>
        <v>1</v>
      </c>
      <c r="G1702" s="613">
        <v>5000</v>
      </c>
      <c r="H1702" s="607">
        <f t="shared" si="381"/>
        <v>0</v>
      </c>
      <c r="I1702" s="606">
        <f t="shared" si="382"/>
        <v>5000</v>
      </c>
      <c r="J1702" s="376"/>
    </row>
    <row r="1703" spans="1:13" ht="35.25" customHeight="1" x14ac:dyDescent="0.3">
      <c r="A1703" s="1068"/>
      <c r="B1703" s="920"/>
      <c r="C1703" s="282" t="s">
        <v>305</v>
      </c>
      <c r="D1703" s="437"/>
      <c r="E1703" s="283"/>
      <c r="F1703" s="438">
        <f t="shared" si="380"/>
        <v>0</v>
      </c>
      <c r="G1703" s="613">
        <v>18000</v>
      </c>
      <c r="H1703" s="607">
        <f t="shared" si="381"/>
        <v>0</v>
      </c>
      <c r="I1703" s="606">
        <f t="shared" si="382"/>
        <v>0</v>
      </c>
      <c r="J1703" s="376"/>
    </row>
    <row r="1704" spans="1:13" ht="35.25" customHeight="1" x14ac:dyDescent="0.3">
      <c r="A1704" s="1068"/>
      <c r="B1704" s="920"/>
      <c r="C1704" s="282" t="s">
        <v>317</v>
      </c>
      <c r="D1704" s="437" t="s">
        <v>191</v>
      </c>
      <c r="E1704" s="283"/>
      <c r="F1704" s="438">
        <f t="shared" si="380"/>
        <v>0</v>
      </c>
      <c r="G1704" s="612">
        <v>24.93</v>
      </c>
      <c r="H1704" s="607">
        <f t="shared" si="381"/>
        <v>0</v>
      </c>
      <c r="I1704" s="606">
        <f t="shared" si="382"/>
        <v>0</v>
      </c>
      <c r="J1704" s="376"/>
    </row>
    <row r="1705" spans="1:13" ht="35.25" customHeight="1" x14ac:dyDescent="0.3">
      <c r="A1705" s="1068"/>
      <c r="B1705" s="920"/>
      <c r="C1705" s="282" t="s">
        <v>324</v>
      </c>
      <c r="D1705" s="437" t="s">
        <v>99</v>
      </c>
      <c r="E1705" s="283"/>
      <c r="F1705" s="438">
        <f t="shared" si="380"/>
        <v>0</v>
      </c>
      <c r="G1705" s="612">
        <v>26</v>
      </c>
      <c r="H1705" s="607">
        <f t="shared" si="381"/>
        <v>0</v>
      </c>
      <c r="I1705" s="606">
        <f t="shared" si="382"/>
        <v>0</v>
      </c>
      <c r="J1705" s="376"/>
    </row>
    <row r="1706" spans="1:13" ht="35.25" customHeight="1" x14ac:dyDescent="0.3">
      <c r="A1706" s="1068"/>
      <c r="B1706" s="920"/>
      <c r="C1706" s="282" t="s">
        <v>575</v>
      </c>
      <c r="D1706" s="437" t="s">
        <v>507</v>
      </c>
      <c r="E1706" s="283"/>
      <c r="F1706" s="438">
        <f t="shared" si="380"/>
        <v>246636</v>
      </c>
      <c r="G1706" s="612">
        <v>20.76</v>
      </c>
      <c r="H1706" s="607">
        <f t="shared" si="381"/>
        <v>0</v>
      </c>
      <c r="I1706" s="606">
        <f t="shared" si="382"/>
        <v>5120163.3600000003</v>
      </c>
      <c r="J1706" s="376"/>
    </row>
    <row r="1707" spans="1:13" ht="35.25" customHeight="1" x14ac:dyDescent="0.3">
      <c r="A1707" s="1068"/>
      <c r="B1707" s="920"/>
      <c r="C1707" s="282" t="s">
        <v>326</v>
      </c>
      <c r="D1707" s="437" t="s">
        <v>114</v>
      </c>
      <c r="E1707" s="283"/>
      <c r="F1707" s="438">
        <f t="shared" si="380"/>
        <v>0</v>
      </c>
      <c r="G1707" s="612">
        <v>24.93</v>
      </c>
      <c r="H1707" s="607">
        <f t="shared" si="381"/>
        <v>0</v>
      </c>
      <c r="I1707" s="606">
        <f t="shared" si="382"/>
        <v>0</v>
      </c>
      <c r="J1707" s="376"/>
    </row>
    <row r="1708" spans="1:13" ht="35.25" customHeight="1" x14ac:dyDescent="0.3">
      <c r="A1708" s="1068"/>
      <c r="B1708" s="920"/>
      <c r="C1708" s="282" t="s">
        <v>327</v>
      </c>
      <c r="D1708" s="437" t="s">
        <v>303</v>
      </c>
      <c r="E1708" s="283"/>
      <c r="F1708" s="438">
        <f t="shared" si="380"/>
        <v>0</v>
      </c>
      <c r="G1708" s="612">
        <v>24.93</v>
      </c>
      <c r="H1708" s="607">
        <f t="shared" si="381"/>
        <v>0</v>
      </c>
      <c r="I1708" s="606">
        <f t="shared" si="382"/>
        <v>0</v>
      </c>
      <c r="J1708" s="376"/>
    </row>
    <row r="1709" spans="1:13" ht="35.25" customHeight="1" x14ac:dyDescent="0.3">
      <c r="A1709" s="1068"/>
      <c r="B1709" s="920"/>
      <c r="C1709" s="282" t="s">
        <v>512</v>
      </c>
      <c r="D1709" s="437" t="s">
        <v>401</v>
      </c>
      <c r="E1709" s="283"/>
      <c r="F1709" s="438">
        <f t="shared" si="380"/>
        <v>47736</v>
      </c>
      <c r="G1709" s="612">
        <v>23.78</v>
      </c>
      <c r="H1709" s="607">
        <f t="shared" si="381"/>
        <v>0</v>
      </c>
      <c r="I1709" s="606">
        <f t="shared" si="382"/>
        <v>1135162.08</v>
      </c>
      <c r="J1709" s="376"/>
    </row>
    <row r="1710" spans="1:13" ht="35.25" customHeight="1" x14ac:dyDescent="0.3">
      <c r="A1710" s="1068"/>
      <c r="B1710" s="920"/>
      <c r="C1710" s="282" t="s">
        <v>512</v>
      </c>
      <c r="D1710" s="437" t="s">
        <v>513</v>
      </c>
      <c r="E1710" s="283"/>
      <c r="F1710" s="438">
        <f t="shared" si="380"/>
        <v>115362</v>
      </c>
      <c r="G1710" s="612">
        <v>23.78</v>
      </c>
      <c r="H1710" s="607">
        <f t="shared" si="381"/>
        <v>0</v>
      </c>
      <c r="I1710" s="606">
        <f t="shared" si="382"/>
        <v>2743308.3600000003</v>
      </c>
      <c r="J1710" s="376"/>
    </row>
    <row r="1711" spans="1:13" ht="35.25" customHeight="1" x14ac:dyDescent="0.3">
      <c r="A1711" s="1068"/>
      <c r="B1711" s="920"/>
      <c r="C1711" s="282" t="s">
        <v>394</v>
      </c>
      <c r="D1711" s="437" t="s">
        <v>338</v>
      </c>
      <c r="E1711" s="283"/>
      <c r="F1711" s="438">
        <f t="shared" si="380"/>
        <v>0</v>
      </c>
      <c r="G1711" s="612">
        <v>37.4566666666</v>
      </c>
      <c r="H1711" s="607">
        <f t="shared" si="381"/>
        <v>0</v>
      </c>
      <c r="I1711" s="606">
        <f t="shared" si="382"/>
        <v>0</v>
      </c>
      <c r="J1711" s="376"/>
    </row>
    <row r="1712" spans="1:13" ht="35.25" customHeight="1" x14ac:dyDescent="0.3">
      <c r="A1712" s="1068"/>
      <c r="B1712" s="920"/>
      <c r="C1712" s="282" t="s">
        <v>395</v>
      </c>
      <c r="D1712" s="437" t="s">
        <v>338</v>
      </c>
      <c r="E1712" s="283"/>
      <c r="F1712" s="438">
        <f t="shared" si="380"/>
        <v>22464</v>
      </c>
      <c r="G1712" s="612">
        <v>37.89</v>
      </c>
      <c r="H1712" s="607">
        <f t="shared" si="381"/>
        <v>0</v>
      </c>
      <c r="I1712" s="606">
        <f t="shared" si="382"/>
        <v>851160.96</v>
      </c>
      <c r="J1712" s="376"/>
    </row>
    <row r="1713" spans="1:10" ht="35.25" customHeight="1" x14ac:dyDescent="0.3">
      <c r="A1713" s="1068"/>
      <c r="B1713" s="920"/>
      <c r="C1713" s="282" t="s">
        <v>327</v>
      </c>
      <c r="D1713" s="437" t="s">
        <v>302</v>
      </c>
      <c r="E1713" s="283"/>
      <c r="F1713" s="438">
        <f t="shared" si="380"/>
        <v>123318</v>
      </c>
      <c r="G1713" s="612">
        <v>24.93</v>
      </c>
      <c r="H1713" s="607">
        <f t="shared" si="381"/>
        <v>0</v>
      </c>
      <c r="I1713" s="606">
        <f t="shared" si="382"/>
        <v>3074317.7399999998</v>
      </c>
      <c r="J1713" s="376"/>
    </row>
    <row r="1714" spans="1:10" ht="35.25" customHeight="1" x14ac:dyDescent="0.3">
      <c r="A1714" s="1068"/>
      <c r="B1714" s="920"/>
      <c r="C1714" s="282" t="s">
        <v>402</v>
      </c>
      <c r="D1714" s="437" t="s">
        <v>376</v>
      </c>
      <c r="E1714" s="283"/>
      <c r="F1714" s="438">
        <f t="shared" si="380"/>
        <v>0</v>
      </c>
      <c r="G1714" s="612">
        <v>24.93</v>
      </c>
      <c r="H1714" s="607">
        <f t="shared" si="381"/>
        <v>0</v>
      </c>
      <c r="I1714" s="606">
        <f t="shared" si="382"/>
        <v>0</v>
      </c>
      <c r="J1714" s="376"/>
    </row>
    <row r="1715" spans="1:10" ht="35.25" customHeight="1" x14ac:dyDescent="0.3">
      <c r="A1715" s="1068"/>
      <c r="B1715" s="920"/>
      <c r="C1715" s="282" t="s">
        <v>350</v>
      </c>
      <c r="D1715" s="437" t="s">
        <v>313</v>
      </c>
      <c r="E1715" s="283"/>
      <c r="F1715" s="438">
        <f t="shared" si="380"/>
        <v>0</v>
      </c>
      <c r="G1715" s="612">
        <v>34.26</v>
      </c>
      <c r="H1715" s="607">
        <f t="shared" si="381"/>
        <v>0</v>
      </c>
      <c r="I1715" s="606">
        <f t="shared" si="382"/>
        <v>0</v>
      </c>
      <c r="J1715" s="376"/>
    </row>
    <row r="1716" spans="1:10" ht="35.25" customHeight="1" x14ac:dyDescent="0.3">
      <c r="A1716" s="1068"/>
      <c r="B1716" s="920"/>
      <c r="C1716" s="282" t="s">
        <v>363</v>
      </c>
      <c r="D1716" s="437" t="s">
        <v>401</v>
      </c>
      <c r="E1716" s="283"/>
      <c r="F1716" s="438">
        <f t="shared" si="380"/>
        <v>0</v>
      </c>
      <c r="G1716" s="612">
        <v>37.89</v>
      </c>
      <c r="H1716" s="607">
        <f t="shared" si="381"/>
        <v>0</v>
      </c>
      <c r="I1716" s="606">
        <f t="shared" si="382"/>
        <v>0</v>
      </c>
      <c r="J1716" s="376"/>
    </row>
    <row r="1717" spans="1:10" ht="35.25" customHeight="1" x14ac:dyDescent="0.3">
      <c r="A1717" s="1068"/>
      <c r="B1717" s="920"/>
      <c r="C1717" s="282" t="s">
        <v>406</v>
      </c>
      <c r="D1717" s="437" t="s">
        <v>376</v>
      </c>
      <c r="E1717" s="283"/>
      <c r="F1717" s="438">
        <f t="shared" si="380"/>
        <v>0</v>
      </c>
      <c r="G1717" s="612">
        <v>39</v>
      </c>
      <c r="H1717" s="607">
        <f t="shared" si="381"/>
        <v>0</v>
      </c>
      <c r="I1717" s="606">
        <f t="shared" si="382"/>
        <v>0</v>
      </c>
      <c r="J1717" s="376"/>
    </row>
    <row r="1718" spans="1:10" ht="35.25" customHeight="1" x14ac:dyDescent="0.3">
      <c r="A1718" s="1068"/>
      <c r="B1718" s="920"/>
      <c r="C1718" s="282" t="s">
        <v>327</v>
      </c>
      <c r="D1718" s="437" t="s">
        <v>190</v>
      </c>
      <c r="E1718" s="283"/>
      <c r="F1718" s="438">
        <f t="shared" si="380"/>
        <v>67626</v>
      </c>
      <c r="G1718" s="612">
        <v>21.22</v>
      </c>
      <c r="H1718" s="607">
        <f t="shared" si="381"/>
        <v>0</v>
      </c>
      <c r="I1718" s="606">
        <f t="shared" si="382"/>
        <v>1435023.72</v>
      </c>
      <c r="J1718" s="376"/>
    </row>
    <row r="1719" spans="1:10" ht="35.25" customHeight="1" x14ac:dyDescent="0.3">
      <c r="A1719" s="1068"/>
      <c r="B1719" s="920"/>
      <c r="C1719" s="282" t="s">
        <v>326</v>
      </c>
      <c r="D1719" s="437" t="s">
        <v>190</v>
      </c>
      <c r="E1719" s="283"/>
      <c r="F1719" s="438">
        <f t="shared" si="380"/>
        <v>0</v>
      </c>
      <c r="G1719" s="612">
        <v>21.22</v>
      </c>
      <c r="H1719" s="607">
        <f t="shared" si="381"/>
        <v>0</v>
      </c>
      <c r="I1719" s="606">
        <f t="shared" si="382"/>
        <v>0</v>
      </c>
      <c r="J1719" s="376"/>
    </row>
    <row r="1720" spans="1:10" ht="35.25" customHeight="1" x14ac:dyDescent="0.3">
      <c r="A1720" s="1068"/>
      <c r="B1720" s="920"/>
      <c r="C1720" s="282" t="s">
        <v>377</v>
      </c>
      <c r="D1720" s="437" t="s">
        <v>333</v>
      </c>
      <c r="E1720" s="283"/>
      <c r="F1720" s="438">
        <f t="shared" si="380"/>
        <v>0</v>
      </c>
      <c r="G1720" s="612">
        <v>10000</v>
      </c>
      <c r="H1720" s="607">
        <f t="shared" si="381"/>
        <v>0</v>
      </c>
      <c r="I1720" s="606">
        <f t="shared" si="382"/>
        <v>0</v>
      </c>
      <c r="J1720" s="376"/>
    </row>
    <row r="1721" spans="1:10" ht="35.25" customHeight="1" thickBot="1" x14ac:dyDescent="0.35">
      <c r="A1721" s="1068"/>
      <c r="B1721" s="920"/>
      <c r="C1721" s="282" t="s">
        <v>332</v>
      </c>
      <c r="D1721" s="437" t="s">
        <v>333</v>
      </c>
      <c r="E1721" s="283"/>
      <c r="F1721" s="438">
        <f t="shared" si="380"/>
        <v>0</v>
      </c>
      <c r="G1721" s="612">
        <v>360</v>
      </c>
      <c r="H1721" s="607">
        <f t="shared" si="381"/>
        <v>0</v>
      </c>
      <c r="I1721" s="606">
        <f t="shared" si="382"/>
        <v>0</v>
      </c>
      <c r="J1721" s="376"/>
    </row>
    <row r="1722" spans="1:10" ht="35.25" customHeight="1" thickBot="1" x14ac:dyDescent="0.35">
      <c r="A1722" s="1069"/>
      <c r="B1722" s="1063" t="s">
        <v>289</v>
      </c>
      <c r="C1722" s="1064"/>
      <c r="D1722" s="922"/>
      <c r="E1722" s="329">
        <f>SUM(E1701:E1721)</f>
        <v>0</v>
      </c>
      <c r="F1722" s="329">
        <f>SUM(F1701:F1721)</f>
        <v>658945</v>
      </c>
      <c r="G1722" s="329"/>
      <c r="H1722" s="597">
        <f>SUM(H1701:H1721)</f>
        <v>0</v>
      </c>
      <c r="I1722" s="589">
        <f>SUM(I1701:I1721)</f>
        <v>14838512.720000003</v>
      </c>
      <c r="J1722" s="376"/>
    </row>
    <row r="1723" spans="1:10" ht="35.25" customHeight="1" x14ac:dyDescent="0.3">
      <c r="A1723" s="1067" t="s">
        <v>109</v>
      </c>
      <c r="B1723" s="920"/>
      <c r="C1723" s="282" t="s">
        <v>296</v>
      </c>
      <c r="D1723" s="437" t="s">
        <v>258</v>
      </c>
      <c r="E1723" s="283">
        <v>19920</v>
      </c>
      <c r="F1723" s="438">
        <f t="shared" ref="F1723:F1745" si="383">+F1629+E1723</f>
        <v>52850</v>
      </c>
      <c r="G1723" s="612">
        <v>430.02</v>
      </c>
      <c r="H1723" s="603">
        <f>E1723*G1723</f>
        <v>8565998.4000000004</v>
      </c>
      <c r="I1723" s="606">
        <f t="shared" ref="I1723:I1745" si="384">+G1723*F1723</f>
        <v>22726557</v>
      </c>
      <c r="J1723" s="376"/>
    </row>
    <row r="1724" spans="1:10" ht="35.25" customHeight="1" x14ac:dyDescent="0.3">
      <c r="A1724" s="1068"/>
      <c r="B1724" s="920"/>
      <c r="C1724" s="282" t="s">
        <v>297</v>
      </c>
      <c r="D1724" s="437" t="s">
        <v>258</v>
      </c>
      <c r="E1724" s="283"/>
      <c r="F1724" s="438">
        <f t="shared" si="383"/>
        <v>4753</v>
      </c>
      <c r="G1724" s="612">
        <v>445.38</v>
      </c>
      <c r="H1724" s="603">
        <f t="shared" ref="H1724:H1745" si="385">E1724*G1724</f>
        <v>0</v>
      </c>
      <c r="I1724" s="606">
        <f t="shared" si="384"/>
        <v>2116891.14</v>
      </c>
      <c r="J1724" s="376"/>
    </row>
    <row r="1725" spans="1:10" ht="35.25" customHeight="1" x14ac:dyDescent="0.3">
      <c r="A1725" s="1068"/>
      <c r="B1725" s="920"/>
      <c r="C1725" s="282" t="s">
        <v>467</v>
      </c>
      <c r="D1725" s="437" t="s">
        <v>258</v>
      </c>
      <c r="E1725" s="283"/>
      <c r="F1725" s="438">
        <f t="shared" si="383"/>
        <v>15597</v>
      </c>
      <c r="G1725" s="612">
        <v>445.38</v>
      </c>
      <c r="H1725" s="603">
        <f t="shared" si="385"/>
        <v>0</v>
      </c>
      <c r="I1725" s="606">
        <f t="shared" si="384"/>
        <v>6946591.8600000003</v>
      </c>
      <c r="J1725" s="376"/>
    </row>
    <row r="1726" spans="1:10" ht="35.25" customHeight="1" x14ac:dyDescent="0.3">
      <c r="A1726" s="1068"/>
      <c r="B1726" s="920"/>
      <c r="C1726" s="282" t="s">
        <v>330</v>
      </c>
      <c r="D1726" s="437" t="s">
        <v>258</v>
      </c>
      <c r="E1726" s="283"/>
      <c r="F1726" s="438">
        <f t="shared" si="383"/>
        <v>0</v>
      </c>
      <c r="G1726" s="612">
        <v>63.55</v>
      </c>
      <c r="H1726" s="603">
        <f t="shared" si="385"/>
        <v>0</v>
      </c>
      <c r="I1726" s="606">
        <f t="shared" si="384"/>
        <v>0</v>
      </c>
      <c r="J1726" s="376"/>
    </row>
    <row r="1727" spans="1:10" ht="35.25" customHeight="1" x14ac:dyDescent="0.3">
      <c r="A1727" s="1068"/>
      <c r="B1727" s="920"/>
      <c r="C1727" s="282" t="s">
        <v>298</v>
      </c>
      <c r="D1727" s="437" t="s">
        <v>258</v>
      </c>
      <c r="E1727" s="283">
        <v>102480</v>
      </c>
      <c r="F1727" s="438">
        <f t="shared" si="383"/>
        <v>462700</v>
      </c>
      <c r="G1727" s="612">
        <v>71.44</v>
      </c>
      <c r="H1727" s="603">
        <f t="shared" si="385"/>
        <v>7321171.2000000002</v>
      </c>
      <c r="I1727" s="606">
        <f t="shared" si="384"/>
        <v>33055288</v>
      </c>
      <c r="J1727" s="376"/>
    </row>
    <row r="1728" spans="1:10" ht="35.25" customHeight="1" x14ac:dyDescent="0.3">
      <c r="A1728" s="1068"/>
      <c r="B1728" s="920"/>
      <c r="C1728" s="282" t="s">
        <v>299</v>
      </c>
      <c r="D1728" s="437" t="s">
        <v>258</v>
      </c>
      <c r="E1728" s="283"/>
      <c r="F1728" s="438">
        <f t="shared" si="383"/>
        <v>300</v>
      </c>
      <c r="G1728" s="612">
        <v>36.5</v>
      </c>
      <c r="H1728" s="603">
        <f t="shared" si="385"/>
        <v>0</v>
      </c>
      <c r="I1728" s="606">
        <f t="shared" si="384"/>
        <v>10950</v>
      </c>
      <c r="J1728" s="376"/>
    </row>
    <row r="1729" spans="1:10" ht="35.25" customHeight="1" x14ac:dyDescent="0.3">
      <c r="A1729" s="1068"/>
      <c r="B1729" s="920"/>
      <c r="C1729" s="282" t="s">
        <v>514</v>
      </c>
      <c r="D1729" s="437" t="s">
        <v>258</v>
      </c>
      <c r="E1729" s="283"/>
      <c r="F1729" s="438">
        <f t="shared" si="383"/>
        <v>3914</v>
      </c>
      <c r="G1729" s="612">
        <v>320.35000000000002</v>
      </c>
      <c r="H1729" s="603">
        <f t="shared" si="385"/>
        <v>0</v>
      </c>
      <c r="I1729" s="606">
        <f t="shared" si="384"/>
        <v>1253849.9000000001</v>
      </c>
      <c r="J1729" s="376"/>
    </row>
    <row r="1730" spans="1:10" ht="35.25" customHeight="1" x14ac:dyDescent="0.3">
      <c r="A1730" s="1068"/>
      <c r="B1730" s="920"/>
      <c r="C1730" s="282" t="s">
        <v>308</v>
      </c>
      <c r="D1730" s="437" t="s">
        <v>258</v>
      </c>
      <c r="E1730" s="283">
        <v>6000</v>
      </c>
      <c r="F1730" s="438">
        <f t="shared" si="383"/>
        <v>17660</v>
      </c>
      <c r="G1730" s="612">
        <v>320.35000000000002</v>
      </c>
      <c r="H1730" s="603">
        <f t="shared" si="385"/>
        <v>1922100.0000000002</v>
      </c>
      <c r="I1730" s="606">
        <f t="shared" si="384"/>
        <v>5657381</v>
      </c>
      <c r="J1730" s="376"/>
    </row>
    <row r="1731" spans="1:10" ht="35.25" customHeight="1" x14ac:dyDescent="0.3">
      <c r="A1731" s="1068"/>
      <c r="B1731" s="920"/>
      <c r="C1731" s="282" t="s">
        <v>322</v>
      </c>
      <c r="D1731" s="437" t="s">
        <v>258</v>
      </c>
      <c r="E1731" s="283"/>
      <c r="F1731" s="438">
        <f t="shared" si="383"/>
        <v>0</v>
      </c>
      <c r="G1731" s="612">
        <v>434.41</v>
      </c>
      <c r="H1731" s="603">
        <f t="shared" si="385"/>
        <v>0</v>
      </c>
      <c r="I1731" s="606">
        <f t="shared" si="384"/>
        <v>0</v>
      </c>
      <c r="J1731" s="376"/>
    </row>
    <row r="1732" spans="1:10" ht="35.25" customHeight="1" x14ac:dyDescent="0.3">
      <c r="A1732" s="1068"/>
      <c r="B1732" s="920"/>
      <c r="C1732" s="282" t="s">
        <v>305</v>
      </c>
      <c r="D1732" s="437" t="s">
        <v>258</v>
      </c>
      <c r="E1732" s="283"/>
      <c r="F1732" s="438">
        <f t="shared" si="383"/>
        <v>1</v>
      </c>
      <c r="G1732" s="612">
        <v>29690</v>
      </c>
      <c r="H1732" s="603">
        <f t="shared" si="385"/>
        <v>0</v>
      </c>
      <c r="I1732" s="606">
        <f t="shared" si="384"/>
        <v>29690</v>
      </c>
      <c r="J1732" s="376"/>
    </row>
    <row r="1733" spans="1:10" ht="35.25" customHeight="1" x14ac:dyDescent="0.3">
      <c r="A1733" s="1068"/>
      <c r="B1733" s="920"/>
      <c r="C1733" s="282" t="s">
        <v>305</v>
      </c>
      <c r="D1733" s="437" t="s">
        <v>258</v>
      </c>
      <c r="E1733" s="283"/>
      <c r="F1733" s="438">
        <f t="shared" si="383"/>
        <v>5</v>
      </c>
      <c r="G1733" s="612">
        <v>26445</v>
      </c>
      <c r="H1733" s="603">
        <f t="shared" si="385"/>
        <v>0</v>
      </c>
      <c r="I1733" s="606">
        <f t="shared" si="384"/>
        <v>132225</v>
      </c>
      <c r="J1733" s="376"/>
    </row>
    <row r="1734" spans="1:10" ht="35.25" customHeight="1" x14ac:dyDescent="0.3">
      <c r="A1734" s="1068"/>
      <c r="B1734" s="920"/>
      <c r="C1734" s="282" t="s">
        <v>341</v>
      </c>
      <c r="D1734" s="437" t="s">
        <v>375</v>
      </c>
      <c r="E1734" s="283"/>
      <c r="F1734" s="438">
        <f t="shared" si="383"/>
        <v>8076</v>
      </c>
      <c r="G1734" s="612">
        <v>50</v>
      </c>
      <c r="H1734" s="603">
        <f t="shared" si="385"/>
        <v>0</v>
      </c>
      <c r="I1734" s="606">
        <f t="shared" si="384"/>
        <v>403800</v>
      </c>
      <c r="J1734" s="376"/>
    </row>
    <row r="1735" spans="1:10" ht="35.25" customHeight="1" x14ac:dyDescent="0.3">
      <c r="A1735" s="1068"/>
      <c r="B1735" s="920"/>
      <c r="C1735" s="282" t="s">
        <v>341</v>
      </c>
      <c r="D1735" s="437" t="s">
        <v>375</v>
      </c>
      <c r="E1735" s="283"/>
      <c r="F1735" s="438">
        <f t="shared" si="383"/>
        <v>0</v>
      </c>
      <c r="G1735" s="612">
        <v>45</v>
      </c>
      <c r="H1735" s="603">
        <f t="shared" si="385"/>
        <v>0</v>
      </c>
      <c r="I1735" s="606">
        <f t="shared" si="384"/>
        <v>0</v>
      </c>
      <c r="J1735" s="376"/>
    </row>
    <row r="1736" spans="1:10" ht="35.25" customHeight="1" x14ac:dyDescent="0.3">
      <c r="A1736" s="1068"/>
      <c r="B1736" s="920"/>
      <c r="C1736" s="282" t="s">
        <v>364</v>
      </c>
      <c r="D1736" s="437" t="s">
        <v>428</v>
      </c>
      <c r="E1736" s="283"/>
      <c r="F1736" s="438">
        <f t="shared" si="383"/>
        <v>700</v>
      </c>
      <c r="G1736" s="612">
        <v>57.64</v>
      </c>
      <c r="H1736" s="603">
        <f t="shared" si="385"/>
        <v>0</v>
      </c>
      <c r="I1736" s="606">
        <f t="shared" si="384"/>
        <v>40348</v>
      </c>
      <c r="J1736" s="376"/>
    </row>
    <row r="1737" spans="1:10" ht="35.25" customHeight="1" x14ac:dyDescent="0.3">
      <c r="A1737" s="1068"/>
      <c r="B1737" s="920"/>
      <c r="C1737" s="282" t="s">
        <v>364</v>
      </c>
      <c r="D1737" s="437" t="s">
        <v>407</v>
      </c>
      <c r="E1737" s="283"/>
      <c r="F1737" s="438">
        <f t="shared" si="383"/>
        <v>0</v>
      </c>
      <c r="G1737" s="612">
        <v>57.64</v>
      </c>
      <c r="H1737" s="603">
        <f t="shared" si="385"/>
        <v>0</v>
      </c>
      <c r="I1737" s="606">
        <f t="shared" si="384"/>
        <v>0</v>
      </c>
      <c r="J1737" s="376"/>
    </row>
    <row r="1738" spans="1:10" ht="35.25" customHeight="1" x14ac:dyDescent="0.3">
      <c r="A1738" s="1068"/>
      <c r="B1738" s="920"/>
      <c r="C1738" s="282" t="s">
        <v>365</v>
      </c>
      <c r="D1738" s="437" t="s">
        <v>366</v>
      </c>
      <c r="E1738" s="283"/>
      <c r="F1738" s="438">
        <f t="shared" si="383"/>
        <v>7383</v>
      </c>
      <c r="G1738" s="612">
        <v>434.41</v>
      </c>
      <c r="H1738" s="603">
        <f t="shared" si="385"/>
        <v>0</v>
      </c>
      <c r="I1738" s="606">
        <f t="shared" si="384"/>
        <v>3207249.0300000003</v>
      </c>
      <c r="J1738" s="376"/>
    </row>
    <row r="1739" spans="1:10" ht="35.25" customHeight="1" x14ac:dyDescent="0.3">
      <c r="A1739" s="1068"/>
      <c r="B1739" s="920"/>
      <c r="C1739" s="282" t="s">
        <v>381</v>
      </c>
      <c r="D1739" s="437" t="s">
        <v>258</v>
      </c>
      <c r="E1739" s="283"/>
      <c r="F1739" s="438">
        <f t="shared" si="383"/>
        <v>0</v>
      </c>
      <c r="G1739" s="612">
        <v>624.26</v>
      </c>
      <c r="H1739" s="603">
        <f t="shared" si="385"/>
        <v>0</v>
      </c>
      <c r="I1739" s="606">
        <f t="shared" si="384"/>
        <v>0</v>
      </c>
      <c r="J1739" s="376"/>
    </row>
    <row r="1740" spans="1:10" ht="35.25" customHeight="1" x14ac:dyDescent="0.3">
      <c r="A1740" s="1068"/>
      <c r="B1740" s="920"/>
      <c r="C1740" s="282" t="s">
        <v>367</v>
      </c>
      <c r="D1740" s="437" t="s">
        <v>366</v>
      </c>
      <c r="E1740" s="283"/>
      <c r="F1740" s="438">
        <f t="shared" si="383"/>
        <v>5760</v>
      </c>
      <c r="G1740" s="612">
        <v>63.55</v>
      </c>
      <c r="H1740" s="603">
        <f t="shared" si="385"/>
        <v>0</v>
      </c>
      <c r="I1740" s="606">
        <f t="shared" si="384"/>
        <v>366048</v>
      </c>
      <c r="J1740" s="376"/>
    </row>
    <row r="1741" spans="1:10" ht="35.25" customHeight="1" x14ac:dyDescent="0.3">
      <c r="A1741" s="1068"/>
      <c r="B1741" s="920"/>
      <c r="C1741" s="282" t="s">
        <v>429</v>
      </c>
      <c r="D1741" s="437" t="s">
        <v>258</v>
      </c>
      <c r="E1741" s="283">
        <v>21200</v>
      </c>
      <c r="F1741" s="438">
        <f t="shared" si="383"/>
        <v>178976</v>
      </c>
      <c r="G1741" s="612">
        <v>59.96</v>
      </c>
      <c r="H1741" s="603">
        <f t="shared" si="385"/>
        <v>1271152</v>
      </c>
      <c r="I1741" s="606">
        <f t="shared" si="384"/>
        <v>10731400.960000001</v>
      </c>
      <c r="J1741" s="376"/>
    </row>
    <row r="1742" spans="1:10" ht="35.25" customHeight="1" x14ac:dyDescent="0.3">
      <c r="A1742" s="1068"/>
      <c r="B1742" s="920"/>
      <c r="C1742" s="282" t="s">
        <v>501</v>
      </c>
      <c r="D1742" s="437" t="s">
        <v>366</v>
      </c>
      <c r="E1742" s="283"/>
      <c r="F1742" s="438">
        <f t="shared" si="383"/>
        <v>8640</v>
      </c>
      <c r="G1742" s="612">
        <v>53.86</v>
      </c>
      <c r="H1742" s="603">
        <f t="shared" si="385"/>
        <v>0</v>
      </c>
      <c r="I1742" s="606">
        <f t="shared" si="384"/>
        <v>465350.40000000002</v>
      </c>
      <c r="J1742" s="376"/>
    </row>
    <row r="1743" spans="1:10" ht="35.25" customHeight="1" x14ac:dyDescent="0.3">
      <c r="A1743" s="1068"/>
      <c r="B1743" s="920"/>
      <c r="C1743" s="282" t="s">
        <v>446</v>
      </c>
      <c r="D1743" s="437"/>
      <c r="E1743" s="283"/>
      <c r="F1743" s="438">
        <f t="shared" si="383"/>
        <v>8318</v>
      </c>
      <c r="G1743" s="612">
        <v>360</v>
      </c>
      <c r="H1743" s="603">
        <f t="shared" si="385"/>
        <v>0</v>
      </c>
      <c r="I1743" s="606">
        <f t="shared" si="384"/>
        <v>2994480</v>
      </c>
      <c r="J1743" s="376"/>
    </row>
    <row r="1744" spans="1:10" ht="35.25" customHeight="1" x14ac:dyDescent="0.3">
      <c r="A1744" s="1068"/>
      <c r="B1744" s="920"/>
      <c r="C1744" s="282" t="s">
        <v>305</v>
      </c>
      <c r="D1744" s="437"/>
      <c r="E1744" s="283"/>
      <c r="F1744" s="438">
        <f t="shared" si="383"/>
        <v>0</v>
      </c>
      <c r="G1744" s="612">
        <v>39450</v>
      </c>
      <c r="H1744" s="603">
        <f t="shared" si="385"/>
        <v>0</v>
      </c>
      <c r="I1744" s="606">
        <f t="shared" si="384"/>
        <v>0</v>
      </c>
      <c r="J1744" s="376"/>
    </row>
    <row r="1745" spans="1:10" ht="35.25" customHeight="1" thickBot="1" x14ac:dyDescent="0.35">
      <c r="A1745" s="1068"/>
      <c r="B1745" s="920"/>
      <c r="C1745" s="282" t="s">
        <v>364</v>
      </c>
      <c r="D1745" s="437" t="s">
        <v>566</v>
      </c>
      <c r="E1745" s="283"/>
      <c r="F1745" s="438">
        <f t="shared" si="383"/>
        <v>160</v>
      </c>
      <c r="G1745" s="612">
        <v>57.64</v>
      </c>
      <c r="H1745" s="603">
        <f t="shared" si="385"/>
        <v>0</v>
      </c>
      <c r="I1745" s="606">
        <f t="shared" si="384"/>
        <v>9222.4</v>
      </c>
      <c r="J1745" s="376"/>
    </row>
    <row r="1746" spans="1:10" ht="35.25" customHeight="1" thickBot="1" x14ac:dyDescent="0.35">
      <c r="A1746" s="1069"/>
      <c r="B1746" s="1063" t="s">
        <v>291</v>
      </c>
      <c r="C1746" s="1064"/>
      <c r="D1746" s="922"/>
      <c r="E1746" s="329">
        <f>SUM(E1723:E1745)</f>
        <v>149600</v>
      </c>
      <c r="F1746" s="329">
        <f>SUM(F1723:F1745)</f>
        <v>775793</v>
      </c>
      <c r="G1746" s="329"/>
      <c r="H1746" s="600">
        <f>SUM(H1723:H1745)</f>
        <v>19080421.600000001</v>
      </c>
      <c r="I1746" s="589">
        <f>SUM(I1723:I1745)</f>
        <v>90147322.690000027</v>
      </c>
      <c r="J1746" s="375"/>
    </row>
    <row r="1747" spans="1:10" ht="35.25" customHeight="1" thickBot="1" x14ac:dyDescent="0.35">
      <c r="A1747" s="925"/>
      <c r="B1747" s="440"/>
      <c r="C1747" s="282" t="s">
        <v>446</v>
      </c>
      <c r="D1747" s="437"/>
      <c r="E1747" s="283"/>
      <c r="F1747" s="284">
        <f>+F1653+E1747</f>
        <v>0</v>
      </c>
      <c r="G1747" s="337"/>
      <c r="H1747" s="599">
        <f t="shared" ref="H1747" si="386">E1747*G1747</f>
        <v>0</v>
      </c>
      <c r="I1747" s="285">
        <f t="shared" ref="I1747" si="387">+G1747*F1747</f>
        <v>0</v>
      </c>
      <c r="J1747" s="376"/>
    </row>
    <row r="1748" spans="1:10" ht="35.25" customHeight="1" thickBot="1" x14ac:dyDescent="0.35">
      <c r="A1748" s="925"/>
      <c r="B1748" s="1063" t="s">
        <v>238</v>
      </c>
      <c r="C1748" s="1064"/>
      <c r="D1748" s="918"/>
      <c r="E1748" s="329"/>
      <c r="F1748" s="330"/>
      <c r="G1748" s="329"/>
      <c r="H1748" s="597"/>
      <c r="I1748" s="327">
        <f>SUM(I1747)</f>
        <v>0</v>
      </c>
      <c r="J1748" s="352"/>
    </row>
    <row r="1749" spans="1:10" ht="35.25" customHeight="1" thickBot="1" x14ac:dyDescent="0.35">
      <c r="A1749" s="322"/>
      <c r="B1749" s="1065" t="s">
        <v>182</v>
      </c>
      <c r="C1749" s="1066"/>
      <c r="D1749" s="919"/>
      <c r="E1749" s="377">
        <f>+E1746+E1722+E1700+E1698</f>
        <v>210840</v>
      </c>
      <c r="F1749" s="377">
        <f>+F1746+F1722+F1700+F1698</f>
        <v>4947513.91</v>
      </c>
      <c r="G1749" s="377"/>
      <c r="H1749" s="377"/>
      <c r="I1749" s="377">
        <f>+I1746+I1722+I1700+I1748</f>
        <v>218544357.17000002</v>
      </c>
      <c r="J1749" s="378"/>
    </row>
    <row r="1750" spans="1:10" ht="35.25" customHeight="1" x14ac:dyDescent="0.3">
      <c r="A1750" s="991" t="s">
        <v>1</v>
      </c>
      <c r="B1750" s="994" t="s">
        <v>2</v>
      </c>
      <c r="C1750" s="1072" t="s">
        <v>477</v>
      </c>
      <c r="D1750" s="1043" t="s">
        <v>478</v>
      </c>
      <c r="E1750" s="1076" t="s">
        <v>595</v>
      </c>
      <c r="F1750" s="1001"/>
      <c r="G1750" s="1001"/>
      <c r="H1750" s="1001"/>
      <c r="I1750" s="1001"/>
      <c r="J1750" s="1002"/>
    </row>
    <row r="1751" spans="1:10" ht="35.25" customHeight="1" x14ac:dyDescent="0.3">
      <c r="A1751" s="1070"/>
      <c r="B1751" s="1071"/>
      <c r="C1751" s="1073"/>
      <c r="D1751" s="1044"/>
      <c r="E1751" s="1077" t="s">
        <v>493</v>
      </c>
      <c r="F1751" s="1078"/>
      <c r="G1751" s="1077" t="s">
        <v>492</v>
      </c>
      <c r="H1751" s="1079"/>
      <c r="I1751" s="1079"/>
      <c r="J1751" s="1078"/>
    </row>
    <row r="1752" spans="1:10" ht="35.25" customHeight="1" x14ac:dyDescent="0.3">
      <c r="A1752" s="992"/>
      <c r="B1752" s="995"/>
      <c r="C1752" s="1074"/>
      <c r="D1752" s="1044"/>
      <c r="E1752" s="1003" t="s">
        <v>494</v>
      </c>
      <c r="F1752" s="1005" t="s">
        <v>495</v>
      </c>
      <c r="G1752" s="1081" t="s">
        <v>97</v>
      </c>
      <c r="H1752" s="1083" t="s">
        <v>98</v>
      </c>
      <c r="I1752" s="1083" t="s">
        <v>98</v>
      </c>
      <c r="J1752" s="1085" t="s">
        <v>12</v>
      </c>
    </row>
    <row r="1753" spans="1:10" ht="35.25" customHeight="1" thickBot="1" x14ac:dyDescent="0.35">
      <c r="A1753" s="993"/>
      <c r="B1753" s="996"/>
      <c r="C1753" s="1075"/>
      <c r="D1753" s="1045"/>
      <c r="E1753" s="1004"/>
      <c r="F1753" s="1080"/>
      <c r="G1753" s="1082"/>
      <c r="H1753" s="1084"/>
      <c r="I1753" s="1084"/>
      <c r="J1753" s="1086"/>
    </row>
    <row r="1754" spans="1:10" ht="35.25" customHeight="1" x14ac:dyDescent="0.3">
      <c r="A1754" s="1067" t="s">
        <v>110</v>
      </c>
      <c r="B1754" s="442"/>
      <c r="C1754" s="584" t="s">
        <v>565</v>
      </c>
      <c r="D1754" s="686" t="s">
        <v>436</v>
      </c>
      <c r="E1754" s="744"/>
      <c r="F1754" s="695">
        <f>+F1660+E1754</f>
        <v>23296</v>
      </c>
      <c r="G1754" s="896">
        <v>107.85</v>
      </c>
      <c r="H1754" s="601">
        <f t="shared" ref="H1754:H1768" si="388">E1754*G1754</f>
        <v>0</v>
      </c>
      <c r="I1754" s="604">
        <f>+G1754*F1754</f>
        <v>2512473.6</v>
      </c>
      <c r="J1754" s="354"/>
    </row>
    <row r="1755" spans="1:10" ht="35.25" customHeight="1" x14ac:dyDescent="0.3">
      <c r="A1755" s="1068"/>
      <c r="B1755" s="441"/>
      <c r="C1755" s="444" t="s">
        <v>285</v>
      </c>
      <c r="D1755" s="687" t="s">
        <v>286</v>
      </c>
      <c r="E1755" s="745"/>
      <c r="F1755" s="746">
        <f t="shared" ref="F1755:F1768" si="389">+F1661+E1755</f>
        <v>-25.09</v>
      </c>
      <c r="G1755" s="742">
        <v>11</v>
      </c>
      <c r="H1755" s="602">
        <f t="shared" si="388"/>
        <v>0</v>
      </c>
      <c r="I1755" s="605">
        <f>+G1755*F1755</f>
        <v>-275.99</v>
      </c>
      <c r="J1755" s="355"/>
    </row>
    <row r="1756" spans="1:10" ht="35.25" customHeight="1" x14ac:dyDescent="0.3">
      <c r="A1756" s="1068"/>
      <c r="B1756" s="441"/>
      <c r="C1756" s="444" t="s">
        <v>321</v>
      </c>
      <c r="D1756" s="687" t="s">
        <v>593</v>
      </c>
      <c r="E1756" s="745"/>
      <c r="F1756" s="746">
        <f t="shared" si="389"/>
        <v>640</v>
      </c>
      <c r="G1756" s="742">
        <v>139.04</v>
      </c>
      <c r="H1756" s="602">
        <f t="shared" si="388"/>
        <v>0</v>
      </c>
      <c r="I1756" s="605">
        <f t="shared" ref="I1756:I1768" si="390">+G1756*F1756</f>
        <v>88985.599999999991</v>
      </c>
      <c r="J1756" s="355"/>
    </row>
    <row r="1757" spans="1:10" ht="35.25" customHeight="1" x14ac:dyDescent="0.3">
      <c r="A1757" s="1068"/>
      <c r="B1757" s="441"/>
      <c r="C1757" s="444" t="s">
        <v>397</v>
      </c>
      <c r="D1757" s="687" t="s">
        <v>398</v>
      </c>
      <c r="E1757" s="745"/>
      <c r="F1757" s="746">
        <f t="shared" si="389"/>
        <v>895356</v>
      </c>
      <c r="G1757" s="795">
        <v>20.5</v>
      </c>
      <c r="H1757" s="602">
        <f t="shared" si="388"/>
        <v>0</v>
      </c>
      <c r="I1757" s="605">
        <f t="shared" si="390"/>
        <v>18354798</v>
      </c>
      <c r="J1757" s="355"/>
    </row>
    <row r="1758" spans="1:10" ht="35.25" customHeight="1" x14ac:dyDescent="0.3">
      <c r="A1758" s="1068"/>
      <c r="B1758" s="441"/>
      <c r="C1758" s="444" t="s">
        <v>312</v>
      </c>
      <c r="D1758" s="687" t="s">
        <v>190</v>
      </c>
      <c r="E1758" s="745"/>
      <c r="F1758" s="746">
        <f t="shared" si="389"/>
        <v>0</v>
      </c>
      <c r="G1758" s="742">
        <v>14.79</v>
      </c>
      <c r="H1758" s="602">
        <f t="shared" si="388"/>
        <v>0</v>
      </c>
      <c r="I1758" s="605">
        <f t="shared" si="390"/>
        <v>0</v>
      </c>
      <c r="J1758" s="355"/>
    </row>
    <row r="1759" spans="1:10" ht="35.25" customHeight="1" x14ac:dyDescent="0.3">
      <c r="A1759" s="1068"/>
      <c r="B1759" s="441"/>
      <c r="C1759" s="444" t="s">
        <v>321</v>
      </c>
      <c r="D1759" s="687" t="s">
        <v>286</v>
      </c>
      <c r="E1759" s="745">
        <v>2560</v>
      </c>
      <c r="F1759" s="746">
        <f t="shared" si="389"/>
        <v>9995</v>
      </c>
      <c r="G1759" s="742">
        <v>139.04</v>
      </c>
      <c r="H1759" s="602">
        <f t="shared" si="388"/>
        <v>355942.39999999997</v>
      </c>
      <c r="I1759" s="605">
        <f t="shared" si="390"/>
        <v>1389704.7999999998</v>
      </c>
      <c r="J1759" s="355"/>
    </row>
    <row r="1760" spans="1:10" ht="35.25" customHeight="1" x14ac:dyDescent="0.3">
      <c r="A1760" s="1068"/>
      <c r="B1760" s="441"/>
      <c r="C1760" s="444" t="s">
        <v>472</v>
      </c>
      <c r="D1760" s="688" t="s">
        <v>396</v>
      </c>
      <c r="E1760" s="745"/>
      <c r="F1760" s="746">
        <f t="shared" si="389"/>
        <v>48381</v>
      </c>
      <c r="G1760" s="742">
        <v>147.58000000000001</v>
      </c>
      <c r="H1760" s="602">
        <f t="shared" si="388"/>
        <v>0</v>
      </c>
      <c r="I1760" s="605">
        <f t="shared" si="390"/>
        <v>7140067.9800000004</v>
      </c>
      <c r="J1760" s="355"/>
    </row>
    <row r="1761" spans="1:10" ht="35.25" customHeight="1" x14ac:dyDescent="0.3">
      <c r="A1761" s="1068"/>
      <c r="B1761" s="441"/>
      <c r="C1761" s="444" t="s">
        <v>345</v>
      </c>
      <c r="D1761" s="688" t="s">
        <v>576</v>
      </c>
      <c r="E1761" s="745"/>
      <c r="F1761" s="746">
        <f t="shared" si="389"/>
        <v>48960</v>
      </c>
      <c r="G1761" s="742">
        <v>18.84</v>
      </c>
      <c r="H1761" s="602">
        <f t="shared" si="388"/>
        <v>0</v>
      </c>
      <c r="I1761" s="605">
        <f t="shared" si="390"/>
        <v>922406.40000000002</v>
      </c>
      <c r="J1761" s="355"/>
    </row>
    <row r="1762" spans="1:10" ht="35.25" customHeight="1" x14ac:dyDescent="0.3">
      <c r="A1762" s="1068"/>
      <c r="B1762" s="441"/>
      <c r="C1762" s="444" t="s">
        <v>345</v>
      </c>
      <c r="D1762" s="688" t="s">
        <v>286</v>
      </c>
      <c r="E1762" s="745"/>
      <c r="F1762" s="746">
        <f t="shared" si="389"/>
        <v>73440</v>
      </c>
      <c r="G1762" s="742">
        <v>18.84</v>
      </c>
      <c r="H1762" s="602">
        <f t="shared" si="388"/>
        <v>0</v>
      </c>
      <c r="I1762" s="605">
        <f t="shared" si="390"/>
        <v>1383609.6</v>
      </c>
      <c r="J1762" s="355"/>
    </row>
    <row r="1763" spans="1:10" ht="35.25" customHeight="1" x14ac:dyDescent="0.3">
      <c r="A1763" s="1068"/>
      <c r="B1763" s="441"/>
      <c r="C1763" s="444" t="s">
        <v>357</v>
      </c>
      <c r="D1763" s="688" t="s">
        <v>252</v>
      </c>
      <c r="E1763" s="745"/>
      <c r="F1763" s="746">
        <f t="shared" si="389"/>
        <v>550800</v>
      </c>
      <c r="G1763" s="742">
        <v>21.18</v>
      </c>
      <c r="H1763" s="602">
        <f t="shared" si="388"/>
        <v>0</v>
      </c>
      <c r="I1763" s="605">
        <f t="shared" si="390"/>
        <v>11665944</v>
      </c>
      <c r="J1763" s="355"/>
    </row>
    <row r="1764" spans="1:10" ht="35.25" customHeight="1" x14ac:dyDescent="0.3">
      <c r="A1764" s="1068"/>
      <c r="B1764" s="441"/>
      <c r="C1764" s="444" t="s">
        <v>359</v>
      </c>
      <c r="D1764" s="688" t="s">
        <v>360</v>
      </c>
      <c r="E1764" s="745"/>
      <c r="F1764" s="746">
        <f t="shared" si="389"/>
        <v>500882</v>
      </c>
      <c r="G1764" s="742">
        <v>21.28</v>
      </c>
      <c r="H1764" s="602">
        <f t="shared" si="388"/>
        <v>0</v>
      </c>
      <c r="I1764" s="605">
        <f t="shared" si="390"/>
        <v>10658768.960000001</v>
      </c>
      <c r="J1764" s="355"/>
    </row>
    <row r="1765" spans="1:10" ht="35.25" customHeight="1" x14ac:dyDescent="0.3">
      <c r="A1765" s="1068"/>
      <c r="B1765" s="441"/>
      <c r="C1765" s="444" t="s">
        <v>445</v>
      </c>
      <c r="D1765" s="688" t="s">
        <v>436</v>
      </c>
      <c r="E1765" s="745"/>
      <c r="F1765" s="746">
        <f t="shared" si="389"/>
        <v>19840</v>
      </c>
      <c r="G1765" s="742">
        <v>143.28</v>
      </c>
      <c r="H1765" s="602">
        <f t="shared" si="388"/>
        <v>0</v>
      </c>
      <c r="I1765" s="605">
        <f t="shared" si="390"/>
        <v>2842675.2000000002</v>
      </c>
      <c r="J1765" s="355"/>
    </row>
    <row r="1766" spans="1:10" ht="35.25" customHeight="1" x14ac:dyDescent="0.3">
      <c r="A1766" s="1068"/>
      <c r="B1766" s="441"/>
      <c r="C1766" s="444" t="s">
        <v>587</v>
      </c>
      <c r="D1766" s="687" t="s">
        <v>190</v>
      </c>
      <c r="E1766" s="745"/>
      <c r="F1766" s="746">
        <f t="shared" si="389"/>
        <v>397056</v>
      </c>
      <c r="G1766" s="742">
        <v>14.55</v>
      </c>
      <c r="H1766" s="602">
        <f t="shared" si="388"/>
        <v>0</v>
      </c>
      <c r="I1766" s="605">
        <f t="shared" si="390"/>
        <v>5777164.8000000007</v>
      </c>
      <c r="J1766" s="355"/>
    </row>
    <row r="1767" spans="1:10" ht="35.25" customHeight="1" x14ac:dyDescent="0.3">
      <c r="A1767" s="1068"/>
      <c r="B1767" s="441"/>
      <c r="C1767" s="444" t="s">
        <v>362</v>
      </c>
      <c r="D1767" s="688" t="s">
        <v>202</v>
      </c>
      <c r="E1767" s="745"/>
      <c r="F1767" s="746">
        <f t="shared" si="389"/>
        <v>0</v>
      </c>
      <c r="G1767" s="742">
        <v>21.28</v>
      </c>
      <c r="H1767" s="602">
        <f t="shared" si="388"/>
        <v>0</v>
      </c>
      <c r="I1767" s="605">
        <f t="shared" si="390"/>
        <v>0</v>
      </c>
      <c r="J1767" s="355"/>
    </row>
    <row r="1768" spans="1:10" ht="35.25" customHeight="1" thickBot="1" x14ac:dyDescent="0.35">
      <c r="A1768" s="1068"/>
      <c r="B1768" s="441"/>
      <c r="C1768" s="444" t="s">
        <v>374</v>
      </c>
      <c r="D1768" s="689" t="s">
        <v>191</v>
      </c>
      <c r="E1768" s="745"/>
      <c r="F1768" s="697">
        <f t="shared" si="389"/>
        <v>0</v>
      </c>
      <c r="G1768" s="742">
        <v>36.44</v>
      </c>
      <c r="H1768" s="602">
        <f t="shared" si="388"/>
        <v>0</v>
      </c>
      <c r="I1768" s="605">
        <f t="shared" si="390"/>
        <v>0</v>
      </c>
      <c r="J1768" s="355"/>
    </row>
    <row r="1769" spans="1:10" ht="35.25" customHeight="1" thickBot="1" x14ac:dyDescent="0.35">
      <c r="A1769" s="1068"/>
      <c r="B1769" s="1063" t="s">
        <v>287</v>
      </c>
      <c r="C1769" s="1064"/>
      <c r="D1769" s="928"/>
      <c r="E1769" s="329">
        <f>SUM(E1754:E1768)</f>
        <v>2560</v>
      </c>
      <c r="F1769" s="743">
        <f>SUM(F1754:F1768)</f>
        <v>2568620.91</v>
      </c>
      <c r="G1769" s="329"/>
      <c r="H1769" s="597">
        <f>SUM(H1754:H1768)</f>
        <v>355942.39999999997</v>
      </c>
      <c r="I1769" s="589">
        <f>SUM(I1754:I1768)</f>
        <v>62736322.950000003</v>
      </c>
      <c r="J1769" s="352"/>
    </row>
    <row r="1770" spans="1:10" ht="35.25" customHeight="1" x14ac:dyDescent="0.3">
      <c r="A1770" s="1068"/>
      <c r="B1770" s="929"/>
      <c r="C1770" s="282" t="s">
        <v>293</v>
      </c>
      <c r="D1770" s="437" t="s">
        <v>258</v>
      </c>
      <c r="E1770" s="283">
        <v>54875</v>
      </c>
      <c r="F1770" s="438">
        <f t="shared" ref="F1770:F1783" si="391">+F1676+E1770</f>
        <v>124375</v>
      </c>
      <c r="G1770" s="587">
        <v>160.44999999999999</v>
      </c>
      <c r="H1770" s="603">
        <f t="shared" ref="H1770:H1783" si="392">E1770*G1770</f>
        <v>8804693.75</v>
      </c>
      <c r="I1770" s="606">
        <f t="shared" ref="I1770:I1783" si="393">+G1770*F1770</f>
        <v>19955968.75</v>
      </c>
      <c r="J1770" s="376"/>
    </row>
    <row r="1771" spans="1:10" ht="35.25" customHeight="1" x14ac:dyDescent="0.3">
      <c r="A1771" s="1068"/>
      <c r="B1771" s="929"/>
      <c r="C1771" s="282" t="s">
        <v>309</v>
      </c>
      <c r="D1771" s="437" t="s">
        <v>258</v>
      </c>
      <c r="E1771" s="283">
        <v>7486</v>
      </c>
      <c r="F1771" s="438">
        <f t="shared" si="391"/>
        <v>24486</v>
      </c>
      <c r="G1771" s="587">
        <v>160.44999999999999</v>
      </c>
      <c r="H1771" s="603">
        <f t="shared" si="392"/>
        <v>1201128.7</v>
      </c>
      <c r="I1771" s="606">
        <f t="shared" si="393"/>
        <v>3928778.6999999997</v>
      </c>
      <c r="J1771" s="376"/>
    </row>
    <row r="1772" spans="1:10" ht="35.25" customHeight="1" x14ac:dyDescent="0.3">
      <c r="A1772" s="1068"/>
      <c r="B1772" s="929"/>
      <c r="C1772" s="282" t="s">
        <v>463</v>
      </c>
      <c r="D1772" s="437" t="s">
        <v>258</v>
      </c>
      <c r="E1772" s="283"/>
      <c r="F1772" s="438">
        <f t="shared" si="391"/>
        <v>19625</v>
      </c>
      <c r="G1772" s="587">
        <v>160.44999999999999</v>
      </c>
      <c r="H1772" s="603">
        <f t="shared" si="392"/>
        <v>0</v>
      </c>
      <c r="I1772" s="606">
        <f t="shared" si="393"/>
        <v>3148831.25</v>
      </c>
      <c r="J1772" s="376"/>
    </row>
    <row r="1773" spans="1:10" ht="35.25" customHeight="1" x14ac:dyDescent="0.3">
      <c r="A1773" s="1068"/>
      <c r="B1773" s="929"/>
      <c r="C1773" s="282" t="s">
        <v>311</v>
      </c>
      <c r="D1773" s="437" t="s">
        <v>100</v>
      </c>
      <c r="E1773" s="283"/>
      <c r="F1773" s="438">
        <f t="shared" si="391"/>
        <v>37620</v>
      </c>
      <c r="G1773" s="587">
        <v>27</v>
      </c>
      <c r="H1773" s="603">
        <f t="shared" si="392"/>
        <v>0</v>
      </c>
      <c r="I1773" s="606">
        <f t="shared" si="393"/>
        <v>1015740</v>
      </c>
      <c r="J1773" s="376"/>
    </row>
    <row r="1774" spans="1:10" ht="35.25" customHeight="1" x14ac:dyDescent="0.3">
      <c r="A1774" s="1068"/>
      <c r="B1774" s="929"/>
      <c r="C1774" s="282" t="s">
        <v>311</v>
      </c>
      <c r="D1774" s="437" t="s">
        <v>318</v>
      </c>
      <c r="E1774" s="283"/>
      <c r="F1774" s="438">
        <f t="shared" si="391"/>
        <v>380160</v>
      </c>
      <c r="G1774" s="587">
        <v>27.5</v>
      </c>
      <c r="H1774" s="603">
        <f t="shared" si="392"/>
        <v>0</v>
      </c>
      <c r="I1774" s="606">
        <f t="shared" si="393"/>
        <v>10454400</v>
      </c>
      <c r="J1774" s="376"/>
    </row>
    <row r="1775" spans="1:10" ht="35.25" customHeight="1" x14ac:dyDescent="0.3">
      <c r="A1775" s="1068"/>
      <c r="B1775" s="929"/>
      <c r="C1775" s="282" t="s">
        <v>299</v>
      </c>
      <c r="D1775" s="437" t="s">
        <v>318</v>
      </c>
      <c r="E1775" s="283"/>
      <c r="F1775" s="438">
        <f t="shared" si="391"/>
        <v>12680</v>
      </c>
      <c r="G1775" s="587">
        <v>34.5</v>
      </c>
      <c r="H1775" s="603">
        <f t="shared" si="392"/>
        <v>0</v>
      </c>
      <c r="I1775" s="606">
        <f t="shared" si="393"/>
        <v>437460</v>
      </c>
      <c r="J1775" s="376"/>
    </row>
    <row r="1776" spans="1:10" ht="35.25" customHeight="1" x14ac:dyDescent="0.3">
      <c r="A1776" s="1068"/>
      <c r="B1776" s="929"/>
      <c r="C1776" s="282" t="s">
        <v>550</v>
      </c>
      <c r="D1776" s="437" t="s">
        <v>549</v>
      </c>
      <c r="E1776" s="283"/>
      <c r="F1776" s="438">
        <f t="shared" si="391"/>
        <v>31200</v>
      </c>
      <c r="G1776" s="587">
        <v>10.57</v>
      </c>
      <c r="H1776" s="603">
        <f t="shared" si="392"/>
        <v>0</v>
      </c>
      <c r="I1776" s="606">
        <f t="shared" si="393"/>
        <v>329784</v>
      </c>
      <c r="J1776" s="376"/>
    </row>
    <row r="1777" spans="1:10" ht="35.25" customHeight="1" x14ac:dyDescent="0.3">
      <c r="A1777" s="1068"/>
      <c r="B1777" s="929"/>
      <c r="C1777" s="282" t="s">
        <v>299</v>
      </c>
      <c r="D1777" s="437" t="s">
        <v>549</v>
      </c>
      <c r="E1777" s="283"/>
      <c r="F1777" s="438">
        <f t="shared" si="391"/>
        <v>26</v>
      </c>
      <c r="G1777" s="587">
        <v>55.76</v>
      </c>
      <c r="H1777" s="603">
        <f t="shared" si="392"/>
        <v>0</v>
      </c>
      <c r="I1777" s="606">
        <f t="shared" si="393"/>
        <v>1449.76</v>
      </c>
      <c r="J1777" s="376"/>
    </row>
    <row r="1778" spans="1:10" ht="35.25" customHeight="1" x14ac:dyDescent="0.3">
      <c r="A1778" s="1068"/>
      <c r="B1778" s="929"/>
      <c r="C1778" s="282" t="s">
        <v>505</v>
      </c>
      <c r="D1778" s="437" t="s">
        <v>258</v>
      </c>
      <c r="E1778" s="283"/>
      <c r="F1778" s="438">
        <f t="shared" si="391"/>
        <v>19307</v>
      </c>
      <c r="G1778" s="587">
        <v>160.44999999999999</v>
      </c>
      <c r="H1778" s="603">
        <f t="shared" si="392"/>
        <v>0</v>
      </c>
      <c r="I1778" s="606">
        <f t="shared" si="393"/>
        <v>3097808.15</v>
      </c>
      <c r="J1778" s="376"/>
    </row>
    <row r="1779" spans="1:10" ht="35.25" customHeight="1" x14ac:dyDescent="0.3">
      <c r="A1779" s="1068"/>
      <c r="B1779" s="929"/>
      <c r="C1779" s="282" t="s">
        <v>388</v>
      </c>
      <c r="D1779" s="437" t="s">
        <v>258</v>
      </c>
      <c r="E1779" s="283"/>
      <c r="F1779" s="438">
        <f t="shared" si="391"/>
        <v>38750</v>
      </c>
      <c r="G1779" s="587">
        <v>160.44999999999999</v>
      </c>
      <c r="H1779" s="603">
        <f t="shared" si="392"/>
        <v>0</v>
      </c>
      <c r="I1779" s="606">
        <f t="shared" si="393"/>
        <v>6217437.5</v>
      </c>
      <c r="J1779" s="376"/>
    </row>
    <row r="1780" spans="1:10" ht="35.25" customHeight="1" x14ac:dyDescent="0.3">
      <c r="A1780" s="1068"/>
      <c r="B1780" s="929"/>
      <c r="C1780" s="282" t="s">
        <v>461</v>
      </c>
      <c r="D1780" s="437" t="s">
        <v>258</v>
      </c>
      <c r="E1780" s="283"/>
      <c r="F1780" s="438">
        <f t="shared" si="391"/>
        <v>6000</v>
      </c>
      <c r="G1780" s="587">
        <v>160.44999999999999</v>
      </c>
      <c r="H1780" s="603">
        <f t="shared" si="392"/>
        <v>0</v>
      </c>
      <c r="I1780" s="606">
        <f t="shared" si="393"/>
        <v>962699.99999999988</v>
      </c>
      <c r="J1780" s="376"/>
    </row>
    <row r="1781" spans="1:10" ht="35.25" customHeight="1" x14ac:dyDescent="0.3">
      <c r="A1781" s="1068"/>
      <c r="B1781" s="929"/>
      <c r="C1781" s="282" t="s">
        <v>562</v>
      </c>
      <c r="D1781" s="437" t="s">
        <v>258</v>
      </c>
      <c r="E1781" s="283"/>
      <c r="F1781" s="438">
        <f t="shared" si="391"/>
        <v>18500</v>
      </c>
      <c r="G1781" s="587">
        <v>160.44999999999999</v>
      </c>
      <c r="H1781" s="603">
        <f t="shared" si="392"/>
        <v>0</v>
      </c>
      <c r="I1781" s="606">
        <f t="shared" si="393"/>
        <v>2968325</v>
      </c>
      <c r="J1781" s="376"/>
    </row>
    <row r="1782" spans="1:10" ht="35.25" customHeight="1" x14ac:dyDescent="0.3">
      <c r="A1782" s="1068"/>
      <c r="B1782" s="929"/>
      <c r="C1782" s="282" t="s">
        <v>331</v>
      </c>
      <c r="D1782" s="437" t="s">
        <v>258</v>
      </c>
      <c r="E1782" s="283"/>
      <c r="F1782" s="438">
        <f t="shared" si="391"/>
        <v>14809</v>
      </c>
      <c r="G1782" s="587">
        <v>160.44999999999999</v>
      </c>
      <c r="H1782" s="603">
        <f t="shared" si="392"/>
        <v>0</v>
      </c>
      <c r="I1782" s="606">
        <f t="shared" si="393"/>
        <v>2376104.0499999998</v>
      </c>
      <c r="J1782" s="376"/>
    </row>
    <row r="1783" spans="1:10" ht="35.25" customHeight="1" thickBot="1" x14ac:dyDescent="0.35">
      <c r="A1783" s="1068"/>
      <c r="B1783" s="929"/>
      <c r="C1783" s="282" t="s">
        <v>340</v>
      </c>
      <c r="D1783" s="437" t="s">
        <v>258</v>
      </c>
      <c r="E1783" s="283"/>
      <c r="F1783" s="438">
        <f t="shared" si="391"/>
        <v>2500</v>
      </c>
      <c r="G1783" s="587">
        <v>160.44999999999999</v>
      </c>
      <c r="H1783" s="603">
        <f t="shared" si="392"/>
        <v>0</v>
      </c>
      <c r="I1783" s="606">
        <f t="shared" si="393"/>
        <v>401125</v>
      </c>
      <c r="J1783" s="376"/>
    </row>
    <row r="1784" spans="1:10" ht="35.25" customHeight="1" thickBot="1" x14ac:dyDescent="0.35">
      <c r="A1784" s="1068"/>
      <c r="B1784" s="1063" t="s">
        <v>288</v>
      </c>
      <c r="C1784" s="1064"/>
      <c r="D1784" s="928"/>
      <c r="E1784" s="329">
        <f>SUM(E1770:E1783)</f>
        <v>62361</v>
      </c>
      <c r="F1784" s="329">
        <f>SUM(F1770:F1783)</f>
        <v>730038</v>
      </c>
      <c r="G1784" s="329"/>
      <c r="H1784" s="597">
        <f>SUM(H1770:H1783)</f>
        <v>10005822.449999999</v>
      </c>
      <c r="I1784" s="589">
        <f>SUM(I1770:I1783)</f>
        <v>55295912.159999996</v>
      </c>
      <c r="J1784" s="352"/>
    </row>
    <row r="1785" spans="1:10" ht="35.25" customHeight="1" x14ac:dyDescent="0.3">
      <c r="A1785" s="1068"/>
      <c r="B1785" s="929"/>
      <c r="C1785" s="282" t="s">
        <v>434</v>
      </c>
      <c r="D1785" s="437" t="s">
        <v>435</v>
      </c>
      <c r="E1785" s="283"/>
      <c r="F1785" s="438">
        <f t="shared" ref="F1785:F1791" si="394">+F1691+E1785</f>
        <v>250</v>
      </c>
      <c r="G1785" s="587">
        <v>5.34</v>
      </c>
      <c r="H1785" s="603">
        <f t="shared" ref="H1785:H1791" si="395">E1785*G1785</f>
        <v>0</v>
      </c>
      <c r="I1785" s="606">
        <f t="shared" ref="I1785" si="396">+G1785*F1785</f>
        <v>1335</v>
      </c>
      <c r="J1785" s="376"/>
    </row>
    <row r="1786" spans="1:10" ht="35.25" customHeight="1" x14ac:dyDescent="0.3">
      <c r="A1786" s="1068"/>
      <c r="B1786" s="929"/>
      <c r="C1786" s="282" t="s">
        <v>464</v>
      </c>
      <c r="D1786" s="437" t="s">
        <v>286</v>
      </c>
      <c r="E1786" s="283"/>
      <c r="F1786" s="438">
        <f t="shared" si="394"/>
        <v>50</v>
      </c>
      <c r="G1786" s="587">
        <v>31.73</v>
      </c>
      <c r="H1786" s="603">
        <f t="shared" si="395"/>
        <v>0</v>
      </c>
      <c r="I1786" s="606">
        <f>+G1786*F1786</f>
        <v>1586.5</v>
      </c>
      <c r="J1786" s="376"/>
    </row>
    <row r="1787" spans="1:10" ht="35.25" customHeight="1" x14ac:dyDescent="0.3">
      <c r="A1787" s="1068"/>
      <c r="B1787" s="929"/>
      <c r="C1787" s="282" t="s">
        <v>473</v>
      </c>
      <c r="D1787" s="437" t="s">
        <v>474</v>
      </c>
      <c r="E1787" s="283"/>
      <c r="F1787" s="438">
        <f t="shared" si="394"/>
        <v>2500</v>
      </c>
      <c r="G1787" s="587">
        <v>10.58</v>
      </c>
      <c r="H1787" s="603">
        <f t="shared" si="395"/>
        <v>0</v>
      </c>
      <c r="I1787" s="606">
        <f>+G1787*F1787</f>
        <v>26450</v>
      </c>
      <c r="J1787" s="376"/>
    </row>
    <row r="1788" spans="1:10" ht="35.25" customHeight="1" x14ac:dyDescent="0.3">
      <c r="A1788" s="1068"/>
      <c r="B1788" s="929"/>
      <c r="C1788" s="282" t="s">
        <v>300</v>
      </c>
      <c r="D1788" s="437" t="s">
        <v>301</v>
      </c>
      <c r="E1788" s="283">
        <v>2</v>
      </c>
      <c r="F1788" s="438">
        <f t="shared" si="394"/>
        <v>12</v>
      </c>
      <c r="G1788" s="587">
        <v>2500</v>
      </c>
      <c r="H1788" s="603">
        <f t="shared" si="395"/>
        <v>5000</v>
      </c>
      <c r="I1788" s="606">
        <f>+G1788*F1788</f>
        <v>30000</v>
      </c>
      <c r="J1788" s="376"/>
    </row>
    <row r="1789" spans="1:10" ht="35.25" customHeight="1" x14ac:dyDescent="0.3">
      <c r="A1789" s="1068"/>
      <c r="B1789" s="929"/>
      <c r="C1789" s="282" t="s">
        <v>594</v>
      </c>
      <c r="D1789" s="437"/>
      <c r="E1789" s="283"/>
      <c r="F1789" s="438">
        <f t="shared" si="394"/>
        <v>1</v>
      </c>
      <c r="G1789" s="587">
        <v>30000</v>
      </c>
      <c r="H1789" s="603">
        <f t="shared" si="395"/>
        <v>0</v>
      </c>
      <c r="I1789" s="606">
        <f>+G1789*F1789</f>
        <v>30000</v>
      </c>
      <c r="J1789" s="376"/>
    </row>
    <row r="1790" spans="1:10" ht="35.25" customHeight="1" x14ac:dyDescent="0.3">
      <c r="A1790" s="1068"/>
      <c r="B1790" s="929"/>
      <c r="C1790" s="282" t="s">
        <v>446</v>
      </c>
      <c r="D1790" s="437" t="s">
        <v>333</v>
      </c>
      <c r="E1790" s="283"/>
      <c r="F1790" s="438">
        <f t="shared" si="394"/>
        <v>12676</v>
      </c>
      <c r="G1790" s="587">
        <v>360</v>
      </c>
      <c r="H1790" s="603">
        <f t="shared" si="395"/>
        <v>0</v>
      </c>
      <c r="I1790" s="606">
        <f>+G1790*F1790</f>
        <v>4563360</v>
      </c>
      <c r="J1790" s="376"/>
    </row>
    <row r="1791" spans="1:10" ht="35.25" customHeight="1" thickBot="1" x14ac:dyDescent="0.35">
      <c r="A1791" s="1068"/>
      <c r="B1791" s="929"/>
      <c r="C1791" s="282" t="s">
        <v>519</v>
      </c>
      <c r="D1791" s="437" t="s">
        <v>333</v>
      </c>
      <c r="E1791" s="283"/>
      <c r="F1791" s="438">
        <f t="shared" si="394"/>
        <v>124032</v>
      </c>
      <c r="G1791" s="588">
        <v>10</v>
      </c>
      <c r="H1791" s="603">
        <f t="shared" si="395"/>
        <v>0</v>
      </c>
      <c r="I1791" s="606">
        <f t="shared" ref="I1791" si="397">+G1791*F1791</f>
        <v>1240320</v>
      </c>
      <c r="J1791" s="376"/>
    </row>
    <row r="1792" spans="1:10" ht="35.25" customHeight="1" thickBot="1" x14ac:dyDescent="0.35">
      <c r="A1792" s="1068"/>
      <c r="B1792" s="1063" t="s">
        <v>294</v>
      </c>
      <c r="C1792" s="1064"/>
      <c r="D1792" s="928"/>
      <c r="E1792" s="329">
        <f>SUM(E1785:E1791)</f>
        <v>2</v>
      </c>
      <c r="F1792" s="329">
        <f>SUM(F1785:F1791)</f>
        <v>139521</v>
      </c>
      <c r="G1792" s="329"/>
      <c r="H1792" s="597">
        <f>SUM(H1785:H1791)</f>
        <v>5000</v>
      </c>
      <c r="I1792" s="589">
        <f>SUM(I1785:I1791)</f>
        <v>5893051.5</v>
      </c>
      <c r="J1792" s="376"/>
    </row>
    <row r="1793" spans="1:13" ht="35.25" customHeight="1" thickBot="1" x14ac:dyDescent="0.35">
      <c r="A1793" s="1068"/>
      <c r="B1793" s="929"/>
      <c r="C1793" s="282"/>
      <c r="D1793" s="437"/>
      <c r="E1793" s="283"/>
      <c r="F1793" s="320"/>
      <c r="G1793" s="588"/>
      <c r="H1793" s="598"/>
      <c r="I1793" s="285">
        <f t="shared" ref="I1793" si="398">+G1793*F1793</f>
        <v>0</v>
      </c>
      <c r="J1793" s="376"/>
    </row>
    <row r="1794" spans="1:13" ht="35.25" customHeight="1" thickBot="1" x14ac:dyDescent="0.35">
      <c r="A1794" s="1069"/>
      <c r="B1794" s="1063" t="s">
        <v>290</v>
      </c>
      <c r="C1794" s="1064"/>
      <c r="D1794" s="930"/>
      <c r="E1794" s="329">
        <f>+E1792+E1784+E1769</f>
        <v>64923</v>
      </c>
      <c r="F1794" s="329">
        <f>+F1792+F1784+F1769</f>
        <v>3438179.91</v>
      </c>
      <c r="G1794" s="329"/>
      <c r="H1794" s="589">
        <f>+H1784+H1769+H1792</f>
        <v>10366764.85</v>
      </c>
      <c r="I1794" s="589">
        <f>+I1784+I1769+I1792</f>
        <v>123925286.61</v>
      </c>
      <c r="J1794" s="376"/>
      <c r="K1794" s="757"/>
      <c r="M1794" s="757"/>
    </row>
    <row r="1795" spans="1:13" ht="35.25" customHeight="1" x14ac:dyDescent="0.3">
      <c r="A1795" s="1067" t="s">
        <v>108</v>
      </c>
      <c r="B1795" s="929"/>
      <c r="C1795" s="282" t="s">
        <v>304</v>
      </c>
      <c r="D1795" s="437" t="s">
        <v>191</v>
      </c>
      <c r="E1795" s="283"/>
      <c r="F1795" s="438">
        <f t="shared" ref="F1795:F1815" si="399">+F1701+E1795</f>
        <v>35802</v>
      </c>
      <c r="G1795" s="612">
        <v>13.25</v>
      </c>
      <c r="H1795" s="607">
        <f t="shared" ref="H1795:H1815" si="400">E1795*G1795</f>
        <v>0</v>
      </c>
      <c r="I1795" s="606">
        <f t="shared" ref="I1795:I1815" si="401">+G1795*F1795</f>
        <v>474376.5</v>
      </c>
      <c r="J1795" s="376"/>
    </row>
    <row r="1796" spans="1:13" ht="35.25" customHeight="1" x14ac:dyDescent="0.3">
      <c r="A1796" s="1068"/>
      <c r="B1796" s="929"/>
      <c r="C1796" s="282" t="s">
        <v>305</v>
      </c>
      <c r="D1796" s="437"/>
      <c r="E1796" s="283">
        <v>1</v>
      </c>
      <c r="F1796" s="438">
        <f t="shared" si="399"/>
        <v>2</v>
      </c>
      <c r="G1796" s="613">
        <v>5000</v>
      </c>
      <c r="H1796" s="607">
        <f t="shared" si="400"/>
        <v>5000</v>
      </c>
      <c r="I1796" s="606">
        <f t="shared" si="401"/>
        <v>10000</v>
      </c>
      <c r="J1796" s="376"/>
    </row>
    <row r="1797" spans="1:13" ht="35.25" customHeight="1" x14ac:dyDescent="0.3">
      <c r="A1797" s="1068"/>
      <c r="B1797" s="929"/>
      <c r="C1797" s="282" t="s">
        <v>305</v>
      </c>
      <c r="D1797" s="437"/>
      <c r="E1797" s="283"/>
      <c r="F1797" s="438">
        <f t="shared" si="399"/>
        <v>0</v>
      </c>
      <c r="G1797" s="613">
        <v>18000</v>
      </c>
      <c r="H1797" s="607">
        <f t="shared" si="400"/>
        <v>0</v>
      </c>
      <c r="I1797" s="606">
        <f t="shared" si="401"/>
        <v>0</v>
      </c>
      <c r="J1797" s="376"/>
    </row>
    <row r="1798" spans="1:13" ht="35.25" customHeight="1" x14ac:dyDescent="0.3">
      <c r="A1798" s="1068"/>
      <c r="B1798" s="929"/>
      <c r="C1798" s="282" t="s">
        <v>317</v>
      </c>
      <c r="D1798" s="437" t="s">
        <v>191</v>
      </c>
      <c r="E1798" s="283"/>
      <c r="F1798" s="438">
        <f t="shared" si="399"/>
        <v>0</v>
      </c>
      <c r="G1798" s="612">
        <v>24.93</v>
      </c>
      <c r="H1798" s="607">
        <f t="shared" si="400"/>
        <v>0</v>
      </c>
      <c r="I1798" s="606">
        <f t="shared" si="401"/>
        <v>0</v>
      </c>
      <c r="J1798" s="376"/>
    </row>
    <row r="1799" spans="1:13" ht="35.25" customHeight="1" x14ac:dyDescent="0.3">
      <c r="A1799" s="1068"/>
      <c r="B1799" s="929"/>
      <c r="C1799" s="282" t="s">
        <v>324</v>
      </c>
      <c r="D1799" s="437" t="s">
        <v>99</v>
      </c>
      <c r="E1799" s="283"/>
      <c r="F1799" s="438">
        <f t="shared" si="399"/>
        <v>0</v>
      </c>
      <c r="G1799" s="612">
        <v>26</v>
      </c>
      <c r="H1799" s="607">
        <f t="shared" si="400"/>
        <v>0</v>
      </c>
      <c r="I1799" s="606">
        <f t="shared" si="401"/>
        <v>0</v>
      </c>
      <c r="J1799" s="376"/>
    </row>
    <row r="1800" spans="1:13" ht="35.25" customHeight="1" x14ac:dyDescent="0.3">
      <c r="A1800" s="1068"/>
      <c r="B1800" s="929"/>
      <c r="C1800" s="282" t="s">
        <v>575</v>
      </c>
      <c r="D1800" s="437" t="s">
        <v>507</v>
      </c>
      <c r="E1800" s="283">
        <v>1201050</v>
      </c>
      <c r="F1800" s="438">
        <f t="shared" si="399"/>
        <v>1447686</v>
      </c>
      <c r="G1800" s="612">
        <v>20.76</v>
      </c>
      <c r="H1800" s="607">
        <f t="shared" si="400"/>
        <v>24933798.000000004</v>
      </c>
      <c r="I1800" s="606">
        <f t="shared" si="401"/>
        <v>30053961.360000003</v>
      </c>
      <c r="J1800" s="376"/>
    </row>
    <row r="1801" spans="1:13" ht="35.25" customHeight="1" x14ac:dyDescent="0.3">
      <c r="A1801" s="1068"/>
      <c r="B1801" s="929"/>
      <c r="C1801" s="282" t="s">
        <v>326</v>
      </c>
      <c r="D1801" s="437" t="s">
        <v>114</v>
      </c>
      <c r="E1801" s="283"/>
      <c r="F1801" s="438">
        <f t="shared" si="399"/>
        <v>0</v>
      </c>
      <c r="G1801" s="612">
        <v>24.93</v>
      </c>
      <c r="H1801" s="607">
        <f t="shared" si="400"/>
        <v>0</v>
      </c>
      <c r="I1801" s="606">
        <f t="shared" si="401"/>
        <v>0</v>
      </c>
      <c r="J1801" s="376"/>
    </row>
    <row r="1802" spans="1:13" ht="35.25" customHeight="1" x14ac:dyDescent="0.3">
      <c r="A1802" s="1068"/>
      <c r="B1802" s="929"/>
      <c r="C1802" s="282" t="s">
        <v>327</v>
      </c>
      <c r="D1802" s="437" t="s">
        <v>303</v>
      </c>
      <c r="E1802" s="283"/>
      <c r="F1802" s="438">
        <f t="shared" si="399"/>
        <v>0</v>
      </c>
      <c r="G1802" s="612">
        <v>24.93</v>
      </c>
      <c r="H1802" s="607">
        <f t="shared" si="400"/>
        <v>0</v>
      </c>
      <c r="I1802" s="606">
        <f t="shared" si="401"/>
        <v>0</v>
      </c>
      <c r="J1802" s="376"/>
    </row>
    <row r="1803" spans="1:13" ht="35.25" customHeight="1" x14ac:dyDescent="0.3">
      <c r="A1803" s="1068"/>
      <c r="B1803" s="929"/>
      <c r="C1803" s="282" t="s">
        <v>512</v>
      </c>
      <c r="D1803" s="437" t="s">
        <v>401</v>
      </c>
      <c r="E1803" s="283"/>
      <c r="F1803" s="438">
        <f t="shared" si="399"/>
        <v>47736</v>
      </c>
      <c r="G1803" s="612">
        <v>23.78</v>
      </c>
      <c r="H1803" s="607">
        <f t="shared" si="400"/>
        <v>0</v>
      </c>
      <c r="I1803" s="606">
        <f t="shared" si="401"/>
        <v>1135162.08</v>
      </c>
      <c r="J1803" s="376"/>
    </row>
    <row r="1804" spans="1:13" ht="35.25" customHeight="1" x14ac:dyDescent="0.3">
      <c r="A1804" s="1068"/>
      <c r="B1804" s="929"/>
      <c r="C1804" s="282" t="s">
        <v>512</v>
      </c>
      <c r="D1804" s="437" t="s">
        <v>513</v>
      </c>
      <c r="E1804" s="283"/>
      <c r="F1804" s="438">
        <f t="shared" si="399"/>
        <v>115362</v>
      </c>
      <c r="G1804" s="612">
        <v>23.78</v>
      </c>
      <c r="H1804" s="607">
        <f t="shared" si="400"/>
        <v>0</v>
      </c>
      <c r="I1804" s="606">
        <f t="shared" si="401"/>
        <v>2743308.3600000003</v>
      </c>
      <c r="J1804" s="376"/>
    </row>
    <row r="1805" spans="1:13" ht="35.25" customHeight="1" x14ac:dyDescent="0.3">
      <c r="A1805" s="1068"/>
      <c r="B1805" s="929"/>
      <c r="C1805" s="282" t="s">
        <v>394</v>
      </c>
      <c r="D1805" s="437" t="s">
        <v>338</v>
      </c>
      <c r="E1805" s="283"/>
      <c r="F1805" s="438">
        <f t="shared" si="399"/>
        <v>0</v>
      </c>
      <c r="G1805" s="612">
        <v>37.4566666666</v>
      </c>
      <c r="H1805" s="607">
        <f t="shared" si="400"/>
        <v>0</v>
      </c>
      <c r="I1805" s="606">
        <f t="shared" si="401"/>
        <v>0</v>
      </c>
      <c r="J1805" s="376"/>
    </row>
    <row r="1806" spans="1:13" ht="35.25" customHeight="1" x14ac:dyDescent="0.3">
      <c r="A1806" s="1068"/>
      <c r="B1806" s="929"/>
      <c r="C1806" s="282" t="s">
        <v>395</v>
      </c>
      <c r="D1806" s="437" t="s">
        <v>338</v>
      </c>
      <c r="E1806" s="283"/>
      <c r="F1806" s="438">
        <f t="shared" si="399"/>
        <v>22464</v>
      </c>
      <c r="G1806" s="612">
        <v>37.89</v>
      </c>
      <c r="H1806" s="607">
        <f t="shared" si="400"/>
        <v>0</v>
      </c>
      <c r="I1806" s="606">
        <f t="shared" si="401"/>
        <v>851160.96</v>
      </c>
      <c r="J1806" s="376"/>
    </row>
    <row r="1807" spans="1:13" ht="35.25" customHeight="1" x14ac:dyDescent="0.3">
      <c r="A1807" s="1068"/>
      <c r="B1807" s="929"/>
      <c r="C1807" s="282" t="s">
        <v>327</v>
      </c>
      <c r="D1807" s="437" t="s">
        <v>302</v>
      </c>
      <c r="E1807" s="283"/>
      <c r="F1807" s="438">
        <f t="shared" si="399"/>
        <v>123318</v>
      </c>
      <c r="G1807" s="612">
        <v>24.93</v>
      </c>
      <c r="H1807" s="607">
        <f t="shared" si="400"/>
        <v>0</v>
      </c>
      <c r="I1807" s="606">
        <f t="shared" si="401"/>
        <v>3074317.7399999998</v>
      </c>
      <c r="J1807" s="376"/>
    </row>
    <row r="1808" spans="1:13" ht="35.25" customHeight="1" x14ac:dyDescent="0.3">
      <c r="A1808" s="1068"/>
      <c r="B1808" s="929"/>
      <c r="C1808" s="282" t="s">
        <v>402</v>
      </c>
      <c r="D1808" s="437" t="s">
        <v>376</v>
      </c>
      <c r="E1808" s="283"/>
      <c r="F1808" s="438">
        <f t="shared" si="399"/>
        <v>0</v>
      </c>
      <c r="G1808" s="612">
        <v>24.93</v>
      </c>
      <c r="H1808" s="607">
        <f t="shared" si="400"/>
        <v>0</v>
      </c>
      <c r="I1808" s="606">
        <f t="shared" si="401"/>
        <v>0</v>
      </c>
      <c r="J1808" s="376"/>
    </row>
    <row r="1809" spans="1:10" ht="35.25" customHeight="1" x14ac:dyDescent="0.3">
      <c r="A1809" s="1068"/>
      <c r="B1809" s="929"/>
      <c r="C1809" s="282" t="s">
        <v>350</v>
      </c>
      <c r="D1809" s="437" t="s">
        <v>313</v>
      </c>
      <c r="E1809" s="283"/>
      <c r="F1809" s="438">
        <f t="shared" si="399"/>
        <v>0</v>
      </c>
      <c r="G1809" s="612">
        <v>34.26</v>
      </c>
      <c r="H1809" s="607">
        <f t="shared" si="400"/>
        <v>0</v>
      </c>
      <c r="I1809" s="606">
        <f t="shared" si="401"/>
        <v>0</v>
      </c>
      <c r="J1809" s="376"/>
    </row>
    <row r="1810" spans="1:10" ht="35.25" customHeight="1" x14ac:dyDescent="0.3">
      <c r="A1810" s="1068"/>
      <c r="B1810" s="929"/>
      <c r="C1810" s="282" t="s">
        <v>363</v>
      </c>
      <c r="D1810" s="437" t="s">
        <v>401</v>
      </c>
      <c r="E1810" s="283"/>
      <c r="F1810" s="438">
        <f t="shared" si="399"/>
        <v>0</v>
      </c>
      <c r="G1810" s="612">
        <v>37.89</v>
      </c>
      <c r="H1810" s="607">
        <f t="shared" si="400"/>
        <v>0</v>
      </c>
      <c r="I1810" s="606">
        <f t="shared" si="401"/>
        <v>0</v>
      </c>
      <c r="J1810" s="376"/>
    </row>
    <row r="1811" spans="1:10" ht="35.25" customHeight="1" x14ac:dyDescent="0.3">
      <c r="A1811" s="1068"/>
      <c r="B1811" s="929"/>
      <c r="C1811" s="282" t="s">
        <v>406</v>
      </c>
      <c r="D1811" s="437" t="s">
        <v>376</v>
      </c>
      <c r="E1811" s="283"/>
      <c r="F1811" s="438">
        <f t="shared" si="399"/>
        <v>0</v>
      </c>
      <c r="G1811" s="612">
        <v>39</v>
      </c>
      <c r="H1811" s="607">
        <f t="shared" si="400"/>
        <v>0</v>
      </c>
      <c r="I1811" s="606">
        <f t="shared" si="401"/>
        <v>0</v>
      </c>
      <c r="J1811" s="376"/>
    </row>
    <row r="1812" spans="1:10" ht="35.25" customHeight="1" x14ac:dyDescent="0.3">
      <c r="A1812" s="1068"/>
      <c r="B1812" s="929"/>
      <c r="C1812" s="282" t="s">
        <v>327</v>
      </c>
      <c r="D1812" s="437" t="s">
        <v>190</v>
      </c>
      <c r="E1812" s="283">
        <v>15912</v>
      </c>
      <c r="F1812" s="438">
        <f t="shared" si="399"/>
        <v>83538</v>
      </c>
      <c r="G1812" s="612">
        <v>21.22</v>
      </c>
      <c r="H1812" s="607">
        <f t="shared" si="400"/>
        <v>337652.63999999996</v>
      </c>
      <c r="I1812" s="606">
        <f t="shared" si="401"/>
        <v>1772676.3599999999</v>
      </c>
      <c r="J1812" s="376"/>
    </row>
    <row r="1813" spans="1:10" ht="35.25" customHeight="1" x14ac:dyDescent="0.3">
      <c r="A1813" s="1068"/>
      <c r="B1813" s="929"/>
      <c r="C1813" s="282" t="s">
        <v>326</v>
      </c>
      <c r="D1813" s="437" t="s">
        <v>190</v>
      </c>
      <c r="E1813" s="283"/>
      <c r="F1813" s="438">
        <f t="shared" si="399"/>
        <v>0</v>
      </c>
      <c r="G1813" s="612">
        <v>21.22</v>
      </c>
      <c r="H1813" s="607">
        <f t="shared" si="400"/>
        <v>0</v>
      </c>
      <c r="I1813" s="606">
        <f t="shared" si="401"/>
        <v>0</v>
      </c>
      <c r="J1813" s="376"/>
    </row>
    <row r="1814" spans="1:10" ht="35.25" customHeight="1" x14ac:dyDescent="0.3">
      <c r="A1814" s="1068"/>
      <c r="B1814" s="929"/>
      <c r="C1814" s="282" t="s">
        <v>377</v>
      </c>
      <c r="D1814" s="437" t="s">
        <v>333</v>
      </c>
      <c r="E1814" s="283"/>
      <c r="F1814" s="438">
        <f t="shared" si="399"/>
        <v>0</v>
      </c>
      <c r="G1814" s="612">
        <v>10000</v>
      </c>
      <c r="H1814" s="607">
        <f t="shared" si="400"/>
        <v>0</v>
      </c>
      <c r="I1814" s="606">
        <f t="shared" si="401"/>
        <v>0</v>
      </c>
      <c r="J1814" s="376"/>
    </row>
    <row r="1815" spans="1:10" ht="35.25" customHeight="1" thickBot="1" x14ac:dyDescent="0.35">
      <c r="A1815" s="1068"/>
      <c r="B1815" s="929"/>
      <c r="C1815" s="282" t="s">
        <v>332</v>
      </c>
      <c r="D1815" s="437" t="s">
        <v>333</v>
      </c>
      <c r="E1815" s="283">
        <v>8931</v>
      </c>
      <c r="F1815" s="438">
        <f t="shared" si="399"/>
        <v>8931</v>
      </c>
      <c r="G1815" s="612">
        <v>360</v>
      </c>
      <c r="H1815" s="607">
        <f t="shared" si="400"/>
        <v>3215160</v>
      </c>
      <c r="I1815" s="606">
        <f t="shared" si="401"/>
        <v>3215160</v>
      </c>
      <c r="J1815" s="376"/>
    </row>
    <row r="1816" spans="1:10" ht="35.25" customHeight="1" thickBot="1" x14ac:dyDescent="0.35">
      <c r="A1816" s="1069"/>
      <c r="B1816" s="1063" t="s">
        <v>289</v>
      </c>
      <c r="C1816" s="1064"/>
      <c r="D1816" s="928"/>
      <c r="E1816" s="329">
        <f>SUM(E1795:E1815)</f>
        <v>1225894</v>
      </c>
      <c r="F1816" s="329">
        <f>SUM(F1795:F1815)</f>
        <v>1884839</v>
      </c>
      <c r="G1816" s="329"/>
      <c r="H1816" s="597">
        <f>SUM(H1795:H1815)</f>
        <v>28491610.640000004</v>
      </c>
      <c r="I1816" s="589">
        <f>SUM(I1795:I1815)</f>
        <v>43330123.360000007</v>
      </c>
      <c r="J1816" s="376"/>
    </row>
    <row r="1817" spans="1:10" ht="35.25" customHeight="1" x14ac:dyDescent="0.3">
      <c r="A1817" s="1067" t="s">
        <v>109</v>
      </c>
      <c r="B1817" s="929"/>
      <c r="C1817" s="282" t="s">
        <v>296</v>
      </c>
      <c r="D1817" s="437" t="s">
        <v>258</v>
      </c>
      <c r="E1817" s="283">
        <v>7200</v>
      </c>
      <c r="F1817" s="438">
        <f t="shared" ref="F1817:F1839" si="402">+F1723+E1817</f>
        <v>60050</v>
      </c>
      <c r="G1817" s="612">
        <v>430.02</v>
      </c>
      <c r="H1817" s="603">
        <f>E1817*G1817</f>
        <v>3096144</v>
      </c>
      <c r="I1817" s="606">
        <f t="shared" ref="I1817:I1839" si="403">+G1817*F1817</f>
        <v>25822701</v>
      </c>
      <c r="J1817" s="376"/>
    </row>
    <row r="1818" spans="1:10" ht="35.25" customHeight="1" x14ac:dyDescent="0.3">
      <c r="A1818" s="1068"/>
      <c r="B1818" s="929"/>
      <c r="C1818" s="282" t="s">
        <v>297</v>
      </c>
      <c r="D1818" s="437" t="s">
        <v>258</v>
      </c>
      <c r="E1818" s="283"/>
      <c r="F1818" s="438">
        <f t="shared" si="402"/>
        <v>4753</v>
      </c>
      <c r="G1818" s="612">
        <v>445.38</v>
      </c>
      <c r="H1818" s="603">
        <f t="shared" ref="H1818:H1839" si="404">E1818*G1818</f>
        <v>0</v>
      </c>
      <c r="I1818" s="606">
        <f t="shared" si="403"/>
        <v>2116891.14</v>
      </c>
      <c r="J1818" s="376"/>
    </row>
    <row r="1819" spans="1:10" ht="35.25" customHeight="1" x14ac:dyDescent="0.3">
      <c r="A1819" s="1068"/>
      <c r="B1819" s="929"/>
      <c r="C1819" s="282" t="s">
        <v>467</v>
      </c>
      <c r="D1819" s="437" t="s">
        <v>258</v>
      </c>
      <c r="E1819" s="283"/>
      <c r="F1819" s="438">
        <f t="shared" si="402"/>
        <v>15597</v>
      </c>
      <c r="G1819" s="612">
        <v>445.38</v>
      </c>
      <c r="H1819" s="603">
        <f t="shared" si="404"/>
        <v>0</v>
      </c>
      <c r="I1819" s="606">
        <f t="shared" si="403"/>
        <v>6946591.8600000003</v>
      </c>
      <c r="J1819" s="376"/>
    </row>
    <row r="1820" spans="1:10" ht="35.25" customHeight="1" x14ac:dyDescent="0.3">
      <c r="A1820" s="1068"/>
      <c r="B1820" s="929"/>
      <c r="C1820" s="282" t="s">
        <v>330</v>
      </c>
      <c r="D1820" s="437" t="s">
        <v>258</v>
      </c>
      <c r="E1820" s="283"/>
      <c r="F1820" s="438">
        <f t="shared" si="402"/>
        <v>0</v>
      </c>
      <c r="G1820" s="612">
        <v>63.55</v>
      </c>
      <c r="H1820" s="603">
        <f t="shared" si="404"/>
        <v>0</v>
      </c>
      <c r="I1820" s="606">
        <f t="shared" si="403"/>
        <v>0</v>
      </c>
      <c r="J1820" s="376"/>
    </row>
    <row r="1821" spans="1:10" ht="35.25" customHeight="1" x14ac:dyDescent="0.3">
      <c r="A1821" s="1068"/>
      <c r="B1821" s="929"/>
      <c r="C1821" s="282" t="s">
        <v>298</v>
      </c>
      <c r="D1821" s="437" t="s">
        <v>258</v>
      </c>
      <c r="E1821" s="283">
        <v>107568</v>
      </c>
      <c r="F1821" s="438">
        <f t="shared" si="402"/>
        <v>570268</v>
      </c>
      <c r="G1821" s="612">
        <v>71.44</v>
      </c>
      <c r="H1821" s="603">
        <f t="shared" si="404"/>
        <v>7684657.9199999999</v>
      </c>
      <c r="I1821" s="606">
        <f t="shared" si="403"/>
        <v>40739945.920000002</v>
      </c>
      <c r="J1821" s="376"/>
    </row>
    <row r="1822" spans="1:10" ht="35.25" customHeight="1" x14ac:dyDescent="0.3">
      <c r="A1822" s="1068"/>
      <c r="B1822" s="929"/>
      <c r="C1822" s="282" t="s">
        <v>299</v>
      </c>
      <c r="D1822" s="437" t="s">
        <v>258</v>
      </c>
      <c r="E1822" s="283"/>
      <c r="F1822" s="438">
        <f t="shared" si="402"/>
        <v>300</v>
      </c>
      <c r="G1822" s="612">
        <v>36.5</v>
      </c>
      <c r="H1822" s="603">
        <f t="shared" si="404"/>
        <v>0</v>
      </c>
      <c r="I1822" s="606">
        <f t="shared" si="403"/>
        <v>10950</v>
      </c>
      <c r="J1822" s="376"/>
    </row>
    <row r="1823" spans="1:10" ht="35.25" customHeight="1" x14ac:dyDescent="0.3">
      <c r="A1823" s="1068"/>
      <c r="B1823" s="929"/>
      <c r="C1823" s="282" t="s">
        <v>514</v>
      </c>
      <c r="D1823" s="437" t="s">
        <v>258</v>
      </c>
      <c r="E1823" s="283"/>
      <c r="F1823" s="438">
        <f t="shared" si="402"/>
        <v>3914</v>
      </c>
      <c r="G1823" s="612">
        <v>320.35000000000002</v>
      </c>
      <c r="H1823" s="603">
        <f t="shared" si="404"/>
        <v>0</v>
      </c>
      <c r="I1823" s="606">
        <f t="shared" si="403"/>
        <v>1253849.9000000001</v>
      </c>
      <c r="J1823" s="376"/>
    </row>
    <row r="1824" spans="1:10" ht="35.25" customHeight="1" x14ac:dyDescent="0.3">
      <c r="A1824" s="1068"/>
      <c r="B1824" s="929"/>
      <c r="C1824" s="282" t="s">
        <v>308</v>
      </c>
      <c r="D1824" s="437" t="s">
        <v>258</v>
      </c>
      <c r="E1824" s="283">
        <v>1600</v>
      </c>
      <c r="F1824" s="438">
        <f t="shared" si="402"/>
        <v>19260</v>
      </c>
      <c r="G1824" s="612">
        <v>320.35000000000002</v>
      </c>
      <c r="H1824" s="603">
        <f t="shared" si="404"/>
        <v>512560.00000000006</v>
      </c>
      <c r="I1824" s="606">
        <f t="shared" si="403"/>
        <v>6169941</v>
      </c>
      <c r="J1824" s="376"/>
    </row>
    <row r="1825" spans="1:10" ht="35.25" customHeight="1" x14ac:dyDescent="0.3">
      <c r="A1825" s="1068"/>
      <c r="B1825" s="929"/>
      <c r="C1825" s="282" t="s">
        <v>322</v>
      </c>
      <c r="D1825" s="437" t="s">
        <v>258</v>
      </c>
      <c r="E1825" s="283"/>
      <c r="F1825" s="438">
        <f t="shared" si="402"/>
        <v>0</v>
      </c>
      <c r="G1825" s="612">
        <v>434.41</v>
      </c>
      <c r="H1825" s="603">
        <f t="shared" si="404"/>
        <v>0</v>
      </c>
      <c r="I1825" s="606">
        <f t="shared" si="403"/>
        <v>0</v>
      </c>
      <c r="J1825" s="376"/>
    </row>
    <row r="1826" spans="1:10" ht="35.25" customHeight="1" x14ac:dyDescent="0.3">
      <c r="A1826" s="1068"/>
      <c r="B1826" s="929"/>
      <c r="C1826" s="282" t="s">
        <v>305</v>
      </c>
      <c r="D1826" s="437" t="s">
        <v>258</v>
      </c>
      <c r="E1826" s="283"/>
      <c r="F1826" s="438">
        <f t="shared" si="402"/>
        <v>1</v>
      </c>
      <c r="G1826" s="612">
        <v>29690</v>
      </c>
      <c r="H1826" s="603">
        <f t="shared" si="404"/>
        <v>0</v>
      </c>
      <c r="I1826" s="606">
        <f t="shared" si="403"/>
        <v>29690</v>
      </c>
      <c r="J1826" s="376"/>
    </row>
    <row r="1827" spans="1:10" ht="35.25" customHeight="1" x14ac:dyDescent="0.3">
      <c r="A1827" s="1068"/>
      <c r="B1827" s="929"/>
      <c r="C1827" s="282" t="s">
        <v>305</v>
      </c>
      <c r="D1827" s="437" t="s">
        <v>258</v>
      </c>
      <c r="E1827" s="283"/>
      <c r="F1827" s="438">
        <f t="shared" si="402"/>
        <v>5</v>
      </c>
      <c r="G1827" s="612">
        <v>26445</v>
      </c>
      <c r="H1827" s="603">
        <f t="shared" si="404"/>
        <v>0</v>
      </c>
      <c r="I1827" s="606">
        <f t="shared" si="403"/>
        <v>132225</v>
      </c>
      <c r="J1827" s="376"/>
    </row>
    <row r="1828" spans="1:10" ht="35.25" customHeight="1" x14ac:dyDescent="0.3">
      <c r="A1828" s="1068"/>
      <c r="B1828" s="929"/>
      <c r="C1828" s="282" t="s">
        <v>341</v>
      </c>
      <c r="D1828" s="437" t="s">
        <v>375</v>
      </c>
      <c r="E1828" s="283"/>
      <c r="F1828" s="438">
        <f t="shared" si="402"/>
        <v>8076</v>
      </c>
      <c r="G1828" s="612">
        <v>50</v>
      </c>
      <c r="H1828" s="603">
        <f t="shared" si="404"/>
        <v>0</v>
      </c>
      <c r="I1828" s="606">
        <f t="shared" si="403"/>
        <v>403800</v>
      </c>
      <c r="J1828" s="376"/>
    </row>
    <row r="1829" spans="1:10" ht="35.25" customHeight="1" x14ac:dyDescent="0.3">
      <c r="A1829" s="1068"/>
      <c r="B1829" s="929"/>
      <c r="C1829" s="282" t="s">
        <v>341</v>
      </c>
      <c r="D1829" s="437" t="s">
        <v>375</v>
      </c>
      <c r="E1829" s="283"/>
      <c r="F1829" s="438">
        <f t="shared" si="402"/>
        <v>0</v>
      </c>
      <c r="G1829" s="612">
        <v>45</v>
      </c>
      <c r="H1829" s="603">
        <f t="shared" si="404"/>
        <v>0</v>
      </c>
      <c r="I1829" s="606">
        <f t="shared" si="403"/>
        <v>0</v>
      </c>
      <c r="J1829" s="376"/>
    </row>
    <row r="1830" spans="1:10" ht="35.25" customHeight="1" x14ac:dyDescent="0.3">
      <c r="A1830" s="1068"/>
      <c r="B1830" s="929"/>
      <c r="C1830" s="282" t="s">
        <v>364</v>
      </c>
      <c r="D1830" s="437" t="s">
        <v>428</v>
      </c>
      <c r="E1830" s="283"/>
      <c r="F1830" s="438">
        <f t="shared" si="402"/>
        <v>700</v>
      </c>
      <c r="G1830" s="612">
        <v>57.64</v>
      </c>
      <c r="H1830" s="603">
        <f t="shared" si="404"/>
        <v>0</v>
      </c>
      <c r="I1830" s="606">
        <f t="shared" si="403"/>
        <v>40348</v>
      </c>
      <c r="J1830" s="376"/>
    </row>
    <row r="1831" spans="1:10" ht="35.25" customHeight="1" x14ac:dyDescent="0.3">
      <c r="A1831" s="1068"/>
      <c r="B1831" s="929"/>
      <c r="C1831" s="282" t="s">
        <v>364</v>
      </c>
      <c r="D1831" s="437" t="s">
        <v>407</v>
      </c>
      <c r="E1831" s="283"/>
      <c r="F1831" s="438">
        <f t="shared" si="402"/>
        <v>0</v>
      </c>
      <c r="G1831" s="612">
        <v>57.64</v>
      </c>
      <c r="H1831" s="603">
        <f t="shared" si="404"/>
        <v>0</v>
      </c>
      <c r="I1831" s="606">
        <f t="shared" si="403"/>
        <v>0</v>
      </c>
      <c r="J1831" s="376"/>
    </row>
    <row r="1832" spans="1:10" ht="35.25" customHeight="1" x14ac:dyDescent="0.3">
      <c r="A1832" s="1068"/>
      <c r="B1832" s="929"/>
      <c r="C1832" s="282" t="s">
        <v>365</v>
      </c>
      <c r="D1832" s="437" t="s">
        <v>366</v>
      </c>
      <c r="E1832" s="283"/>
      <c r="F1832" s="438">
        <f t="shared" si="402"/>
        <v>7383</v>
      </c>
      <c r="G1832" s="612">
        <v>434.41</v>
      </c>
      <c r="H1832" s="603">
        <f t="shared" si="404"/>
        <v>0</v>
      </c>
      <c r="I1832" s="606">
        <f t="shared" si="403"/>
        <v>3207249.0300000003</v>
      </c>
      <c r="J1832" s="376"/>
    </row>
    <row r="1833" spans="1:10" ht="35.25" customHeight="1" x14ac:dyDescent="0.3">
      <c r="A1833" s="1068"/>
      <c r="B1833" s="929"/>
      <c r="C1833" s="282" t="s">
        <v>381</v>
      </c>
      <c r="D1833" s="437" t="s">
        <v>258</v>
      </c>
      <c r="E1833" s="283"/>
      <c r="F1833" s="438">
        <f t="shared" si="402"/>
        <v>0</v>
      </c>
      <c r="G1833" s="612">
        <v>624.26</v>
      </c>
      <c r="H1833" s="603">
        <f t="shared" si="404"/>
        <v>0</v>
      </c>
      <c r="I1833" s="606">
        <f t="shared" si="403"/>
        <v>0</v>
      </c>
      <c r="J1833" s="376"/>
    </row>
    <row r="1834" spans="1:10" ht="35.25" customHeight="1" x14ac:dyDescent="0.3">
      <c r="A1834" s="1068"/>
      <c r="B1834" s="929"/>
      <c r="C1834" s="282" t="s">
        <v>367</v>
      </c>
      <c r="D1834" s="437" t="s">
        <v>366</v>
      </c>
      <c r="E1834" s="283"/>
      <c r="F1834" s="438">
        <f t="shared" si="402"/>
        <v>5760</v>
      </c>
      <c r="G1834" s="612">
        <v>63.55</v>
      </c>
      <c r="H1834" s="603">
        <f t="shared" si="404"/>
        <v>0</v>
      </c>
      <c r="I1834" s="606">
        <f t="shared" si="403"/>
        <v>366048</v>
      </c>
      <c r="J1834" s="376"/>
    </row>
    <row r="1835" spans="1:10" ht="35.25" customHeight="1" x14ac:dyDescent="0.3">
      <c r="A1835" s="1068"/>
      <c r="B1835" s="929"/>
      <c r="C1835" s="282" t="s">
        <v>429</v>
      </c>
      <c r="D1835" s="437" t="s">
        <v>258</v>
      </c>
      <c r="E1835" s="283"/>
      <c r="F1835" s="438">
        <f t="shared" si="402"/>
        <v>178976</v>
      </c>
      <c r="G1835" s="612">
        <v>59.96</v>
      </c>
      <c r="H1835" s="603">
        <f t="shared" si="404"/>
        <v>0</v>
      </c>
      <c r="I1835" s="606">
        <f t="shared" si="403"/>
        <v>10731400.960000001</v>
      </c>
      <c r="J1835" s="376"/>
    </row>
    <row r="1836" spans="1:10" ht="35.25" customHeight="1" x14ac:dyDescent="0.3">
      <c r="A1836" s="1068"/>
      <c r="B1836" s="929"/>
      <c r="C1836" s="282" t="s">
        <v>501</v>
      </c>
      <c r="D1836" s="437" t="s">
        <v>366</v>
      </c>
      <c r="E1836" s="283"/>
      <c r="F1836" s="438">
        <f t="shared" si="402"/>
        <v>8640</v>
      </c>
      <c r="G1836" s="612">
        <v>53.86</v>
      </c>
      <c r="H1836" s="603">
        <f t="shared" si="404"/>
        <v>0</v>
      </c>
      <c r="I1836" s="606">
        <f t="shared" si="403"/>
        <v>465350.40000000002</v>
      </c>
      <c r="J1836" s="376"/>
    </row>
    <row r="1837" spans="1:10" ht="35.25" customHeight="1" x14ac:dyDescent="0.3">
      <c r="A1837" s="1068"/>
      <c r="B1837" s="929"/>
      <c r="C1837" s="282" t="s">
        <v>446</v>
      </c>
      <c r="D1837" s="437"/>
      <c r="E1837" s="283">
        <v>1696</v>
      </c>
      <c r="F1837" s="438">
        <f t="shared" si="402"/>
        <v>10014</v>
      </c>
      <c r="G1837" s="612">
        <v>360</v>
      </c>
      <c r="H1837" s="603">
        <f t="shared" si="404"/>
        <v>610560</v>
      </c>
      <c r="I1837" s="606">
        <f t="shared" si="403"/>
        <v>3605040</v>
      </c>
      <c r="J1837" s="376"/>
    </row>
    <row r="1838" spans="1:10" ht="35.25" customHeight="1" x14ac:dyDescent="0.3">
      <c r="A1838" s="1068"/>
      <c r="B1838" s="929"/>
      <c r="C1838" s="282" t="s">
        <v>305</v>
      </c>
      <c r="D1838" s="437"/>
      <c r="E1838" s="283"/>
      <c r="F1838" s="438">
        <f t="shared" si="402"/>
        <v>0</v>
      </c>
      <c r="G1838" s="612">
        <v>39450</v>
      </c>
      <c r="H1838" s="603">
        <f t="shared" si="404"/>
        <v>0</v>
      </c>
      <c r="I1838" s="606">
        <f t="shared" si="403"/>
        <v>0</v>
      </c>
      <c r="J1838" s="376"/>
    </row>
    <row r="1839" spans="1:10" ht="35.25" customHeight="1" thickBot="1" x14ac:dyDescent="0.35">
      <c r="A1839" s="1068"/>
      <c r="B1839" s="929"/>
      <c r="C1839" s="282" t="s">
        <v>364</v>
      </c>
      <c r="D1839" s="437" t="s">
        <v>566</v>
      </c>
      <c r="E1839" s="283">
        <v>500</v>
      </c>
      <c r="F1839" s="438">
        <f t="shared" si="402"/>
        <v>660</v>
      </c>
      <c r="G1839" s="612">
        <v>57.64</v>
      </c>
      <c r="H1839" s="603">
        <f t="shared" si="404"/>
        <v>28820</v>
      </c>
      <c r="I1839" s="606">
        <f t="shared" si="403"/>
        <v>38042.400000000001</v>
      </c>
      <c r="J1839" s="376"/>
    </row>
    <row r="1840" spans="1:10" ht="35.25" customHeight="1" thickBot="1" x14ac:dyDescent="0.35">
      <c r="A1840" s="1069"/>
      <c r="B1840" s="1063" t="s">
        <v>291</v>
      </c>
      <c r="C1840" s="1064"/>
      <c r="D1840" s="928"/>
      <c r="E1840" s="329">
        <f>SUM(E1817:E1839)</f>
        <v>118564</v>
      </c>
      <c r="F1840" s="329">
        <f>SUM(F1817:F1839)</f>
        <v>894357</v>
      </c>
      <c r="G1840" s="329"/>
      <c r="H1840" s="600">
        <f>SUM(H1817:H1839)</f>
        <v>11932741.92</v>
      </c>
      <c r="I1840" s="589">
        <f>SUM(I1817:I1839)</f>
        <v>102080064.61000001</v>
      </c>
      <c r="J1840" s="375"/>
    </row>
    <row r="1841" spans="1:10" ht="35.25" customHeight="1" thickBot="1" x14ac:dyDescent="0.35">
      <c r="A1841" s="934"/>
      <c r="B1841" s="440"/>
      <c r="C1841" s="282" t="s">
        <v>446</v>
      </c>
      <c r="D1841" s="437"/>
      <c r="E1841" s="283"/>
      <c r="F1841" s="284">
        <f>+F1747+E1841</f>
        <v>0</v>
      </c>
      <c r="G1841" s="337"/>
      <c r="H1841" s="599">
        <f t="shared" ref="H1841" si="405">E1841*G1841</f>
        <v>0</v>
      </c>
      <c r="I1841" s="285">
        <f t="shared" ref="I1841" si="406">+G1841*F1841</f>
        <v>0</v>
      </c>
      <c r="J1841" s="376"/>
    </row>
    <row r="1842" spans="1:10" ht="35.25" customHeight="1" thickBot="1" x14ac:dyDescent="0.35">
      <c r="A1842" s="934"/>
      <c r="B1842" s="1063" t="s">
        <v>238</v>
      </c>
      <c r="C1842" s="1064"/>
      <c r="D1842" s="930"/>
      <c r="E1842" s="329"/>
      <c r="F1842" s="330"/>
      <c r="G1842" s="329"/>
      <c r="H1842" s="597"/>
      <c r="I1842" s="327">
        <f>SUM(I1841)</f>
        <v>0</v>
      </c>
      <c r="J1842" s="352"/>
    </row>
    <row r="1843" spans="1:10" ht="35.25" customHeight="1" thickBot="1" x14ac:dyDescent="0.35">
      <c r="A1843" s="322"/>
      <c r="B1843" s="1065" t="s">
        <v>182</v>
      </c>
      <c r="C1843" s="1066"/>
      <c r="D1843" s="931"/>
      <c r="E1843" s="377">
        <f>+E1840+E1816+E1794+E1792</f>
        <v>1409383</v>
      </c>
      <c r="F1843" s="377">
        <f>+F1840+F1816+F1794+F1792</f>
        <v>6356896.9100000001</v>
      </c>
      <c r="G1843" s="377"/>
      <c r="H1843" s="377"/>
      <c r="I1843" s="377">
        <f>+I1840+I1816+I1794+I1842</f>
        <v>269335474.58000004</v>
      </c>
      <c r="J1843" s="378"/>
    </row>
    <row r="1844" spans="1:10" ht="35.25" customHeight="1" x14ac:dyDescent="0.3">
      <c r="A1844" s="991" t="s">
        <v>1</v>
      </c>
      <c r="B1844" s="994" t="s">
        <v>2</v>
      </c>
      <c r="C1844" s="1072" t="s">
        <v>477</v>
      </c>
      <c r="D1844" s="1043" t="s">
        <v>478</v>
      </c>
      <c r="E1844" s="1076" t="s">
        <v>600</v>
      </c>
      <c r="F1844" s="1001"/>
      <c r="G1844" s="1001"/>
      <c r="H1844" s="1001"/>
      <c r="I1844" s="1001"/>
      <c r="J1844" s="1002"/>
    </row>
    <row r="1845" spans="1:10" ht="35.25" customHeight="1" x14ac:dyDescent="0.3">
      <c r="A1845" s="1070"/>
      <c r="B1845" s="1071"/>
      <c r="C1845" s="1073"/>
      <c r="D1845" s="1044"/>
      <c r="E1845" s="1077" t="s">
        <v>493</v>
      </c>
      <c r="F1845" s="1078"/>
      <c r="G1845" s="1077" t="s">
        <v>492</v>
      </c>
      <c r="H1845" s="1079"/>
      <c r="I1845" s="1079"/>
      <c r="J1845" s="1078"/>
    </row>
    <row r="1846" spans="1:10" ht="35.25" customHeight="1" x14ac:dyDescent="0.3">
      <c r="A1846" s="992"/>
      <c r="B1846" s="995"/>
      <c r="C1846" s="1074"/>
      <c r="D1846" s="1044"/>
      <c r="E1846" s="1003" t="s">
        <v>494</v>
      </c>
      <c r="F1846" s="1005" t="s">
        <v>495</v>
      </c>
      <c r="G1846" s="1081" t="s">
        <v>97</v>
      </c>
      <c r="H1846" s="1083" t="s">
        <v>98</v>
      </c>
      <c r="I1846" s="1083" t="s">
        <v>98</v>
      </c>
      <c r="J1846" s="1085" t="s">
        <v>12</v>
      </c>
    </row>
    <row r="1847" spans="1:10" ht="35.25" customHeight="1" thickBot="1" x14ac:dyDescent="0.35">
      <c r="A1847" s="993"/>
      <c r="B1847" s="996"/>
      <c r="C1847" s="1075"/>
      <c r="D1847" s="1045"/>
      <c r="E1847" s="1004"/>
      <c r="F1847" s="1080"/>
      <c r="G1847" s="1082"/>
      <c r="H1847" s="1084"/>
      <c r="I1847" s="1084"/>
      <c r="J1847" s="1086"/>
    </row>
    <row r="1848" spans="1:10" ht="35.25" customHeight="1" x14ac:dyDescent="0.3">
      <c r="A1848" s="1067" t="s">
        <v>110</v>
      </c>
      <c r="B1848" s="442"/>
      <c r="C1848" s="584" t="s">
        <v>565</v>
      </c>
      <c r="D1848" s="686" t="s">
        <v>436</v>
      </c>
      <c r="E1848" s="744"/>
      <c r="F1848" s="695">
        <f>+F1754+E1848</f>
        <v>23296</v>
      </c>
      <c r="G1848" s="896">
        <v>107.85</v>
      </c>
      <c r="H1848" s="601">
        <f t="shared" ref="H1848:H1863" si="407">E1848*G1848</f>
        <v>0</v>
      </c>
      <c r="I1848" s="604">
        <f>+G1848*F1848</f>
        <v>2512473.6</v>
      </c>
      <c r="J1848" s="354"/>
    </row>
    <row r="1849" spans="1:10" ht="35.25" customHeight="1" x14ac:dyDescent="0.3">
      <c r="A1849" s="1068"/>
      <c r="B1849" s="441"/>
      <c r="C1849" s="444" t="s">
        <v>285</v>
      </c>
      <c r="D1849" s="687" t="s">
        <v>286</v>
      </c>
      <c r="E1849" s="745"/>
      <c r="F1849" s="746">
        <f t="shared" ref="F1849:F1859" si="408">+F1755+E1849</f>
        <v>-25.09</v>
      </c>
      <c r="G1849" s="742">
        <v>11</v>
      </c>
      <c r="H1849" s="602">
        <f t="shared" si="407"/>
        <v>0</v>
      </c>
      <c r="I1849" s="605">
        <f>+G1849*F1849</f>
        <v>-275.99</v>
      </c>
      <c r="J1849" s="355"/>
    </row>
    <row r="1850" spans="1:10" ht="35.25" customHeight="1" x14ac:dyDescent="0.3">
      <c r="A1850" s="1068"/>
      <c r="B1850" s="441"/>
      <c r="C1850" s="444" t="s">
        <v>321</v>
      </c>
      <c r="D1850" s="687" t="s">
        <v>593</v>
      </c>
      <c r="E1850" s="745"/>
      <c r="F1850" s="746">
        <f t="shared" si="408"/>
        <v>640</v>
      </c>
      <c r="G1850" s="742">
        <v>139.04</v>
      </c>
      <c r="H1850" s="602">
        <f t="shared" si="407"/>
        <v>0</v>
      </c>
      <c r="I1850" s="605">
        <f t="shared" ref="I1850:I1863" si="409">+G1850*F1850</f>
        <v>88985.599999999991</v>
      </c>
      <c r="J1850" s="355"/>
    </row>
    <row r="1851" spans="1:10" ht="35.25" customHeight="1" x14ac:dyDescent="0.3">
      <c r="A1851" s="1068"/>
      <c r="B1851" s="441"/>
      <c r="C1851" s="444" t="s">
        <v>397</v>
      </c>
      <c r="D1851" s="687" t="s">
        <v>398</v>
      </c>
      <c r="E1851" s="745">
        <v>79560</v>
      </c>
      <c r="F1851" s="746">
        <f t="shared" si="408"/>
        <v>974916</v>
      </c>
      <c r="G1851" s="795">
        <v>20.5</v>
      </c>
      <c r="H1851" s="602">
        <f t="shared" si="407"/>
        <v>1630980</v>
      </c>
      <c r="I1851" s="605">
        <f t="shared" si="409"/>
        <v>19985778</v>
      </c>
      <c r="J1851" s="355"/>
    </row>
    <row r="1852" spans="1:10" ht="35.25" customHeight="1" x14ac:dyDescent="0.3">
      <c r="A1852" s="1068"/>
      <c r="B1852" s="441"/>
      <c r="C1852" s="444" t="s">
        <v>312</v>
      </c>
      <c r="D1852" s="687" t="s">
        <v>190</v>
      </c>
      <c r="E1852" s="745"/>
      <c r="F1852" s="746">
        <f t="shared" si="408"/>
        <v>0</v>
      </c>
      <c r="G1852" s="742">
        <v>14.79</v>
      </c>
      <c r="H1852" s="602">
        <f t="shared" si="407"/>
        <v>0</v>
      </c>
      <c r="I1852" s="605">
        <f t="shared" si="409"/>
        <v>0</v>
      </c>
      <c r="J1852" s="355"/>
    </row>
    <row r="1853" spans="1:10" ht="35.25" customHeight="1" x14ac:dyDescent="0.3">
      <c r="A1853" s="1068"/>
      <c r="B1853" s="441"/>
      <c r="C1853" s="444" t="s">
        <v>321</v>
      </c>
      <c r="D1853" s="687" t="s">
        <v>286</v>
      </c>
      <c r="E1853" s="745">
        <v>1920</v>
      </c>
      <c r="F1853" s="746">
        <f t="shared" si="408"/>
        <v>11915</v>
      </c>
      <c r="G1853" s="742">
        <v>139.04</v>
      </c>
      <c r="H1853" s="602">
        <f t="shared" si="407"/>
        <v>266956.79999999999</v>
      </c>
      <c r="I1853" s="605">
        <f t="shared" si="409"/>
        <v>1656661.5999999999</v>
      </c>
      <c r="J1853" s="355"/>
    </row>
    <row r="1854" spans="1:10" ht="35.25" customHeight="1" x14ac:dyDescent="0.3">
      <c r="A1854" s="1068"/>
      <c r="B1854" s="441"/>
      <c r="C1854" s="444" t="s">
        <v>472</v>
      </c>
      <c r="D1854" s="688" t="s">
        <v>396</v>
      </c>
      <c r="E1854" s="745"/>
      <c r="F1854" s="746">
        <f t="shared" si="408"/>
        <v>48381</v>
      </c>
      <c r="G1854" s="742">
        <v>147.58000000000001</v>
      </c>
      <c r="H1854" s="602">
        <f t="shared" si="407"/>
        <v>0</v>
      </c>
      <c r="I1854" s="605">
        <f t="shared" si="409"/>
        <v>7140067.9800000004</v>
      </c>
      <c r="J1854" s="355"/>
    </row>
    <row r="1855" spans="1:10" ht="35.25" customHeight="1" x14ac:dyDescent="0.3">
      <c r="A1855" s="1068"/>
      <c r="B1855" s="441"/>
      <c r="C1855" s="444" t="s">
        <v>345</v>
      </c>
      <c r="D1855" s="688" t="s">
        <v>576</v>
      </c>
      <c r="E1855" s="745"/>
      <c r="F1855" s="746">
        <f t="shared" si="408"/>
        <v>48960</v>
      </c>
      <c r="G1855" s="742">
        <v>18.84</v>
      </c>
      <c r="H1855" s="602">
        <f t="shared" si="407"/>
        <v>0</v>
      </c>
      <c r="I1855" s="605">
        <f t="shared" si="409"/>
        <v>922406.40000000002</v>
      </c>
      <c r="J1855" s="355"/>
    </row>
    <row r="1856" spans="1:10" ht="35.25" customHeight="1" x14ac:dyDescent="0.3">
      <c r="A1856" s="1068"/>
      <c r="B1856" s="441"/>
      <c r="C1856" s="444" t="s">
        <v>345</v>
      </c>
      <c r="D1856" s="688" t="s">
        <v>286</v>
      </c>
      <c r="E1856" s="745">
        <v>18360</v>
      </c>
      <c r="F1856" s="746">
        <f t="shared" si="408"/>
        <v>91800</v>
      </c>
      <c r="G1856" s="742">
        <v>18.84</v>
      </c>
      <c r="H1856" s="602">
        <f t="shared" si="407"/>
        <v>345902.4</v>
      </c>
      <c r="I1856" s="605">
        <f t="shared" si="409"/>
        <v>1729512</v>
      </c>
      <c r="J1856" s="355"/>
    </row>
    <row r="1857" spans="1:10" ht="35.25" customHeight="1" x14ac:dyDescent="0.3">
      <c r="A1857" s="1068"/>
      <c r="B1857" s="441"/>
      <c r="C1857" s="444" t="s">
        <v>357</v>
      </c>
      <c r="D1857" s="688" t="s">
        <v>252</v>
      </c>
      <c r="E1857" s="745">
        <f>183600+183600+183600</f>
        <v>550800</v>
      </c>
      <c r="F1857" s="746">
        <f t="shared" si="408"/>
        <v>1101600</v>
      </c>
      <c r="G1857" s="742">
        <v>21.18</v>
      </c>
      <c r="H1857" s="602">
        <f t="shared" si="407"/>
        <v>11665944</v>
      </c>
      <c r="I1857" s="605">
        <f t="shared" si="409"/>
        <v>23331888</v>
      </c>
      <c r="J1857" s="355"/>
    </row>
    <row r="1858" spans="1:10" ht="35.25" customHeight="1" x14ac:dyDescent="0.3">
      <c r="A1858" s="1068"/>
      <c r="B1858" s="441"/>
      <c r="C1858" s="444" t="s">
        <v>359</v>
      </c>
      <c r="D1858" s="688" t="s">
        <v>360</v>
      </c>
      <c r="E1858" s="745"/>
      <c r="F1858" s="746">
        <f t="shared" si="408"/>
        <v>500882</v>
      </c>
      <c r="G1858" s="742">
        <v>21.28</v>
      </c>
      <c r="H1858" s="602">
        <f t="shared" si="407"/>
        <v>0</v>
      </c>
      <c r="I1858" s="605">
        <f t="shared" si="409"/>
        <v>10658768.960000001</v>
      </c>
      <c r="J1858" s="355"/>
    </row>
    <row r="1859" spans="1:10" ht="35.25" customHeight="1" x14ac:dyDescent="0.3">
      <c r="A1859" s="1068"/>
      <c r="B1859" s="441"/>
      <c r="C1859" s="444" t="s">
        <v>445</v>
      </c>
      <c r="D1859" s="688" t="s">
        <v>436</v>
      </c>
      <c r="E1859" s="745"/>
      <c r="F1859" s="746">
        <f t="shared" si="408"/>
        <v>19840</v>
      </c>
      <c r="G1859" s="742">
        <v>143.28</v>
      </c>
      <c r="H1859" s="602">
        <f t="shared" si="407"/>
        <v>0</v>
      </c>
      <c r="I1859" s="605">
        <f t="shared" si="409"/>
        <v>2842675.2000000002</v>
      </c>
      <c r="J1859" s="355"/>
    </row>
    <row r="1860" spans="1:10" ht="35.25" customHeight="1" x14ac:dyDescent="0.3">
      <c r="A1860" s="1068"/>
      <c r="B1860" s="441"/>
      <c r="C1860" s="444" t="s">
        <v>620</v>
      </c>
      <c r="D1860" s="688"/>
      <c r="E1860" s="745">
        <v>57552</v>
      </c>
      <c r="F1860" s="746">
        <f>+E1860</f>
        <v>57552</v>
      </c>
      <c r="G1860" s="742">
        <v>14.79</v>
      </c>
      <c r="H1860" s="602">
        <f t="shared" si="407"/>
        <v>851194.08</v>
      </c>
      <c r="I1860" s="605">
        <f t="shared" si="409"/>
        <v>851194.08</v>
      </c>
      <c r="J1860" s="355"/>
    </row>
    <row r="1861" spans="1:10" ht="35.25" customHeight="1" x14ac:dyDescent="0.3">
      <c r="A1861" s="1068"/>
      <c r="B1861" s="441"/>
      <c r="C1861" s="444" t="s">
        <v>587</v>
      </c>
      <c r="D1861" s="687" t="s">
        <v>190</v>
      </c>
      <c r="E1861" s="745">
        <v>202752</v>
      </c>
      <c r="F1861" s="746">
        <f>+F1766+E1861</f>
        <v>599808</v>
      </c>
      <c r="G1861" s="742">
        <v>14.55</v>
      </c>
      <c r="H1861" s="602">
        <f t="shared" si="407"/>
        <v>2950041.6000000001</v>
      </c>
      <c r="I1861" s="605">
        <f t="shared" si="409"/>
        <v>8727206.4000000004</v>
      </c>
      <c r="J1861" s="355"/>
    </row>
    <row r="1862" spans="1:10" ht="35.25" customHeight="1" x14ac:dyDescent="0.3">
      <c r="A1862" s="1068"/>
      <c r="B1862" s="441"/>
      <c r="C1862" s="444" t="s">
        <v>362</v>
      </c>
      <c r="D1862" s="688" t="s">
        <v>202</v>
      </c>
      <c r="E1862" s="745">
        <f>183600+112552</f>
        <v>296152</v>
      </c>
      <c r="F1862" s="746">
        <f>+F1767+E1862</f>
        <v>296152</v>
      </c>
      <c r="G1862" s="742">
        <v>21.28</v>
      </c>
      <c r="H1862" s="602">
        <f t="shared" si="407"/>
        <v>6302114.5600000005</v>
      </c>
      <c r="I1862" s="605">
        <f t="shared" si="409"/>
        <v>6302114.5600000005</v>
      </c>
      <c r="J1862" s="355"/>
    </row>
    <row r="1863" spans="1:10" ht="35.25" customHeight="1" thickBot="1" x14ac:dyDescent="0.35">
      <c r="A1863" s="1068"/>
      <c r="B1863" s="441"/>
      <c r="C1863" s="444" t="s">
        <v>374</v>
      </c>
      <c r="D1863" s="689" t="s">
        <v>191</v>
      </c>
      <c r="E1863" s="745"/>
      <c r="F1863" s="697">
        <f>+F1768+E1863</f>
        <v>0</v>
      </c>
      <c r="G1863" s="742">
        <v>36.44</v>
      </c>
      <c r="H1863" s="602">
        <f t="shared" si="407"/>
        <v>0</v>
      </c>
      <c r="I1863" s="605">
        <f t="shared" si="409"/>
        <v>0</v>
      </c>
      <c r="J1863" s="355"/>
    </row>
    <row r="1864" spans="1:10" ht="35.25" customHeight="1" thickBot="1" x14ac:dyDescent="0.35">
      <c r="A1864" s="1068"/>
      <c r="B1864" s="1063" t="s">
        <v>287</v>
      </c>
      <c r="C1864" s="1064"/>
      <c r="D1864" s="928"/>
      <c r="E1864" s="329">
        <f>SUM(E1848:E1863)</f>
        <v>1207096</v>
      </c>
      <c r="F1864" s="743">
        <f>SUM(F1848:F1863)</f>
        <v>3775716.91</v>
      </c>
      <c r="G1864" s="329"/>
      <c r="H1864" s="597">
        <f>SUM(H1848:H1863)</f>
        <v>24013133.439999998</v>
      </c>
      <c r="I1864" s="589">
        <f>SUM(I1848:I1863)</f>
        <v>86749456.390000015</v>
      </c>
      <c r="J1864" s="352"/>
    </row>
    <row r="1865" spans="1:10" ht="35.25" customHeight="1" x14ac:dyDescent="0.3">
      <c r="A1865" s="1068"/>
      <c r="B1865" s="929"/>
      <c r="C1865" s="282" t="s">
        <v>293</v>
      </c>
      <c r="D1865" s="437" t="s">
        <v>258</v>
      </c>
      <c r="E1865" s="283"/>
      <c r="F1865" s="438">
        <f t="shared" ref="F1865:F1878" si="410">+F1770+E1865</f>
        <v>124375</v>
      </c>
      <c r="G1865" s="587">
        <v>160.44999999999999</v>
      </c>
      <c r="H1865" s="603">
        <f t="shared" ref="H1865:H1878" si="411">E1865*G1865</f>
        <v>0</v>
      </c>
      <c r="I1865" s="606">
        <f t="shared" ref="I1865:I1878" si="412">+G1865*F1865</f>
        <v>19955968.75</v>
      </c>
      <c r="J1865" s="376"/>
    </row>
    <row r="1866" spans="1:10" ht="35.25" customHeight="1" x14ac:dyDescent="0.3">
      <c r="A1866" s="1068"/>
      <c r="B1866" s="929"/>
      <c r="C1866" s="282" t="s">
        <v>309</v>
      </c>
      <c r="D1866" s="437" t="s">
        <v>258</v>
      </c>
      <c r="E1866" s="283"/>
      <c r="F1866" s="438">
        <f t="shared" si="410"/>
        <v>24486</v>
      </c>
      <c r="G1866" s="587">
        <v>160.44999999999999</v>
      </c>
      <c r="H1866" s="603">
        <f t="shared" si="411"/>
        <v>0</v>
      </c>
      <c r="I1866" s="606">
        <f t="shared" si="412"/>
        <v>3928778.6999999997</v>
      </c>
      <c r="J1866" s="376"/>
    </row>
    <row r="1867" spans="1:10" ht="35.25" customHeight="1" x14ac:dyDescent="0.3">
      <c r="A1867" s="1068"/>
      <c r="B1867" s="929"/>
      <c r="C1867" s="282" t="s">
        <v>463</v>
      </c>
      <c r="D1867" s="437" t="s">
        <v>258</v>
      </c>
      <c r="E1867" s="283"/>
      <c r="F1867" s="438">
        <f t="shared" si="410"/>
        <v>19625</v>
      </c>
      <c r="G1867" s="587">
        <v>160.44999999999999</v>
      </c>
      <c r="H1867" s="603">
        <f t="shared" si="411"/>
        <v>0</v>
      </c>
      <c r="I1867" s="606">
        <f t="shared" si="412"/>
        <v>3148831.25</v>
      </c>
      <c r="J1867" s="376"/>
    </row>
    <row r="1868" spans="1:10" ht="35.25" customHeight="1" x14ac:dyDescent="0.3">
      <c r="A1868" s="1068"/>
      <c r="B1868" s="929"/>
      <c r="C1868" s="282" t="s">
        <v>311</v>
      </c>
      <c r="D1868" s="437" t="s">
        <v>100</v>
      </c>
      <c r="E1868" s="283"/>
      <c r="F1868" s="438">
        <f t="shared" si="410"/>
        <v>37620</v>
      </c>
      <c r="G1868" s="587">
        <v>27</v>
      </c>
      <c r="H1868" s="603">
        <f t="shared" si="411"/>
        <v>0</v>
      </c>
      <c r="I1868" s="606">
        <f t="shared" si="412"/>
        <v>1015740</v>
      </c>
      <c r="J1868" s="376"/>
    </row>
    <row r="1869" spans="1:10" ht="35.25" customHeight="1" x14ac:dyDescent="0.3">
      <c r="A1869" s="1068"/>
      <c r="B1869" s="929"/>
      <c r="C1869" s="282" t="s">
        <v>311</v>
      </c>
      <c r="D1869" s="437" t="s">
        <v>318</v>
      </c>
      <c r="E1869" s="283">
        <v>23070</v>
      </c>
      <c r="F1869" s="438">
        <f t="shared" si="410"/>
        <v>403230</v>
      </c>
      <c r="G1869" s="587">
        <v>27.5</v>
      </c>
      <c r="H1869" s="603">
        <f t="shared" si="411"/>
        <v>634425</v>
      </c>
      <c r="I1869" s="606">
        <f t="shared" si="412"/>
        <v>11088825</v>
      </c>
      <c r="J1869" s="376"/>
    </row>
    <row r="1870" spans="1:10" ht="35.25" customHeight="1" x14ac:dyDescent="0.3">
      <c r="A1870" s="1068"/>
      <c r="B1870" s="929"/>
      <c r="C1870" s="282" t="s">
        <v>299</v>
      </c>
      <c r="D1870" s="437" t="s">
        <v>318</v>
      </c>
      <c r="E1870" s="283">
        <v>769</v>
      </c>
      <c r="F1870" s="438">
        <f t="shared" si="410"/>
        <v>13449</v>
      </c>
      <c r="G1870" s="587">
        <v>34.5</v>
      </c>
      <c r="H1870" s="603">
        <f t="shared" si="411"/>
        <v>26530.5</v>
      </c>
      <c r="I1870" s="606">
        <f t="shared" si="412"/>
        <v>463990.5</v>
      </c>
      <c r="J1870" s="376"/>
    </row>
    <row r="1871" spans="1:10" ht="35.25" customHeight="1" x14ac:dyDescent="0.3">
      <c r="A1871" s="1068"/>
      <c r="B1871" s="929"/>
      <c r="C1871" s="282" t="s">
        <v>621</v>
      </c>
      <c r="D1871" s="437" t="s">
        <v>549</v>
      </c>
      <c r="E1871" s="283">
        <v>45600</v>
      </c>
      <c r="F1871" s="438">
        <f t="shared" si="410"/>
        <v>76800</v>
      </c>
      <c r="G1871" s="587">
        <v>10.57</v>
      </c>
      <c r="H1871" s="603">
        <f t="shared" si="411"/>
        <v>481992</v>
      </c>
      <c r="I1871" s="606">
        <f t="shared" si="412"/>
        <v>811776</v>
      </c>
      <c r="J1871" s="376"/>
    </row>
    <row r="1872" spans="1:10" ht="35.25" customHeight="1" x14ac:dyDescent="0.3">
      <c r="A1872" s="1068"/>
      <c r="B1872" s="929"/>
      <c r="C1872" s="282" t="s">
        <v>299</v>
      </c>
      <c r="D1872" s="437" t="s">
        <v>549</v>
      </c>
      <c r="E1872" s="283">
        <v>38</v>
      </c>
      <c r="F1872" s="438">
        <f t="shared" si="410"/>
        <v>64</v>
      </c>
      <c r="G1872" s="587">
        <v>55.76</v>
      </c>
      <c r="H1872" s="603">
        <f t="shared" si="411"/>
        <v>2118.88</v>
      </c>
      <c r="I1872" s="606">
        <f t="shared" si="412"/>
        <v>3568.64</v>
      </c>
      <c r="J1872" s="376"/>
    </row>
    <row r="1873" spans="1:10" ht="35.25" customHeight="1" x14ac:dyDescent="0.3">
      <c r="A1873" s="1068"/>
      <c r="B1873" s="929"/>
      <c r="C1873" s="282" t="s">
        <v>505</v>
      </c>
      <c r="D1873" s="437" t="s">
        <v>258</v>
      </c>
      <c r="E1873" s="283"/>
      <c r="F1873" s="438">
        <f t="shared" si="410"/>
        <v>19307</v>
      </c>
      <c r="G1873" s="587">
        <v>160.44999999999999</v>
      </c>
      <c r="H1873" s="603">
        <f t="shared" si="411"/>
        <v>0</v>
      </c>
      <c r="I1873" s="606">
        <f t="shared" si="412"/>
        <v>3097808.15</v>
      </c>
      <c r="J1873" s="376"/>
    </row>
    <row r="1874" spans="1:10" ht="35.25" customHeight="1" x14ac:dyDescent="0.3">
      <c r="A1874" s="1068"/>
      <c r="B1874" s="929"/>
      <c r="C1874" s="282" t="s">
        <v>388</v>
      </c>
      <c r="D1874" s="437" t="s">
        <v>258</v>
      </c>
      <c r="E1874" s="283"/>
      <c r="F1874" s="438">
        <f t="shared" si="410"/>
        <v>38750</v>
      </c>
      <c r="G1874" s="587">
        <v>160.44999999999999</v>
      </c>
      <c r="H1874" s="603">
        <f t="shared" si="411"/>
        <v>0</v>
      </c>
      <c r="I1874" s="606">
        <f t="shared" si="412"/>
        <v>6217437.5</v>
      </c>
      <c r="J1874" s="376"/>
    </row>
    <row r="1875" spans="1:10" ht="35.25" customHeight="1" x14ac:dyDescent="0.3">
      <c r="A1875" s="1068"/>
      <c r="B1875" s="929"/>
      <c r="C1875" s="282" t="s">
        <v>461</v>
      </c>
      <c r="D1875" s="437" t="s">
        <v>258</v>
      </c>
      <c r="E1875" s="283"/>
      <c r="F1875" s="438">
        <f t="shared" si="410"/>
        <v>6000</v>
      </c>
      <c r="G1875" s="587">
        <v>160.44999999999999</v>
      </c>
      <c r="H1875" s="603">
        <f t="shared" si="411"/>
        <v>0</v>
      </c>
      <c r="I1875" s="606">
        <f t="shared" si="412"/>
        <v>962699.99999999988</v>
      </c>
      <c r="J1875" s="376"/>
    </row>
    <row r="1876" spans="1:10" ht="35.25" customHeight="1" x14ac:dyDescent="0.3">
      <c r="A1876" s="1068"/>
      <c r="B1876" s="929"/>
      <c r="C1876" s="282" t="s">
        <v>562</v>
      </c>
      <c r="D1876" s="437" t="s">
        <v>258</v>
      </c>
      <c r="E1876" s="283"/>
      <c r="F1876" s="438">
        <f t="shared" si="410"/>
        <v>18500</v>
      </c>
      <c r="G1876" s="587">
        <v>160.44999999999999</v>
      </c>
      <c r="H1876" s="603">
        <f t="shared" si="411"/>
        <v>0</v>
      </c>
      <c r="I1876" s="606">
        <f t="shared" si="412"/>
        <v>2968325</v>
      </c>
      <c r="J1876" s="376"/>
    </row>
    <row r="1877" spans="1:10" ht="35.25" customHeight="1" x14ac:dyDescent="0.3">
      <c r="A1877" s="1068"/>
      <c r="B1877" s="929"/>
      <c r="C1877" s="282" t="s">
        <v>331</v>
      </c>
      <c r="D1877" s="437" t="s">
        <v>258</v>
      </c>
      <c r="E1877" s="283"/>
      <c r="F1877" s="438">
        <f t="shared" si="410"/>
        <v>14809</v>
      </c>
      <c r="G1877" s="587">
        <v>160.44999999999999</v>
      </c>
      <c r="H1877" s="603">
        <f t="shared" si="411"/>
        <v>0</v>
      </c>
      <c r="I1877" s="606">
        <f t="shared" si="412"/>
        <v>2376104.0499999998</v>
      </c>
      <c r="J1877" s="376"/>
    </row>
    <row r="1878" spans="1:10" ht="35.25" customHeight="1" thickBot="1" x14ac:dyDescent="0.35">
      <c r="A1878" s="1068"/>
      <c r="B1878" s="929"/>
      <c r="C1878" s="282" t="s">
        <v>340</v>
      </c>
      <c r="D1878" s="437" t="s">
        <v>258</v>
      </c>
      <c r="E1878" s="283"/>
      <c r="F1878" s="438">
        <f t="shared" si="410"/>
        <v>2500</v>
      </c>
      <c r="G1878" s="587">
        <v>160.44999999999999</v>
      </c>
      <c r="H1878" s="603">
        <f t="shared" si="411"/>
        <v>0</v>
      </c>
      <c r="I1878" s="606">
        <f t="shared" si="412"/>
        <v>401125</v>
      </c>
      <c r="J1878" s="376"/>
    </row>
    <row r="1879" spans="1:10" ht="35.25" customHeight="1" thickBot="1" x14ac:dyDescent="0.35">
      <c r="A1879" s="1068"/>
      <c r="B1879" s="1063" t="s">
        <v>288</v>
      </c>
      <c r="C1879" s="1064"/>
      <c r="D1879" s="928"/>
      <c r="E1879" s="329">
        <f>SUM(E1865:E1878)</f>
        <v>69477</v>
      </c>
      <c r="F1879" s="329">
        <f>SUM(F1865:F1878)</f>
        <v>799515</v>
      </c>
      <c r="G1879" s="329"/>
      <c r="H1879" s="597">
        <f>SUM(H1865:H1878)</f>
        <v>1145066.3799999999</v>
      </c>
      <c r="I1879" s="589">
        <f>SUM(I1865:I1878)</f>
        <v>56440978.539999999</v>
      </c>
      <c r="J1879" s="352"/>
    </row>
    <row r="1880" spans="1:10" ht="35.25" customHeight="1" x14ac:dyDescent="0.3">
      <c r="A1880" s="1068"/>
      <c r="B1880" s="929"/>
      <c r="C1880" s="282" t="s">
        <v>434</v>
      </c>
      <c r="D1880" s="437" t="s">
        <v>435</v>
      </c>
      <c r="E1880" s="283"/>
      <c r="F1880" s="438">
        <f t="shared" ref="F1880:F1886" si="413">+F1785+E1880</f>
        <v>250</v>
      </c>
      <c r="G1880" s="587">
        <v>5.34</v>
      </c>
      <c r="H1880" s="603">
        <f t="shared" ref="H1880:H1886" si="414">E1880*G1880</f>
        <v>0</v>
      </c>
      <c r="I1880" s="606">
        <f t="shared" ref="I1880" si="415">+G1880*F1880</f>
        <v>1335</v>
      </c>
      <c r="J1880" s="376"/>
    </row>
    <row r="1881" spans="1:10" ht="35.25" customHeight="1" x14ac:dyDescent="0.3">
      <c r="A1881" s="1068"/>
      <c r="B1881" s="929"/>
      <c r="C1881" s="282" t="s">
        <v>464</v>
      </c>
      <c r="D1881" s="437" t="s">
        <v>286</v>
      </c>
      <c r="E1881" s="283"/>
      <c r="F1881" s="438">
        <f t="shared" si="413"/>
        <v>50</v>
      </c>
      <c r="G1881" s="587">
        <v>31.73</v>
      </c>
      <c r="H1881" s="603">
        <f t="shared" si="414"/>
        <v>0</v>
      </c>
      <c r="I1881" s="606">
        <f>+G1881*F1881</f>
        <v>1586.5</v>
      </c>
      <c r="J1881" s="376"/>
    </row>
    <row r="1882" spans="1:10" ht="35.25" customHeight="1" x14ac:dyDescent="0.3">
      <c r="A1882" s="1068"/>
      <c r="B1882" s="929"/>
      <c r="C1882" s="282" t="s">
        <v>473</v>
      </c>
      <c r="D1882" s="437" t="s">
        <v>474</v>
      </c>
      <c r="E1882" s="283"/>
      <c r="F1882" s="438">
        <f t="shared" si="413"/>
        <v>2500</v>
      </c>
      <c r="G1882" s="587">
        <v>10.58</v>
      </c>
      <c r="H1882" s="603">
        <f t="shared" si="414"/>
        <v>0</v>
      </c>
      <c r="I1882" s="606">
        <f>+G1882*F1882</f>
        <v>26450</v>
      </c>
      <c r="J1882" s="376"/>
    </row>
    <row r="1883" spans="1:10" ht="35.25" customHeight="1" x14ac:dyDescent="0.3">
      <c r="A1883" s="1068"/>
      <c r="B1883" s="929"/>
      <c r="C1883" s="282" t="s">
        <v>300</v>
      </c>
      <c r="D1883" s="437" t="s">
        <v>301</v>
      </c>
      <c r="E1883" s="283"/>
      <c r="F1883" s="438">
        <f t="shared" si="413"/>
        <v>12</v>
      </c>
      <c r="G1883" s="587">
        <v>2500</v>
      </c>
      <c r="H1883" s="603">
        <f t="shared" si="414"/>
        <v>0</v>
      </c>
      <c r="I1883" s="606">
        <f>+G1883*F1883</f>
        <v>30000</v>
      </c>
      <c r="J1883" s="376"/>
    </row>
    <row r="1884" spans="1:10" ht="35.25" customHeight="1" x14ac:dyDescent="0.3">
      <c r="A1884" s="1068"/>
      <c r="B1884" s="929"/>
      <c r="C1884" s="282" t="s">
        <v>594</v>
      </c>
      <c r="D1884" s="437"/>
      <c r="E1884" s="283"/>
      <c r="F1884" s="438">
        <f t="shared" si="413"/>
        <v>1</v>
      </c>
      <c r="G1884" s="587">
        <v>30000</v>
      </c>
      <c r="H1884" s="603">
        <f t="shared" si="414"/>
        <v>0</v>
      </c>
      <c r="I1884" s="606">
        <f>+G1884*F1884</f>
        <v>30000</v>
      </c>
      <c r="J1884" s="376"/>
    </row>
    <row r="1885" spans="1:10" ht="35.25" customHeight="1" x14ac:dyDescent="0.3">
      <c r="A1885" s="1068"/>
      <c r="B1885" s="929"/>
      <c r="C1885" s="282" t="s">
        <v>446</v>
      </c>
      <c r="D1885" s="437" t="s">
        <v>333</v>
      </c>
      <c r="E1885" s="283"/>
      <c r="F1885" s="438">
        <f t="shared" si="413"/>
        <v>12676</v>
      </c>
      <c r="G1885" s="587">
        <v>360</v>
      </c>
      <c r="H1885" s="603">
        <f t="shared" si="414"/>
        <v>0</v>
      </c>
      <c r="I1885" s="606">
        <f>+G1885*F1885</f>
        <v>4563360</v>
      </c>
      <c r="J1885" s="376"/>
    </row>
    <row r="1886" spans="1:10" ht="35.25" customHeight="1" thickBot="1" x14ac:dyDescent="0.35">
      <c r="A1886" s="1068"/>
      <c r="B1886" s="929"/>
      <c r="C1886" s="282" t="s">
        <v>519</v>
      </c>
      <c r="D1886" s="437" t="s">
        <v>333</v>
      </c>
      <c r="E1886" s="283"/>
      <c r="F1886" s="438">
        <f t="shared" si="413"/>
        <v>124032</v>
      </c>
      <c r="G1886" s="588">
        <v>10</v>
      </c>
      <c r="H1886" s="603">
        <f t="shared" si="414"/>
        <v>0</v>
      </c>
      <c r="I1886" s="606">
        <f t="shared" ref="I1886" si="416">+G1886*F1886</f>
        <v>1240320</v>
      </c>
      <c r="J1886" s="376"/>
    </row>
    <row r="1887" spans="1:10" ht="35.25" customHeight="1" thickBot="1" x14ac:dyDescent="0.35">
      <c r="A1887" s="1068"/>
      <c r="B1887" s="1063" t="s">
        <v>294</v>
      </c>
      <c r="C1887" s="1064"/>
      <c r="D1887" s="928"/>
      <c r="E1887" s="329">
        <f>SUM(E1880:E1886)</f>
        <v>0</v>
      </c>
      <c r="F1887" s="329">
        <f>SUM(F1880:F1886)</f>
        <v>139521</v>
      </c>
      <c r="G1887" s="329"/>
      <c r="H1887" s="597">
        <f>SUM(H1880:H1886)</f>
        <v>0</v>
      </c>
      <c r="I1887" s="589">
        <f>SUM(I1880:I1886)</f>
        <v>5893051.5</v>
      </c>
      <c r="J1887" s="376"/>
    </row>
    <row r="1888" spans="1:10" ht="35.25" customHeight="1" thickBot="1" x14ac:dyDescent="0.35">
      <c r="A1888" s="1068"/>
      <c r="B1888" s="929"/>
      <c r="C1888" s="282"/>
      <c r="D1888" s="437"/>
      <c r="E1888" s="283"/>
      <c r="F1888" s="320"/>
      <c r="G1888" s="588"/>
      <c r="H1888" s="598"/>
      <c r="I1888" s="285">
        <f t="shared" ref="I1888" si="417">+G1888*F1888</f>
        <v>0</v>
      </c>
      <c r="J1888" s="376"/>
    </row>
    <row r="1889" spans="1:13" ht="35.25" customHeight="1" thickBot="1" x14ac:dyDescent="0.35">
      <c r="A1889" s="1069"/>
      <c r="B1889" s="1063" t="s">
        <v>290</v>
      </c>
      <c r="C1889" s="1064"/>
      <c r="D1889" s="930"/>
      <c r="E1889" s="329">
        <f>+E1887+E1879+E1864</f>
        <v>1276573</v>
      </c>
      <c r="F1889" s="329">
        <f>+F1887+F1879+F1864</f>
        <v>4714752.91</v>
      </c>
      <c r="G1889" s="329"/>
      <c r="H1889" s="589">
        <f>+H1879+H1864+H1887</f>
        <v>25158199.819999997</v>
      </c>
      <c r="I1889" s="589">
        <f>+I1879+I1864+I1887</f>
        <v>149083486.43000001</v>
      </c>
      <c r="J1889" s="376"/>
      <c r="K1889" s="757"/>
      <c r="M1889" s="757"/>
    </row>
    <row r="1890" spans="1:13" ht="35.25" customHeight="1" x14ac:dyDescent="0.3">
      <c r="A1890" s="1067" t="s">
        <v>108</v>
      </c>
      <c r="B1890" s="929"/>
      <c r="C1890" s="282" t="s">
        <v>304</v>
      </c>
      <c r="D1890" s="437" t="s">
        <v>191</v>
      </c>
      <c r="E1890" s="283">
        <v>22775</v>
      </c>
      <c r="F1890" s="438">
        <f>+F1795+E1890</f>
        <v>58577</v>
      </c>
      <c r="G1890" s="612">
        <v>13.25</v>
      </c>
      <c r="H1890" s="607">
        <f t="shared" ref="H1890:H1921" si="418">E1890*G1890</f>
        <v>301768.75</v>
      </c>
      <c r="I1890" s="606">
        <f t="shared" ref="I1890:I1921" si="419">+G1890*F1890</f>
        <v>776145.25</v>
      </c>
      <c r="J1890" s="376"/>
      <c r="K1890" s="757"/>
    </row>
    <row r="1891" spans="1:13" ht="35.25" customHeight="1" x14ac:dyDescent="0.3">
      <c r="A1891" s="1068"/>
      <c r="B1891" s="929"/>
      <c r="C1891" s="282" t="s">
        <v>305</v>
      </c>
      <c r="D1891" s="437"/>
      <c r="E1891" s="283"/>
      <c r="F1891" s="438">
        <f>+F1796+E1891</f>
        <v>2</v>
      </c>
      <c r="G1891" s="613">
        <v>5000</v>
      </c>
      <c r="H1891" s="607">
        <f t="shared" si="418"/>
        <v>0</v>
      </c>
      <c r="I1891" s="606">
        <f t="shared" si="419"/>
        <v>10000</v>
      </c>
      <c r="J1891" s="376"/>
      <c r="K1891" s="757"/>
    </row>
    <row r="1892" spans="1:13" ht="35.25" customHeight="1" x14ac:dyDescent="0.3">
      <c r="A1892" s="1068"/>
      <c r="B1892" s="929"/>
      <c r="C1892" s="282" t="s">
        <v>305</v>
      </c>
      <c r="D1892" s="437"/>
      <c r="E1892" s="283"/>
      <c r="F1892" s="438">
        <f>+F1797+E1892</f>
        <v>0</v>
      </c>
      <c r="G1892" s="613">
        <v>18000</v>
      </c>
      <c r="H1892" s="607">
        <f t="shared" si="418"/>
        <v>0</v>
      </c>
      <c r="I1892" s="606">
        <f t="shared" si="419"/>
        <v>0</v>
      </c>
      <c r="J1892" s="376"/>
    </row>
    <row r="1893" spans="1:13" ht="35.25" customHeight="1" x14ac:dyDescent="0.3">
      <c r="A1893" s="1068"/>
      <c r="B1893" s="929"/>
      <c r="C1893" s="282" t="s">
        <v>613</v>
      </c>
      <c r="D1893" s="437" t="s">
        <v>612</v>
      </c>
      <c r="E1893" s="283">
        <v>2212</v>
      </c>
      <c r="F1893" s="438">
        <f>+F1798+E1893</f>
        <v>2212</v>
      </c>
      <c r="G1893" s="612">
        <v>21.01</v>
      </c>
      <c r="H1893" s="607">
        <f t="shared" si="418"/>
        <v>46474.12</v>
      </c>
      <c r="I1893" s="606">
        <f t="shared" si="419"/>
        <v>46474.12</v>
      </c>
      <c r="J1893" s="376"/>
    </row>
    <row r="1894" spans="1:13" ht="35.25" customHeight="1" x14ac:dyDescent="0.3">
      <c r="A1894" s="1068"/>
      <c r="B1894" s="929"/>
      <c r="C1894" s="282" t="s">
        <v>613</v>
      </c>
      <c r="D1894" s="437" t="s">
        <v>376</v>
      </c>
      <c r="E1894" s="283">
        <v>806353</v>
      </c>
      <c r="F1894" s="438">
        <f>+F1799+E1894</f>
        <v>806353</v>
      </c>
      <c r="G1894" s="612">
        <v>24.93</v>
      </c>
      <c r="H1894" s="607">
        <f t="shared" si="418"/>
        <v>20102380.289999999</v>
      </c>
      <c r="I1894" s="606">
        <f t="shared" si="419"/>
        <v>20102380.289999999</v>
      </c>
      <c r="J1894" s="376"/>
    </row>
    <row r="1895" spans="1:13" ht="35.25" customHeight="1" x14ac:dyDescent="0.3">
      <c r="A1895" s="1068"/>
      <c r="B1895" s="929"/>
      <c r="C1895" s="282" t="s">
        <v>613</v>
      </c>
      <c r="D1895" s="437" t="s">
        <v>99</v>
      </c>
      <c r="E1895" s="283">
        <v>19584</v>
      </c>
      <c r="F1895" s="438">
        <f>+E1895</f>
        <v>19584</v>
      </c>
      <c r="G1895" s="612">
        <v>24.93</v>
      </c>
      <c r="H1895" s="607">
        <f t="shared" si="418"/>
        <v>488229.12</v>
      </c>
      <c r="I1895" s="606">
        <f t="shared" si="419"/>
        <v>488229.12</v>
      </c>
      <c r="J1895" s="376"/>
    </row>
    <row r="1896" spans="1:13" ht="35.25" customHeight="1" x14ac:dyDescent="0.3">
      <c r="A1896" s="1068"/>
      <c r="B1896" s="929"/>
      <c r="C1896" s="936" t="s">
        <v>614</v>
      </c>
      <c r="D1896" s="937" t="s">
        <v>99</v>
      </c>
      <c r="E1896" s="283">
        <v>5899</v>
      </c>
      <c r="F1896" s="438">
        <f>+F1801+E1896</f>
        <v>5899</v>
      </c>
      <c r="G1896" s="612">
        <v>20.8</v>
      </c>
      <c r="H1896" s="607">
        <f t="shared" si="418"/>
        <v>122699.2</v>
      </c>
      <c r="I1896" s="606">
        <f t="shared" si="419"/>
        <v>122699.2</v>
      </c>
      <c r="J1896" s="376"/>
    </row>
    <row r="1897" spans="1:13" ht="35.25" customHeight="1" x14ac:dyDescent="0.3">
      <c r="A1897" s="1068"/>
      <c r="B1897" s="929"/>
      <c r="C1897" s="936" t="s">
        <v>615</v>
      </c>
      <c r="D1897" s="937" t="s">
        <v>616</v>
      </c>
      <c r="E1897" s="283">
        <v>6120</v>
      </c>
      <c r="F1897" s="438">
        <f>+E1897</f>
        <v>6120</v>
      </c>
      <c r="G1897" s="612">
        <v>24.93</v>
      </c>
      <c r="H1897" s="607">
        <f t="shared" si="418"/>
        <v>152571.6</v>
      </c>
      <c r="I1897" s="606">
        <f t="shared" si="419"/>
        <v>152571.6</v>
      </c>
      <c r="J1897" s="376"/>
    </row>
    <row r="1898" spans="1:13" ht="35.25" customHeight="1" x14ac:dyDescent="0.3">
      <c r="A1898" s="1068"/>
      <c r="B1898" s="929"/>
      <c r="C1898" s="936" t="s">
        <v>615</v>
      </c>
      <c r="D1898" s="937" t="s">
        <v>616</v>
      </c>
      <c r="E1898" s="283">
        <v>2448</v>
      </c>
      <c r="F1898" s="438">
        <f t="shared" ref="F1898:F1906" si="420">+F1798+E1898</f>
        <v>2448</v>
      </c>
      <c r="G1898" s="612">
        <v>25.49</v>
      </c>
      <c r="H1898" s="607">
        <f t="shared" si="418"/>
        <v>62399.519999999997</v>
      </c>
      <c r="I1898" s="606">
        <f t="shared" si="419"/>
        <v>62399.519999999997</v>
      </c>
      <c r="J1898" s="376"/>
    </row>
    <row r="1899" spans="1:13" s="947" customFormat="1" ht="35.25" customHeight="1" x14ac:dyDescent="0.3">
      <c r="A1899" s="1068"/>
      <c r="B1899" s="938"/>
      <c r="C1899" s="939" t="s">
        <v>617</v>
      </c>
      <c r="D1899" s="940" t="s">
        <v>338</v>
      </c>
      <c r="E1899" s="941">
        <v>23062</v>
      </c>
      <c r="F1899" s="942">
        <f t="shared" si="420"/>
        <v>23062</v>
      </c>
      <c r="G1899" s="943">
        <v>24.41</v>
      </c>
      <c r="H1899" s="944">
        <f t="shared" si="418"/>
        <v>562943.42000000004</v>
      </c>
      <c r="I1899" s="945">
        <f t="shared" si="419"/>
        <v>562943.42000000004</v>
      </c>
      <c r="J1899" s="946"/>
    </row>
    <row r="1900" spans="1:13" ht="35.25" customHeight="1" x14ac:dyDescent="0.3">
      <c r="A1900" s="1068"/>
      <c r="B1900" s="929"/>
      <c r="C1900" s="282" t="s">
        <v>575</v>
      </c>
      <c r="D1900" s="437" t="s">
        <v>507</v>
      </c>
      <c r="E1900" s="283">
        <v>167076</v>
      </c>
      <c r="F1900" s="438">
        <f t="shared" si="420"/>
        <v>1614762</v>
      </c>
      <c r="G1900" s="612">
        <v>20.76</v>
      </c>
      <c r="H1900" s="607">
        <f t="shared" si="418"/>
        <v>3468497.7600000002</v>
      </c>
      <c r="I1900" s="606">
        <f t="shared" si="419"/>
        <v>33522459.120000001</v>
      </c>
      <c r="J1900" s="376"/>
    </row>
    <row r="1901" spans="1:13" ht="35.25" customHeight="1" x14ac:dyDescent="0.3">
      <c r="A1901" s="1068"/>
      <c r="B1901" s="929"/>
      <c r="C1901" s="282" t="s">
        <v>326</v>
      </c>
      <c r="D1901" s="437" t="s">
        <v>114</v>
      </c>
      <c r="E1901" s="283"/>
      <c r="F1901" s="438">
        <f t="shared" si="420"/>
        <v>0</v>
      </c>
      <c r="G1901" s="612">
        <v>24.93</v>
      </c>
      <c r="H1901" s="607">
        <f t="shared" si="418"/>
        <v>0</v>
      </c>
      <c r="I1901" s="606">
        <f t="shared" si="419"/>
        <v>0</v>
      </c>
      <c r="J1901" s="376"/>
    </row>
    <row r="1902" spans="1:13" ht="35.25" customHeight="1" x14ac:dyDescent="0.3">
      <c r="A1902" s="1068"/>
      <c r="B1902" s="929"/>
      <c r="C1902" s="282" t="s">
        <v>327</v>
      </c>
      <c r="D1902" s="437" t="s">
        <v>303</v>
      </c>
      <c r="E1902" s="283">
        <v>1274</v>
      </c>
      <c r="F1902" s="438">
        <f t="shared" si="420"/>
        <v>1274</v>
      </c>
      <c r="G1902" s="612">
        <v>24.93</v>
      </c>
      <c r="H1902" s="607">
        <f t="shared" si="418"/>
        <v>31760.82</v>
      </c>
      <c r="I1902" s="606">
        <f t="shared" si="419"/>
        <v>31760.82</v>
      </c>
      <c r="J1902" s="376"/>
    </row>
    <row r="1903" spans="1:13" ht="35.25" customHeight="1" x14ac:dyDescent="0.3">
      <c r="A1903" s="1068"/>
      <c r="B1903" s="929"/>
      <c r="C1903" s="282" t="s">
        <v>512</v>
      </c>
      <c r="D1903" s="437" t="s">
        <v>401</v>
      </c>
      <c r="E1903" s="283"/>
      <c r="F1903" s="438">
        <f t="shared" si="420"/>
        <v>47736</v>
      </c>
      <c r="G1903" s="612">
        <v>23.78</v>
      </c>
      <c r="H1903" s="607">
        <f t="shared" si="418"/>
        <v>0</v>
      </c>
      <c r="I1903" s="606">
        <f t="shared" si="419"/>
        <v>1135162.08</v>
      </c>
      <c r="J1903" s="376"/>
    </row>
    <row r="1904" spans="1:13" ht="35.25" customHeight="1" x14ac:dyDescent="0.3">
      <c r="A1904" s="1068"/>
      <c r="B1904" s="929"/>
      <c r="C1904" s="282" t="s">
        <v>512</v>
      </c>
      <c r="D1904" s="437" t="s">
        <v>338</v>
      </c>
      <c r="E1904" s="283">
        <v>119340</v>
      </c>
      <c r="F1904" s="438">
        <f t="shared" si="420"/>
        <v>234702</v>
      </c>
      <c r="G1904" s="612">
        <v>23.78</v>
      </c>
      <c r="H1904" s="607">
        <f t="shared" si="418"/>
        <v>2837905.2</v>
      </c>
      <c r="I1904" s="606">
        <f t="shared" si="419"/>
        <v>5581213.5600000005</v>
      </c>
      <c r="J1904" s="376"/>
    </row>
    <row r="1905" spans="1:10" ht="35.25" customHeight="1" x14ac:dyDescent="0.3">
      <c r="A1905" s="1068"/>
      <c r="B1905" s="929"/>
      <c r="C1905" s="282" t="s">
        <v>394</v>
      </c>
      <c r="D1905" s="437" t="s">
        <v>338</v>
      </c>
      <c r="E1905" s="283"/>
      <c r="F1905" s="438">
        <f t="shared" si="420"/>
        <v>0</v>
      </c>
      <c r="G1905" s="612">
        <v>37.4566666666</v>
      </c>
      <c r="H1905" s="607">
        <f t="shared" si="418"/>
        <v>0</v>
      </c>
      <c r="I1905" s="606">
        <f t="shared" si="419"/>
        <v>0</v>
      </c>
      <c r="J1905" s="376"/>
    </row>
    <row r="1906" spans="1:10" ht="35.25" customHeight="1" x14ac:dyDescent="0.3">
      <c r="A1906" s="1068"/>
      <c r="B1906" s="929"/>
      <c r="C1906" s="282" t="s">
        <v>395</v>
      </c>
      <c r="D1906" s="437" t="s">
        <v>338</v>
      </c>
      <c r="E1906" s="283">
        <v>61776</v>
      </c>
      <c r="F1906" s="438">
        <f t="shared" si="420"/>
        <v>84240</v>
      </c>
      <c r="G1906" s="612">
        <v>37.89</v>
      </c>
      <c r="H1906" s="607">
        <f t="shared" si="418"/>
        <v>2340692.64</v>
      </c>
      <c r="I1906" s="606">
        <f t="shared" si="419"/>
        <v>3191853.6</v>
      </c>
      <c r="J1906" s="376"/>
    </row>
    <row r="1907" spans="1:10" ht="35.25" customHeight="1" x14ac:dyDescent="0.3">
      <c r="A1907" s="1068"/>
      <c r="B1907" s="929"/>
      <c r="C1907" s="282" t="s">
        <v>609</v>
      </c>
      <c r="D1907" s="437" t="s">
        <v>99</v>
      </c>
      <c r="E1907" s="283">
        <v>17383</v>
      </c>
      <c r="F1907" s="438">
        <f>+E1907</f>
        <v>17383</v>
      </c>
      <c r="G1907" s="612">
        <v>28.31</v>
      </c>
      <c r="H1907" s="607">
        <f t="shared" si="418"/>
        <v>492112.73</v>
      </c>
      <c r="I1907" s="606">
        <f t="shared" si="419"/>
        <v>492112.73</v>
      </c>
      <c r="J1907" s="376"/>
    </row>
    <row r="1908" spans="1:10" ht="35.25" customHeight="1" x14ac:dyDescent="0.3">
      <c r="A1908" s="1068"/>
      <c r="B1908" s="929"/>
      <c r="C1908" s="282" t="s">
        <v>609</v>
      </c>
      <c r="D1908" s="437" t="s">
        <v>507</v>
      </c>
      <c r="E1908" s="283">
        <v>50628</v>
      </c>
      <c r="F1908" s="438">
        <f t="shared" ref="F1908:F1912" si="421">+E1908</f>
        <v>50628</v>
      </c>
      <c r="G1908" s="612">
        <v>28.88</v>
      </c>
      <c r="H1908" s="607">
        <f t="shared" si="418"/>
        <v>1462136.64</v>
      </c>
      <c r="I1908" s="606">
        <f t="shared" si="419"/>
        <v>1462136.64</v>
      </c>
      <c r="J1908" s="376"/>
    </row>
    <row r="1909" spans="1:10" ht="35.25" customHeight="1" x14ac:dyDescent="0.3">
      <c r="A1909" s="1068"/>
      <c r="B1909" s="929"/>
      <c r="C1909" s="282" t="s">
        <v>610</v>
      </c>
      <c r="D1909" s="437" t="s">
        <v>507</v>
      </c>
      <c r="E1909" s="283">
        <v>4589</v>
      </c>
      <c r="F1909" s="438">
        <f t="shared" si="421"/>
        <v>4589</v>
      </c>
      <c r="G1909" s="612">
        <v>28.21</v>
      </c>
      <c r="H1909" s="607">
        <f t="shared" si="418"/>
        <v>129455.69</v>
      </c>
      <c r="I1909" s="606">
        <f t="shared" si="419"/>
        <v>129455.69</v>
      </c>
      <c r="J1909" s="376"/>
    </row>
    <row r="1910" spans="1:10" ht="35.25" customHeight="1" x14ac:dyDescent="0.3">
      <c r="A1910" s="1068"/>
      <c r="B1910" s="929"/>
      <c r="C1910" s="282" t="s">
        <v>611</v>
      </c>
      <c r="D1910" s="437" t="s">
        <v>376</v>
      </c>
      <c r="E1910" s="283">
        <v>13321</v>
      </c>
      <c r="F1910" s="438">
        <f t="shared" si="421"/>
        <v>13321</v>
      </c>
      <c r="G1910" s="612">
        <v>39</v>
      </c>
      <c r="H1910" s="607">
        <f t="shared" ref="H1910:H1912" si="422">E1910*G1910</f>
        <v>519519</v>
      </c>
      <c r="I1910" s="606">
        <f t="shared" ref="I1910:I1912" si="423">+G1910*F1910</f>
        <v>519519</v>
      </c>
      <c r="J1910" s="376"/>
    </row>
    <row r="1911" spans="1:10" ht="35.25" customHeight="1" x14ac:dyDescent="0.3">
      <c r="A1911" s="1068"/>
      <c r="B1911" s="929"/>
      <c r="C1911" s="282" t="s">
        <v>611</v>
      </c>
      <c r="D1911" s="437" t="s">
        <v>99</v>
      </c>
      <c r="E1911" s="283">
        <v>2398</v>
      </c>
      <c r="F1911" s="438">
        <f t="shared" si="421"/>
        <v>2398</v>
      </c>
      <c r="G1911" s="612">
        <v>32.65</v>
      </c>
      <c r="H1911" s="607">
        <f t="shared" si="422"/>
        <v>78294.7</v>
      </c>
      <c r="I1911" s="606">
        <f t="shared" si="423"/>
        <v>78294.7</v>
      </c>
      <c r="J1911" s="376"/>
    </row>
    <row r="1912" spans="1:10" ht="35.25" customHeight="1" x14ac:dyDescent="0.3">
      <c r="A1912" s="1068"/>
      <c r="B1912" s="929"/>
      <c r="C1912" s="282" t="s">
        <v>611</v>
      </c>
      <c r="D1912" s="437" t="s">
        <v>507</v>
      </c>
      <c r="E1912" s="283">
        <v>11232</v>
      </c>
      <c r="F1912" s="438">
        <f t="shared" si="421"/>
        <v>11232</v>
      </c>
      <c r="G1912" s="612">
        <v>33.299999999999997</v>
      </c>
      <c r="H1912" s="607">
        <f t="shared" si="422"/>
        <v>374025.6</v>
      </c>
      <c r="I1912" s="606">
        <f t="shared" si="423"/>
        <v>374025.6</v>
      </c>
      <c r="J1912" s="376"/>
    </row>
    <row r="1913" spans="1:10" ht="35.25" customHeight="1" x14ac:dyDescent="0.3">
      <c r="A1913" s="1068"/>
      <c r="B1913" s="929"/>
      <c r="C1913" s="282" t="s">
        <v>327</v>
      </c>
      <c r="D1913" s="437" t="s">
        <v>302</v>
      </c>
      <c r="E1913" s="283">
        <v>48419</v>
      </c>
      <c r="F1913" s="438">
        <f t="shared" ref="F1913:F1921" si="424">+F1807+E1913</f>
        <v>171737</v>
      </c>
      <c r="G1913" s="612">
        <v>24.93</v>
      </c>
      <c r="H1913" s="607">
        <f t="shared" si="418"/>
        <v>1207085.67</v>
      </c>
      <c r="I1913" s="606">
        <f t="shared" si="419"/>
        <v>4281403.41</v>
      </c>
      <c r="J1913" s="376"/>
    </row>
    <row r="1914" spans="1:10" ht="35.25" customHeight="1" x14ac:dyDescent="0.3">
      <c r="A1914" s="1068"/>
      <c r="B1914" s="929"/>
      <c r="C1914" s="282" t="s">
        <v>327</v>
      </c>
      <c r="D1914" s="437"/>
      <c r="E1914" s="283"/>
      <c r="F1914" s="438">
        <f t="shared" si="424"/>
        <v>0</v>
      </c>
      <c r="G1914" s="612">
        <v>24.93</v>
      </c>
      <c r="H1914" s="607">
        <f t="shared" si="418"/>
        <v>0</v>
      </c>
      <c r="I1914" s="606">
        <f t="shared" si="419"/>
        <v>0</v>
      </c>
      <c r="J1914" s="376"/>
    </row>
    <row r="1915" spans="1:10" ht="35.25" customHeight="1" x14ac:dyDescent="0.3">
      <c r="A1915" s="1068"/>
      <c r="B1915" s="929"/>
      <c r="C1915" s="282" t="s">
        <v>350</v>
      </c>
      <c r="D1915" s="437" t="s">
        <v>313</v>
      </c>
      <c r="E1915" s="283"/>
      <c r="F1915" s="438">
        <f t="shared" si="424"/>
        <v>0</v>
      </c>
      <c r="G1915" s="612">
        <v>34.26</v>
      </c>
      <c r="H1915" s="607">
        <f t="shared" si="418"/>
        <v>0</v>
      </c>
      <c r="I1915" s="606">
        <f t="shared" si="419"/>
        <v>0</v>
      </c>
      <c r="J1915" s="376"/>
    </row>
    <row r="1916" spans="1:10" ht="35.25" customHeight="1" x14ac:dyDescent="0.3">
      <c r="A1916" s="1068"/>
      <c r="B1916" s="929"/>
      <c r="C1916" s="282" t="s">
        <v>363</v>
      </c>
      <c r="D1916" s="437" t="s">
        <v>401</v>
      </c>
      <c r="E1916" s="283"/>
      <c r="F1916" s="438">
        <f t="shared" si="424"/>
        <v>0</v>
      </c>
      <c r="G1916" s="612">
        <v>37.89</v>
      </c>
      <c r="H1916" s="607">
        <f t="shared" si="418"/>
        <v>0</v>
      </c>
      <c r="I1916" s="606">
        <f t="shared" si="419"/>
        <v>0</v>
      </c>
      <c r="J1916" s="376"/>
    </row>
    <row r="1917" spans="1:10" ht="35.25" customHeight="1" x14ac:dyDescent="0.3">
      <c r="A1917" s="1068"/>
      <c r="B1917" s="929"/>
      <c r="C1917" s="282" t="s">
        <v>406</v>
      </c>
      <c r="D1917" s="437" t="s">
        <v>376</v>
      </c>
      <c r="E1917" s="283"/>
      <c r="F1917" s="438">
        <f t="shared" si="424"/>
        <v>0</v>
      </c>
      <c r="G1917" s="612">
        <v>39</v>
      </c>
      <c r="H1917" s="607">
        <f t="shared" si="418"/>
        <v>0</v>
      </c>
      <c r="I1917" s="606">
        <f t="shared" si="419"/>
        <v>0</v>
      </c>
      <c r="J1917" s="376"/>
    </row>
    <row r="1918" spans="1:10" ht="35.25" customHeight="1" x14ac:dyDescent="0.3">
      <c r="A1918" s="1068"/>
      <c r="B1918" s="929"/>
      <c r="C1918" s="282" t="s">
        <v>327</v>
      </c>
      <c r="D1918" s="437" t="s">
        <v>190</v>
      </c>
      <c r="E1918" s="283">
        <v>15536</v>
      </c>
      <c r="F1918" s="438">
        <f t="shared" si="424"/>
        <v>99074</v>
      </c>
      <c r="G1918" s="612">
        <v>21.22</v>
      </c>
      <c r="H1918" s="607">
        <f t="shared" si="418"/>
        <v>329673.92</v>
      </c>
      <c r="I1918" s="606">
        <f t="shared" si="419"/>
        <v>2102350.2799999998</v>
      </c>
      <c r="J1918" s="376"/>
    </row>
    <row r="1919" spans="1:10" ht="35.25" customHeight="1" x14ac:dyDescent="0.3">
      <c r="A1919" s="1068"/>
      <c r="B1919" s="929"/>
      <c r="C1919" s="282" t="s">
        <v>326</v>
      </c>
      <c r="D1919" s="437" t="s">
        <v>190</v>
      </c>
      <c r="E1919" s="283"/>
      <c r="F1919" s="438">
        <f t="shared" si="424"/>
        <v>0</v>
      </c>
      <c r="G1919" s="612">
        <v>21.22</v>
      </c>
      <c r="H1919" s="607">
        <f t="shared" si="418"/>
        <v>0</v>
      </c>
      <c r="I1919" s="606">
        <f t="shared" si="419"/>
        <v>0</v>
      </c>
      <c r="J1919" s="376"/>
    </row>
    <row r="1920" spans="1:10" ht="35.25" customHeight="1" x14ac:dyDescent="0.3">
      <c r="A1920" s="1068"/>
      <c r="B1920" s="929"/>
      <c r="C1920" s="282" t="s">
        <v>377</v>
      </c>
      <c r="D1920" s="437" t="s">
        <v>333</v>
      </c>
      <c r="E1920" s="283"/>
      <c r="F1920" s="438">
        <f t="shared" si="424"/>
        <v>0</v>
      </c>
      <c r="G1920" s="612">
        <v>10000</v>
      </c>
      <c r="H1920" s="607">
        <f t="shared" si="418"/>
        <v>0</v>
      </c>
      <c r="I1920" s="606">
        <f t="shared" si="419"/>
        <v>0</v>
      </c>
      <c r="J1920" s="376"/>
    </row>
    <row r="1921" spans="1:10" ht="35.25" customHeight="1" thickBot="1" x14ac:dyDescent="0.35">
      <c r="A1921" s="1068"/>
      <c r="B1921" s="929"/>
      <c r="C1921" s="282" t="s">
        <v>332</v>
      </c>
      <c r="D1921" s="437" t="s">
        <v>333</v>
      </c>
      <c r="E1921" s="283">
        <v>0</v>
      </c>
      <c r="F1921" s="438">
        <f t="shared" si="424"/>
        <v>8931</v>
      </c>
      <c r="G1921" s="612">
        <v>360</v>
      </c>
      <c r="H1921" s="607">
        <f t="shared" si="418"/>
        <v>0</v>
      </c>
      <c r="I1921" s="606">
        <f t="shared" si="419"/>
        <v>3215160</v>
      </c>
      <c r="J1921" s="376"/>
    </row>
    <row r="1922" spans="1:10" ht="35.25" customHeight="1" thickBot="1" x14ac:dyDescent="0.35">
      <c r="A1922" s="1069"/>
      <c r="B1922" s="1063" t="s">
        <v>289</v>
      </c>
      <c r="C1922" s="1064"/>
      <c r="D1922" s="928"/>
      <c r="E1922" s="329">
        <f>SUM(E1890:E1921)</f>
        <v>1401425</v>
      </c>
      <c r="F1922" s="329">
        <f>SUM(F1890:F1921)</f>
        <v>3286264</v>
      </c>
      <c r="G1922" s="329"/>
      <c r="H1922" s="597">
        <f>SUM(H1890:H1921)</f>
        <v>35110626.390000008</v>
      </c>
      <c r="I1922" s="589">
        <f>SUM(I1890:I1921)</f>
        <v>78440749.749999985</v>
      </c>
      <c r="J1922" s="376"/>
    </row>
    <row r="1923" spans="1:10" ht="35.25" customHeight="1" x14ac:dyDescent="0.3">
      <c r="A1923" s="1067" t="s">
        <v>109</v>
      </c>
      <c r="B1923" s="929"/>
      <c r="C1923" s="282" t="s">
        <v>296</v>
      </c>
      <c r="D1923" s="437" t="s">
        <v>258</v>
      </c>
      <c r="E1923" s="283"/>
      <c r="F1923" s="438">
        <f t="shared" ref="F1923:F1933" si="425">+F1817+E1923</f>
        <v>60050</v>
      </c>
      <c r="G1923" s="612">
        <v>430.02</v>
      </c>
      <c r="H1923" s="603">
        <f>E1923*G1923</f>
        <v>0</v>
      </c>
      <c r="I1923" s="606">
        <f t="shared" ref="I1923:I1947" si="426">+G1923*F1923</f>
        <v>25822701</v>
      </c>
      <c r="J1923" s="376"/>
    </row>
    <row r="1924" spans="1:10" ht="35.25" customHeight="1" x14ac:dyDescent="0.3">
      <c r="A1924" s="1068"/>
      <c r="B1924" s="929"/>
      <c r="C1924" s="282" t="s">
        <v>297</v>
      </c>
      <c r="D1924" s="437" t="s">
        <v>258</v>
      </c>
      <c r="E1924" s="283"/>
      <c r="F1924" s="438">
        <f t="shared" si="425"/>
        <v>4753</v>
      </c>
      <c r="G1924" s="612">
        <v>445.38</v>
      </c>
      <c r="H1924" s="603">
        <f t="shared" ref="H1924:H1947" si="427">E1924*G1924</f>
        <v>0</v>
      </c>
      <c r="I1924" s="606">
        <f t="shared" si="426"/>
        <v>2116891.14</v>
      </c>
      <c r="J1924" s="376"/>
    </row>
    <row r="1925" spans="1:10" ht="35.25" customHeight="1" x14ac:dyDescent="0.3">
      <c r="A1925" s="1068"/>
      <c r="B1925" s="929"/>
      <c r="C1925" s="282" t="s">
        <v>467</v>
      </c>
      <c r="D1925" s="437" t="s">
        <v>258</v>
      </c>
      <c r="E1925" s="283"/>
      <c r="F1925" s="438">
        <f t="shared" si="425"/>
        <v>15597</v>
      </c>
      <c r="G1925" s="612">
        <v>445.38</v>
      </c>
      <c r="H1925" s="603">
        <f t="shared" si="427"/>
        <v>0</v>
      </c>
      <c r="I1925" s="606">
        <f t="shared" si="426"/>
        <v>6946591.8600000003</v>
      </c>
      <c r="J1925" s="376"/>
    </row>
    <row r="1926" spans="1:10" ht="35.25" customHeight="1" x14ac:dyDescent="0.3">
      <c r="A1926" s="1068"/>
      <c r="B1926" s="929"/>
      <c r="C1926" s="282" t="s">
        <v>330</v>
      </c>
      <c r="D1926" s="437" t="s">
        <v>258</v>
      </c>
      <c r="E1926" s="283"/>
      <c r="F1926" s="438">
        <f t="shared" si="425"/>
        <v>0</v>
      </c>
      <c r="G1926" s="612">
        <v>63.55</v>
      </c>
      <c r="H1926" s="603">
        <f t="shared" si="427"/>
        <v>0</v>
      </c>
      <c r="I1926" s="606">
        <f t="shared" si="426"/>
        <v>0</v>
      </c>
      <c r="J1926" s="376"/>
    </row>
    <row r="1927" spans="1:10" ht="35.25" customHeight="1" x14ac:dyDescent="0.3">
      <c r="A1927" s="1068"/>
      <c r="B1927" s="929"/>
      <c r="C1927" s="282" t="s">
        <v>298</v>
      </c>
      <c r="D1927" s="437" t="s">
        <v>258</v>
      </c>
      <c r="E1927" s="283"/>
      <c r="F1927" s="438">
        <f t="shared" si="425"/>
        <v>570268</v>
      </c>
      <c r="G1927" s="612">
        <v>71.44</v>
      </c>
      <c r="H1927" s="603">
        <f t="shared" si="427"/>
        <v>0</v>
      </c>
      <c r="I1927" s="606">
        <f t="shared" si="426"/>
        <v>40739945.920000002</v>
      </c>
      <c r="J1927" s="376"/>
    </row>
    <row r="1928" spans="1:10" ht="35.25" customHeight="1" x14ac:dyDescent="0.3">
      <c r="A1928" s="1068"/>
      <c r="B1928" s="929"/>
      <c r="C1928" s="282" t="s">
        <v>299</v>
      </c>
      <c r="D1928" s="437" t="s">
        <v>258</v>
      </c>
      <c r="E1928" s="283"/>
      <c r="F1928" s="438">
        <f t="shared" si="425"/>
        <v>300</v>
      </c>
      <c r="G1928" s="612">
        <v>36.5</v>
      </c>
      <c r="H1928" s="603">
        <f t="shared" si="427"/>
        <v>0</v>
      </c>
      <c r="I1928" s="606">
        <f t="shared" si="426"/>
        <v>10950</v>
      </c>
      <c r="J1928" s="376"/>
    </row>
    <row r="1929" spans="1:10" ht="35.25" customHeight="1" x14ac:dyDescent="0.3">
      <c r="A1929" s="1068"/>
      <c r="B1929" s="929"/>
      <c r="C1929" s="282" t="s">
        <v>514</v>
      </c>
      <c r="D1929" s="437" t="s">
        <v>258</v>
      </c>
      <c r="E1929" s="283"/>
      <c r="F1929" s="438">
        <f t="shared" si="425"/>
        <v>3914</v>
      </c>
      <c r="G1929" s="612">
        <v>320.35000000000002</v>
      </c>
      <c r="H1929" s="603">
        <f t="shared" si="427"/>
        <v>0</v>
      </c>
      <c r="I1929" s="606">
        <f t="shared" si="426"/>
        <v>1253849.9000000001</v>
      </c>
      <c r="J1929" s="376"/>
    </row>
    <row r="1930" spans="1:10" ht="35.25" customHeight="1" x14ac:dyDescent="0.3">
      <c r="A1930" s="1068"/>
      <c r="B1930" s="929"/>
      <c r="C1930" s="282" t="s">
        <v>308</v>
      </c>
      <c r="D1930" s="437" t="s">
        <v>258</v>
      </c>
      <c r="E1930" s="283"/>
      <c r="F1930" s="438">
        <f t="shared" si="425"/>
        <v>19260</v>
      </c>
      <c r="G1930" s="612">
        <v>320.35000000000002</v>
      </c>
      <c r="H1930" s="603">
        <f t="shared" si="427"/>
        <v>0</v>
      </c>
      <c r="I1930" s="606">
        <f t="shared" si="426"/>
        <v>6169941</v>
      </c>
      <c r="J1930" s="376"/>
    </row>
    <row r="1931" spans="1:10" ht="35.25" customHeight="1" x14ac:dyDescent="0.3">
      <c r="A1931" s="1068"/>
      <c r="B1931" s="929"/>
      <c r="C1931" s="282" t="s">
        <v>322</v>
      </c>
      <c r="D1931" s="437" t="s">
        <v>258</v>
      </c>
      <c r="E1931" s="283"/>
      <c r="F1931" s="438">
        <f t="shared" si="425"/>
        <v>0</v>
      </c>
      <c r="G1931" s="612">
        <v>434.41</v>
      </c>
      <c r="H1931" s="603">
        <f t="shared" si="427"/>
        <v>0</v>
      </c>
      <c r="I1931" s="606">
        <f t="shared" si="426"/>
        <v>0</v>
      </c>
      <c r="J1931" s="376"/>
    </row>
    <row r="1932" spans="1:10" ht="35.25" customHeight="1" x14ac:dyDescent="0.3">
      <c r="A1932" s="1068"/>
      <c r="B1932" s="929"/>
      <c r="C1932" s="282" t="s">
        <v>305</v>
      </c>
      <c r="D1932" s="437" t="s">
        <v>258</v>
      </c>
      <c r="E1932" s="283"/>
      <c r="F1932" s="438">
        <f t="shared" si="425"/>
        <v>1</v>
      </c>
      <c r="G1932" s="612">
        <v>29690</v>
      </c>
      <c r="H1932" s="603">
        <f t="shared" si="427"/>
        <v>0</v>
      </c>
      <c r="I1932" s="606">
        <f t="shared" si="426"/>
        <v>29690</v>
      </c>
      <c r="J1932" s="376"/>
    </row>
    <row r="1933" spans="1:10" ht="35.25" customHeight="1" x14ac:dyDescent="0.3">
      <c r="A1933" s="1068"/>
      <c r="B1933" s="929"/>
      <c r="C1933" s="282" t="s">
        <v>305</v>
      </c>
      <c r="D1933" s="437" t="s">
        <v>258</v>
      </c>
      <c r="E1933" s="283"/>
      <c r="F1933" s="438">
        <f t="shared" si="425"/>
        <v>5</v>
      </c>
      <c r="G1933" s="612">
        <v>26445</v>
      </c>
      <c r="H1933" s="603">
        <f t="shared" si="427"/>
        <v>0</v>
      </c>
      <c r="I1933" s="606">
        <f t="shared" si="426"/>
        <v>132225</v>
      </c>
      <c r="J1933" s="376"/>
    </row>
    <row r="1934" spans="1:10" ht="35.25" customHeight="1" x14ac:dyDescent="0.3">
      <c r="A1934" s="1068"/>
      <c r="B1934" s="929"/>
      <c r="C1934" s="282" t="s">
        <v>305</v>
      </c>
      <c r="D1934" s="437"/>
      <c r="E1934" s="283">
        <v>26</v>
      </c>
      <c r="F1934" s="438">
        <f>+E1934</f>
        <v>26</v>
      </c>
      <c r="G1934" s="612">
        <v>33947.884599999998</v>
      </c>
      <c r="H1934" s="603">
        <f t="shared" si="427"/>
        <v>882644.99959999998</v>
      </c>
      <c r="I1934" s="606">
        <f t="shared" si="426"/>
        <v>882644.99959999998</v>
      </c>
      <c r="J1934" s="376"/>
    </row>
    <row r="1935" spans="1:10" ht="35.25" customHeight="1" x14ac:dyDescent="0.3">
      <c r="A1935" s="1068"/>
      <c r="B1935" s="929"/>
      <c r="C1935" s="282" t="s">
        <v>341</v>
      </c>
      <c r="D1935" s="437" t="s">
        <v>375</v>
      </c>
      <c r="E1935" s="283"/>
      <c r="F1935" s="438">
        <f t="shared" ref="F1935:F1945" si="428">+F1828+E1935</f>
        <v>8076</v>
      </c>
      <c r="G1935" s="612">
        <v>50</v>
      </c>
      <c r="H1935" s="603">
        <f t="shared" si="427"/>
        <v>0</v>
      </c>
      <c r="I1935" s="606">
        <f t="shared" si="426"/>
        <v>403800</v>
      </c>
      <c r="J1935" s="376"/>
    </row>
    <row r="1936" spans="1:10" ht="35.25" customHeight="1" x14ac:dyDescent="0.3">
      <c r="A1936" s="1068"/>
      <c r="B1936" s="929"/>
      <c r="C1936" s="282" t="s">
        <v>341</v>
      </c>
      <c r="D1936" s="437"/>
      <c r="E1936" s="283">
        <v>77760</v>
      </c>
      <c r="F1936" s="438">
        <f t="shared" si="428"/>
        <v>77760</v>
      </c>
      <c r="G1936" s="612">
        <v>10</v>
      </c>
      <c r="H1936" s="603">
        <f t="shared" si="427"/>
        <v>777600</v>
      </c>
      <c r="I1936" s="606">
        <f t="shared" si="426"/>
        <v>777600</v>
      </c>
      <c r="J1936" s="376"/>
    </row>
    <row r="1937" spans="1:10" ht="35.25" customHeight="1" x14ac:dyDescent="0.3">
      <c r="A1937" s="1068"/>
      <c r="B1937" s="929"/>
      <c r="C1937" s="282" t="s">
        <v>364</v>
      </c>
      <c r="D1937" s="437" t="s">
        <v>428</v>
      </c>
      <c r="E1937" s="283"/>
      <c r="F1937" s="438">
        <f t="shared" si="428"/>
        <v>700</v>
      </c>
      <c r="G1937" s="612">
        <v>57.64</v>
      </c>
      <c r="H1937" s="603">
        <f t="shared" si="427"/>
        <v>0</v>
      </c>
      <c r="I1937" s="606">
        <f t="shared" si="426"/>
        <v>40348</v>
      </c>
      <c r="J1937" s="376"/>
    </row>
    <row r="1938" spans="1:10" ht="35.25" customHeight="1" x14ac:dyDescent="0.3">
      <c r="A1938" s="1068"/>
      <c r="B1938" s="929"/>
      <c r="C1938" s="282" t="s">
        <v>364</v>
      </c>
      <c r="D1938" s="437" t="s">
        <v>407</v>
      </c>
      <c r="E1938" s="283"/>
      <c r="F1938" s="438">
        <f t="shared" si="428"/>
        <v>0</v>
      </c>
      <c r="G1938" s="612">
        <v>57.64</v>
      </c>
      <c r="H1938" s="603">
        <f t="shared" si="427"/>
        <v>0</v>
      </c>
      <c r="I1938" s="606">
        <f t="shared" si="426"/>
        <v>0</v>
      </c>
      <c r="J1938" s="376"/>
    </row>
    <row r="1939" spans="1:10" ht="35.25" customHeight="1" x14ac:dyDescent="0.3">
      <c r="A1939" s="1068"/>
      <c r="B1939" s="929"/>
      <c r="C1939" s="282" t="s">
        <v>365</v>
      </c>
      <c r="D1939" s="437" t="s">
        <v>366</v>
      </c>
      <c r="E1939" s="283"/>
      <c r="F1939" s="438">
        <f t="shared" si="428"/>
        <v>7383</v>
      </c>
      <c r="G1939" s="612">
        <v>434.41</v>
      </c>
      <c r="H1939" s="603">
        <f t="shared" si="427"/>
        <v>0</v>
      </c>
      <c r="I1939" s="606">
        <f t="shared" si="426"/>
        <v>3207249.0300000003</v>
      </c>
      <c r="J1939" s="376"/>
    </row>
    <row r="1940" spans="1:10" ht="35.25" customHeight="1" x14ac:dyDescent="0.3">
      <c r="A1940" s="1068"/>
      <c r="B1940" s="929"/>
      <c r="C1940" s="282" t="s">
        <v>381</v>
      </c>
      <c r="D1940" s="437" t="s">
        <v>258</v>
      </c>
      <c r="E1940" s="283"/>
      <c r="F1940" s="438">
        <f t="shared" si="428"/>
        <v>0</v>
      </c>
      <c r="G1940" s="612">
        <v>624.26</v>
      </c>
      <c r="H1940" s="603">
        <f t="shared" si="427"/>
        <v>0</v>
      </c>
      <c r="I1940" s="606">
        <f t="shared" si="426"/>
        <v>0</v>
      </c>
      <c r="J1940" s="376"/>
    </row>
    <row r="1941" spans="1:10" ht="35.25" customHeight="1" x14ac:dyDescent="0.3">
      <c r="A1941" s="1068"/>
      <c r="B1941" s="929"/>
      <c r="C1941" s="282" t="s">
        <v>367</v>
      </c>
      <c r="D1941" s="437" t="s">
        <v>366</v>
      </c>
      <c r="E1941" s="283"/>
      <c r="F1941" s="438">
        <f t="shared" si="428"/>
        <v>5760</v>
      </c>
      <c r="G1941" s="612">
        <v>63.55</v>
      </c>
      <c r="H1941" s="603">
        <f t="shared" si="427"/>
        <v>0</v>
      </c>
      <c r="I1941" s="606">
        <f t="shared" si="426"/>
        <v>366048</v>
      </c>
      <c r="J1941" s="376"/>
    </row>
    <row r="1942" spans="1:10" ht="35.25" customHeight="1" x14ac:dyDescent="0.3">
      <c r="A1942" s="1068"/>
      <c r="B1942" s="929"/>
      <c r="C1942" s="282" t="s">
        <v>429</v>
      </c>
      <c r="D1942" s="437" t="s">
        <v>258</v>
      </c>
      <c r="E1942" s="283"/>
      <c r="F1942" s="438">
        <f t="shared" si="428"/>
        <v>178976</v>
      </c>
      <c r="G1942" s="612">
        <v>59.96</v>
      </c>
      <c r="H1942" s="603">
        <f t="shared" si="427"/>
        <v>0</v>
      </c>
      <c r="I1942" s="606">
        <f t="shared" si="426"/>
        <v>10731400.960000001</v>
      </c>
      <c r="J1942" s="376"/>
    </row>
    <row r="1943" spans="1:10" ht="35.25" customHeight="1" x14ac:dyDescent="0.3">
      <c r="A1943" s="1068"/>
      <c r="B1943" s="929"/>
      <c r="C1943" s="282" t="s">
        <v>501</v>
      </c>
      <c r="D1943" s="437" t="s">
        <v>366</v>
      </c>
      <c r="E1943" s="283"/>
      <c r="F1943" s="438">
        <f t="shared" si="428"/>
        <v>8640</v>
      </c>
      <c r="G1943" s="612">
        <v>53.86</v>
      </c>
      <c r="H1943" s="603">
        <f t="shared" si="427"/>
        <v>0</v>
      </c>
      <c r="I1943" s="606">
        <f t="shared" si="426"/>
        <v>465350.40000000002</v>
      </c>
      <c r="J1943" s="376"/>
    </row>
    <row r="1944" spans="1:10" ht="35.25" customHeight="1" x14ac:dyDescent="0.3">
      <c r="A1944" s="1068"/>
      <c r="B1944" s="929"/>
      <c r="C1944" s="282" t="s">
        <v>446</v>
      </c>
      <c r="D1944" s="437"/>
      <c r="E1944" s="283"/>
      <c r="F1944" s="438">
        <f t="shared" si="428"/>
        <v>10014</v>
      </c>
      <c r="G1944" s="612">
        <v>360</v>
      </c>
      <c r="H1944" s="603">
        <f t="shared" si="427"/>
        <v>0</v>
      </c>
      <c r="I1944" s="606">
        <f t="shared" si="426"/>
        <v>3605040</v>
      </c>
      <c r="J1944" s="376"/>
    </row>
    <row r="1945" spans="1:10" ht="35.25" customHeight="1" x14ac:dyDescent="0.3">
      <c r="A1945" s="1068"/>
      <c r="B1945" s="929"/>
      <c r="C1945" s="282" t="s">
        <v>619</v>
      </c>
      <c r="D1945" s="437"/>
      <c r="E1945" s="283">
        <v>-387432</v>
      </c>
      <c r="F1945" s="438">
        <f t="shared" si="428"/>
        <v>-387432</v>
      </c>
      <c r="G1945" s="612"/>
      <c r="H1945" s="603">
        <f>+E1945</f>
        <v>-387432</v>
      </c>
      <c r="I1945" s="606">
        <f>+H1945</f>
        <v>-387432</v>
      </c>
      <c r="J1945" s="376"/>
    </row>
    <row r="1946" spans="1:10" ht="35.25" customHeight="1" x14ac:dyDescent="0.3">
      <c r="A1946" s="1068"/>
      <c r="B1946" s="929"/>
      <c r="C1946" s="282" t="s">
        <v>305</v>
      </c>
      <c r="D1946" s="437"/>
      <c r="E1946" s="283"/>
      <c r="F1946" s="438">
        <f>+F1838+E1946</f>
        <v>0</v>
      </c>
      <c r="G1946" s="612">
        <v>39450</v>
      </c>
      <c r="H1946" s="603">
        <f t="shared" si="427"/>
        <v>0</v>
      </c>
      <c r="I1946" s="606">
        <f t="shared" si="426"/>
        <v>0</v>
      </c>
      <c r="J1946" s="376"/>
    </row>
    <row r="1947" spans="1:10" ht="35.25" customHeight="1" thickBot="1" x14ac:dyDescent="0.35">
      <c r="A1947" s="1068"/>
      <c r="B1947" s="929"/>
      <c r="C1947" s="282" t="s">
        <v>364</v>
      </c>
      <c r="D1947" s="437" t="s">
        <v>566</v>
      </c>
      <c r="E1947" s="283"/>
      <c r="F1947" s="438">
        <f>+F1839+E1947</f>
        <v>660</v>
      </c>
      <c r="G1947" s="612">
        <v>57.64</v>
      </c>
      <c r="H1947" s="603">
        <f t="shared" si="427"/>
        <v>0</v>
      </c>
      <c r="I1947" s="606">
        <f t="shared" si="426"/>
        <v>38042.400000000001</v>
      </c>
      <c r="J1947" s="376"/>
    </row>
    <row r="1948" spans="1:10" ht="35.25" customHeight="1" thickBot="1" x14ac:dyDescent="0.35">
      <c r="A1948" s="1069"/>
      <c r="B1948" s="1063" t="s">
        <v>291</v>
      </c>
      <c r="C1948" s="1064"/>
      <c r="D1948" s="928"/>
      <c r="E1948" s="329">
        <f>SUM(E1923:E1947)</f>
        <v>-309646</v>
      </c>
      <c r="F1948" s="329">
        <f>SUM(F1923:F1947)</f>
        <v>584711</v>
      </c>
      <c r="G1948" s="329"/>
      <c r="H1948" s="600">
        <f>SUM(H1923:H1947)</f>
        <v>1272812.9996</v>
      </c>
      <c r="I1948" s="589">
        <f>SUM(I1923:I1947)</f>
        <v>103352877.60960001</v>
      </c>
      <c r="J1948" s="375"/>
    </row>
    <row r="1949" spans="1:10" ht="35.25" customHeight="1" thickBot="1" x14ac:dyDescent="0.35">
      <c r="A1949" s="934"/>
      <c r="B1949" s="440"/>
      <c r="C1949" s="282" t="s">
        <v>446</v>
      </c>
      <c r="D1949" s="437"/>
      <c r="E1949" s="283"/>
      <c r="F1949" s="284">
        <f>+F1841+E1949</f>
        <v>0</v>
      </c>
      <c r="G1949" s="337"/>
      <c r="H1949" s="599">
        <f t="shared" ref="H1949" si="429">E1949*G1949</f>
        <v>0</v>
      </c>
      <c r="I1949" s="285">
        <f t="shared" ref="I1949" si="430">+G1949*F1949</f>
        <v>0</v>
      </c>
      <c r="J1949" s="376"/>
    </row>
    <row r="1950" spans="1:10" ht="35.25" customHeight="1" thickBot="1" x14ac:dyDescent="0.35">
      <c r="A1950" s="934"/>
      <c r="B1950" s="1063" t="s">
        <v>238</v>
      </c>
      <c r="C1950" s="1064"/>
      <c r="D1950" s="930"/>
      <c r="E1950" s="329"/>
      <c r="F1950" s="330"/>
      <c r="G1950" s="329"/>
      <c r="H1950" s="597"/>
      <c r="I1950" s="327">
        <f>SUM(I1949)</f>
        <v>0</v>
      </c>
      <c r="J1950" s="352"/>
    </row>
    <row r="1951" spans="1:10" ht="35.25" customHeight="1" thickBot="1" x14ac:dyDescent="0.35">
      <c r="A1951" s="322"/>
      <c r="B1951" s="1065" t="s">
        <v>182</v>
      </c>
      <c r="C1951" s="1066"/>
      <c r="D1951" s="931"/>
      <c r="E1951" s="377">
        <f>+E1948+E1922+E1889+E1887</f>
        <v>2368352</v>
      </c>
      <c r="F1951" s="377">
        <f>+F1948+F1922+F1889+F1887</f>
        <v>8725248.9100000001</v>
      </c>
      <c r="G1951" s="377"/>
      <c r="H1951" s="377"/>
      <c r="I1951" s="377">
        <f>+I1948+I1922+I1889+I1950</f>
        <v>330877113.78960001</v>
      </c>
      <c r="J1951" s="378"/>
    </row>
    <row r="1952" spans="1:10" x14ac:dyDescent="0.3">
      <c r="G1952" s="222"/>
      <c r="H1952" s="222"/>
    </row>
  </sheetData>
  <mergeCells count="529">
    <mergeCell ref="B1950:C1950"/>
    <mergeCell ref="B1951:C1951"/>
    <mergeCell ref="A1848:A1889"/>
    <mergeCell ref="B1864:C1864"/>
    <mergeCell ref="B1879:C1879"/>
    <mergeCell ref="B1887:C1887"/>
    <mergeCell ref="B1889:C1889"/>
    <mergeCell ref="A1890:A1922"/>
    <mergeCell ref="B1922:C1922"/>
    <mergeCell ref="A1923:A1948"/>
    <mergeCell ref="B1948:C1948"/>
    <mergeCell ref="B1842:C1842"/>
    <mergeCell ref="B1843:C1843"/>
    <mergeCell ref="A1844:A1847"/>
    <mergeCell ref="B1844:B1847"/>
    <mergeCell ref="C1844:C1847"/>
    <mergeCell ref="D1844:D1847"/>
    <mergeCell ref="E1844:J1844"/>
    <mergeCell ref="E1845:F1845"/>
    <mergeCell ref="G1845:J1845"/>
    <mergeCell ref="E1846:E1847"/>
    <mergeCell ref="F1846:F1847"/>
    <mergeCell ref="G1846:G1847"/>
    <mergeCell ref="H1846:H1847"/>
    <mergeCell ref="I1846:I1847"/>
    <mergeCell ref="J1846:J1847"/>
    <mergeCell ref="A1754:A1794"/>
    <mergeCell ref="B1769:C1769"/>
    <mergeCell ref="B1784:C1784"/>
    <mergeCell ref="B1792:C1792"/>
    <mergeCell ref="B1794:C1794"/>
    <mergeCell ref="A1795:A1816"/>
    <mergeCell ref="B1816:C1816"/>
    <mergeCell ref="A1817:A1840"/>
    <mergeCell ref="B1840:C1840"/>
    <mergeCell ref="A1750:A1753"/>
    <mergeCell ref="B1750:B1753"/>
    <mergeCell ref="C1750:C1753"/>
    <mergeCell ref="D1750:D1753"/>
    <mergeCell ref="E1750:J1750"/>
    <mergeCell ref="E1751:F1751"/>
    <mergeCell ref="G1751:J1751"/>
    <mergeCell ref="E1752:E1753"/>
    <mergeCell ref="F1752:F1753"/>
    <mergeCell ref="G1752:G1753"/>
    <mergeCell ref="H1752:H1753"/>
    <mergeCell ref="I1752:I1753"/>
    <mergeCell ref="J1752:J1753"/>
    <mergeCell ref="B1654:C1654"/>
    <mergeCell ref="B1655:C1655"/>
    <mergeCell ref="A1568:A1606"/>
    <mergeCell ref="B1583:C1583"/>
    <mergeCell ref="B1598:C1598"/>
    <mergeCell ref="B1604:C1604"/>
    <mergeCell ref="B1606:C1606"/>
    <mergeCell ref="A1607:A1628"/>
    <mergeCell ref="B1628:C1628"/>
    <mergeCell ref="A1629:A1652"/>
    <mergeCell ref="B1652:C1652"/>
    <mergeCell ref="A1564:A1567"/>
    <mergeCell ref="B1564:B1567"/>
    <mergeCell ref="C1564:C1567"/>
    <mergeCell ref="D1564:D1567"/>
    <mergeCell ref="E1564:J1564"/>
    <mergeCell ref="E1565:F1565"/>
    <mergeCell ref="G1565:J1565"/>
    <mergeCell ref="E1566:E1567"/>
    <mergeCell ref="F1566:F1567"/>
    <mergeCell ref="G1566:G1567"/>
    <mergeCell ref="H1566:H1567"/>
    <mergeCell ref="I1566:I1567"/>
    <mergeCell ref="J1566:J1567"/>
    <mergeCell ref="B1562:C1562"/>
    <mergeCell ref="B1563:C1563"/>
    <mergeCell ref="A1476:A1514"/>
    <mergeCell ref="B1491:C1491"/>
    <mergeCell ref="B1506:C1506"/>
    <mergeCell ref="B1512:C1512"/>
    <mergeCell ref="B1514:C1514"/>
    <mergeCell ref="A1515:A1536"/>
    <mergeCell ref="B1536:C1536"/>
    <mergeCell ref="A1537:A1560"/>
    <mergeCell ref="B1560:C1560"/>
    <mergeCell ref="A1472:A1475"/>
    <mergeCell ref="B1472:B1475"/>
    <mergeCell ref="C1472:C1475"/>
    <mergeCell ref="D1472:D1475"/>
    <mergeCell ref="E1472:J1472"/>
    <mergeCell ref="E1473:F1473"/>
    <mergeCell ref="G1473:J1473"/>
    <mergeCell ref="E1474:E1475"/>
    <mergeCell ref="F1474:F1475"/>
    <mergeCell ref="G1474:G1475"/>
    <mergeCell ref="H1474:H1475"/>
    <mergeCell ref="I1474:I1475"/>
    <mergeCell ref="J1474:J1475"/>
    <mergeCell ref="B1470:C1470"/>
    <mergeCell ref="B1471:C1471"/>
    <mergeCell ref="A1385:A1422"/>
    <mergeCell ref="B1399:C1399"/>
    <mergeCell ref="B1414:C1414"/>
    <mergeCell ref="B1420:C1420"/>
    <mergeCell ref="B1422:C1422"/>
    <mergeCell ref="A1423:A1444"/>
    <mergeCell ref="B1444:C1444"/>
    <mergeCell ref="A1445:A1468"/>
    <mergeCell ref="B1468:C1468"/>
    <mergeCell ref="A1381:A1384"/>
    <mergeCell ref="B1381:B1384"/>
    <mergeCell ref="C1381:C1384"/>
    <mergeCell ref="D1381:D1384"/>
    <mergeCell ref="E1381:J1381"/>
    <mergeCell ref="E1382:F1382"/>
    <mergeCell ref="G1382:J1382"/>
    <mergeCell ref="E1383:E1384"/>
    <mergeCell ref="F1383:F1384"/>
    <mergeCell ref="G1383:G1384"/>
    <mergeCell ref="H1383:H1384"/>
    <mergeCell ref="I1383:I1384"/>
    <mergeCell ref="J1383:J1384"/>
    <mergeCell ref="B1288:C1288"/>
    <mergeCell ref="B1289:C1289"/>
    <mergeCell ref="A1204:A1240"/>
    <mergeCell ref="B1218:C1218"/>
    <mergeCell ref="B1232:C1232"/>
    <mergeCell ref="B1238:C1238"/>
    <mergeCell ref="B1240:C1240"/>
    <mergeCell ref="A1241:A1262"/>
    <mergeCell ref="B1262:C1262"/>
    <mergeCell ref="A1263:A1286"/>
    <mergeCell ref="B1286:C1286"/>
    <mergeCell ref="A1200:A1203"/>
    <mergeCell ref="B1200:B1203"/>
    <mergeCell ref="C1200:C1203"/>
    <mergeCell ref="D1200:D1203"/>
    <mergeCell ref="E1200:J1200"/>
    <mergeCell ref="E1201:F1201"/>
    <mergeCell ref="G1201:J1201"/>
    <mergeCell ref="E1202:E1203"/>
    <mergeCell ref="F1202:F1203"/>
    <mergeCell ref="G1202:G1203"/>
    <mergeCell ref="H1202:H1203"/>
    <mergeCell ref="I1202:I1203"/>
    <mergeCell ref="J1202:J1203"/>
    <mergeCell ref="B1020:C1020"/>
    <mergeCell ref="B1021:C1021"/>
    <mergeCell ref="A938:A972"/>
    <mergeCell ref="B952:C952"/>
    <mergeCell ref="B964:C964"/>
    <mergeCell ref="B970:C970"/>
    <mergeCell ref="B972:C972"/>
    <mergeCell ref="A973:A994"/>
    <mergeCell ref="B994:C994"/>
    <mergeCell ref="A995:A1018"/>
    <mergeCell ref="B1018:C1018"/>
    <mergeCell ref="A934:A937"/>
    <mergeCell ref="B934:B937"/>
    <mergeCell ref="C934:C937"/>
    <mergeCell ref="D934:D937"/>
    <mergeCell ref="E934:J934"/>
    <mergeCell ref="E935:F935"/>
    <mergeCell ref="G935:J935"/>
    <mergeCell ref="E936:E937"/>
    <mergeCell ref="F936:F937"/>
    <mergeCell ref="G936:G937"/>
    <mergeCell ref="H936:H937"/>
    <mergeCell ref="I936:I937"/>
    <mergeCell ref="J936:J937"/>
    <mergeCell ref="B756:C756"/>
    <mergeCell ref="B757:C757"/>
    <mergeCell ref="A676:A710"/>
    <mergeCell ref="B690:C690"/>
    <mergeCell ref="B702:C702"/>
    <mergeCell ref="B708:C708"/>
    <mergeCell ref="B710:C710"/>
    <mergeCell ref="A711:A731"/>
    <mergeCell ref="B731:C731"/>
    <mergeCell ref="A732:A754"/>
    <mergeCell ref="B754:C754"/>
    <mergeCell ref="A672:A675"/>
    <mergeCell ref="B672:B675"/>
    <mergeCell ref="C672:C675"/>
    <mergeCell ref="D672:D675"/>
    <mergeCell ref="E672:J672"/>
    <mergeCell ref="E673:F673"/>
    <mergeCell ref="G673:J673"/>
    <mergeCell ref="E674:E675"/>
    <mergeCell ref="F674:F675"/>
    <mergeCell ref="G674:G675"/>
    <mergeCell ref="H674:H675"/>
    <mergeCell ref="I674:I675"/>
    <mergeCell ref="J674:J675"/>
    <mergeCell ref="B670:C670"/>
    <mergeCell ref="B671:C671"/>
    <mergeCell ref="A591:A625"/>
    <mergeCell ref="B605:C605"/>
    <mergeCell ref="B617:C617"/>
    <mergeCell ref="B623:C623"/>
    <mergeCell ref="B625:C625"/>
    <mergeCell ref="A626:A646"/>
    <mergeCell ref="B646:C646"/>
    <mergeCell ref="A647:A668"/>
    <mergeCell ref="B668:C668"/>
    <mergeCell ref="A587:A590"/>
    <mergeCell ref="B587:B590"/>
    <mergeCell ref="C587:C590"/>
    <mergeCell ref="D587:D590"/>
    <mergeCell ref="E587:J587"/>
    <mergeCell ref="E588:F588"/>
    <mergeCell ref="G588:J588"/>
    <mergeCell ref="E589:E590"/>
    <mergeCell ref="F589:F590"/>
    <mergeCell ref="G589:G590"/>
    <mergeCell ref="H589:H590"/>
    <mergeCell ref="I589:I590"/>
    <mergeCell ref="J589:J590"/>
    <mergeCell ref="B585:C585"/>
    <mergeCell ref="B586:C586"/>
    <mergeCell ref="A507:A540"/>
    <mergeCell ref="B521:C521"/>
    <mergeCell ref="B533:C533"/>
    <mergeCell ref="B538:C538"/>
    <mergeCell ref="B540:C540"/>
    <mergeCell ref="A541:A561"/>
    <mergeCell ref="B561:C561"/>
    <mergeCell ref="A562:A583"/>
    <mergeCell ref="B583:C583"/>
    <mergeCell ref="A503:A506"/>
    <mergeCell ref="B503:B506"/>
    <mergeCell ref="C503:C506"/>
    <mergeCell ref="D503:D506"/>
    <mergeCell ref="E503:J503"/>
    <mergeCell ref="E504:F504"/>
    <mergeCell ref="G504:J504"/>
    <mergeCell ref="E505:E506"/>
    <mergeCell ref="F505:F506"/>
    <mergeCell ref="G505:G506"/>
    <mergeCell ref="H505:H506"/>
    <mergeCell ref="I505:I506"/>
    <mergeCell ref="J505:J506"/>
    <mergeCell ref="B501:C501"/>
    <mergeCell ref="B502:C502"/>
    <mergeCell ref="A425:A457"/>
    <mergeCell ref="B439:C439"/>
    <mergeCell ref="B451:C451"/>
    <mergeCell ref="B455:C455"/>
    <mergeCell ref="B457:C457"/>
    <mergeCell ref="A458:A478"/>
    <mergeCell ref="B478:C478"/>
    <mergeCell ref="A479:A499"/>
    <mergeCell ref="B499:C499"/>
    <mergeCell ref="A421:A424"/>
    <mergeCell ref="B421:B424"/>
    <mergeCell ref="C421:C424"/>
    <mergeCell ref="D421:D424"/>
    <mergeCell ref="E421:J421"/>
    <mergeCell ref="E422:F422"/>
    <mergeCell ref="G422:J422"/>
    <mergeCell ref="E423:E424"/>
    <mergeCell ref="F423:F424"/>
    <mergeCell ref="G423:G424"/>
    <mergeCell ref="H423:H424"/>
    <mergeCell ref="I423:I424"/>
    <mergeCell ref="J423:J424"/>
    <mergeCell ref="B420:C420"/>
    <mergeCell ref="A376:A396"/>
    <mergeCell ref="B396:C396"/>
    <mergeCell ref="A397:A417"/>
    <mergeCell ref="B417:C417"/>
    <mergeCell ref="B419:C419"/>
    <mergeCell ref="A343:A375"/>
    <mergeCell ref="B357:C357"/>
    <mergeCell ref="B369:C369"/>
    <mergeCell ref="B373:C373"/>
    <mergeCell ref="B375:C375"/>
    <mergeCell ref="A339:A342"/>
    <mergeCell ref="B339:B342"/>
    <mergeCell ref="C339:C342"/>
    <mergeCell ref="D339:D342"/>
    <mergeCell ref="E339:J339"/>
    <mergeCell ref="E340:F340"/>
    <mergeCell ref="G340:J340"/>
    <mergeCell ref="E341:E342"/>
    <mergeCell ref="F341:F342"/>
    <mergeCell ref="G341:G342"/>
    <mergeCell ref="H341:H342"/>
    <mergeCell ref="I341:I342"/>
    <mergeCell ref="J341:J342"/>
    <mergeCell ref="B338:C338"/>
    <mergeCell ref="A294:A314"/>
    <mergeCell ref="B314:C314"/>
    <mergeCell ref="A315:A335"/>
    <mergeCell ref="B335:C335"/>
    <mergeCell ref="B337:C337"/>
    <mergeCell ref="A261:A293"/>
    <mergeCell ref="B275:C275"/>
    <mergeCell ref="B287:C287"/>
    <mergeCell ref="B291:C291"/>
    <mergeCell ref="B293:C293"/>
    <mergeCell ref="A257:A260"/>
    <mergeCell ref="B257:B260"/>
    <mergeCell ref="C257:C260"/>
    <mergeCell ref="D257:D260"/>
    <mergeCell ref="E257:J257"/>
    <mergeCell ref="E258:F258"/>
    <mergeCell ref="G258:J258"/>
    <mergeCell ref="E259:E260"/>
    <mergeCell ref="F259:F260"/>
    <mergeCell ref="G259:G260"/>
    <mergeCell ref="H259:H260"/>
    <mergeCell ref="I259:I260"/>
    <mergeCell ref="J259:J260"/>
    <mergeCell ref="B256:C256"/>
    <mergeCell ref="A212:A232"/>
    <mergeCell ref="B232:C232"/>
    <mergeCell ref="A233:A253"/>
    <mergeCell ref="B253:C253"/>
    <mergeCell ref="B255:C255"/>
    <mergeCell ref="A179:A211"/>
    <mergeCell ref="B193:C193"/>
    <mergeCell ref="B205:C205"/>
    <mergeCell ref="B209:C209"/>
    <mergeCell ref="B211:C211"/>
    <mergeCell ref="A175:A178"/>
    <mergeCell ref="B175:B178"/>
    <mergeCell ref="C175:C178"/>
    <mergeCell ref="D175:D178"/>
    <mergeCell ref="E175:J175"/>
    <mergeCell ref="E176:F176"/>
    <mergeCell ref="G176:J176"/>
    <mergeCell ref="E177:E178"/>
    <mergeCell ref="F177:F178"/>
    <mergeCell ref="G177:G178"/>
    <mergeCell ref="H177:H178"/>
    <mergeCell ref="I177:I178"/>
    <mergeCell ref="J177:J178"/>
    <mergeCell ref="B174:C174"/>
    <mergeCell ref="A130:A150"/>
    <mergeCell ref="B150:C150"/>
    <mergeCell ref="A151:A171"/>
    <mergeCell ref="B171:C171"/>
    <mergeCell ref="B173:C173"/>
    <mergeCell ref="A97:A129"/>
    <mergeCell ref="B111:C111"/>
    <mergeCell ref="B123:C123"/>
    <mergeCell ref="B127:C127"/>
    <mergeCell ref="B129:C129"/>
    <mergeCell ref="A93:A96"/>
    <mergeCell ref="B93:B96"/>
    <mergeCell ref="C93:C96"/>
    <mergeCell ref="D93:D96"/>
    <mergeCell ref="E93:J93"/>
    <mergeCell ref="E94:F94"/>
    <mergeCell ref="G94:J94"/>
    <mergeCell ref="E95:E96"/>
    <mergeCell ref="F95:F96"/>
    <mergeCell ref="G95:G96"/>
    <mergeCell ref="H95:H96"/>
    <mergeCell ref="I95:I96"/>
    <mergeCell ref="J95:J96"/>
    <mergeCell ref="B91:C91"/>
    <mergeCell ref="B92:C92"/>
    <mergeCell ref="A15:A47"/>
    <mergeCell ref="B29:C29"/>
    <mergeCell ref="B41:C41"/>
    <mergeCell ref="B45:C45"/>
    <mergeCell ref="B47:C47"/>
    <mergeCell ref="A48:A68"/>
    <mergeCell ref="B68:C68"/>
    <mergeCell ref="A69:A89"/>
    <mergeCell ref="B89:C89"/>
    <mergeCell ref="A9:J9"/>
    <mergeCell ref="A11:A14"/>
    <mergeCell ref="B11:B14"/>
    <mergeCell ref="C11:C14"/>
    <mergeCell ref="D11:D14"/>
    <mergeCell ref="E11:J11"/>
    <mergeCell ref="E12:F12"/>
    <mergeCell ref="G12:J12"/>
    <mergeCell ref="E13:E14"/>
    <mergeCell ref="F13:F14"/>
    <mergeCell ref="G13:G14"/>
    <mergeCell ref="H13:H14"/>
    <mergeCell ref="I13:I14"/>
    <mergeCell ref="J13:J14"/>
    <mergeCell ref="A758:A761"/>
    <mergeCell ref="B758:B761"/>
    <mergeCell ref="C758:C761"/>
    <mergeCell ref="D758:D761"/>
    <mergeCell ref="E758:J758"/>
    <mergeCell ref="E759:F759"/>
    <mergeCell ref="G759:J759"/>
    <mergeCell ref="E760:E761"/>
    <mergeCell ref="F760:F761"/>
    <mergeCell ref="G760:G761"/>
    <mergeCell ref="H760:H761"/>
    <mergeCell ref="I760:I761"/>
    <mergeCell ref="J760:J761"/>
    <mergeCell ref="B844:C844"/>
    <mergeCell ref="B845:C845"/>
    <mergeCell ref="A762:A796"/>
    <mergeCell ref="B776:C776"/>
    <mergeCell ref="B788:C788"/>
    <mergeCell ref="B794:C794"/>
    <mergeCell ref="B796:C796"/>
    <mergeCell ref="A797:A818"/>
    <mergeCell ref="B818:C818"/>
    <mergeCell ref="A819:A842"/>
    <mergeCell ref="B842:C842"/>
    <mergeCell ref="A846:A849"/>
    <mergeCell ref="B846:B849"/>
    <mergeCell ref="C846:C849"/>
    <mergeCell ref="D846:D849"/>
    <mergeCell ref="E846:J846"/>
    <mergeCell ref="E847:F847"/>
    <mergeCell ref="G847:J847"/>
    <mergeCell ref="E848:E849"/>
    <mergeCell ref="F848:F849"/>
    <mergeCell ref="G848:G849"/>
    <mergeCell ref="H848:H849"/>
    <mergeCell ref="I848:I849"/>
    <mergeCell ref="J848:J849"/>
    <mergeCell ref="B932:C932"/>
    <mergeCell ref="B933:C933"/>
    <mergeCell ref="A850:A884"/>
    <mergeCell ref="B864:C864"/>
    <mergeCell ref="B876:C876"/>
    <mergeCell ref="B882:C882"/>
    <mergeCell ref="B884:C884"/>
    <mergeCell ref="A885:A906"/>
    <mergeCell ref="B906:C906"/>
    <mergeCell ref="A907:A930"/>
    <mergeCell ref="B930:C930"/>
    <mergeCell ref="A1022:A1025"/>
    <mergeCell ref="B1022:B1025"/>
    <mergeCell ref="C1022:C1025"/>
    <mergeCell ref="D1022:D1025"/>
    <mergeCell ref="E1022:J1022"/>
    <mergeCell ref="E1023:F1023"/>
    <mergeCell ref="G1023:J1023"/>
    <mergeCell ref="E1024:E1025"/>
    <mergeCell ref="F1024:F1025"/>
    <mergeCell ref="G1024:G1025"/>
    <mergeCell ref="H1024:H1025"/>
    <mergeCell ref="I1024:I1025"/>
    <mergeCell ref="J1024:J1025"/>
    <mergeCell ref="B1108:C1108"/>
    <mergeCell ref="B1109:C1109"/>
    <mergeCell ref="A1026:A1060"/>
    <mergeCell ref="B1040:C1040"/>
    <mergeCell ref="B1052:C1052"/>
    <mergeCell ref="B1058:C1058"/>
    <mergeCell ref="B1060:C1060"/>
    <mergeCell ref="A1061:A1082"/>
    <mergeCell ref="B1082:C1082"/>
    <mergeCell ref="A1083:A1106"/>
    <mergeCell ref="B1106:C1106"/>
    <mergeCell ref="A1110:A1113"/>
    <mergeCell ref="B1110:B1113"/>
    <mergeCell ref="C1110:C1113"/>
    <mergeCell ref="D1110:D1113"/>
    <mergeCell ref="E1110:J1110"/>
    <mergeCell ref="E1111:F1111"/>
    <mergeCell ref="G1111:J1111"/>
    <mergeCell ref="E1112:E1113"/>
    <mergeCell ref="F1112:F1113"/>
    <mergeCell ref="G1112:G1113"/>
    <mergeCell ref="H1112:H1113"/>
    <mergeCell ref="I1112:I1113"/>
    <mergeCell ref="J1112:J1113"/>
    <mergeCell ref="B1198:C1198"/>
    <mergeCell ref="B1199:C1199"/>
    <mergeCell ref="A1114:A1150"/>
    <mergeCell ref="B1128:C1128"/>
    <mergeCell ref="B1142:C1142"/>
    <mergeCell ref="B1148:C1148"/>
    <mergeCell ref="B1150:C1150"/>
    <mergeCell ref="A1151:A1172"/>
    <mergeCell ref="B1172:C1172"/>
    <mergeCell ref="A1173:A1196"/>
    <mergeCell ref="B1196:C1196"/>
    <mergeCell ref="A1290:A1293"/>
    <mergeCell ref="B1290:B1293"/>
    <mergeCell ref="C1290:C1293"/>
    <mergeCell ref="D1290:D1293"/>
    <mergeCell ref="E1290:J1290"/>
    <mergeCell ref="E1291:F1291"/>
    <mergeCell ref="G1291:J1291"/>
    <mergeCell ref="E1292:E1293"/>
    <mergeCell ref="F1292:F1293"/>
    <mergeCell ref="G1292:G1293"/>
    <mergeCell ref="H1292:H1293"/>
    <mergeCell ref="I1292:I1293"/>
    <mergeCell ref="J1292:J1293"/>
    <mergeCell ref="B1379:C1379"/>
    <mergeCell ref="B1380:C1380"/>
    <mergeCell ref="A1294:A1331"/>
    <mergeCell ref="B1308:C1308"/>
    <mergeCell ref="B1323:C1323"/>
    <mergeCell ref="B1329:C1329"/>
    <mergeCell ref="B1331:C1331"/>
    <mergeCell ref="A1332:A1353"/>
    <mergeCell ref="B1353:C1353"/>
    <mergeCell ref="A1354:A1377"/>
    <mergeCell ref="B1377:C1377"/>
    <mergeCell ref="A1656:A1659"/>
    <mergeCell ref="B1656:B1659"/>
    <mergeCell ref="C1656:C1659"/>
    <mergeCell ref="D1656:D1659"/>
    <mergeCell ref="E1656:J1656"/>
    <mergeCell ref="E1657:F1657"/>
    <mergeCell ref="G1657:J1657"/>
    <mergeCell ref="E1658:E1659"/>
    <mergeCell ref="F1658:F1659"/>
    <mergeCell ref="G1658:G1659"/>
    <mergeCell ref="H1658:H1659"/>
    <mergeCell ref="I1658:I1659"/>
    <mergeCell ref="J1658:J1659"/>
    <mergeCell ref="B1748:C1748"/>
    <mergeCell ref="B1749:C1749"/>
    <mergeCell ref="A1660:A1700"/>
    <mergeCell ref="B1675:C1675"/>
    <mergeCell ref="B1690:C1690"/>
    <mergeCell ref="B1698:C1698"/>
    <mergeCell ref="B1700:C1700"/>
    <mergeCell ref="A1701:A1722"/>
    <mergeCell ref="B1722:C1722"/>
    <mergeCell ref="A1723:A1746"/>
    <mergeCell ref="B1746:C1746"/>
  </mergeCells>
  <pageMargins left="0.19685039370078741" right="0.19685039370078741" top="0.19685039370078741" bottom="0.19685039370078741" header="0.19685039370078741" footer="0.19685039370078741"/>
  <pageSetup paperSize="9" scale="22" orientation="portrait" verticalDpi="300" r:id="rId1"/>
  <rowBreaks count="21" manualBreakCount="21">
    <brk id="92" max="8" man="1"/>
    <brk id="174" max="8" man="1"/>
    <brk id="256" max="8" man="1"/>
    <brk id="338" max="8" man="1"/>
    <brk id="420" max="8" man="1"/>
    <brk id="502" max="8" man="1"/>
    <brk id="586" max="8" man="1"/>
    <brk id="671" max="8" man="1"/>
    <brk id="757" max="8" man="1"/>
    <brk id="845" max="8" man="1"/>
    <brk id="933" max="8" man="1"/>
    <brk id="1021" max="8" man="1"/>
    <brk id="1109" max="8" man="1"/>
    <brk id="1199" max="8" man="1"/>
    <brk id="1289" max="8" man="1"/>
    <brk id="1380" max="8" man="1"/>
    <brk id="1471" max="8" man="1"/>
    <brk id="1563" max="8" man="1"/>
    <brk id="1655" max="8" man="1"/>
    <brk id="1749" max="8" man="1"/>
    <brk id="1843" max="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CC"/>
  </sheetPr>
  <dimension ref="A1:O342"/>
  <sheetViews>
    <sheetView view="pageBreakPreview" topLeftCell="A219" zoomScale="50" zoomScaleNormal="70" zoomScaleSheetLayoutView="50" workbookViewId="0">
      <selection activeCell="H334" sqref="H334"/>
    </sheetView>
  </sheetViews>
  <sheetFormatPr defaultColWidth="9.109375" defaultRowHeight="13.8" x14ac:dyDescent="0.3"/>
  <cols>
    <col min="1" max="1" width="11.33203125" style="229" customWidth="1"/>
    <col min="2" max="2" width="51.109375" style="269" customWidth="1"/>
    <col min="3" max="3" width="38.109375" style="229" customWidth="1"/>
    <col min="4" max="4" width="38" style="222" customWidth="1"/>
    <col min="5" max="5" width="26.5546875" style="222" customWidth="1"/>
    <col min="6" max="6" width="39.109375" style="223" customWidth="1"/>
    <col min="7" max="7" width="33.44140625" style="222" customWidth="1"/>
    <col min="8" max="8" width="39" style="222" customWidth="1"/>
    <col min="9" max="9" width="41.44140625" style="222" customWidth="1"/>
    <col min="10" max="10" width="40.44140625" style="224" customWidth="1"/>
    <col min="11" max="11" width="9.109375" style="229"/>
    <col min="12" max="12" width="8.44140625" style="229" customWidth="1"/>
    <col min="13" max="14" width="9.109375" style="229" hidden="1" customWidth="1"/>
    <col min="15" max="15" width="13" style="229" bestFit="1" customWidth="1"/>
    <col min="16" max="16384" width="9.109375" style="229"/>
  </cols>
  <sheetData>
    <row r="1" spans="1:10" x14ac:dyDescent="0.3">
      <c r="A1" s="229" t="s">
        <v>334</v>
      </c>
    </row>
    <row r="7" spans="1:10" ht="67.2" customHeight="1" x14ac:dyDescent="0.3">
      <c r="A7" s="220" t="s">
        <v>0</v>
      </c>
    </row>
    <row r="9" spans="1:10" ht="81" customHeight="1" x14ac:dyDescent="0.3">
      <c r="A9" s="1017" t="s">
        <v>418</v>
      </c>
      <c r="B9" s="1018"/>
      <c r="C9" s="1018"/>
      <c r="D9" s="1018"/>
      <c r="E9" s="1018"/>
      <c r="F9" s="1018"/>
      <c r="G9" s="1018"/>
      <c r="H9" s="1018"/>
      <c r="I9" s="1018"/>
      <c r="J9" s="1018"/>
    </row>
    <row r="10" spans="1:10" ht="24.6" customHeight="1" thickBot="1" x14ac:dyDescent="0.35">
      <c r="A10" s="230"/>
      <c r="B10" s="230"/>
      <c r="C10" s="230"/>
      <c r="D10" s="232"/>
      <c r="E10" s="232"/>
      <c r="F10" s="232"/>
      <c r="G10" s="232"/>
      <c r="H10" s="232"/>
      <c r="I10" s="232"/>
      <c r="J10" s="234"/>
    </row>
    <row r="11" spans="1:10" ht="41.4" customHeight="1" x14ac:dyDescent="0.3">
      <c r="A11" s="991" t="s">
        <v>1</v>
      </c>
      <c r="B11" s="997" t="s">
        <v>3</v>
      </c>
      <c r="C11" s="997" t="s">
        <v>240</v>
      </c>
      <c r="D11" s="1088" t="s">
        <v>417</v>
      </c>
      <c r="E11" s="1089"/>
      <c r="F11" s="1089"/>
      <c r="G11" s="1089"/>
      <c r="H11" s="1090"/>
      <c r="I11" s="1091" t="s">
        <v>246</v>
      </c>
      <c r="J11" s="1091" t="s">
        <v>245</v>
      </c>
    </row>
    <row r="12" spans="1:10" ht="41.4" customHeight="1" x14ac:dyDescent="0.3">
      <c r="A12" s="1070"/>
      <c r="B12" s="1087"/>
      <c r="C12" s="1087"/>
      <c r="D12" s="1094" t="s">
        <v>248</v>
      </c>
      <c r="E12" s="1095"/>
      <c r="F12" s="1096"/>
      <c r="G12" s="1094" t="s">
        <v>243</v>
      </c>
      <c r="H12" s="1096"/>
      <c r="I12" s="1092"/>
      <c r="J12" s="1092"/>
    </row>
    <row r="13" spans="1:10" ht="25.95" customHeight="1" x14ac:dyDescent="0.3">
      <c r="A13" s="992"/>
      <c r="B13" s="998"/>
      <c r="C13" s="998"/>
      <c r="D13" s="1097" t="s">
        <v>241</v>
      </c>
      <c r="E13" s="1099" t="s">
        <v>9</v>
      </c>
      <c r="F13" s="1101" t="s">
        <v>242</v>
      </c>
      <c r="G13" s="1103" t="s">
        <v>244</v>
      </c>
      <c r="H13" s="1105" t="s">
        <v>242</v>
      </c>
      <c r="I13" s="1092"/>
      <c r="J13" s="1092"/>
    </row>
    <row r="14" spans="1:10" ht="25.95" customHeight="1" thickBot="1" x14ac:dyDescent="0.35">
      <c r="A14" s="993"/>
      <c r="B14" s="999"/>
      <c r="C14" s="999"/>
      <c r="D14" s="1098"/>
      <c r="E14" s="1100"/>
      <c r="F14" s="1102"/>
      <c r="G14" s="1104"/>
      <c r="H14" s="1106"/>
      <c r="I14" s="1093"/>
      <c r="J14" s="1093"/>
    </row>
    <row r="15" spans="1:10" ht="60.6" customHeight="1" x14ac:dyDescent="0.3">
      <c r="A15" s="271" t="s">
        <v>110</v>
      </c>
      <c r="B15" s="579" t="s">
        <v>234</v>
      </c>
      <c r="C15" s="556">
        <f>+'01 Prod Physique Boites'!E43</f>
        <v>3500000</v>
      </c>
      <c r="D15" s="557">
        <f>+'01 Prod Physique Boites'!L43</f>
        <v>149208</v>
      </c>
      <c r="E15" s="558">
        <f>IFERROR(D15/C15,"-")</f>
        <v>4.2630857142857144E-2</v>
      </c>
      <c r="F15" s="559">
        <f>+'02 Prod Valorisée Boites'!G44</f>
        <v>1920714.5832</v>
      </c>
      <c r="G15" s="557">
        <f>+'03 Prod Accessoires'!K19</f>
        <v>131400</v>
      </c>
      <c r="H15" s="560">
        <f>+'03 Prod Accessoires'!Q19</f>
        <v>477227.58</v>
      </c>
      <c r="I15" s="560">
        <f>'02 Prod Valorisée Boites'!J44</f>
        <v>3012660</v>
      </c>
      <c r="J15" s="561">
        <f>+'04 Ventes'!I29</f>
        <v>2849105.6</v>
      </c>
    </row>
    <row r="16" spans="1:10" ht="60.6" customHeight="1" x14ac:dyDescent="0.3">
      <c r="A16" s="641" t="s">
        <v>110</v>
      </c>
      <c r="B16" s="580" t="s">
        <v>235</v>
      </c>
      <c r="C16" s="562">
        <f>+'01 Prod Physique Boites'!E58</f>
        <v>0</v>
      </c>
      <c r="D16" s="563">
        <f>+'01 Prod Physique Boites'!L58</f>
        <v>47520</v>
      </c>
      <c r="E16" s="564" t="str">
        <f t="shared" ref="E16:E24" si="0">IFERROR(D16/C16,"-")</f>
        <v>-</v>
      </c>
      <c r="F16" s="565">
        <f>+'02 Prod Valorisée Boites'!G59</f>
        <v>1084434.912</v>
      </c>
      <c r="G16" s="563">
        <f>+'03 Prod Accessoires'!K27</f>
        <v>9000</v>
      </c>
      <c r="H16" s="566">
        <f>+'03 Prod Accessoires'!Q27</f>
        <v>108265.5</v>
      </c>
      <c r="I16" s="566">
        <f>'02 Prod Valorisée Boites'!J59</f>
        <v>1306800</v>
      </c>
      <c r="J16" s="567">
        <f>+'04 Ventes'!I41</f>
        <v>1588356</v>
      </c>
    </row>
    <row r="17" spans="1:10" ht="60.6" customHeight="1" thickBot="1" x14ac:dyDescent="0.35">
      <c r="A17" s="277" t="s">
        <v>110</v>
      </c>
      <c r="B17" s="278" t="s">
        <v>236</v>
      </c>
      <c r="C17" s="562"/>
      <c r="D17" s="563"/>
      <c r="E17" s="564" t="str">
        <f t="shared" si="0"/>
        <v>-</v>
      </c>
      <c r="F17" s="565"/>
      <c r="G17" s="563"/>
      <c r="H17" s="566"/>
      <c r="I17" s="566"/>
      <c r="J17" s="567">
        <f>'04 Ventes'!I45</f>
        <v>0</v>
      </c>
    </row>
    <row r="18" spans="1:10" s="297" customFormat="1" ht="60.6" customHeight="1" thickBot="1" x14ac:dyDescent="0.35">
      <c r="A18" s="321" t="s">
        <v>110</v>
      </c>
      <c r="B18" s="436" t="s">
        <v>237</v>
      </c>
      <c r="C18" s="568">
        <f>SUM(C15:C17)</f>
        <v>3500000</v>
      </c>
      <c r="D18" s="569">
        <f t="shared" ref="D18:J18" si="1">SUM(D15:D17)</f>
        <v>196728</v>
      </c>
      <c r="E18" s="570">
        <f t="shared" si="0"/>
        <v>5.6208000000000001E-2</v>
      </c>
      <c r="F18" s="571">
        <f>SUM(F15:F17)</f>
        <v>3005149.4951999998</v>
      </c>
      <c r="G18" s="569">
        <f t="shared" si="1"/>
        <v>140400</v>
      </c>
      <c r="H18" s="571">
        <f t="shared" si="1"/>
        <v>585493.08000000007</v>
      </c>
      <c r="I18" s="571">
        <f>SUM(I15:I17)</f>
        <v>4319460</v>
      </c>
      <c r="J18" s="572">
        <f t="shared" si="1"/>
        <v>4437461.5999999996</v>
      </c>
    </row>
    <row r="19" spans="1:10" ht="60.6" customHeight="1" x14ac:dyDescent="0.3">
      <c r="A19" s="271" t="s">
        <v>108</v>
      </c>
      <c r="B19" s="579" t="s">
        <v>234</v>
      </c>
      <c r="C19" s="556" t="e">
        <f>'01 Prod Physique Boites'!#REF!</f>
        <v>#REF!</v>
      </c>
      <c r="D19" s="557">
        <f>'01 Prod Physique Boites'!L86</f>
        <v>102258</v>
      </c>
      <c r="E19" s="558" t="str">
        <f t="shared" si="0"/>
        <v>-</v>
      </c>
      <c r="F19" s="559">
        <f>'02 Prod Valorisée Boites'!G87</f>
        <v>1970728.2036000001</v>
      </c>
      <c r="G19" s="557">
        <f>'03 Prod Accessoires'!K37</f>
        <v>0</v>
      </c>
      <c r="H19" s="560">
        <f>'03 Prod Accessoires'!Q37</f>
        <v>0</v>
      </c>
      <c r="I19" s="560">
        <f>'02 Prod Valorisée Boites'!J87</f>
        <v>2703352.8600000003</v>
      </c>
      <c r="J19" s="573">
        <f>'04 Ventes'!I68</f>
        <v>0</v>
      </c>
    </row>
    <row r="20" spans="1:10" ht="60.6" customHeight="1" thickBot="1" x14ac:dyDescent="0.35">
      <c r="A20" s="641" t="s">
        <v>108</v>
      </c>
      <c r="B20" s="298" t="s">
        <v>236</v>
      </c>
      <c r="C20" s="574"/>
      <c r="D20" s="563"/>
      <c r="E20" s="564" t="str">
        <f t="shared" si="0"/>
        <v>-</v>
      </c>
      <c r="F20" s="565"/>
      <c r="G20" s="563"/>
      <c r="H20" s="566"/>
      <c r="I20" s="566"/>
      <c r="J20" s="575"/>
    </row>
    <row r="21" spans="1:10" s="297" customFormat="1" ht="60.6" customHeight="1" thickBot="1" x14ac:dyDescent="0.35">
      <c r="A21" s="321" t="s">
        <v>108</v>
      </c>
      <c r="B21" s="436" t="s">
        <v>238</v>
      </c>
      <c r="C21" s="568" t="e">
        <f>SUM(C19:C20)</f>
        <v>#REF!</v>
      </c>
      <c r="D21" s="569">
        <f t="shared" ref="D21:J21" si="2">SUM(D19:D20)</f>
        <v>102258</v>
      </c>
      <c r="E21" s="570" t="str">
        <f t="shared" si="0"/>
        <v>-</v>
      </c>
      <c r="F21" s="571">
        <f t="shared" si="2"/>
        <v>1970728.2036000001</v>
      </c>
      <c r="G21" s="569">
        <f t="shared" si="2"/>
        <v>0</v>
      </c>
      <c r="H21" s="571">
        <f t="shared" si="2"/>
        <v>0</v>
      </c>
      <c r="I21" s="571">
        <f t="shared" si="2"/>
        <v>2703352.8600000003</v>
      </c>
      <c r="J21" s="572">
        <f t="shared" si="2"/>
        <v>0</v>
      </c>
    </row>
    <row r="22" spans="1:10" ht="60.6" customHeight="1" x14ac:dyDescent="0.3">
      <c r="A22" s="271" t="s">
        <v>109</v>
      </c>
      <c r="B22" s="581" t="s">
        <v>235</v>
      </c>
      <c r="C22" s="560" t="e">
        <f>'01 Prod Physique Boites'!#REF!</f>
        <v>#REF!</v>
      </c>
      <c r="D22" s="557">
        <f>'01 Prod Physique Boites'!L113</f>
        <v>15360</v>
      </c>
      <c r="E22" s="558" t="str">
        <f t="shared" si="0"/>
        <v>-</v>
      </c>
      <c r="F22" s="559">
        <f>'02 Prod Valorisée Boites'!G114</f>
        <v>608780.88</v>
      </c>
      <c r="G22" s="557">
        <f>'03 Prod Accessoires'!K69</f>
        <v>82814</v>
      </c>
      <c r="H22" s="560">
        <f>'03 Prod Accessoires'!Q69</f>
        <v>683724.3162</v>
      </c>
      <c r="I22" s="560">
        <f>'02 Prod Valorisée Boites'!J114</f>
        <v>1157056.8</v>
      </c>
      <c r="J22" s="573">
        <f>'04 Ventes'!I89</f>
        <v>1100851.2</v>
      </c>
    </row>
    <row r="23" spans="1:10" ht="60.6" customHeight="1" thickBot="1" x14ac:dyDescent="0.35">
      <c r="A23" s="641" t="s">
        <v>109</v>
      </c>
      <c r="B23" s="306" t="s">
        <v>236</v>
      </c>
      <c r="C23" s="566"/>
      <c r="D23" s="576"/>
      <c r="E23" s="577" t="str">
        <f t="shared" si="0"/>
        <v>-</v>
      </c>
      <c r="F23" s="578"/>
      <c r="G23" s="563"/>
      <c r="H23" s="566"/>
      <c r="I23" s="566"/>
      <c r="J23" s="575"/>
    </row>
    <row r="24" spans="1:10" s="297" customFormat="1" ht="60.6" customHeight="1" thickBot="1" x14ac:dyDescent="0.35">
      <c r="A24" s="321" t="s">
        <v>109</v>
      </c>
      <c r="B24" s="436" t="s">
        <v>239</v>
      </c>
      <c r="C24" s="568" t="e">
        <f>SUM(C22:C23)</f>
        <v>#REF!</v>
      </c>
      <c r="D24" s="569">
        <f t="shared" ref="D24:J24" si="3">SUM(D22:D23)</f>
        <v>15360</v>
      </c>
      <c r="E24" s="570" t="str">
        <f t="shared" si="0"/>
        <v>-</v>
      </c>
      <c r="F24" s="571">
        <f t="shared" si="3"/>
        <v>608780.88</v>
      </c>
      <c r="G24" s="569">
        <f t="shared" si="3"/>
        <v>82814</v>
      </c>
      <c r="H24" s="571">
        <f t="shared" si="3"/>
        <v>683724.3162</v>
      </c>
      <c r="I24" s="571">
        <f t="shared" si="3"/>
        <v>1157056.8</v>
      </c>
      <c r="J24" s="572">
        <f t="shared" si="3"/>
        <v>1100851.2</v>
      </c>
    </row>
    <row r="25" spans="1:10" ht="57.6" customHeight="1" thickBot="1" x14ac:dyDescent="0.35">
      <c r="A25" s="642"/>
      <c r="B25" s="554" t="s">
        <v>182</v>
      </c>
      <c r="C25" s="555" t="e">
        <f>+C18+C21+C24</f>
        <v>#REF!</v>
      </c>
      <c r="D25" s="582">
        <f t="shared" ref="D25:J25" si="4">+D18+D21+D24</f>
        <v>314346</v>
      </c>
      <c r="E25" s="583" t="str">
        <f>IFERROR(D25/C25,"-")</f>
        <v>-</v>
      </c>
      <c r="F25" s="582">
        <f>+F18+F21+F24</f>
        <v>5584658.5787999993</v>
      </c>
      <c r="G25" s="582">
        <f t="shared" si="4"/>
        <v>223214</v>
      </c>
      <c r="H25" s="582">
        <f t="shared" si="4"/>
        <v>1269217.3962000001</v>
      </c>
      <c r="I25" s="582">
        <f>+I18+I21+I24</f>
        <v>8179869.6600000001</v>
      </c>
      <c r="J25" s="643">
        <f t="shared" si="4"/>
        <v>5538312.7999999998</v>
      </c>
    </row>
    <row r="26" spans="1:10" ht="41.4" customHeight="1" x14ac:dyDescent="0.3">
      <c r="A26" s="991" t="s">
        <v>1</v>
      </c>
      <c r="B26" s="997" t="s">
        <v>3</v>
      </c>
      <c r="C26" s="997" t="s">
        <v>240</v>
      </c>
      <c r="D26" s="1088" t="s">
        <v>423</v>
      </c>
      <c r="E26" s="1089"/>
      <c r="F26" s="1089"/>
      <c r="G26" s="1089"/>
      <c r="H26" s="1090"/>
      <c r="I26" s="1091" t="s">
        <v>246</v>
      </c>
      <c r="J26" s="1091" t="s">
        <v>245</v>
      </c>
    </row>
    <row r="27" spans="1:10" ht="41.4" customHeight="1" x14ac:dyDescent="0.3">
      <c r="A27" s="1070"/>
      <c r="B27" s="1087"/>
      <c r="C27" s="1087"/>
      <c r="D27" s="1094" t="s">
        <v>248</v>
      </c>
      <c r="E27" s="1095"/>
      <c r="F27" s="1096"/>
      <c r="G27" s="1094" t="s">
        <v>243</v>
      </c>
      <c r="H27" s="1096"/>
      <c r="I27" s="1092"/>
      <c r="J27" s="1092"/>
    </row>
    <row r="28" spans="1:10" ht="25.95" customHeight="1" x14ac:dyDescent="0.3">
      <c r="A28" s="992"/>
      <c r="B28" s="998"/>
      <c r="C28" s="998"/>
      <c r="D28" s="1097" t="s">
        <v>241</v>
      </c>
      <c r="E28" s="1099" t="s">
        <v>9</v>
      </c>
      <c r="F28" s="1101" t="s">
        <v>242</v>
      </c>
      <c r="G28" s="1103" t="s">
        <v>244</v>
      </c>
      <c r="H28" s="1105" t="s">
        <v>242</v>
      </c>
      <c r="I28" s="1092"/>
      <c r="J28" s="1092"/>
    </row>
    <row r="29" spans="1:10" ht="25.95" customHeight="1" thickBot="1" x14ac:dyDescent="0.35">
      <c r="A29" s="993"/>
      <c r="B29" s="999"/>
      <c r="C29" s="999"/>
      <c r="D29" s="1098"/>
      <c r="E29" s="1100"/>
      <c r="F29" s="1102"/>
      <c r="G29" s="1104"/>
      <c r="H29" s="1106"/>
      <c r="I29" s="1093"/>
      <c r="J29" s="1093"/>
    </row>
    <row r="30" spans="1:10" ht="60.6" customHeight="1" x14ac:dyDescent="0.3">
      <c r="A30" s="271" t="s">
        <v>110</v>
      </c>
      <c r="B30" s="579" t="s">
        <v>234</v>
      </c>
      <c r="C30" s="556">
        <f>+'01 Prod Physique Boites'!E58</f>
        <v>0</v>
      </c>
      <c r="D30" s="557">
        <f>+'01 Prod Physique Boites'!L147</f>
        <v>311848</v>
      </c>
      <c r="E30" s="558" t="str">
        <f>IFERROR(D30/C30,"-")</f>
        <v>-</v>
      </c>
      <c r="F30" s="559">
        <f>+'02 Prod Valorisée Boites'!G149</f>
        <v>4260531.9352000002</v>
      </c>
      <c r="G30" s="557">
        <f>+'03 Prod Accessoires'!K79</f>
        <v>300600</v>
      </c>
      <c r="H30" s="560">
        <f>+'03 Prod Accessoires'!Q79</f>
        <v>1190666.82</v>
      </c>
      <c r="I30" s="560">
        <f>'02 Prod Valorisée Boites'!J149</f>
        <v>6616517.5999999996</v>
      </c>
      <c r="J30" s="561">
        <f>+'04 Ventes'!I111</f>
        <v>5609225.5999999996</v>
      </c>
    </row>
    <row r="31" spans="1:10" ht="60.6" customHeight="1" x14ac:dyDescent="0.3">
      <c r="A31" s="709" t="s">
        <v>110</v>
      </c>
      <c r="B31" s="580" t="s">
        <v>235</v>
      </c>
      <c r="C31" s="562">
        <f>+'01 Prod Physique Boites'!E73</f>
        <v>0</v>
      </c>
      <c r="D31" s="563">
        <f>+'01 Prod Physique Boites'!L162</f>
        <v>199980</v>
      </c>
      <c r="E31" s="564" t="str">
        <f t="shared" ref="E31:E39" si="5">IFERROR(D31/C31,"-")</f>
        <v>-</v>
      </c>
      <c r="F31" s="565">
        <f>+'02 Prod Valorisée Boites'!G164</f>
        <v>4563663.5879999995</v>
      </c>
      <c r="G31" s="563">
        <f>+'03 Prod Accessoires'!K87</f>
        <v>26640</v>
      </c>
      <c r="H31" s="566">
        <f>+'03 Prod Accessoires'!Q87</f>
        <v>374052.02399999998</v>
      </c>
      <c r="I31" s="566">
        <f>'02 Prod Valorisée Boites'!J164</f>
        <v>5499450</v>
      </c>
      <c r="J31" s="567">
        <f>+'04 Ventes'!I123</f>
        <v>1588356</v>
      </c>
    </row>
    <row r="32" spans="1:10" ht="60.6" customHeight="1" thickBot="1" x14ac:dyDescent="0.35">
      <c r="A32" s="277" t="s">
        <v>110</v>
      </c>
      <c r="B32" s="278" t="s">
        <v>236</v>
      </c>
      <c r="C32" s="562"/>
      <c r="D32" s="563"/>
      <c r="E32" s="564" t="str">
        <f t="shared" si="5"/>
        <v>-</v>
      </c>
      <c r="F32" s="565"/>
      <c r="G32" s="563"/>
      <c r="H32" s="566"/>
      <c r="I32" s="566"/>
      <c r="J32" s="567">
        <f>'04 Ventes'!I127</f>
        <v>0</v>
      </c>
    </row>
    <row r="33" spans="1:10" s="297" customFormat="1" ht="60.6" customHeight="1" thickBot="1" x14ac:dyDescent="0.35">
      <c r="A33" s="321" t="s">
        <v>110</v>
      </c>
      <c r="B33" s="436" t="s">
        <v>237</v>
      </c>
      <c r="C33" s="568">
        <f>SUM(C30:C32)</f>
        <v>0</v>
      </c>
      <c r="D33" s="569">
        <f t="shared" ref="D33" si="6">SUM(D30:D32)</f>
        <v>511828</v>
      </c>
      <c r="E33" s="570" t="str">
        <f t="shared" si="5"/>
        <v>-</v>
      </c>
      <c r="F33" s="571">
        <f>SUM(F30:F32)</f>
        <v>8824195.5231999997</v>
      </c>
      <c r="G33" s="569">
        <f t="shared" ref="G33:H33" si="7">SUM(G30:G32)</f>
        <v>327240</v>
      </c>
      <c r="H33" s="571">
        <f t="shared" si="7"/>
        <v>1564718.844</v>
      </c>
      <c r="I33" s="571">
        <f>SUM(I30:I32)</f>
        <v>12115967.6</v>
      </c>
      <c r="J33" s="572">
        <f t="shared" ref="J33" si="8">SUM(J30:J32)</f>
        <v>7197581.5999999996</v>
      </c>
    </row>
    <row r="34" spans="1:10" ht="60.6" customHeight="1" x14ac:dyDescent="0.3">
      <c r="A34" s="271" t="s">
        <v>108</v>
      </c>
      <c r="B34" s="579" t="s">
        <v>234</v>
      </c>
      <c r="C34" s="556" t="e">
        <f>'01 Prod Physique Boites'!#REF!</f>
        <v>#REF!</v>
      </c>
      <c r="D34" s="557">
        <f>'01 Prod Physique Boites'!L190</f>
        <v>248976</v>
      </c>
      <c r="E34" s="558" t="str">
        <f t="shared" si="5"/>
        <v>-</v>
      </c>
      <c r="F34" s="559">
        <f>'02 Prod Valorisée Boites'!G192</f>
        <v>4648714.5744000003</v>
      </c>
      <c r="G34" s="557">
        <f>'03 Prod Accessoires'!K97</f>
        <v>0</v>
      </c>
      <c r="H34" s="560">
        <f>'03 Prod Accessoires'!Q97</f>
        <v>0</v>
      </c>
      <c r="I34" s="560">
        <f>'02 Prod Valorisée Boites'!J192</f>
        <v>6460155</v>
      </c>
      <c r="J34" s="573">
        <f>'04 Ventes'!I150</f>
        <v>0</v>
      </c>
    </row>
    <row r="35" spans="1:10" ht="60.6" customHeight="1" thickBot="1" x14ac:dyDescent="0.35">
      <c r="A35" s="709" t="s">
        <v>108</v>
      </c>
      <c r="B35" s="298" t="s">
        <v>236</v>
      </c>
      <c r="C35" s="574"/>
      <c r="D35" s="563"/>
      <c r="E35" s="564" t="str">
        <f t="shared" si="5"/>
        <v>-</v>
      </c>
      <c r="F35" s="565"/>
      <c r="G35" s="563"/>
      <c r="H35" s="566"/>
      <c r="I35" s="566"/>
      <c r="J35" s="575"/>
    </row>
    <row r="36" spans="1:10" s="297" customFormat="1" ht="60.6" customHeight="1" thickBot="1" x14ac:dyDescent="0.35">
      <c r="A36" s="321" t="s">
        <v>108</v>
      </c>
      <c r="B36" s="436" t="s">
        <v>238</v>
      </c>
      <c r="C36" s="568" t="e">
        <f>SUM(C34:C35)</f>
        <v>#REF!</v>
      </c>
      <c r="D36" s="569">
        <f t="shared" ref="D36" si="9">SUM(D34:D35)</f>
        <v>248976</v>
      </c>
      <c r="E36" s="570" t="str">
        <f t="shared" si="5"/>
        <v>-</v>
      </c>
      <c r="F36" s="571">
        <f t="shared" ref="F36:J36" si="10">SUM(F34:F35)</f>
        <v>4648714.5744000003</v>
      </c>
      <c r="G36" s="569">
        <f t="shared" si="10"/>
        <v>0</v>
      </c>
      <c r="H36" s="571">
        <f t="shared" si="10"/>
        <v>0</v>
      </c>
      <c r="I36" s="571">
        <f t="shared" si="10"/>
        <v>6460155</v>
      </c>
      <c r="J36" s="572">
        <f t="shared" si="10"/>
        <v>0</v>
      </c>
    </row>
    <row r="37" spans="1:10" ht="60.6" customHeight="1" x14ac:dyDescent="0.3">
      <c r="A37" s="271" t="s">
        <v>109</v>
      </c>
      <c r="B37" s="581" t="s">
        <v>235</v>
      </c>
      <c r="C37" s="560" t="e">
        <f>'01 Prod Physique Boites'!#REF!</f>
        <v>#REF!</v>
      </c>
      <c r="D37" s="557">
        <f>'01 Prod Physique Boites'!L217</f>
        <v>35556</v>
      </c>
      <c r="E37" s="558" t="str">
        <f t="shared" si="5"/>
        <v>-</v>
      </c>
      <c r="F37" s="559">
        <f>'02 Prod Valorisée Boites'!G219</f>
        <v>1291304.3292</v>
      </c>
      <c r="G37" s="557">
        <f>'03 Prod Accessoires'!K129</f>
        <v>210564</v>
      </c>
      <c r="H37" s="560">
        <f>'03 Prod Accessoires'!Q129</f>
        <v>1467087.2962</v>
      </c>
      <c r="I37" s="560">
        <f>'02 Prod Valorisée Boites'!J219</f>
        <v>2188364.64</v>
      </c>
      <c r="J37" s="573">
        <f>'04 Ventes'!I171</f>
        <v>2157819.04</v>
      </c>
    </row>
    <row r="38" spans="1:10" ht="60.6" customHeight="1" thickBot="1" x14ac:dyDescent="0.35">
      <c r="A38" s="709" t="s">
        <v>109</v>
      </c>
      <c r="B38" s="306" t="s">
        <v>236</v>
      </c>
      <c r="C38" s="566"/>
      <c r="D38" s="576"/>
      <c r="E38" s="577" t="str">
        <f t="shared" si="5"/>
        <v>-</v>
      </c>
      <c r="F38" s="578"/>
      <c r="G38" s="563"/>
      <c r="H38" s="566"/>
      <c r="I38" s="566"/>
      <c r="J38" s="575"/>
    </row>
    <row r="39" spans="1:10" s="297" customFormat="1" ht="60.6" customHeight="1" thickBot="1" x14ac:dyDescent="0.35">
      <c r="A39" s="321" t="s">
        <v>109</v>
      </c>
      <c r="B39" s="436" t="s">
        <v>239</v>
      </c>
      <c r="C39" s="568" t="e">
        <f>SUM(C37:C38)</f>
        <v>#REF!</v>
      </c>
      <c r="D39" s="569">
        <f t="shared" ref="D39" si="11">SUM(D37:D38)</f>
        <v>35556</v>
      </c>
      <c r="E39" s="570" t="str">
        <f t="shared" si="5"/>
        <v>-</v>
      </c>
      <c r="F39" s="571">
        <f t="shared" ref="F39:J39" si="12">SUM(F37:F38)</f>
        <v>1291304.3292</v>
      </c>
      <c r="G39" s="569">
        <f t="shared" si="12"/>
        <v>210564</v>
      </c>
      <c r="H39" s="571">
        <f t="shared" si="12"/>
        <v>1467087.2962</v>
      </c>
      <c r="I39" s="571">
        <f t="shared" si="12"/>
        <v>2188364.64</v>
      </c>
      <c r="J39" s="572">
        <f t="shared" si="12"/>
        <v>2157819.04</v>
      </c>
    </row>
    <row r="40" spans="1:10" ht="57.6" customHeight="1" thickBot="1" x14ac:dyDescent="0.35">
      <c r="A40" s="642"/>
      <c r="B40" s="554" t="s">
        <v>182</v>
      </c>
      <c r="C40" s="555" t="e">
        <f>+C33+C36+C39</f>
        <v>#REF!</v>
      </c>
      <c r="D40" s="582">
        <f t="shared" ref="D40" si="13">+D33+D36+D39</f>
        <v>796360</v>
      </c>
      <c r="E40" s="583" t="str">
        <f>IFERROR(D40/C40,"-")</f>
        <v>-</v>
      </c>
      <c r="F40" s="582">
        <f>+F33+F36+F39</f>
        <v>14764214.4268</v>
      </c>
      <c r="G40" s="582">
        <f t="shared" ref="G40:H40" si="14">+G33+G36+G39</f>
        <v>537804</v>
      </c>
      <c r="H40" s="582">
        <f t="shared" si="14"/>
        <v>3031806.1402000003</v>
      </c>
      <c r="I40" s="582">
        <f>+I33+I36+I39</f>
        <v>20764487.240000002</v>
      </c>
      <c r="J40" s="643">
        <f t="shared" ref="J40" si="15">+J33+J36+J39</f>
        <v>9355400.6400000006</v>
      </c>
    </row>
    <row r="41" spans="1:10" ht="41.4" customHeight="1" x14ac:dyDescent="0.3">
      <c r="A41" s="991" t="s">
        <v>1</v>
      </c>
      <c r="B41" s="997" t="s">
        <v>3</v>
      </c>
      <c r="C41" s="997" t="s">
        <v>240</v>
      </c>
      <c r="D41" s="1088" t="s">
        <v>431</v>
      </c>
      <c r="E41" s="1089"/>
      <c r="F41" s="1089"/>
      <c r="G41" s="1089"/>
      <c r="H41" s="1090"/>
      <c r="I41" s="1091" t="s">
        <v>246</v>
      </c>
      <c r="J41" s="1091" t="s">
        <v>245</v>
      </c>
    </row>
    <row r="42" spans="1:10" ht="41.4" customHeight="1" x14ac:dyDescent="0.3">
      <c r="A42" s="1070"/>
      <c r="B42" s="1087"/>
      <c r="C42" s="1087"/>
      <c r="D42" s="1094" t="s">
        <v>248</v>
      </c>
      <c r="E42" s="1095"/>
      <c r="F42" s="1096"/>
      <c r="G42" s="1094" t="s">
        <v>243</v>
      </c>
      <c r="H42" s="1096"/>
      <c r="I42" s="1092"/>
      <c r="J42" s="1092"/>
    </row>
    <row r="43" spans="1:10" ht="25.95" customHeight="1" x14ac:dyDescent="0.3">
      <c r="A43" s="992"/>
      <c r="B43" s="998"/>
      <c r="C43" s="998"/>
      <c r="D43" s="1097" t="s">
        <v>241</v>
      </c>
      <c r="E43" s="1099" t="s">
        <v>9</v>
      </c>
      <c r="F43" s="1101" t="s">
        <v>242</v>
      </c>
      <c r="G43" s="1103" t="s">
        <v>244</v>
      </c>
      <c r="H43" s="1105" t="s">
        <v>242</v>
      </c>
      <c r="I43" s="1092"/>
      <c r="J43" s="1092"/>
    </row>
    <row r="44" spans="1:10" ht="25.95" customHeight="1" thickBot="1" x14ac:dyDescent="0.35">
      <c r="A44" s="993"/>
      <c r="B44" s="999"/>
      <c r="C44" s="999"/>
      <c r="D44" s="1098"/>
      <c r="E44" s="1100"/>
      <c r="F44" s="1102"/>
      <c r="G44" s="1104"/>
      <c r="H44" s="1106"/>
      <c r="I44" s="1093"/>
      <c r="J44" s="1093"/>
    </row>
    <row r="45" spans="1:10" ht="60.6" customHeight="1" x14ac:dyDescent="0.3">
      <c r="A45" s="271" t="s">
        <v>110</v>
      </c>
      <c r="B45" s="579" t="s">
        <v>234</v>
      </c>
      <c r="C45" s="556">
        <f>+'01 Prod Physique Boites'!E251</f>
        <v>4750000</v>
      </c>
      <c r="D45" s="557">
        <f>+'01 Prod Physique Boites'!L251</f>
        <v>425128</v>
      </c>
      <c r="E45" s="558">
        <f>IFERROR(D45/C45,"-")</f>
        <v>8.9500631578947373E-2</v>
      </c>
      <c r="F45" s="559">
        <f>+'02 Prod Valorisée Boites'!G254</f>
        <v>6773880.0952000003</v>
      </c>
      <c r="G45" s="557">
        <f>+'03 Prod Accessoires'!K139</f>
        <v>468350</v>
      </c>
      <c r="H45" s="560">
        <f>+'03 Prod Accessoires'!Q139</f>
        <v>1713279.4950000001</v>
      </c>
      <c r="I45" s="560">
        <f>+'02 Prod Valorisée Boites'!J254</f>
        <v>10115794.4</v>
      </c>
      <c r="J45" s="561">
        <f>+'04 Ventes'!I193</f>
        <v>8369345.5999999996</v>
      </c>
    </row>
    <row r="46" spans="1:10" ht="60.6" customHeight="1" x14ac:dyDescent="0.3">
      <c r="A46" s="723" t="s">
        <v>110</v>
      </c>
      <c r="B46" s="580" t="s">
        <v>235</v>
      </c>
      <c r="C46" s="562">
        <f>+'01 Prod Physique Boites'!E265</f>
        <v>252025</v>
      </c>
      <c r="D46" s="563">
        <f>+'01 Prod Physique Boites'!L266</f>
        <v>283140</v>
      </c>
      <c r="E46" s="564">
        <f t="shared" ref="E46:E54" si="16">IFERROR(D46/C46,"-")</f>
        <v>1.1234599742089078</v>
      </c>
      <c r="F46" s="565">
        <f>+'02 Prod Valorisée Boites'!G269</f>
        <v>6461424.6839999994</v>
      </c>
      <c r="G46" s="563">
        <f>+'03 Prod Accessoires'!K147</f>
        <v>48960</v>
      </c>
      <c r="H46" s="566">
        <f>+'03 Prod Accessoires'!Q147</f>
        <v>669343.53599999996</v>
      </c>
      <c r="I46" s="566">
        <f>+'02 Prod Valorisée Boites'!J269</f>
        <v>7786350</v>
      </c>
      <c r="J46" s="567">
        <f>+'04 Ventes'!I205</f>
        <v>1588356</v>
      </c>
    </row>
    <row r="47" spans="1:10" ht="60.6" customHeight="1" thickBot="1" x14ac:dyDescent="0.35">
      <c r="A47" s="277" t="s">
        <v>110</v>
      </c>
      <c r="B47" s="278" t="s">
        <v>236</v>
      </c>
      <c r="C47" s="562"/>
      <c r="D47" s="563"/>
      <c r="E47" s="564" t="str">
        <f t="shared" si="16"/>
        <v>-</v>
      </c>
      <c r="F47" s="565"/>
      <c r="G47" s="563"/>
      <c r="H47" s="566"/>
      <c r="I47" s="566"/>
      <c r="J47" s="567">
        <f>+'04 Ventes'!I209</f>
        <v>1335</v>
      </c>
    </row>
    <row r="48" spans="1:10" s="297" customFormat="1" ht="60.6" customHeight="1" thickBot="1" x14ac:dyDescent="0.35">
      <c r="A48" s="321" t="s">
        <v>110</v>
      </c>
      <c r="B48" s="436" t="s">
        <v>237</v>
      </c>
      <c r="C48" s="568">
        <f>SUM(C45:C47)</f>
        <v>5002025</v>
      </c>
      <c r="D48" s="569">
        <f t="shared" ref="D48" si="17">SUM(D45:D47)</f>
        <v>708268</v>
      </c>
      <c r="E48" s="570">
        <f t="shared" si="16"/>
        <v>0.14159625351732549</v>
      </c>
      <c r="F48" s="571">
        <f>SUM(F45:F47)</f>
        <v>13235304.779199999</v>
      </c>
      <c r="G48" s="569">
        <f t="shared" ref="G48:H48" si="18">SUM(G45:G47)</f>
        <v>517310</v>
      </c>
      <c r="H48" s="571">
        <f t="shared" si="18"/>
        <v>2382623.031</v>
      </c>
      <c r="I48" s="571">
        <f>SUM(I45:I47)</f>
        <v>17902144.399999999</v>
      </c>
      <c r="J48" s="572">
        <f t="shared" ref="J48" si="19">SUM(J45:J47)</f>
        <v>9959036.5999999996</v>
      </c>
    </row>
    <row r="49" spans="1:10" ht="60.6" customHeight="1" x14ac:dyDescent="0.3">
      <c r="A49" s="271" t="s">
        <v>108</v>
      </c>
      <c r="B49" s="579" t="s">
        <v>234</v>
      </c>
      <c r="C49" s="556">
        <f>+'01 Prod Physique Boites'!E293</f>
        <v>2612056</v>
      </c>
      <c r="D49" s="557">
        <f>+'01 Prod Physique Boites'!L294</f>
        <v>439686</v>
      </c>
      <c r="E49" s="558">
        <f t="shared" si="16"/>
        <v>0.16832946919974151</v>
      </c>
      <c r="F49" s="559">
        <f>+'02 Prod Valorisée Boites'!G297</f>
        <v>8345515.0427999999</v>
      </c>
      <c r="G49" s="557">
        <f>+'03 Prod Accessoires'!K157</f>
        <v>0</v>
      </c>
      <c r="H49" s="560">
        <f>+'03 Prod Accessoires'!Q157</f>
        <v>0</v>
      </c>
      <c r="I49" s="560">
        <f>+'02 Prod Valorisée Boites'!J296</f>
        <v>11683828.26</v>
      </c>
      <c r="J49" s="573">
        <f>+'04 Ventes'!I232</f>
        <v>511478.95999999996</v>
      </c>
    </row>
    <row r="50" spans="1:10" ht="60.6" customHeight="1" thickBot="1" x14ac:dyDescent="0.35">
      <c r="A50" s="723" t="s">
        <v>108</v>
      </c>
      <c r="B50" s="298" t="s">
        <v>236</v>
      </c>
      <c r="C50" s="574"/>
      <c r="D50" s="563"/>
      <c r="E50" s="564" t="str">
        <f t="shared" si="16"/>
        <v>-</v>
      </c>
      <c r="F50" s="565"/>
      <c r="G50" s="563"/>
      <c r="H50" s="566"/>
      <c r="I50" s="566"/>
      <c r="J50" s="575"/>
    </row>
    <row r="51" spans="1:10" s="297" customFormat="1" ht="60.6" customHeight="1" thickBot="1" x14ac:dyDescent="0.35">
      <c r="A51" s="321" t="s">
        <v>108</v>
      </c>
      <c r="B51" s="436" t="s">
        <v>238</v>
      </c>
      <c r="C51" s="568">
        <f>SUM(C49:C50)</f>
        <v>2612056</v>
      </c>
      <c r="D51" s="569">
        <f t="shared" ref="D51" si="20">SUM(D49:D50)</f>
        <v>439686</v>
      </c>
      <c r="E51" s="570">
        <f t="shared" si="16"/>
        <v>0.16832946919974151</v>
      </c>
      <c r="F51" s="571">
        <f t="shared" ref="F51:J51" si="21">SUM(F49:F50)</f>
        <v>8345515.0427999999</v>
      </c>
      <c r="G51" s="569">
        <f t="shared" si="21"/>
        <v>0</v>
      </c>
      <c r="H51" s="571">
        <f t="shared" si="21"/>
        <v>0</v>
      </c>
      <c r="I51" s="571">
        <f t="shared" si="21"/>
        <v>11683828.26</v>
      </c>
      <c r="J51" s="572">
        <f t="shared" si="21"/>
        <v>511478.95999999996</v>
      </c>
    </row>
    <row r="52" spans="1:10" ht="60.6" customHeight="1" x14ac:dyDescent="0.3">
      <c r="A52" s="271" t="s">
        <v>109</v>
      </c>
      <c r="B52" s="581" t="s">
        <v>235</v>
      </c>
      <c r="C52" s="560">
        <f>+'01 Prod Physique Boites'!E321</f>
        <v>1144800</v>
      </c>
      <c r="D52" s="557">
        <f>+'01 Prod Physique Boites'!L321</f>
        <v>85680</v>
      </c>
      <c r="E52" s="558">
        <f t="shared" si="16"/>
        <v>7.4842767295597482E-2</v>
      </c>
      <c r="F52" s="559">
        <f>+'02 Prod Valorisée Boites'!G324</f>
        <v>2914228.6319999998</v>
      </c>
      <c r="G52" s="557">
        <f>+'03 Prod Accessoires'!K189</f>
        <v>351264</v>
      </c>
      <c r="H52" s="560">
        <f>+'03 Prod Accessoires'!Q189</f>
        <v>2704881.9112</v>
      </c>
      <c r="I52" s="560">
        <f>+'02 Prod Valorisée Boites'!J324</f>
        <v>5883156</v>
      </c>
      <c r="J52" s="573">
        <f>+'04 Ventes'!I253</f>
        <v>4716471.3</v>
      </c>
    </row>
    <row r="53" spans="1:10" ht="60.6" customHeight="1" thickBot="1" x14ac:dyDescent="0.35">
      <c r="A53" s="723" t="s">
        <v>109</v>
      </c>
      <c r="B53" s="306" t="s">
        <v>236</v>
      </c>
      <c r="C53" s="566"/>
      <c r="D53" s="576"/>
      <c r="E53" s="577" t="str">
        <f t="shared" si="16"/>
        <v>-</v>
      </c>
      <c r="F53" s="578"/>
      <c r="G53" s="563"/>
      <c r="H53" s="566"/>
      <c r="I53" s="566"/>
      <c r="J53" s="575"/>
    </row>
    <row r="54" spans="1:10" s="297" customFormat="1" ht="60.6" customHeight="1" thickBot="1" x14ac:dyDescent="0.35">
      <c r="A54" s="321" t="s">
        <v>109</v>
      </c>
      <c r="B54" s="436" t="s">
        <v>239</v>
      </c>
      <c r="C54" s="568">
        <f>SUM(C52:C53)</f>
        <v>1144800</v>
      </c>
      <c r="D54" s="569">
        <f t="shared" ref="D54" si="22">SUM(D52:D53)</f>
        <v>85680</v>
      </c>
      <c r="E54" s="570">
        <f t="shared" si="16"/>
        <v>7.4842767295597482E-2</v>
      </c>
      <c r="F54" s="571">
        <f t="shared" ref="F54:J54" si="23">SUM(F52:F53)</f>
        <v>2914228.6319999998</v>
      </c>
      <c r="G54" s="569">
        <f t="shared" si="23"/>
        <v>351264</v>
      </c>
      <c r="H54" s="571">
        <f t="shared" si="23"/>
        <v>2704881.9112</v>
      </c>
      <c r="I54" s="571">
        <f t="shared" si="23"/>
        <v>5883156</v>
      </c>
      <c r="J54" s="572">
        <f t="shared" si="23"/>
        <v>4716471.3</v>
      </c>
    </row>
    <row r="55" spans="1:10" ht="57.6" customHeight="1" thickBot="1" x14ac:dyDescent="0.35">
      <c r="A55" s="642"/>
      <c r="B55" s="554" t="s">
        <v>182</v>
      </c>
      <c r="C55" s="555">
        <f>+C48+C51+C54</f>
        <v>8758881</v>
      </c>
      <c r="D55" s="582">
        <f t="shared" ref="D55" si="24">+D48+D51+D54</f>
        <v>1233634</v>
      </c>
      <c r="E55" s="583">
        <f>IFERROR(D55/C55,"-")</f>
        <v>0.1408437904339607</v>
      </c>
      <c r="F55" s="582">
        <f>+F48+F51+F54</f>
        <v>24495048.453999996</v>
      </c>
      <c r="G55" s="582">
        <f t="shared" ref="G55:H55" si="25">+G48+G51+G54</f>
        <v>868574</v>
      </c>
      <c r="H55" s="582">
        <f t="shared" si="25"/>
        <v>5087504.9421999995</v>
      </c>
      <c r="I55" s="582">
        <f>+I48+I51+I54</f>
        <v>35469128.659999996</v>
      </c>
      <c r="J55" s="643">
        <f t="shared" ref="J55" si="26">+J48+J51+J54</f>
        <v>15186986.859999999</v>
      </c>
    </row>
    <row r="56" spans="1:10" ht="41.4" customHeight="1" x14ac:dyDescent="0.3">
      <c r="A56" s="991" t="s">
        <v>1</v>
      </c>
      <c r="B56" s="997" t="s">
        <v>3</v>
      </c>
      <c r="C56" s="997" t="s">
        <v>240</v>
      </c>
      <c r="D56" s="1088" t="s">
        <v>443</v>
      </c>
      <c r="E56" s="1089"/>
      <c r="F56" s="1089"/>
      <c r="G56" s="1089"/>
      <c r="H56" s="1090"/>
      <c r="I56" s="1091" t="s">
        <v>246</v>
      </c>
      <c r="J56" s="1091" t="s">
        <v>245</v>
      </c>
    </row>
    <row r="57" spans="1:10" ht="41.4" customHeight="1" x14ac:dyDescent="0.3">
      <c r="A57" s="1070"/>
      <c r="B57" s="1087"/>
      <c r="C57" s="1087"/>
      <c r="D57" s="1094" t="s">
        <v>248</v>
      </c>
      <c r="E57" s="1095"/>
      <c r="F57" s="1096"/>
      <c r="G57" s="1094" t="s">
        <v>243</v>
      </c>
      <c r="H57" s="1096"/>
      <c r="I57" s="1092"/>
      <c r="J57" s="1092"/>
    </row>
    <row r="58" spans="1:10" ht="25.95" customHeight="1" x14ac:dyDescent="0.3">
      <c r="A58" s="992"/>
      <c r="B58" s="998"/>
      <c r="C58" s="998"/>
      <c r="D58" s="1097" t="s">
        <v>241</v>
      </c>
      <c r="E58" s="1099" t="s">
        <v>9</v>
      </c>
      <c r="F58" s="1101" t="s">
        <v>242</v>
      </c>
      <c r="G58" s="1103" t="s">
        <v>244</v>
      </c>
      <c r="H58" s="1105" t="s">
        <v>242</v>
      </c>
      <c r="I58" s="1092"/>
      <c r="J58" s="1092"/>
    </row>
    <row r="59" spans="1:10" ht="25.95" customHeight="1" thickBot="1" x14ac:dyDescent="0.35">
      <c r="A59" s="993"/>
      <c r="B59" s="999"/>
      <c r="C59" s="999"/>
      <c r="D59" s="1098"/>
      <c r="E59" s="1100"/>
      <c r="F59" s="1102"/>
      <c r="G59" s="1104"/>
      <c r="H59" s="1106"/>
      <c r="I59" s="1093"/>
      <c r="J59" s="1093"/>
    </row>
    <row r="60" spans="1:10" ht="60.6" customHeight="1" x14ac:dyDescent="0.3">
      <c r="A60" s="271" t="s">
        <v>110</v>
      </c>
      <c r="B60" s="579" t="s">
        <v>234</v>
      </c>
      <c r="C60" s="556">
        <f>+'01 Prod Physique Boites'!E355</f>
        <v>4750000</v>
      </c>
      <c r="D60" s="557">
        <f>+'01 Prod Physique Boites'!L355</f>
        <v>593950</v>
      </c>
      <c r="E60" s="558">
        <f>IFERROR(D60/C60,"-")</f>
        <v>0.1250421052631579</v>
      </c>
      <c r="F60" s="559">
        <f>+'02 Prod Valorisée Boites'!G359</f>
        <v>9710035.7697999999</v>
      </c>
      <c r="G60" s="557">
        <f>+'03 Prod Accessoires'!K199</f>
        <v>665350</v>
      </c>
      <c r="H60" s="560">
        <f>+'03 Prod Accessoires'!Q199</f>
        <v>2540083.3950000005</v>
      </c>
      <c r="I60" s="560">
        <f>+'02 Prod Valorisée Boites'!J359</f>
        <v>14388850.08</v>
      </c>
      <c r="J60" s="561">
        <f>+'04 Ventes'!I275</f>
        <v>12639788.799999999</v>
      </c>
    </row>
    <row r="61" spans="1:10" ht="60.6" customHeight="1" x14ac:dyDescent="0.3">
      <c r="A61" s="754" t="s">
        <v>110</v>
      </c>
      <c r="B61" s="580" t="s">
        <v>235</v>
      </c>
      <c r="C61" s="562">
        <f>+'01 Prod Physique Boites'!E370</f>
        <v>1252125</v>
      </c>
      <c r="D61" s="563">
        <f>+'01 Prod Physique Boites'!L370</f>
        <v>318090</v>
      </c>
      <c r="E61" s="564">
        <f t="shared" ref="E61:E69" si="27">IFERROR(D61/C61,"-")</f>
        <v>0.25404013177598084</v>
      </c>
      <c r="F61" s="565">
        <f>+'02 Prod Valorisée Boites'!G374</f>
        <v>7672037.3789999997</v>
      </c>
      <c r="G61" s="563">
        <f>+'03 Prod Accessoires'!K207</f>
        <v>108960</v>
      </c>
      <c r="H61" s="566">
        <f>+'03 Prod Accessoires'!Q207</f>
        <v>746287.53599999996</v>
      </c>
      <c r="I61" s="566">
        <f>+'02 Prod Valorisée Boites'!J374</f>
        <v>9445462.5</v>
      </c>
      <c r="J61" s="567">
        <f>+'04 Ventes'!I287</f>
        <v>3857712</v>
      </c>
    </row>
    <row r="62" spans="1:10" ht="60.6" customHeight="1" thickBot="1" x14ac:dyDescent="0.35">
      <c r="A62" s="277" t="s">
        <v>110</v>
      </c>
      <c r="B62" s="278" t="s">
        <v>236</v>
      </c>
      <c r="C62" s="562"/>
      <c r="D62" s="563"/>
      <c r="E62" s="564" t="str">
        <f t="shared" si="27"/>
        <v>-</v>
      </c>
      <c r="F62" s="565"/>
      <c r="G62" s="563"/>
      <c r="H62" s="566"/>
      <c r="I62" s="566"/>
      <c r="J62" s="567">
        <f>+'04 Ventes'!I291</f>
        <v>3835</v>
      </c>
    </row>
    <row r="63" spans="1:10" s="297" customFormat="1" ht="60.6" customHeight="1" thickBot="1" x14ac:dyDescent="0.35">
      <c r="A63" s="321" t="s">
        <v>110</v>
      </c>
      <c r="B63" s="436" t="s">
        <v>237</v>
      </c>
      <c r="C63" s="568">
        <f>SUM(C60:C62)</f>
        <v>6002125</v>
      </c>
      <c r="D63" s="569">
        <f t="shared" ref="D63" si="28">SUM(D60:D62)</f>
        <v>912040</v>
      </c>
      <c r="E63" s="570">
        <f t="shared" si="27"/>
        <v>0.15195285003228023</v>
      </c>
      <c r="F63" s="571">
        <f>SUM(F60:F62)</f>
        <v>17382073.148800001</v>
      </c>
      <c r="G63" s="569">
        <f t="shared" ref="G63:H63" si="29">SUM(G60:G62)</f>
        <v>774310</v>
      </c>
      <c r="H63" s="571">
        <f t="shared" si="29"/>
        <v>3286370.9310000003</v>
      </c>
      <c r="I63" s="571">
        <f>SUM(I60:I62)</f>
        <v>23834312.579999998</v>
      </c>
      <c r="J63" s="572">
        <f t="shared" ref="J63" si="30">SUM(J60:J62)</f>
        <v>16501335.799999999</v>
      </c>
    </row>
    <row r="64" spans="1:10" ht="60.6" customHeight="1" x14ac:dyDescent="0.3">
      <c r="A64" s="271" t="s">
        <v>108</v>
      </c>
      <c r="B64" s="579" t="s">
        <v>234</v>
      </c>
      <c r="C64" s="556">
        <f>+'01 Prod Physique Boites'!E397</f>
        <v>3112056</v>
      </c>
      <c r="D64" s="557">
        <f>+'01 Prod Physique Boites'!L397</f>
        <v>647946</v>
      </c>
      <c r="E64" s="558">
        <f t="shared" si="27"/>
        <v>0.20820512227286397</v>
      </c>
      <c r="F64" s="559">
        <f>+'02 Prod Valorisée Boites'!G401</f>
        <v>12130984.990800001</v>
      </c>
      <c r="G64" s="557">
        <f>+'03 Prod Accessoires'!K217</f>
        <v>0</v>
      </c>
      <c r="H64" s="560">
        <f>+'03 Prod Accessoires'!Q217</f>
        <v>0</v>
      </c>
      <c r="I64" s="560">
        <f>+'02 Prod Valorisée Boites'!J401</f>
        <v>16997055.66</v>
      </c>
      <c r="J64" s="573">
        <f>+'04 Ventes'!I314</f>
        <v>511478.95999999996</v>
      </c>
    </row>
    <row r="65" spans="1:15" ht="60.6" customHeight="1" thickBot="1" x14ac:dyDescent="0.35">
      <c r="A65" s="754" t="s">
        <v>108</v>
      </c>
      <c r="B65" s="298" t="s">
        <v>236</v>
      </c>
      <c r="C65" s="574"/>
      <c r="D65" s="563"/>
      <c r="E65" s="564" t="str">
        <f t="shared" si="27"/>
        <v>-</v>
      </c>
      <c r="F65" s="565"/>
      <c r="G65" s="563"/>
      <c r="H65" s="566"/>
      <c r="I65" s="566"/>
      <c r="J65" s="575"/>
    </row>
    <row r="66" spans="1:15" s="297" customFormat="1" ht="60.6" customHeight="1" thickBot="1" x14ac:dyDescent="0.35">
      <c r="A66" s="321" t="s">
        <v>108</v>
      </c>
      <c r="B66" s="436" t="s">
        <v>238</v>
      </c>
      <c r="C66" s="568">
        <f>SUM(C64:C65)</f>
        <v>3112056</v>
      </c>
      <c r="D66" s="569">
        <f t="shared" ref="D66" si="31">SUM(D64:D65)</f>
        <v>647946</v>
      </c>
      <c r="E66" s="570">
        <f t="shared" si="27"/>
        <v>0.20820512227286397</v>
      </c>
      <c r="F66" s="571">
        <f t="shared" ref="F66:J66" si="32">SUM(F64:F65)</f>
        <v>12130984.990800001</v>
      </c>
      <c r="G66" s="569">
        <f t="shared" si="32"/>
        <v>0</v>
      </c>
      <c r="H66" s="571">
        <f t="shared" si="32"/>
        <v>0</v>
      </c>
      <c r="I66" s="571">
        <f t="shared" si="32"/>
        <v>16997055.66</v>
      </c>
      <c r="J66" s="572">
        <f t="shared" si="32"/>
        <v>511478.95999999996</v>
      </c>
    </row>
    <row r="67" spans="1:15" ht="60.6" customHeight="1" x14ac:dyDescent="0.3">
      <c r="A67" s="271" t="s">
        <v>109</v>
      </c>
      <c r="B67" s="581" t="s">
        <v>235</v>
      </c>
      <c r="C67" s="560">
        <f>+'01 Prod Physique Boites'!E425</f>
        <v>1144800</v>
      </c>
      <c r="D67" s="557">
        <f>+'01 Prod Physique Boites'!L425</f>
        <v>118944</v>
      </c>
      <c r="E67" s="558">
        <f t="shared" si="27"/>
        <v>0.10389937106918239</v>
      </c>
      <c r="F67" s="559">
        <f>+'02 Prod Valorisée Boites'!G429</f>
        <v>4403436.9551999997</v>
      </c>
      <c r="G67" s="557">
        <f>+'03 Prod Accessoires'!K249</f>
        <v>447059</v>
      </c>
      <c r="H67" s="560">
        <f>+'03 Prod Accessoires'!Q249</f>
        <v>3134955.3477000003</v>
      </c>
      <c r="I67" s="560">
        <f>+'02 Prod Valorisée Boites'!J429</f>
        <v>8772410.3999999985</v>
      </c>
      <c r="J67" s="573">
        <f>+'04 Ventes'!I335</f>
        <v>8747060.0999999996</v>
      </c>
    </row>
    <row r="68" spans="1:15" ht="60.6" customHeight="1" thickBot="1" x14ac:dyDescent="0.35">
      <c r="A68" s="754" t="s">
        <v>109</v>
      </c>
      <c r="B68" s="306" t="s">
        <v>236</v>
      </c>
      <c r="C68" s="566"/>
      <c r="D68" s="576"/>
      <c r="E68" s="577" t="str">
        <f t="shared" si="27"/>
        <v>-</v>
      </c>
      <c r="F68" s="578"/>
      <c r="G68" s="563"/>
      <c r="H68" s="566"/>
      <c r="I68" s="566"/>
      <c r="J68" s="575"/>
    </row>
    <row r="69" spans="1:15" s="297" customFormat="1" ht="60.6" customHeight="1" thickBot="1" x14ac:dyDescent="0.35">
      <c r="A69" s="321" t="s">
        <v>109</v>
      </c>
      <c r="B69" s="436" t="s">
        <v>239</v>
      </c>
      <c r="C69" s="568">
        <f>SUM(C67:C68)</f>
        <v>1144800</v>
      </c>
      <c r="D69" s="569">
        <f t="shared" ref="D69" si="33">SUM(D67:D68)</f>
        <v>118944</v>
      </c>
      <c r="E69" s="570">
        <f t="shared" si="27"/>
        <v>0.10389937106918239</v>
      </c>
      <c r="F69" s="571">
        <f t="shared" ref="F69:J69" si="34">SUM(F67:F68)</f>
        <v>4403436.9551999997</v>
      </c>
      <c r="G69" s="569">
        <f t="shared" si="34"/>
        <v>447059</v>
      </c>
      <c r="H69" s="571">
        <f t="shared" si="34"/>
        <v>3134955.3477000003</v>
      </c>
      <c r="I69" s="571">
        <f t="shared" si="34"/>
        <v>8772410.3999999985</v>
      </c>
      <c r="J69" s="572">
        <f t="shared" si="34"/>
        <v>8747060.0999999996</v>
      </c>
    </row>
    <row r="70" spans="1:15" ht="57.6" customHeight="1" thickBot="1" x14ac:dyDescent="0.35">
      <c r="A70" s="642"/>
      <c r="B70" s="554" t="s">
        <v>182</v>
      </c>
      <c r="C70" s="555">
        <f>+C63+C66+C69</f>
        <v>10258981</v>
      </c>
      <c r="D70" s="582">
        <f t="shared" ref="D70" si="35">+D63+D66+D69</f>
        <v>1678930</v>
      </c>
      <c r="E70" s="583">
        <f>IFERROR(D70/C70,"-")</f>
        <v>0.1636546553697682</v>
      </c>
      <c r="F70" s="582">
        <f>+F63+F66+F69</f>
        <v>33916495.094800003</v>
      </c>
      <c r="G70" s="582">
        <f t="shared" ref="G70:H70" si="36">+G63+G66+G69</f>
        <v>1221369</v>
      </c>
      <c r="H70" s="582">
        <f t="shared" si="36"/>
        <v>6421326.2787000006</v>
      </c>
      <c r="I70" s="582">
        <f>+I63+I66+I69</f>
        <v>49603778.639999993</v>
      </c>
      <c r="J70" s="643">
        <f t="shared" ref="J70" si="37">+J63+J66+J69</f>
        <v>25759874.859999999</v>
      </c>
    </row>
    <row r="71" spans="1:15" ht="41.4" customHeight="1" x14ac:dyDescent="0.3">
      <c r="A71" s="991" t="s">
        <v>1</v>
      </c>
      <c r="B71" s="997" t="s">
        <v>3</v>
      </c>
      <c r="C71" s="997" t="s">
        <v>240</v>
      </c>
      <c r="D71" s="1088" t="s">
        <v>448</v>
      </c>
      <c r="E71" s="1089"/>
      <c r="F71" s="1089"/>
      <c r="G71" s="1089"/>
      <c r="H71" s="1090"/>
      <c r="I71" s="1091" t="s">
        <v>246</v>
      </c>
      <c r="J71" s="1091" t="s">
        <v>245</v>
      </c>
    </row>
    <row r="72" spans="1:15" ht="41.4" customHeight="1" x14ac:dyDescent="0.3">
      <c r="A72" s="1070"/>
      <c r="B72" s="1087"/>
      <c r="C72" s="1087"/>
      <c r="D72" s="1094" t="s">
        <v>248</v>
      </c>
      <c r="E72" s="1095"/>
      <c r="F72" s="1096"/>
      <c r="G72" s="1094" t="s">
        <v>243</v>
      </c>
      <c r="H72" s="1096"/>
      <c r="I72" s="1092"/>
      <c r="J72" s="1092"/>
    </row>
    <row r="73" spans="1:15" ht="25.95" customHeight="1" x14ac:dyDescent="0.3">
      <c r="A73" s="992"/>
      <c r="B73" s="998"/>
      <c r="C73" s="998"/>
      <c r="D73" s="1097" t="s">
        <v>241</v>
      </c>
      <c r="E73" s="1099" t="s">
        <v>9</v>
      </c>
      <c r="F73" s="1101" t="s">
        <v>242</v>
      </c>
      <c r="G73" s="1103" t="s">
        <v>244</v>
      </c>
      <c r="H73" s="1105" t="s">
        <v>242</v>
      </c>
      <c r="I73" s="1092"/>
      <c r="J73" s="1092"/>
    </row>
    <row r="74" spans="1:15" ht="25.95" customHeight="1" thickBot="1" x14ac:dyDescent="0.35">
      <c r="A74" s="993"/>
      <c r="B74" s="999"/>
      <c r="C74" s="999"/>
      <c r="D74" s="1098"/>
      <c r="E74" s="1100"/>
      <c r="F74" s="1102"/>
      <c r="G74" s="1104"/>
      <c r="H74" s="1106"/>
      <c r="I74" s="1093"/>
      <c r="J74" s="1093"/>
    </row>
    <row r="75" spans="1:15" ht="60.6" customHeight="1" x14ac:dyDescent="0.3">
      <c r="A75" s="271" t="s">
        <v>110</v>
      </c>
      <c r="B75" s="579" t="s">
        <v>234</v>
      </c>
      <c r="C75" s="556">
        <f>+'01 Prod Physique Boites'!E459</f>
        <v>4750000</v>
      </c>
      <c r="D75" s="557">
        <f>+'01 Prod Physique Boites'!L459</f>
        <v>754590</v>
      </c>
      <c r="E75" s="558">
        <f>IFERROR(D75/C75,"-")</f>
        <v>0.15886105263157896</v>
      </c>
      <c r="F75" s="559">
        <f>+'02 Prod Valorisée Boites'!G464</f>
        <v>12739395.5778</v>
      </c>
      <c r="G75" s="557">
        <f>+'03 Prod Accessoires'!K259</f>
        <v>827850</v>
      </c>
      <c r="H75" s="560">
        <f>+'03 Prod Accessoires'!Q259</f>
        <v>3205437.645</v>
      </c>
      <c r="I75" s="560">
        <f>+'02 Prod Valorisée Boites'!J464</f>
        <v>17499768.479999997</v>
      </c>
      <c r="J75" s="561">
        <f>+'04 Ventes'!I357</f>
        <v>14019848.799999999</v>
      </c>
      <c r="K75" s="774"/>
      <c r="L75" s="774"/>
      <c r="O75" s="757"/>
    </row>
    <row r="76" spans="1:15" ht="60.6" customHeight="1" x14ac:dyDescent="0.3">
      <c r="A76" s="768" t="s">
        <v>110</v>
      </c>
      <c r="B76" s="580" t="s">
        <v>235</v>
      </c>
      <c r="C76" s="562">
        <f>+'01 Prod Physique Boites'!E474</f>
        <v>1252125</v>
      </c>
      <c r="D76" s="563">
        <f>+'01 Prod Physique Boites'!L474</f>
        <v>347930</v>
      </c>
      <c r="E76" s="564">
        <f t="shared" ref="E76:E84" si="38">IFERROR(D76/C76,"-")</f>
        <v>0.27787161824897672</v>
      </c>
      <c r="F76" s="565">
        <f>+'02 Prod Valorisée Boites'!G479</f>
        <v>9454424.6829999983</v>
      </c>
      <c r="G76" s="563">
        <f>+'03 Prod Accessoires'!K267</f>
        <v>135600</v>
      </c>
      <c r="H76" s="566">
        <f>+'03 Prod Accessoires'!Q267</f>
        <v>1120339.56</v>
      </c>
      <c r="I76" s="566">
        <f>+'02 Prod Valorisée Boites'!J479</f>
        <v>12127362.5</v>
      </c>
      <c r="J76" s="567">
        <f>+'04 Ventes'!I369</f>
        <v>5446068</v>
      </c>
      <c r="K76" s="774"/>
      <c r="L76" s="774"/>
      <c r="O76" s="757"/>
    </row>
    <row r="77" spans="1:15" ht="60.6" customHeight="1" thickBot="1" x14ac:dyDescent="0.35">
      <c r="A77" s="277" t="s">
        <v>110</v>
      </c>
      <c r="B77" s="278" t="s">
        <v>236</v>
      </c>
      <c r="C77" s="562"/>
      <c r="D77" s="563"/>
      <c r="E77" s="564" t="str">
        <f t="shared" si="38"/>
        <v>-</v>
      </c>
      <c r="F77" s="565"/>
      <c r="G77" s="563"/>
      <c r="H77" s="566"/>
      <c r="I77" s="566"/>
      <c r="J77" s="567">
        <f>+'04 Ventes'!I373</f>
        <v>3835</v>
      </c>
    </row>
    <row r="78" spans="1:15" s="297" customFormat="1" ht="60.6" customHeight="1" thickBot="1" x14ac:dyDescent="0.35">
      <c r="A78" s="321" t="s">
        <v>110</v>
      </c>
      <c r="B78" s="436" t="s">
        <v>237</v>
      </c>
      <c r="C78" s="568">
        <f>SUM(C75:C77)</f>
        <v>6002125</v>
      </c>
      <c r="D78" s="569">
        <f t="shared" ref="D78" si="39">SUM(D75:D77)</f>
        <v>1102520</v>
      </c>
      <c r="E78" s="570">
        <f t="shared" si="38"/>
        <v>0.18368827706853821</v>
      </c>
      <c r="F78" s="571">
        <f>SUM(F75:F77)</f>
        <v>22193820.260799997</v>
      </c>
      <c r="G78" s="569">
        <f t="shared" ref="G78:H78" si="40">SUM(G75:G77)</f>
        <v>963450</v>
      </c>
      <c r="H78" s="571">
        <f t="shared" si="40"/>
        <v>4325777.2050000001</v>
      </c>
      <c r="I78" s="571">
        <f>SUM(I75:I77)</f>
        <v>29627130.979999997</v>
      </c>
      <c r="J78" s="572">
        <f t="shared" ref="J78" si="41">SUM(J75:J77)</f>
        <v>19469751.799999997</v>
      </c>
    </row>
    <row r="79" spans="1:15" ht="60.6" customHeight="1" x14ac:dyDescent="0.3">
      <c r="A79" s="271" t="s">
        <v>108</v>
      </c>
      <c r="B79" s="579" t="s">
        <v>234</v>
      </c>
      <c r="C79" s="556">
        <f>+'01 Prod Physique Boites'!E503</f>
        <v>3112056</v>
      </c>
      <c r="D79" s="557">
        <f>+'01 Prod Physique Boites'!L504</f>
        <v>830934</v>
      </c>
      <c r="E79" s="558">
        <f t="shared" si="38"/>
        <v>0.26700483538856629</v>
      </c>
      <c r="F79" s="559">
        <f>+'02 Prod Valorisée Boites'!G509</f>
        <v>15243544.836000001</v>
      </c>
      <c r="G79" s="557">
        <f>+'03 Prod Accessoires'!K277</f>
        <v>0</v>
      </c>
      <c r="H79" s="560">
        <f>+'03 Prod Accessoires'!Q277</f>
        <v>0</v>
      </c>
      <c r="I79" s="560">
        <f>+'02 Prod Valorisée Boites'!J509</f>
        <v>21123315.719999999</v>
      </c>
      <c r="J79" s="573">
        <f>+'04 Ventes'!I396</f>
        <v>511478.95999999996</v>
      </c>
      <c r="L79" s="774"/>
      <c r="O79" s="757"/>
    </row>
    <row r="80" spans="1:15" ht="60.6" customHeight="1" thickBot="1" x14ac:dyDescent="0.35">
      <c r="A80" s="768" t="s">
        <v>108</v>
      </c>
      <c r="B80" s="298" t="s">
        <v>236</v>
      </c>
      <c r="C80" s="574"/>
      <c r="D80" s="563"/>
      <c r="E80" s="564" t="str">
        <f t="shared" si="38"/>
        <v>-</v>
      </c>
      <c r="F80" s="565"/>
      <c r="G80" s="563"/>
      <c r="H80" s="566"/>
      <c r="I80" s="566"/>
      <c r="J80" s="575"/>
    </row>
    <row r="81" spans="1:15" s="297" customFormat="1" ht="60.6" customHeight="1" thickBot="1" x14ac:dyDescent="0.35">
      <c r="A81" s="321" t="s">
        <v>108</v>
      </c>
      <c r="B81" s="436" t="s">
        <v>238</v>
      </c>
      <c r="C81" s="568">
        <f>SUM(C79:C80)</f>
        <v>3112056</v>
      </c>
      <c r="D81" s="569">
        <f t="shared" ref="D81" si="42">SUM(D79:D80)</f>
        <v>830934</v>
      </c>
      <c r="E81" s="570">
        <f t="shared" si="38"/>
        <v>0.26700483538856629</v>
      </c>
      <c r="F81" s="571">
        <f t="shared" ref="F81:J81" si="43">SUM(F79:F80)</f>
        <v>15243544.836000001</v>
      </c>
      <c r="G81" s="569">
        <f t="shared" si="43"/>
        <v>0</v>
      </c>
      <c r="H81" s="571">
        <f t="shared" si="43"/>
        <v>0</v>
      </c>
      <c r="I81" s="571">
        <f t="shared" si="43"/>
        <v>21123315.719999999</v>
      </c>
      <c r="J81" s="572">
        <f t="shared" si="43"/>
        <v>511478.95999999996</v>
      </c>
    </row>
    <row r="82" spans="1:15" ht="60.6" customHeight="1" x14ac:dyDescent="0.3">
      <c r="A82" s="271" t="s">
        <v>109</v>
      </c>
      <c r="B82" s="581" t="s">
        <v>235</v>
      </c>
      <c r="C82" s="560">
        <f>+'01 Prod Physique Boites'!E530</f>
        <v>1144800</v>
      </c>
      <c r="D82" s="557">
        <f>+'01 Prod Physique Boites'!L531</f>
        <v>143744</v>
      </c>
      <c r="E82" s="558">
        <f t="shared" si="38"/>
        <v>0.12556254367575123</v>
      </c>
      <c r="F82" s="559">
        <f>+'02 Prod Valorisée Boites'!G535</f>
        <v>6363766.8912000004</v>
      </c>
      <c r="G82" s="557">
        <f>+'03 Prod Accessoires'!K311</f>
        <v>533159</v>
      </c>
      <c r="H82" s="560">
        <f>+'03 Prod Accessoires'!Q311</f>
        <v>3976924.8887</v>
      </c>
      <c r="I82" s="560">
        <f>+'02 Prod Valorisée Boites'!J535</f>
        <v>12383954.399999999</v>
      </c>
      <c r="J82" s="573">
        <f>+'04 Ventes'!I417</f>
        <v>11114177.1</v>
      </c>
      <c r="K82" s="774"/>
      <c r="L82" s="774"/>
      <c r="O82" s="757"/>
    </row>
    <row r="83" spans="1:15" ht="60.6" customHeight="1" thickBot="1" x14ac:dyDescent="0.35">
      <c r="A83" s="768" t="s">
        <v>109</v>
      </c>
      <c r="B83" s="306" t="s">
        <v>236</v>
      </c>
      <c r="C83" s="566"/>
      <c r="D83" s="576"/>
      <c r="E83" s="577" t="str">
        <f t="shared" si="38"/>
        <v>-</v>
      </c>
      <c r="F83" s="578"/>
      <c r="G83" s="563"/>
      <c r="H83" s="566"/>
      <c r="I83" s="566"/>
      <c r="J83" s="575"/>
    </row>
    <row r="84" spans="1:15" s="297" customFormat="1" ht="60.6" customHeight="1" thickBot="1" x14ac:dyDescent="0.35">
      <c r="A84" s="321" t="s">
        <v>109</v>
      </c>
      <c r="B84" s="436" t="s">
        <v>239</v>
      </c>
      <c r="C84" s="568">
        <f>SUM(C82:C83)</f>
        <v>1144800</v>
      </c>
      <c r="D84" s="569">
        <f t="shared" ref="D84" si="44">SUM(D82:D83)</f>
        <v>143744</v>
      </c>
      <c r="E84" s="570">
        <f t="shared" si="38"/>
        <v>0.12556254367575123</v>
      </c>
      <c r="F84" s="571">
        <f t="shared" ref="F84:J84" si="45">SUM(F82:F83)</f>
        <v>6363766.8912000004</v>
      </c>
      <c r="G84" s="569">
        <f t="shared" si="45"/>
        <v>533159</v>
      </c>
      <c r="H84" s="571">
        <f t="shared" si="45"/>
        <v>3976924.8887</v>
      </c>
      <c r="I84" s="571">
        <f t="shared" si="45"/>
        <v>12383954.399999999</v>
      </c>
      <c r="J84" s="572">
        <f t="shared" si="45"/>
        <v>11114177.1</v>
      </c>
    </row>
    <row r="85" spans="1:15" ht="57.6" customHeight="1" thickBot="1" x14ac:dyDescent="0.35">
      <c r="A85" s="642"/>
      <c r="B85" s="554" t="s">
        <v>182</v>
      </c>
      <c r="C85" s="555">
        <f>+C78+C81+C84</f>
        <v>10258981</v>
      </c>
      <c r="D85" s="582">
        <f t="shared" ref="D85" si="46">+D78+D81+D84</f>
        <v>2077198</v>
      </c>
      <c r="E85" s="583">
        <f>IFERROR(D85/C85,"-")</f>
        <v>0.20247605488303372</v>
      </c>
      <c r="F85" s="582">
        <f>+F78+F81+F84</f>
        <v>43801131.987999998</v>
      </c>
      <c r="G85" s="582">
        <f t="shared" ref="G85:H85" si="47">+G78+G81+G84</f>
        <v>1496609</v>
      </c>
      <c r="H85" s="582">
        <f t="shared" si="47"/>
        <v>8302702.0937000001</v>
      </c>
      <c r="I85" s="582">
        <f>+I78+I81+I84</f>
        <v>63134401.099999994</v>
      </c>
      <c r="J85" s="643">
        <f t="shared" ref="J85" si="48">+J78+J81+J84</f>
        <v>31095407.859999999</v>
      </c>
    </row>
    <row r="86" spans="1:15" ht="41.4" customHeight="1" x14ac:dyDescent="0.3">
      <c r="A86" s="991" t="s">
        <v>1</v>
      </c>
      <c r="B86" s="997" t="s">
        <v>3</v>
      </c>
      <c r="C86" s="997" t="s">
        <v>240</v>
      </c>
      <c r="D86" s="1088" t="s">
        <v>458</v>
      </c>
      <c r="E86" s="1089"/>
      <c r="F86" s="1089"/>
      <c r="G86" s="1089"/>
      <c r="H86" s="1090"/>
      <c r="I86" s="1091" t="s">
        <v>246</v>
      </c>
      <c r="J86" s="1091" t="s">
        <v>245</v>
      </c>
    </row>
    <row r="87" spans="1:15" ht="41.4" customHeight="1" x14ac:dyDescent="0.3">
      <c r="A87" s="1070"/>
      <c r="B87" s="1087"/>
      <c r="C87" s="1087"/>
      <c r="D87" s="1094" t="s">
        <v>248</v>
      </c>
      <c r="E87" s="1095"/>
      <c r="F87" s="1096"/>
      <c r="G87" s="1094" t="s">
        <v>243</v>
      </c>
      <c r="H87" s="1096"/>
      <c r="I87" s="1092"/>
      <c r="J87" s="1092"/>
    </row>
    <row r="88" spans="1:15" ht="25.95" customHeight="1" x14ac:dyDescent="0.3">
      <c r="A88" s="992"/>
      <c r="B88" s="998"/>
      <c r="C88" s="998"/>
      <c r="D88" s="1097" t="s">
        <v>241</v>
      </c>
      <c r="E88" s="1099" t="s">
        <v>9</v>
      </c>
      <c r="F88" s="1101" t="s">
        <v>242</v>
      </c>
      <c r="G88" s="1103" t="s">
        <v>244</v>
      </c>
      <c r="H88" s="1105" t="s">
        <v>242</v>
      </c>
      <c r="I88" s="1092"/>
      <c r="J88" s="1092"/>
    </row>
    <row r="89" spans="1:15" ht="25.95" customHeight="1" thickBot="1" x14ac:dyDescent="0.35">
      <c r="A89" s="993"/>
      <c r="B89" s="999"/>
      <c r="C89" s="999"/>
      <c r="D89" s="1098"/>
      <c r="E89" s="1100"/>
      <c r="F89" s="1102"/>
      <c r="G89" s="1104"/>
      <c r="H89" s="1106"/>
      <c r="I89" s="1093"/>
      <c r="J89" s="1093"/>
    </row>
    <row r="90" spans="1:15" ht="60.6" customHeight="1" x14ac:dyDescent="0.3">
      <c r="A90" s="271" t="s">
        <v>110</v>
      </c>
      <c r="B90" s="579" t="s">
        <v>234</v>
      </c>
      <c r="C90" s="556">
        <f>+'01 Prod Physique Boites'!E565</f>
        <v>4750000</v>
      </c>
      <c r="D90" s="557">
        <f>+'01 Prod Physique Boites'!L565</f>
        <v>862024</v>
      </c>
      <c r="E90" s="558">
        <f>IFERROR(D90/C90,"-")</f>
        <v>0.18147873684210528</v>
      </c>
      <c r="F90" s="559">
        <f>+'02 Prod Valorisée Boites'!G570</f>
        <v>15205036.6216</v>
      </c>
      <c r="G90" s="557">
        <f>+'03 Prod Accessoires'!K321</f>
        <v>1034640</v>
      </c>
      <c r="H90" s="560">
        <f>+'03 Prod Accessoires'!Q321</f>
        <v>3844816.7459999998</v>
      </c>
      <c r="I90" s="560">
        <f>+'02 Prod Valorisée Boites'!J570</f>
        <v>19483351.199999999</v>
      </c>
      <c r="J90" s="561">
        <f>+'04 Ventes'!I439</f>
        <v>16821246.399999999</v>
      </c>
      <c r="K90" s="774"/>
      <c r="L90" s="774"/>
      <c r="O90" s="757"/>
    </row>
    <row r="91" spans="1:15" ht="60.6" customHeight="1" x14ac:dyDescent="0.3">
      <c r="A91" s="783" t="s">
        <v>110</v>
      </c>
      <c r="B91" s="580" t="s">
        <v>235</v>
      </c>
      <c r="C91" s="562">
        <f>+'01 Prod Physique Boites'!E580</f>
        <v>1252125</v>
      </c>
      <c r="D91" s="563">
        <f>+'01 Prod Physique Boites'!L580</f>
        <v>363920</v>
      </c>
      <c r="E91" s="564">
        <f t="shared" ref="E91:E99" si="49">IFERROR(D91/C91,"-")</f>
        <v>0.29064190875511631</v>
      </c>
      <c r="F91" s="565">
        <f>+'02 Prod Valorisée Boites'!G585</f>
        <v>11077305.748</v>
      </c>
      <c r="G91" s="563">
        <f>+'03 Prod Accessoires'!K329</f>
        <v>165840</v>
      </c>
      <c r="H91" s="566">
        <f>+'03 Prod Accessoires'!Q329</f>
        <v>1560025.344</v>
      </c>
      <c r="I91" s="566">
        <f>+'02 Prod Valorisée Boites'!J585</f>
        <v>14692958</v>
      </c>
      <c r="J91" s="567">
        <f>+'04 Ventes'!I451</f>
        <v>12151491.5</v>
      </c>
      <c r="K91" s="774"/>
      <c r="L91" s="774"/>
      <c r="O91" s="757"/>
    </row>
    <row r="92" spans="1:15" ht="60.6" customHeight="1" thickBot="1" x14ac:dyDescent="0.35">
      <c r="A92" s="277" t="s">
        <v>110</v>
      </c>
      <c r="B92" s="278" t="s">
        <v>236</v>
      </c>
      <c r="C92" s="562"/>
      <c r="D92" s="563"/>
      <c r="E92" s="564" t="str">
        <f t="shared" si="49"/>
        <v>-</v>
      </c>
      <c r="F92" s="565"/>
      <c r="G92" s="563"/>
      <c r="H92" s="566"/>
      <c r="I92" s="566"/>
      <c r="J92" s="567">
        <f>+'04 Ventes'!I455</f>
        <v>3835</v>
      </c>
    </row>
    <row r="93" spans="1:15" s="297" customFormat="1" ht="60.6" customHeight="1" thickBot="1" x14ac:dyDescent="0.35">
      <c r="A93" s="321" t="s">
        <v>110</v>
      </c>
      <c r="B93" s="436" t="s">
        <v>237</v>
      </c>
      <c r="C93" s="568">
        <f>SUM(C90:C92)</f>
        <v>6002125</v>
      </c>
      <c r="D93" s="569">
        <f t="shared" ref="D93" si="50">SUM(D90:D92)</f>
        <v>1225944</v>
      </c>
      <c r="E93" s="570">
        <f t="shared" si="49"/>
        <v>0.20425166087010851</v>
      </c>
      <c r="F93" s="571">
        <f>SUM(F90:F92)</f>
        <v>26282342.369599998</v>
      </c>
      <c r="G93" s="569">
        <f t="shared" ref="G93:H93" si="51">SUM(G90:G92)</f>
        <v>1200480</v>
      </c>
      <c r="H93" s="571">
        <f t="shared" si="51"/>
        <v>5404842.0899999999</v>
      </c>
      <c r="I93" s="571">
        <f>SUM(I90:I92)</f>
        <v>34176309.200000003</v>
      </c>
      <c r="J93" s="572">
        <f t="shared" ref="J93" si="52">SUM(J90:J92)</f>
        <v>28976572.899999999</v>
      </c>
    </row>
    <row r="94" spans="1:15" ht="60.6" customHeight="1" x14ac:dyDescent="0.3">
      <c r="A94" s="271" t="s">
        <v>108</v>
      </c>
      <c r="B94" s="579" t="s">
        <v>234</v>
      </c>
      <c r="C94" s="556">
        <f>+'01 Prod Physique Boites'!E610</f>
        <v>3112056</v>
      </c>
      <c r="D94" s="557">
        <f>+'01 Prod Physique Boites'!L610</f>
        <v>1021878</v>
      </c>
      <c r="E94" s="558">
        <f t="shared" si="49"/>
        <v>0.32836105777016866</v>
      </c>
      <c r="F94" s="559">
        <f>+'02 Prod Valorisée Boites'!G615</f>
        <v>18364562.704800002</v>
      </c>
      <c r="G94" s="557">
        <f>+'03 Prod Accessoires'!K338</f>
        <v>77500</v>
      </c>
      <c r="H94" s="560">
        <f>+'03 Prod Accessoires'!Q338</f>
        <v>190386.5</v>
      </c>
      <c r="I94" s="560">
        <f>+'02 Prod Valorisée Boites'!J615</f>
        <v>25663964.039999999</v>
      </c>
      <c r="J94" s="573">
        <f>+'04 Ventes'!I478</f>
        <v>511478.95999999996</v>
      </c>
      <c r="L94" s="774"/>
      <c r="O94" s="757"/>
    </row>
    <row r="95" spans="1:15" ht="60.6" customHeight="1" thickBot="1" x14ac:dyDescent="0.35">
      <c r="A95" s="783" t="s">
        <v>108</v>
      </c>
      <c r="B95" s="298" t="s">
        <v>236</v>
      </c>
      <c r="C95" s="574"/>
      <c r="D95" s="563"/>
      <c r="E95" s="564" t="str">
        <f t="shared" si="49"/>
        <v>-</v>
      </c>
      <c r="F95" s="565"/>
      <c r="G95" s="563"/>
      <c r="H95" s="566"/>
      <c r="I95" s="566"/>
      <c r="J95" s="575"/>
    </row>
    <row r="96" spans="1:15" s="297" customFormat="1" ht="60.6" customHeight="1" thickBot="1" x14ac:dyDescent="0.35">
      <c r="A96" s="321" t="s">
        <v>108</v>
      </c>
      <c r="B96" s="436" t="s">
        <v>238</v>
      </c>
      <c r="C96" s="568">
        <f>SUM(C94:C95)</f>
        <v>3112056</v>
      </c>
      <c r="D96" s="569">
        <f t="shared" ref="D96" si="53">SUM(D94:D95)</f>
        <v>1021878</v>
      </c>
      <c r="E96" s="570">
        <f t="shared" si="49"/>
        <v>0.32836105777016866</v>
      </c>
      <c r="F96" s="571">
        <f t="shared" ref="F96:J96" si="54">SUM(F94:F95)</f>
        <v>18364562.704800002</v>
      </c>
      <c r="G96" s="569">
        <f t="shared" si="54"/>
        <v>77500</v>
      </c>
      <c r="H96" s="571">
        <f t="shared" si="54"/>
        <v>190386.5</v>
      </c>
      <c r="I96" s="571">
        <f t="shared" si="54"/>
        <v>25663964.039999999</v>
      </c>
      <c r="J96" s="572">
        <f t="shared" si="54"/>
        <v>511478.95999999996</v>
      </c>
    </row>
    <row r="97" spans="1:15" ht="60.6" customHeight="1" x14ac:dyDescent="0.3">
      <c r="A97" s="271" t="s">
        <v>109</v>
      </c>
      <c r="B97" s="581" t="s">
        <v>235</v>
      </c>
      <c r="C97" s="560">
        <f>+'01 Prod Physique Boites'!E637</f>
        <v>1144800</v>
      </c>
      <c r="D97" s="557">
        <f>+'01 Prod Physique Boites'!L637</f>
        <v>172460</v>
      </c>
      <c r="E97" s="558">
        <f t="shared" si="49"/>
        <v>0.15064640111809924</v>
      </c>
      <c r="F97" s="559">
        <f>+'02 Prod Valorisée Boites'!G641</f>
        <v>8167227.6323999995</v>
      </c>
      <c r="G97" s="557">
        <f>+'03 Prod Accessoires'!K373</f>
        <v>675059</v>
      </c>
      <c r="H97" s="560">
        <f>+'03 Prod Accessoires'!Q373</f>
        <v>4851664.2731999997</v>
      </c>
      <c r="I97" s="560">
        <f>+'02 Prod Valorisée Boites'!J641</f>
        <v>15746247.839999998</v>
      </c>
      <c r="J97" s="573">
        <f>+'04 Ventes'!I499</f>
        <v>11114177.1</v>
      </c>
      <c r="K97" s="774"/>
      <c r="L97" s="774"/>
      <c r="O97" s="757"/>
    </row>
    <row r="98" spans="1:15" ht="60.6" customHeight="1" thickBot="1" x14ac:dyDescent="0.35">
      <c r="A98" s="783" t="s">
        <v>109</v>
      </c>
      <c r="B98" s="306" t="s">
        <v>236</v>
      </c>
      <c r="C98" s="566"/>
      <c r="D98" s="576"/>
      <c r="E98" s="577" t="str">
        <f t="shared" si="49"/>
        <v>-</v>
      </c>
      <c r="F98" s="578"/>
      <c r="G98" s="563"/>
      <c r="H98" s="566"/>
      <c r="I98" s="566"/>
      <c r="J98" s="575"/>
    </row>
    <row r="99" spans="1:15" s="297" customFormat="1" ht="60.6" customHeight="1" thickBot="1" x14ac:dyDescent="0.35">
      <c r="A99" s="321" t="s">
        <v>109</v>
      </c>
      <c r="B99" s="436" t="s">
        <v>239</v>
      </c>
      <c r="C99" s="568">
        <f>SUM(C97:C98)</f>
        <v>1144800</v>
      </c>
      <c r="D99" s="569">
        <f t="shared" ref="D99" si="55">SUM(D97:D98)</f>
        <v>172460</v>
      </c>
      <c r="E99" s="570">
        <f t="shared" si="49"/>
        <v>0.15064640111809924</v>
      </c>
      <c r="F99" s="571">
        <f t="shared" ref="F99:J99" si="56">SUM(F97:F98)</f>
        <v>8167227.6323999995</v>
      </c>
      <c r="G99" s="569">
        <f t="shared" si="56"/>
        <v>675059</v>
      </c>
      <c r="H99" s="571">
        <f t="shared" si="56"/>
        <v>4851664.2731999997</v>
      </c>
      <c r="I99" s="571">
        <f t="shared" si="56"/>
        <v>15746247.839999998</v>
      </c>
      <c r="J99" s="572">
        <f t="shared" si="56"/>
        <v>11114177.1</v>
      </c>
    </row>
    <row r="100" spans="1:15" ht="57.6" customHeight="1" thickBot="1" x14ac:dyDescent="0.35">
      <c r="A100" s="642"/>
      <c r="B100" s="554" t="s">
        <v>182</v>
      </c>
      <c r="C100" s="555">
        <f>+C93+C96+C99</f>
        <v>10258981</v>
      </c>
      <c r="D100" s="582">
        <f t="shared" ref="D100" si="57">+D93+D96+D99</f>
        <v>2420282</v>
      </c>
      <c r="E100" s="583">
        <f>IFERROR(D100/C100,"-")</f>
        <v>0.23591836265219712</v>
      </c>
      <c r="F100" s="582">
        <f>+F93+F96+F99</f>
        <v>52814132.706799999</v>
      </c>
      <c r="G100" s="582">
        <f t="shared" ref="G100:H100" si="58">+G93+G96+G99</f>
        <v>1953039</v>
      </c>
      <c r="H100" s="582">
        <f t="shared" si="58"/>
        <v>10446892.8632</v>
      </c>
      <c r="I100" s="582">
        <f>+I93+I96+I99</f>
        <v>75586521.079999998</v>
      </c>
      <c r="J100" s="643">
        <f t="shared" ref="J100" si="59">+J93+J96+J99</f>
        <v>40602228.960000001</v>
      </c>
    </row>
    <row r="101" spans="1:15" ht="41.4" customHeight="1" x14ac:dyDescent="0.3">
      <c r="A101" s="991" t="s">
        <v>1</v>
      </c>
      <c r="B101" s="997" t="s">
        <v>3</v>
      </c>
      <c r="C101" s="997" t="s">
        <v>240</v>
      </c>
      <c r="D101" s="1088" t="s">
        <v>462</v>
      </c>
      <c r="E101" s="1089"/>
      <c r="F101" s="1089"/>
      <c r="G101" s="1089"/>
      <c r="H101" s="1090"/>
      <c r="I101" s="1091" t="s">
        <v>246</v>
      </c>
      <c r="J101" s="1091" t="s">
        <v>245</v>
      </c>
    </row>
    <row r="102" spans="1:15" ht="41.4" customHeight="1" x14ac:dyDescent="0.3">
      <c r="A102" s="1070"/>
      <c r="B102" s="1087"/>
      <c r="C102" s="1087"/>
      <c r="D102" s="1094" t="s">
        <v>248</v>
      </c>
      <c r="E102" s="1095"/>
      <c r="F102" s="1096"/>
      <c r="G102" s="1094" t="s">
        <v>243</v>
      </c>
      <c r="H102" s="1096"/>
      <c r="I102" s="1092"/>
      <c r="J102" s="1092"/>
    </row>
    <row r="103" spans="1:15" ht="25.95" customHeight="1" x14ac:dyDescent="0.3">
      <c r="A103" s="992"/>
      <c r="B103" s="998"/>
      <c r="C103" s="998"/>
      <c r="D103" s="1097" t="s">
        <v>241</v>
      </c>
      <c r="E103" s="1099" t="s">
        <v>9</v>
      </c>
      <c r="F103" s="1101" t="s">
        <v>242</v>
      </c>
      <c r="G103" s="1103" t="s">
        <v>244</v>
      </c>
      <c r="H103" s="1105" t="s">
        <v>242</v>
      </c>
      <c r="I103" s="1092"/>
      <c r="J103" s="1092"/>
    </row>
    <row r="104" spans="1:15" ht="25.95" customHeight="1" thickBot="1" x14ac:dyDescent="0.35">
      <c r="A104" s="993"/>
      <c r="B104" s="999"/>
      <c r="C104" s="999"/>
      <c r="D104" s="1098"/>
      <c r="E104" s="1100"/>
      <c r="F104" s="1102"/>
      <c r="G104" s="1104"/>
      <c r="H104" s="1106"/>
      <c r="I104" s="1093"/>
      <c r="J104" s="1093"/>
    </row>
    <row r="105" spans="1:15" ht="60.6" customHeight="1" x14ac:dyDescent="0.3">
      <c r="A105" s="271" t="s">
        <v>110</v>
      </c>
      <c r="B105" s="579" t="s">
        <v>234</v>
      </c>
      <c r="C105" s="556">
        <f>+'01 Prod Physique Boites'!E671</f>
        <v>4750000</v>
      </c>
      <c r="D105" s="557">
        <f>+'01 Prod Physique Boites'!L671</f>
        <v>993445</v>
      </c>
      <c r="E105" s="558">
        <f>IFERROR(D105/C105,"-")</f>
        <v>0.20914631578947368</v>
      </c>
      <c r="F105" s="559">
        <f>+'02 Prod Valorisée Boites'!G676</f>
        <v>17530521.976299997</v>
      </c>
      <c r="G105" s="557">
        <f>+'03 Prod Accessoires'!K383</f>
        <v>1114140</v>
      </c>
      <c r="H105" s="560">
        <f>+'03 Prod Accessoires'!Q383</f>
        <v>4252959.3960000006</v>
      </c>
      <c r="I105" s="560">
        <f>+'02 Prod Valorisée Boites'!J676</f>
        <v>22075783.199999999</v>
      </c>
      <c r="J105" s="561">
        <f>+'04 Ventes'!I521</f>
        <v>20852003.199999999</v>
      </c>
      <c r="K105" s="774"/>
      <c r="L105" s="774"/>
      <c r="O105" s="757"/>
    </row>
    <row r="106" spans="1:15" ht="60.6" customHeight="1" x14ac:dyDescent="0.3">
      <c r="A106" s="793" t="s">
        <v>110</v>
      </c>
      <c r="B106" s="580" t="s">
        <v>235</v>
      </c>
      <c r="C106" s="562">
        <f>+'01 Prod Physique Boites'!E686</f>
        <v>1252125</v>
      </c>
      <c r="D106" s="563">
        <f>+'01 Prod Physique Boites'!L686</f>
        <v>379900</v>
      </c>
      <c r="E106" s="564">
        <f t="shared" ref="E106:E114" si="60">IFERROR(D106/C106,"-")</f>
        <v>0.30340421283817509</v>
      </c>
      <c r="F106" s="565">
        <f>+'02 Prod Valorisée Boites'!G691</f>
        <v>12543399.535999998</v>
      </c>
      <c r="G106" s="563">
        <f>+'03 Prod Accessoires'!K391</f>
        <v>234840</v>
      </c>
      <c r="H106" s="566">
        <f>+'03 Prod Accessoires'!Q391</f>
        <v>1745234.844</v>
      </c>
      <c r="I106" s="566">
        <f>+'02 Prod Valorisée Boites'!J691</f>
        <v>16993708</v>
      </c>
      <c r="J106" s="567">
        <f>+'04 Ventes'!I533</f>
        <v>14117004</v>
      </c>
      <c r="K106" s="774"/>
      <c r="L106" s="774"/>
      <c r="O106" s="757"/>
    </row>
    <row r="107" spans="1:15" ht="60.6" customHeight="1" thickBot="1" x14ac:dyDescent="0.35">
      <c r="A107" s="277" t="s">
        <v>110</v>
      </c>
      <c r="B107" s="278" t="s">
        <v>236</v>
      </c>
      <c r="C107" s="562"/>
      <c r="D107" s="563"/>
      <c r="E107" s="564" t="str">
        <f t="shared" si="60"/>
        <v>-</v>
      </c>
      <c r="F107" s="565"/>
      <c r="G107" s="563"/>
      <c r="H107" s="566"/>
      <c r="I107" s="566"/>
      <c r="J107" s="567">
        <f>+'04 Ventes'!I538</f>
        <v>5421.5</v>
      </c>
    </row>
    <row r="108" spans="1:15" s="297" customFormat="1" ht="60.6" customHeight="1" thickBot="1" x14ac:dyDescent="0.35">
      <c r="A108" s="321" t="s">
        <v>110</v>
      </c>
      <c r="B108" s="436" t="s">
        <v>237</v>
      </c>
      <c r="C108" s="568">
        <f>SUM(C105:C107)</f>
        <v>6002125</v>
      </c>
      <c r="D108" s="569">
        <f t="shared" ref="D108" si="61">SUM(D105:D107)</f>
        <v>1373345</v>
      </c>
      <c r="E108" s="570">
        <f t="shared" si="60"/>
        <v>0.22880979653039549</v>
      </c>
      <c r="F108" s="571">
        <f>SUM(F105:F107)</f>
        <v>30073921.512299996</v>
      </c>
      <c r="G108" s="569">
        <f t="shared" ref="G108:H108" si="62">SUM(G105:G107)</f>
        <v>1348980</v>
      </c>
      <c r="H108" s="571">
        <f t="shared" si="62"/>
        <v>5998194.2400000002</v>
      </c>
      <c r="I108" s="571">
        <f>SUM(I105:I107)</f>
        <v>39069491.200000003</v>
      </c>
      <c r="J108" s="572">
        <f t="shared" ref="J108" si="63">SUM(J105:J107)</f>
        <v>34974428.700000003</v>
      </c>
    </row>
    <row r="109" spans="1:15" ht="60.6" customHeight="1" x14ac:dyDescent="0.3">
      <c r="A109" s="271" t="s">
        <v>108</v>
      </c>
      <c r="B109" s="579" t="s">
        <v>234</v>
      </c>
      <c r="C109" s="556">
        <f>+'01 Prod Physique Boites'!E715</f>
        <v>3112056</v>
      </c>
      <c r="D109" s="557">
        <f>+'01 Prod Physique Boites'!L715</f>
        <v>1307520</v>
      </c>
      <c r="E109" s="558">
        <f t="shared" si="60"/>
        <v>0.42014668116512044</v>
      </c>
      <c r="F109" s="559">
        <f>+'02 Prod Valorisée Boites'!G721</f>
        <v>23892054.984000001</v>
      </c>
      <c r="G109" s="557">
        <f>+'03 Prod Accessoires'!K400</f>
        <v>364750</v>
      </c>
      <c r="H109" s="560">
        <f>+'03 Prod Accessoires'!Q401</f>
        <v>807592.97500000009</v>
      </c>
      <c r="I109" s="560">
        <f>+'02 Prod Valorisée Boites'!J721</f>
        <v>33387073.739999998</v>
      </c>
      <c r="J109" s="573">
        <f>+'04 Ventes'!I561</f>
        <v>511478.95999999996</v>
      </c>
      <c r="L109" s="774"/>
      <c r="O109" s="757"/>
    </row>
    <row r="110" spans="1:15" ht="60.6" customHeight="1" thickBot="1" x14ac:dyDescent="0.35">
      <c r="A110" s="793" t="s">
        <v>108</v>
      </c>
      <c r="B110" s="298" t="s">
        <v>236</v>
      </c>
      <c r="C110" s="574"/>
      <c r="D110" s="563"/>
      <c r="E110" s="564" t="str">
        <f t="shared" si="60"/>
        <v>-</v>
      </c>
      <c r="F110" s="565"/>
      <c r="G110" s="563"/>
      <c r="H110" s="566"/>
      <c r="I110" s="566"/>
      <c r="J110" s="575"/>
    </row>
    <row r="111" spans="1:15" s="297" customFormat="1" ht="60.6" customHeight="1" thickBot="1" x14ac:dyDescent="0.35">
      <c r="A111" s="321" t="s">
        <v>108</v>
      </c>
      <c r="B111" s="436" t="s">
        <v>238</v>
      </c>
      <c r="C111" s="568">
        <f>SUM(C109:C110)</f>
        <v>3112056</v>
      </c>
      <c r="D111" s="569">
        <f t="shared" ref="D111" si="64">SUM(D109:D110)</f>
        <v>1307520</v>
      </c>
      <c r="E111" s="570">
        <f t="shared" si="60"/>
        <v>0.42014668116512044</v>
      </c>
      <c r="F111" s="571">
        <f t="shared" ref="F111:J111" si="65">SUM(F109:F110)</f>
        <v>23892054.984000001</v>
      </c>
      <c r="G111" s="569">
        <f t="shared" si="65"/>
        <v>364750</v>
      </c>
      <c r="H111" s="571">
        <f t="shared" si="65"/>
        <v>807592.97500000009</v>
      </c>
      <c r="I111" s="571">
        <f t="shared" si="65"/>
        <v>33387073.739999998</v>
      </c>
      <c r="J111" s="572">
        <f t="shared" si="65"/>
        <v>511478.95999999996</v>
      </c>
    </row>
    <row r="112" spans="1:15" ht="60.6" customHeight="1" x14ac:dyDescent="0.3">
      <c r="A112" s="271" t="s">
        <v>109</v>
      </c>
      <c r="B112" s="581" t="s">
        <v>235</v>
      </c>
      <c r="C112" s="560">
        <f>+'01 Prod Physique Boites'!E742</f>
        <v>1144800</v>
      </c>
      <c r="D112" s="557">
        <f>+'01 Prod Physique Boites'!L742</f>
        <v>218092</v>
      </c>
      <c r="E112" s="558">
        <f t="shared" si="60"/>
        <v>0.19050663871418588</v>
      </c>
      <c r="F112" s="559">
        <f>+'02 Prod Valorisée Boites'!G747</f>
        <v>10694268.5988</v>
      </c>
      <c r="G112" s="557">
        <f>+'03 Prod Accessoires'!K435</f>
        <v>883415</v>
      </c>
      <c r="H112" s="560">
        <f>+'03 Prod Accessoires'!Q435</f>
        <v>6459216.8394999998</v>
      </c>
      <c r="I112" s="560">
        <f>+'02 Prod Valorisée Boites'!J747</f>
        <v>20610690.719999999</v>
      </c>
      <c r="J112" s="573">
        <f>+'04 Ventes'!I583</f>
        <v>16151425.600000001</v>
      </c>
      <c r="K112" s="774"/>
      <c r="L112" s="774"/>
      <c r="O112" s="757"/>
    </row>
    <row r="113" spans="1:15" ht="60.6" customHeight="1" thickBot="1" x14ac:dyDescent="0.35">
      <c r="A113" s="793" t="s">
        <v>109</v>
      </c>
      <c r="B113" s="306" t="s">
        <v>236</v>
      </c>
      <c r="C113" s="566"/>
      <c r="D113" s="576"/>
      <c r="E113" s="577" t="str">
        <f t="shared" si="60"/>
        <v>-</v>
      </c>
      <c r="F113" s="578"/>
      <c r="G113" s="563"/>
      <c r="H113" s="566"/>
      <c r="I113" s="566"/>
      <c r="J113" s="575"/>
    </row>
    <row r="114" spans="1:15" s="297" customFormat="1" ht="60.6" customHeight="1" thickBot="1" x14ac:dyDescent="0.35">
      <c r="A114" s="321" t="s">
        <v>109</v>
      </c>
      <c r="B114" s="436" t="s">
        <v>239</v>
      </c>
      <c r="C114" s="568">
        <f>SUM(C112:C113)</f>
        <v>1144800</v>
      </c>
      <c r="D114" s="569">
        <f t="shared" ref="D114" si="66">SUM(D112:D113)</f>
        <v>218092</v>
      </c>
      <c r="E114" s="570">
        <f t="shared" si="60"/>
        <v>0.19050663871418588</v>
      </c>
      <c r="F114" s="571">
        <f t="shared" ref="F114:J114" si="67">SUM(F112:F113)</f>
        <v>10694268.5988</v>
      </c>
      <c r="G114" s="569">
        <f t="shared" si="67"/>
        <v>883415</v>
      </c>
      <c r="H114" s="571">
        <f t="shared" si="67"/>
        <v>6459216.8394999998</v>
      </c>
      <c r="I114" s="571">
        <f t="shared" si="67"/>
        <v>20610690.719999999</v>
      </c>
      <c r="J114" s="572">
        <f t="shared" si="67"/>
        <v>16151425.600000001</v>
      </c>
    </row>
    <row r="115" spans="1:15" ht="57.6" customHeight="1" thickBot="1" x14ac:dyDescent="0.35">
      <c r="A115" s="642"/>
      <c r="B115" s="554" t="s">
        <v>182</v>
      </c>
      <c r="C115" s="555">
        <f>+C108+C111+C114</f>
        <v>10258981</v>
      </c>
      <c r="D115" s="582">
        <f t="shared" ref="D115" si="68">+D108+D111+D114</f>
        <v>2898957</v>
      </c>
      <c r="E115" s="583">
        <f>IFERROR(D115/C115,"-")</f>
        <v>0.28257748016104134</v>
      </c>
      <c r="F115" s="582">
        <f>+F108+F111+F114</f>
        <v>64660245.095100001</v>
      </c>
      <c r="G115" s="582">
        <f t="shared" ref="G115:H115" si="69">+G108+G111+G114</f>
        <v>2597145</v>
      </c>
      <c r="H115" s="582">
        <f t="shared" si="69"/>
        <v>13265004.054499999</v>
      </c>
      <c r="I115" s="582">
        <f>+I108+I111+I114</f>
        <v>93067255.659999996</v>
      </c>
      <c r="J115" s="643">
        <f t="shared" ref="J115" si="70">+J108+J111+J114</f>
        <v>51637333.260000005</v>
      </c>
    </row>
    <row r="116" spans="1:15" ht="41.4" customHeight="1" x14ac:dyDescent="0.3">
      <c r="A116" s="991" t="s">
        <v>1</v>
      </c>
      <c r="B116" s="997" t="s">
        <v>477</v>
      </c>
      <c r="C116" s="997" t="s">
        <v>240</v>
      </c>
      <c r="D116" s="1088" t="s">
        <v>470</v>
      </c>
      <c r="E116" s="1089"/>
      <c r="F116" s="1089"/>
      <c r="G116" s="1089"/>
      <c r="H116" s="1090"/>
      <c r="I116" s="1091" t="s">
        <v>498</v>
      </c>
      <c r="J116" s="1091" t="s">
        <v>499</v>
      </c>
      <c r="K116" s="229" t="s">
        <v>502</v>
      </c>
    </row>
    <row r="117" spans="1:15" ht="41.4" customHeight="1" x14ac:dyDescent="0.3">
      <c r="A117" s="1070"/>
      <c r="B117" s="1087"/>
      <c r="C117" s="1087"/>
      <c r="D117" s="1094" t="s">
        <v>248</v>
      </c>
      <c r="E117" s="1095"/>
      <c r="F117" s="1096"/>
      <c r="G117" s="1094" t="s">
        <v>243</v>
      </c>
      <c r="H117" s="1096"/>
      <c r="I117" s="1092"/>
      <c r="J117" s="1092"/>
    </row>
    <row r="118" spans="1:15" ht="25.95" customHeight="1" x14ac:dyDescent="0.3">
      <c r="A118" s="992"/>
      <c r="B118" s="998"/>
      <c r="C118" s="998"/>
      <c r="D118" s="1097" t="s">
        <v>496</v>
      </c>
      <c r="E118" s="1099" t="s">
        <v>9</v>
      </c>
      <c r="F118" s="1101" t="s">
        <v>497</v>
      </c>
      <c r="G118" s="1103" t="s">
        <v>244</v>
      </c>
      <c r="H118" s="1105" t="s">
        <v>497</v>
      </c>
      <c r="I118" s="1092"/>
      <c r="J118" s="1092"/>
    </row>
    <row r="119" spans="1:15" ht="25.95" customHeight="1" thickBot="1" x14ac:dyDescent="0.35">
      <c r="A119" s="993"/>
      <c r="B119" s="999"/>
      <c r="C119" s="999"/>
      <c r="D119" s="1098"/>
      <c r="E119" s="1100"/>
      <c r="F119" s="1102"/>
      <c r="G119" s="1104"/>
      <c r="H119" s="1106"/>
      <c r="I119" s="1093"/>
      <c r="J119" s="1093"/>
    </row>
    <row r="120" spans="1:15" ht="60.6" customHeight="1" x14ac:dyDescent="0.3">
      <c r="A120" s="271" t="s">
        <v>110</v>
      </c>
      <c r="B120" s="579" t="s">
        <v>234</v>
      </c>
      <c r="C120" s="556">
        <f>+'01 Prod Physique Boites'!E777</f>
        <v>4750000</v>
      </c>
      <c r="D120" s="557">
        <f>+'01 Prod Physique Boites'!L777</f>
        <v>1112708</v>
      </c>
      <c r="E120" s="558">
        <f>IFERROR(D120/C120,"-")</f>
        <v>0.23425431578947367</v>
      </c>
      <c r="F120" s="559">
        <f>+'02 Prod Valorisée Boites'!G782</f>
        <v>19081262.986399997</v>
      </c>
      <c r="G120" s="557">
        <f>+'03 Prod Accessoires'!K445</f>
        <v>1272150</v>
      </c>
      <c r="H120" s="560">
        <f>+'03 Prod Accessoires'!Q445</f>
        <v>4680300.165</v>
      </c>
      <c r="I120" s="560">
        <f>+'02 Prod Valorisée Boites'!J782</f>
        <v>24601773.539999995</v>
      </c>
      <c r="J120" s="561">
        <f>+'04 Ventes'!I605</f>
        <v>26259565.600000001</v>
      </c>
      <c r="K120" s="774"/>
      <c r="L120" s="774"/>
      <c r="O120" s="757"/>
    </row>
    <row r="121" spans="1:15" ht="60.6" customHeight="1" x14ac:dyDescent="0.3">
      <c r="A121" s="804" t="s">
        <v>110</v>
      </c>
      <c r="B121" s="580" t="s">
        <v>235</v>
      </c>
      <c r="C121" s="562">
        <f>+'01 Prod Physique Boites'!E792</f>
        <v>1252125</v>
      </c>
      <c r="D121" s="563">
        <f>+'01 Prod Physique Boites'!L792</f>
        <v>394130</v>
      </c>
      <c r="E121" s="564">
        <f t="shared" ref="E121:E129" si="71">IFERROR(D121/C121,"-")</f>
        <v>0.31476889288210042</v>
      </c>
      <c r="F121" s="565">
        <f>+'02 Prod Valorisée Boites'!G797</f>
        <v>13831879.698999999</v>
      </c>
      <c r="G121" s="563">
        <f>+'03 Prod Accessoires'!K453</f>
        <v>294840</v>
      </c>
      <c r="H121" s="566">
        <f>+'03 Prod Accessoires'!Q453</f>
        <v>1822178.844</v>
      </c>
      <c r="I121" s="566">
        <f>+'02 Prod Valorisée Boites'!J797</f>
        <v>19013670.5</v>
      </c>
      <c r="J121" s="567">
        <f>+'04 Ventes'!I617</f>
        <v>16082516.5</v>
      </c>
      <c r="K121" s="774"/>
      <c r="L121" s="774"/>
      <c r="O121" s="757"/>
    </row>
    <row r="122" spans="1:15" ht="60.6" customHeight="1" thickBot="1" x14ac:dyDescent="0.35">
      <c r="A122" s="277" t="s">
        <v>110</v>
      </c>
      <c r="B122" s="278" t="s">
        <v>236</v>
      </c>
      <c r="C122" s="562"/>
      <c r="D122" s="563"/>
      <c r="E122" s="564" t="str">
        <f t="shared" si="71"/>
        <v>-</v>
      </c>
      <c r="F122" s="565"/>
      <c r="G122" s="563"/>
      <c r="H122" s="566"/>
      <c r="I122" s="566"/>
      <c r="J122" s="567">
        <f>+'04 Ventes'!I623</f>
        <v>31871.5</v>
      </c>
    </row>
    <row r="123" spans="1:15" s="297" customFormat="1" ht="60.6" customHeight="1" thickBot="1" x14ac:dyDescent="0.35">
      <c r="A123" s="321" t="s">
        <v>110</v>
      </c>
      <c r="B123" s="436" t="s">
        <v>237</v>
      </c>
      <c r="C123" s="568">
        <f>SUM(C120:C122)</f>
        <v>6002125</v>
      </c>
      <c r="D123" s="569">
        <f t="shared" ref="D123" si="72">SUM(D120:D122)</f>
        <v>1506838</v>
      </c>
      <c r="E123" s="570">
        <f t="shared" si="71"/>
        <v>0.25105075285836265</v>
      </c>
      <c r="F123" s="571">
        <f>SUM(F120:F122)</f>
        <v>32913142.685399994</v>
      </c>
      <c r="G123" s="569">
        <f t="shared" ref="G123:H123" si="73">SUM(G120:G122)</f>
        <v>1566990</v>
      </c>
      <c r="H123" s="571">
        <f t="shared" si="73"/>
        <v>6502479.0089999996</v>
      </c>
      <c r="I123" s="571">
        <f>SUM(I120:I122)</f>
        <v>43615444.039999992</v>
      </c>
      <c r="J123" s="572">
        <f t="shared" ref="J123" si="74">SUM(J120:J122)</f>
        <v>42373953.600000001</v>
      </c>
    </row>
    <row r="124" spans="1:15" ht="60.6" customHeight="1" x14ac:dyDescent="0.3">
      <c r="A124" s="271" t="s">
        <v>108</v>
      </c>
      <c r="B124" s="579" t="s">
        <v>234</v>
      </c>
      <c r="C124" s="556">
        <f>+'01 Prod Physique Boites'!E821</f>
        <v>3112056</v>
      </c>
      <c r="D124" s="557">
        <f>+'01 Prod Physique Boites'!L821</f>
        <v>1422882</v>
      </c>
      <c r="E124" s="558">
        <f t="shared" si="71"/>
        <v>0.45721606552067184</v>
      </c>
      <c r="F124" s="559">
        <f>+'02 Prod Valorisée Boites'!G827</f>
        <v>26200228.222799998</v>
      </c>
      <c r="G124" s="557">
        <f>+'03 Prod Accessoires'!K462</f>
        <v>364750</v>
      </c>
      <c r="H124" s="560">
        <f>+'03 Prod Accessoires'!Q463</f>
        <v>807592.97500000009</v>
      </c>
      <c r="I124" s="560">
        <f>+'02 Prod Valorisée Boites'!J827</f>
        <v>36675487.440000005</v>
      </c>
      <c r="J124" s="573">
        <f>+'04 Ventes'!I646</f>
        <v>1355610.5599999998</v>
      </c>
      <c r="L124" s="774"/>
      <c r="O124" s="757"/>
    </row>
    <row r="125" spans="1:15" ht="60.6" customHeight="1" thickBot="1" x14ac:dyDescent="0.35">
      <c r="A125" s="804" t="s">
        <v>108</v>
      </c>
      <c r="B125" s="298" t="s">
        <v>236</v>
      </c>
      <c r="C125" s="574"/>
      <c r="D125" s="563"/>
      <c r="E125" s="564" t="str">
        <f t="shared" si="71"/>
        <v>-</v>
      </c>
      <c r="F125" s="565"/>
      <c r="G125" s="563"/>
      <c r="H125" s="566"/>
      <c r="I125" s="566"/>
      <c r="J125" s="575"/>
    </row>
    <row r="126" spans="1:15" s="297" customFormat="1" ht="60.6" customHeight="1" thickBot="1" x14ac:dyDescent="0.35">
      <c r="A126" s="321" t="s">
        <v>108</v>
      </c>
      <c r="B126" s="436" t="s">
        <v>238</v>
      </c>
      <c r="C126" s="568">
        <f>SUM(C124:C125)</f>
        <v>3112056</v>
      </c>
      <c r="D126" s="569">
        <f t="shared" ref="D126" si="75">SUM(D124:D125)</f>
        <v>1422882</v>
      </c>
      <c r="E126" s="570">
        <f t="shared" si="71"/>
        <v>0.45721606552067184</v>
      </c>
      <c r="F126" s="571">
        <f t="shared" ref="F126:J126" si="76">SUM(F124:F125)</f>
        <v>26200228.222799998</v>
      </c>
      <c r="G126" s="569">
        <f t="shared" si="76"/>
        <v>364750</v>
      </c>
      <c r="H126" s="571">
        <f t="shared" si="76"/>
        <v>807592.97500000009</v>
      </c>
      <c r="I126" s="571">
        <f t="shared" si="76"/>
        <v>36675487.440000005</v>
      </c>
      <c r="J126" s="572">
        <f t="shared" si="76"/>
        <v>1355610.5599999998</v>
      </c>
    </row>
    <row r="127" spans="1:15" ht="60.6" customHeight="1" x14ac:dyDescent="0.3">
      <c r="A127" s="271" t="s">
        <v>109</v>
      </c>
      <c r="B127" s="581" t="s">
        <v>235</v>
      </c>
      <c r="C127" s="560">
        <f>+'01 Prod Physique Boites'!E848</f>
        <v>1144800</v>
      </c>
      <c r="D127" s="557">
        <f>+'01 Prod Physique Boites'!L848</f>
        <v>260652</v>
      </c>
      <c r="E127" s="558">
        <f t="shared" si="71"/>
        <v>0.22768343815513628</v>
      </c>
      <c r="F127" s="559">
        <f>+'02 Prod Valorisée Boites'!G853</f>
        <v>12109964.9892</v>
      </c>
      <c r="G127" s="557">
        <f>+'03 Prod Accessoires'!K497</f>
        <v>989365</v>
      </c>
      <c r="H127" s="560">
        <f>+'03 Prod Accessoires'!Q497</f>
        <v>7186606.7695000004</v>
      </c>
      <c r="I127" s="560">
        <f>+'02 Prod Valorisée Boites'!J853</f>
        <v>23541649.439999998</v>
      </c>
      <c r="J127" s="573">
        <f>+'04 Ventes'!I668</f>
        <v>17569322.799999997</v>
      </c>
      <c r="K127" s="774"/>
      <c r="L127" s="774"/>
      <c r="O127" s="757"/>
    </row>
    <row r="128" spans="1:15" ht="60.6" customHeight="1" thickBot="1" x14ac:dyDescent="0.35">
      <c r="A128" s="804" t="s">
        <v>109</v>
      </c>
      <c r="B128" s="306" t="s">
        <v>236</v>
      </c>
      <c r="C128" s="566"/>
      <c r="D128" s="576"/>
      <c r="E128" s="577" t="str">
        <f t="shared" si="71"/>
        <v>-</v>
      </c>
      <c r="F128" s="578"/>
      <c r="G128" s="563"/>
      <c r="H128" s="566"/>
      <c r="I128" s="566"/>
      <c r="J128" s="575"/>
    </row>
    <row r="129" spans="1:15" s="297" customFormat="1" ht="60.6" customHeight="1" thickBot="1" x14ac:dyDescent="0.35">
      <c r="A129" s="321" t="s">
        <v>109</v>
      </c>
      <c r="B129" s="436" t="s">
        <v>239</v>
      </c>
      <c r="C129" s="568">
        <f>SUM(C127:C128)</f>
        <v>1144800</v>
      </c>
      <c r="D129" s="569">
        <f t="shared" ref="D129" si="77">SUM(D127:D128)</f>
        <v>260652</v>
      </c>
      <c r="E129" s="570">
        <f t="shared" si="71"/>
        <v>0.22768343815513628</v>
      </c>
      <c r="F129" s="571">
        <f t="shared" ref="F129:J129" si="78">SUM(F127:F128)</f>
        <v>12109964.9892</v>
      </c>
      <c r="G129" s="569">
        <f t="shared" si="78"/>
        <v>989365</v>
      </c>
      <c r="H129" s="571">
        <f t="shared" si="78"/>
        <v>7186606.7695000004</v>
      </c>
      <c r="I129" s="571">
        <f t="shared" si="78"/>
        <v>23541649.439999998</v>
      </c>
      <c r="J129" s="572">
        <f t="shared" si="78"/>
        <v>17569322.799999997</v>
      </c>
    </row>
    <row r="130" spans="1:15" ht="57.6" customHeight="1" thickBot="1" x14ac:dyDescent="0.35">
      <c r="A130" s="642"/>
      <c r="B130" s="554" t="s">
        <v>182</v>
      </c>
      <c r="C130" s="555">
        <f>+C123+C126+C129</f>
        <v>10258981</v>
      </c>
      <c r="D130" s="582">
        <f t="shared" ref="D130" si="79">+D123+D126+D129</f>
        <v>3190372</v>
      </c>
      <c r="E130" s="583">
        <f>IFERROR(D130/C130,"-")</f>
        <v>0.31098332280759661</v>
      </c>
      <c r="F130" s="582">
        <f>+F123+F126+F129</f>
        <v>71223335.897399992</v>
      </c>
      <c r="G130" s="582">
        <f t="shared" ref="G130:H130" si="80">+G123+G126+G129</f>
        <v>2921105</v>
      </c>
      <c r="H130" s="582">
        <f t="shared" si="80"/>
        <v>14496678.7535</v>
      </c>
      <c r="I130" s="582">
        <f>+I123+I126+I129</f>
        <v>103832580.91999999</v>
      </c>
      <c r="J130" s="643">
        <f t="shared" ref="J130" si="81">+J123+J126+J129</f>
        <v>61298886.960000001</v>
      </c>
    </row>
    <row r="131" spans="1:15" ht="41.4" customHeight="1" x14ac:dyDescent="0.3">
      <c r="A131" s="991" t="s">
        <v>1</v>
      </c>
      <c r="B131" s="997" t="s">
        <v>477</v>
      </c>
      <c r="C131" s="997" t="s">
        <v>240</v>
      </c>
      <c r="D131" s="1088" t="s">
        <v>503</v>
      </c>
      <c r="E131" s="1089"/>
      <c r="F131" s="1089"/>
      <c r="G131" s="1089"/>
      <c r="H131" s="1090"/>
      <c r="I131" s="1091" t="s">
        <v>498</v>
      </c>
      <c r="J131" s="1091" t="s">
        <v>499</v>
      </c>
      <c r="K131" s="229" t="s">
        <v>502</v>
      </c>
    </row>
    <row r="132" spans="1:15" ht="41.4" customHeight="1" x14ac:dyDescent="0.3">
      <c r="A132" s="1070"/>
      <c r="B132" s="1087"/>
      <c r="C132" s="1087"/>
      <c r="D132" s="1094" t="s">
        <v>248</v>
      </c>
      <c r="E132" s="1095"/>
      <c r="F132" s="1096"/>
      <c r="G132" s="1094" t="s">
        <v>243</v>
      </c>
      <c r="H132" s="1096"/>
      <c r="I132" s="1092"/>
      <c r="J132" s="1092"/>
    </row>
    <row r="133" spans="1:15" ht="25.95" customHeight="1" x14ac:dyDescent="0.3">
      <c r="A133" s="992"/>
      <c r="B133" s="998"/>
      <c r="C133" s="998"/>
      <c r="D133" s="1097" t="s">
        <v>496</v>
      </c>
      <c r="E133" s="1099" t="s">
        <v>9</v>
      </c>
      <c r="F133" s="1101" t="s">
        <v>497</v>
      </c>
      <c r="G133" s="1103" t="s">
        <v>244</v>
      </c>
      <c r="H133" s="1105" t="s">
        <v>497</v>
      </c>
      <c r="I133" s="1092"/>
      <c r="J133" s="1092"/>
    </row>
    <row r="134" spans="1:15" ht="25.95" customHeight="1" thickBot="1" x14ac:dyDescent="0.35">
      <c r="A134" s="993"/>
      <c r="B134" s="999"/>
      <c r="C134" s="999"/>
      <c r="D134" s="1098"/>
      <c r="E134" s="1100"/>
      <c r="F134" s="1102"/>
      <c r="G134" s="1104"/>
      <c r="H134" s="1106"/>
      <c r="I134" s="1093"/>
      <c r="J134" s="1093"/>
    </row>
    <row r="135" spans="1:15" ht="60.6" customHeight="1" x14ac:dyDescent="0.3">
      <c r="A135" s="271" t="s">
        <v>110</v>
      </c>
      <c r="B135" s="579" t="s">
        <v>234</v>
      </c>
      <c r="C135" s="556">
        <f>+'01 Prod Physique Boites'!E883</f>
        <v>4750000</v>
      </c>
      <c r="D135" s="557">
        <f>+'01 Prod Physique Boites'!L883</f>
        <v>1222868</v>
      </c>
      <c r="E135" s="558">
        <f>IFERROR(D135/C135,"-")</f>
        <v>0.2574458947368421</v>
      </c>
      <c r="F135" s="559">
        <f>+'02 Prod Valorisée Boites'!G888</f>
        <v>20533730.542399999</v>
      </c>
      <c r="G135" s="557">
        <f>+'03 Prod Accessoires'!K507</f>
        <v>1355200</v>
      </c>
      <c r="H135" s="560">
        <f>+'03 Prod Accessoires'!Q507</f>
        <v>5035657.2</v>
      </c>
      <c r="I135" s="560">
        <f>+'02 Prod Valorisée Boites'!J888</f>
        <v>26945366.339999996</v>
      </c>
      <c r="J135" s="561">
        <f>+'04 Ventes'!I690</f>
        <v>35042895.200000003</v>
      </c>
      <c r="K135" s="774"/>
      <c r="L135" s="774"/>
      <c r="O135" s="757"/>
    </row>
    <row r="136" spans="1:15" ht="60.6" customHeight="1" x14ac:dyDescent="0.3">
      <c r="A136" s="814" t="s">
        <v>110</v>
      </c>
      <c r="B136" s="580" t="s">
        <v>235</v>
      </c>
      <c r="C136" s="562">
        <f>+'01 Prod Physique Boites'!E898</f>
        <v>1252125</v>
      </c>
      <c r="D136" s="563">
        <f>+'01 Prod Physique Boites'!L898</f>
        <v>409522</v>
      </c>
      <c r="E136" s="564">
        <f t="shared" ref="E136:E144" si="82">IFERROR(D136/C136,"-")</f>
        <v>0.32706159528801038</v>
      </c>
      <c r="F136" s="565">
        <f>+'02 Prod Valorisée Boites'!G903</f>
        <v>15082522.967</v>
      </c>
      <c r="G136" s="563">
        <f>+'03 Prod Accessoires'!K515</f>
        <v>303840</v>
      </c>
      <c r="H136" s="566">
        <f>+'03 Prod Accessoires'!Q515</f>
        <v>1930444.344</v>
      </c>
      <c r="I136" s="566">
        <f>+'02 Prod Valorisée Boites'!J903</f>
        <v>20956834.899999999</v>
      </c>
      <c r="J136" s="567">
        <f>+'04 Ventes'!I702</f>
        <v>20013541.5</v>
      </c>
      <c r="K136" s="774"/>
      <c r="L136" s="774"/>
      <c r="O136" s="757"/>
    </row>
    <row r="137" spans="1:15" ht="60.6" customHeight="1" thickBot="1" x14ac:dyDescent="0.35">
      <c r="A137" s="277" t="s">
        <v>110</v>
      </c>
      <c r="B137" s="278" t="s">
        <v>236</v>
      </c>
      <c r="C137" s="562"/>
      <c r="D137" s="563"/>
      <c r="E137" s="564" t="str">
        <f t="shared" si="82"/>
        <v>-</v>
      </c>
      <c r="F137" s="565"/>
      <c r="G137" s="563"/>
      <c r="H137" s="566"/>
      <c r="I137" s="566"/>
      <c r="J137" s="567">
        <f>+'04 Ventes'!I708</f>
        <v>31871.5</v>
      </c>
    </row>
    <row r="138" spans="1:15" s="297" customFormat="1" ht="60.6" customHeight="1" thickBot="1" x14ac:dyDescent="0.35">
      <c r="A138" s="321" t="s">
        <v>110</v>
      </c>
      <c r="B138" s="436" t="s">
        <v>237</v>
      </c>
      <c r="C138" s="568">
        <f>SUM(C135:C137)</f>
        <v>6002125</v>
      </c>
      <c r="D138" s="569">
        <f t="shared" ref="D138" si="83">SUM(D135:D137)</f>
        <v>1632390</v>
      </c>
      <c r="E138" s="570">
        <f t="shared" si="82"/>
        <v>0.27196867775996003</v>
      </c>
      <c r="F138" s="571">
        <f>SUM(F135:F137)</f>
        <v>35616253.509399995</v>
      </c>
      <c r="G138" s="569">
        <f t="shared" ref="G138:H138" si="84">SUM(G135:G137)</f>
        <v>1659040</v>
      </c>
      <c r="H138" s="571">
        <f t="shared" si="84"/>
        <v>6966101.5439999998</v>
      </c>
      <c r="I138" s="571">
        <f>SUM(I135:I137)</f>
        <v>47902201.239999995</v>
      </c>
      <c r="J138" s="572">
        <f t="shared" ref="J138" si="85">SUM(J135:J137)</f>
        <v>55088308.200000003</v>
      </c>
    </row>
    <row r="139" spans="1:15" ht="60.6" customHeight="1" x14ac:dyDescent="0.3">
      <c r="A139" s="271" t="s">
        <v>108</v>
      </c>
      <c r="B139" s="579" t="s">
        <v>234</v>
      </c>
      <c r="C139" s="556">
        <f>+'01 Prod Physique Boites'!E928</f>
        <v>3112056</v>
      </c>
      <c r="D139" s="557">
        <f>+'01 Prod Physique Boites'!L928</f>
        <v>1558134</v>
      </c>
      <c r="E139" s="558">
        <f t="shared" si="82"/>
        <v>0.50067672304097355</v>
      </c>
      <c r="F139" s="559">
        <f>+'02 Prod Valorisée Boites'!G933</f>
        <v>28480198.237199996</v>
      </c>
      <c r="G139" s="557">
        <f>+'03 Prod Accessoires'!K524</f>
        <v>386500</v>
      </c>
      <c r="H139" s="560">
        <f>+'03 Prod Accessoires'!Q524</f>
        <v>855749.65</v>
      </c>
      <c r="I139" s="560">
        <f>+'02 Prod Valorisée Boites'!J933</f>
        <v>39534913.620000005</v>
      </c>
      <c r="J139" s="573">
        <f>+'04 Ventes'!I731</f>
        <v>1355610.5599999998</v>
      </c>
      <c r="L139" s="774"/>
      <c r="O139" s="757"/>
    </row>
    <row r="140" spans="1:15" ht="60.6" customHeight="1" thickBot="1" x14ac:dyDescent="0.35">
      <c r="A140" s="814" t="s">
        <v>108</v>
      </c>
      <c r="B140" s="298" t="s">
        <v>236</v>
      </c>
      <c r="C140" s="574"/>
      <c r="D140" s="563"/>
      <c r="E140" s="564" t="str">
        <f t="shared" si="82"/>
        <v>-</v>
      </c>
      <c r="F140" s="565"/>
      <c r="G140" s="563"/>
      <c r="H140" s="566"/>
      <c r="I140" s="566"/>
      <c r="J140" s="575"/>
    </row>
    <row r="141" spans="1:15" s="297" customFormat="1" ht="60.6" customHeight="1" thickBot="1" x14ac:dyDescent="0.35">
      <c r="A141" s="321" t="s">
        <v>108</v>
      </c>
      <c r="B141" s="436" t="s">
        <v>238</v>
      </c>
      <c r="C141" s="568">
        <f>SUM(C139:C140)</f>
        <v>3112056</v>
      </c>
      <c r="D141" s="569">
        <f t="shared" ref="D141" si="86">SUM(D139:D140)</f>
        <v>1558134</v>
      </c>
      <c r="E141" s="570">
        <f t="shared" si="82"/>
        <v>0.50067672304097355</v>
      </c>
      <c r="F141" s="571">
        <f t="shared" ref="F141:J141" si="87">SUM(F139:F140)</f>
        <v>28480198.237199996</v>
      </c>
      <c r="G141" s="569">
        <f t="shared" si="87"/>
        <v>386500</v>
      </c>
      <c r="H141" s="571">
        <f t="shared" si="87"/>
        <v>855749.65</v>
      </c>
      <c r="I141" s="571">
        <f t="shared" si="87"/>
        <v>39534913.620000005</v>
      </c>
      <c r="J141" s="572">
        <f t="shared" si="87"/>
        <v>1355610.5599999998</v>
      </c>
    </row>
    <row r="142" spans="1:15" ht="60.6" customHeight="1" x14ac:dyDescent="0.3">
      <c r="A142" s="271" t="s">
        <v>109</v>
      </c>
      <c r="B142" s="581" t="s">
        <v>235</v>
      </c>
      <c r="C142" s="560">
        <f>+'01 Prod Physique Boites'!E955</f>
        <v>1144800</v>
      </c>
      <c r="D142" s="557">
        <f>+'01 Prod Physique Boites'!L955</f>
        <v>301012</v>
      </c>
      <c r="E142" s="558">
        <f t="shared" si="82"/>
        <v>0.26293850454227813</v>
      </c>
      <c r="F142" s="559">
        <f>+'02 Prod Valorisée Boites'!G959</f>
        <v>13949551.369200001</v>
      </c>
      <c r="G142" s="557">
        <f>+'03 Prod Accessoires'!K559</f>
        <v>1127415</v>
      </c>
      <c r="H142" s="560">
        <f>+'03 Prod Accessoires'!Q559</f>
        <v>8127047.2145000007</v>
      </c>
      <c r="I142" s="560">
        <f>+'02 Prod Valorisée Boites'!J959</f>
        <v>27134591.039999999</v>
      </c>
      <c r="J142" s="573">
        <f>+'04 Ventes'!I754</f>
        <v>23642481.34</v>
      </c>
      <c r="K142" s="774"/>
      <c r="L142" s="774"/>
      <c r="O142" s="757"/>
    </row>
    <row r="143" spans="1:15" ht="60.6" customHeight="1" thickBot="1" x14ac:dyDescent="0.35">
      <c r="A143" s="814" t="s">
        <v>109</v>
      </c>
      <c r="B143" s="306" t="s">
        <v>236</v>
      </c>
      <c r="C143" s="566"/>
      <c r="D143" s="576"/>
      <c r="E143" s="577" t="str">
        <f t="shared" si="82"/>
        <v>-</v>
      </c>
      <c r="F143" s="578"/>
      <c r="G143" s="563"/>
      <c r="H143" s="566"/>
      <c r="I143" s="566"/>
      <c r="J143" s="575"/>
    </row>
    <row r="144" spans="1:15" s="297" customFormat="1" ht="60.6" customHeight="1" thickBot="1" x14ac:dyDescent="0.35">
      <c r="A144" s="321" t="s">
        <v>109</v>
      </c>
      <c r="B144" s="436" t="s">
        <v>239</v>
      </c>
      <c r="C144" s="568">
        <f>SUM(C142:C143)</f>
        <v>1144800</v>
      </c>
      <c r="D144" s="569">
        <f t="shared" ref="D144" si="88">SUM(D142:D143)</f>
        <v>301012</v>
      </c>
      <c r="E144" s="570">
        <f t="shared" si="82"/>
        <v>0.26293850454227813</v>
      </c>
      <c r="F144" s="571">
        <f t="shared" ref="F144:J144" si="89">SUM(F142:F143)</f>
        <v>13949551.369200001</v>
      </c>
      <c r="G144" s="569">
        <f t="shared" si="89"/>
        <v>1127415</v>
      </c>
      <c r="H144" s="571">
        <f t="shared" si="89"/>
        <v>8127047.2145000007</v>
      </c>
      <c r="I144" s="571">
        <f t="shared" si="89"/>
        <v>27134591.039999999</v>
      </c>
      <c r="J144" s="572">
        <f t="shared" si="89"/>
        <v>23642481.34</v>
      </c>
    </row>
    <row r="145" spans="1:15" ht="57.6" customHeight="1" thickBot="1" x14ac:dyDescent="0.35">
      <c r="A145" s="642"/>
      <c r="B145" s="554" t="s">
        <v>182</v>
      </c>
      <c r="C145" s="555">
        <f>+C138+C141+C144</f>
        <v>10258981</v>
      </c>
      <c r="D145" s="582">
        <f t="shared" ref="D145" si="90">+D138+D141+D144</f>
        <v>3491536</v>
      </c>
      <c r="E145" s="583">
        <f>IFERROR(D145/C145,"-")</f>
        <v>0.3403394547665114</v>
      </c>
      <c r="F145" s="582">
        <f>+F138+F141+F144</f>
        <v>78046003.115799993</v>
      </c>
      <c r="G145" s="582">
        <f t="shared" ref="G145:H145" si="91">+G138+G141+G144</f>
        <v>3172955</v>
      </c>
      <c r="H145" s="582">
        <f t="shared" si="91"/>
        <v>15948898.408500001</v>
      </c>
      <c r="I145" s="582">
        <f>+I138+I141+I144</f>
        <v>114571705.90000001</v>
      </c>
      <c r="J145" s="643">
        <f t="shared" ref="J145" si="92">+J138+J141+J144</f>
        <v>80086400.100000009</v>
      </c>
    </row>
    <row r="146" spans="1:15" ht="41.4" customHeight="1" x14ac:dyDescent="0.3">
      <c r="A146" s="991" t="s">
        <v>1</v>
      </c>
      <c r="B146" s="997" t="s">
        <v>477</v>
      </c>
      <c r="C146" s="997" t="s">
        <v>240</v>
      </c>
      <c r="D146" s="1088" t="s">
        <v>510</v>
      </c>
      <c r="E146" s="1089"/>
      <c r="F146" s="1089"/>
      <c r="G146" s="1089"/>
      <c r="H146" s="1090"/>
      <c r="I146" s="1091" t="s">
        <v>498</v>
      </c>
      <c r="J146" s="1091" t="s">
        <v>499</v>
      </c>
      <c r="K146" s="229" t="s">
        <v>502</v>
      </c>
    </row>
    <row r="147" spans="1:15" ht="41.4" customHeight="1" x14ac:dyDescent="0.3">
      <c r="A147" s="1070"/>
      <c r="B147" s="1087"/>
      <c r="C147" s="1087"/>
      <c r="D147" s="1094" t="s">
        <v>248</v>
      </c>
      <c r="E147" s="1095"/>
      <c r="F147" s="1096"/>
      <c r="G147" s="1094" t="s">
        <v>243</v>
      </c>
      <c r="H147" s="1096"/>
      <c r="I147" s="1092"/>
      <c r="J147" s="1092"/>
    </row>
    <row r="148" spans="1:15" ht="25.95" customHeight="1" x14ac:dyDescent="0.3">
      <c r="A148" s="992"/>
      <c r="B148" s="998"/>
      <c r="C148" s="998"/>
      <c r="D148" s="1097" t="s">
        <v>496</v>
      </c>
      <c r="E148" s="1099" t="s">
        <v>9</v>
      </c>
      <c r="F148" s="1101" t="s">
        <v>497</v>
      </c>
      <c r="G148" s="1103" t="s">
        <v>244</v>
      </c>
      <c r="H148" s="1105" t="s">
        <v>497</v>
      </c>
      <c r="I148" s="1092"/>
      <c r="J148" s="1092"/>
    </row>
    <row r="149" spans="1:15" ht="25.95" customHeight="1" thickBot="1" x14ac:dyDescent="0.35">
      <c r="A149" s="993"/>
      <c r="B149" s="999"/>
      <c r="C149" s="999"/>
      <c r="D149" s="1098"/>
      <c r="E149" s="1100"/>
      <c r="F149" s="1102"/>
      <c r="G149" s="1104"/>
      <c r="H149" s="1106"/>
      <c r="I149" s="1093"/>
      <c r="J149" s="1093"/>
    </row>
    <row r="150" spans="1:15" ht="60.6" customHeight="1" x14ac:dyDescent="0.3">
      <c r="A150" s="271" t="s">
        <v>110</v>
      </c>
      <c r="B150" s="579" t="s">
        <v>234</v>
      </c>
      <c r="C150" s="556">
        <f>+'01 Prod Physique Boites'!E989</f>
        <v>4750000</v>
      </c>
      <c r="D150" s="557">
        <f>+'01 Prod Physique Boites'!L989</f>
        <v>1380836</v>
      </c>
      <c r="E150" s="558">
        <f>IFERROR(D150/C150,"-")</f>
        <v>0.2907023157894737</v>
      </c>
      <c r="F150" s="559">
        <f>+'02 Prod Valorisée Boites'!G994</f>
        <v>22606752.173599999</v>
      </c>
      <c r="G150" s="557">
        <f>+'03 Prod Accessoires'!K569</f>
        <v>1481160</v>
      </c>
      <c r="H150" s="560">
        <f>+'03 Prod Accessoires'!Q569</f>
        <v>5764752.199</v>
      </c>
      <c r="I150" s="560">
        <f>+'02 Prod Valorisée Boites'!J994</f>
        <v>30231691.140000001</v>
      </c>
      <c r="J150" s="561">
        <f>+'04 Ventes'!I776</f>
        <v>38931543.200000003</v>
      </c>
      <c r="K150" s="774"/>
      <c r="L150" s="774"/>
      <c r="O150" s="757"/>
    </row>
    <row r="151" spans="1:15" ht="60.6" customHeight="1" x14ac:dyDescent="0.3">
      <c r="A151" s="823" t="s">
        <v>110</v>
      </c>
      <c r="B151" s="580" t="s">
        <v>235</v>
      </c>
      <c r="C151" s="562">
        <f>+'01 Prod Physique Boites'!E1004</f>
        <v>1252125</v>
      </c>
      <c r="D151" s="563">
        <f>+'01 Prod Physique Boites'!L1004</f>
        <v>421357</v>
      </c>
      <c r="E151" s="564">
        <f t="shared" ref="E151:E159" si="93">IFERROR(D151/C151,"-")</f>
        <v>0.33651352700409304</v>
      </c>
      <c r="F151" s="565">
        <f>+'02 Prod Valorisée Boites'!G1009</f>
        <v>15972153.855499998</v>
      </c>
      <c r="G151" s="563">
        <f>+'03 Prod Accessoires'!K577</f>
        <v>353040</v>
      </c>
      <c r="H151" s="566">
        <f>+'03 Prod Accessoires'!Q577</f>
        <v>2325882.3840000001</v>
      </c>
      <c r="I151" s="566">
        <f>+'02 Prod Valorisée Boites'!J1009</f>
        <v>22329278.649999999</v>
      </c>
      <c r="J151" s="567">
        <f>+'04 Ventes'!I788</f>
        <v>21979054</v>
      </c>
      <c r="K151" s="774"/>
      <c r="L151" s="774"/>
      <c r="O151" s="757"/>
    </row>
    <row r="152" spans="1:15" ht="60.6" customHeight="1" thickBot="1" x14ac:dyDescent="0.35">
      <c r="A152" s="277" t="s">
        <v>110</v>
      </c>
      <c r="B152" s="278" t="s">
        <v>236</v>
      </c>
      <c r="C152" s="562"/>
      <c r="D152" s="563"/>
      <c r="E152" s="564" t="str">
        <f t="shared" si="93"/>
        <v>-</v>
      </c>
      <c r="F152" s="565"/>
      <c r="G152" s="563"/>
      <c r="H152" s="566"/>
      <c r="I152" s="566"/>
      <c r="J152" s="567">
        <f>+'04 Ventes'!I794</f>
        <v>31871.5</v>
      </c>
    </row>
    <row r="153" spans="1:15" s="297" customFormat="1" ht="60.6" customHeight="1" thickBot="1" x14ac:dyDescent="0.35">
      <c r="A153" s="321" t="s">
        <v>110</v>
      </c>
      <c r="B153" s="436" t="s">
        <v>237</v>
      </c>
      <c r="C153" s="568">
        <f>SUM(C150:C152)</f>
        <v>6002125</v>
      </c>
      <c r="D153" s="569">
        <f t="shared" ref="D153" si="94">SUM(D150:D152)</f>
        <v>1802193</v>
      </c>
      <c r="E153" s="570">
        <f t="shared" si="93"/>
        <v>0.30025915821479893</v>
      </c>
      <c r="F153" s="571">
        <f>SUM(F150:F152)</f>
        <v>38578906.029100001</v>
      </c>
      <c r="G153" s="569">
        <f t="shared" ref="G153:H153" si="95">SUM(G150:G152)</f>
        <v>1834200</v>
      </c>
      <c r="H153" s="571">
        <f t="shared" si="95"/>
        <v>8090634.5830000006</v>
      </c>
      <c r="I153" s="571">
        <f>SUM(I150:I152)</f>
        <v>52560969.789999999</v>
      </c>
      <c r="J153" s="572">
        <f t="shared" ref="J153" si="96">SUM(J150:J152)</f>
        <v>60942468.700000003</v>
      </c>
    </row>
    <row r="154" spans="1:15" ht="60.6" customHeight="1" x14ac:dyDescent="0.3">
      <c r="A154" s="271" t="s">
        <v>108</v>
      </c>
      <c r="B154" s="579" t="s">
        <v>234</v>
      </c>
      <c r="C154" s="556">
        <f>+'01 Prod Physique Boites'!E1034</f>
        <v>3112056</v>
      </c>
      <c r="D154" s="557">
        <f>+'01 Prod Physique Boites'!L1034</f>
        <v>1733166</v>
      </c>
      <c r="E154" s="558">
        <f t="shared" si="93"/>
        <v>0.55691992689077574</v>
      </c>
      <c r="F154" s="559">
        <f>+'02 Prod Valorisée Boites'!G1038</f>
        <v>31408273.558799997</v>
      </c>
      <c r="G154" s="557">
        <f>+'03 Prod Accessoires'!K587</f>
        <v>386500</v>
      </c>
      <c r="H154" s="560">
        <f>+'03 Prod Accessoires'!Q587</f>
        <v>855749.65</v>
      </c>
      <c r="I154" s="560">
        <f>+'02 Prod Valorisée Boites'!J1039</f>
        <v>43168577.939999998</v>
      </c>
      <c r="J154" s="573">
        <f>+'04 Ventes'!I818</f>
        <v>4467122.6000000006</v>
      </c>
      <c r="L154" s="774"/>
      <c r="O154" s="757"/>
    </row>
    <row r="155" spans="1:15" ht="60.6" customHeight="1" thickBot="1" x14ac:dyDescent="0.35">
      <c r="A155" s="823" t="s">
        <v>108</v>
      </c>
      <c r="B155" s="298" t="s">
        <v>236</v>
      </c>
      <c r="C155" s="574"/>
      <c r="D155" s="563"/>
      <c r="E155" s="564" t="str">
        <f t="shared" si="93"/>
        <v>-</v>
      </c>
      <c r="F155" s="565"/>
      <c r="G155" s="563"/>
      <c r="H155" s="566"/>
      <c r="I155" s="566"/>
      <c r="J155" s="575"/>
    </row>
    <row r="156" spans="1:15" s="297" customFormat="1" ht="60.6" customHeight="1" thickBot="1" x14ac:dyDescent="0.35">
      <c r="A156" s="321" t="s">
        <v>108</v>
      </c>
      <c r="B156" s="436" t="s">
        <v>238</v>
      </c>
      <c r="C156" s="568">
        <f>SUM(C154:C155)</f>
        <v>3112056</v>
      </c>
      <c r="D156" s="569">
        <f t="shared" ref="D156" si="97">SUM(D154:D155)</f>
        <v>1733166</v>
      </c>
      <c r="E156" s="570">
        <f t="shared" si="93"/>
        <v>0.55691992689077574</v>
      </c>
      <c r="F156" s="571">
        <f t="shared" ref="F156:J156" si="98">SUM(F154:F155)</f>
        <v>31408273.558799997</v>
      </c>
      <c r="G156" s="569">
        <f t="shared" si="98"/>
        <v>386500</v>
      </c>
      <c r="H156" s="571">
        <f t="shared" si="98"/>
        <v>855749.65</v>
      </c>
      <c r="I156" s="571">
        <f t="shared" si="98"/>
        <v>43168577.939999998</v>
      </c>
      <c r="J156" s="572">
        <f t="shared" si="98"/>
        <v>4467122.6000000006</v>
      </c>
    </row>
    <row r="157" spans="1:15" ht="60.6" customHeight="1" x14ac:dyDescent="0.3">
      <c r="A157" s="271" t="s">
        <v>109</v>
      </c>
      <c r="B157" s="581" t="s">
        <v>235</v>
      </c>
      <c r="C157" s="560">
        <f>+'01 Prod Physique Boites'!E1061</f>
        <v>1144800</v>
      </c>
      <c r="D157" s="557">
        <f>+'01 Prod Physique Boites'!L1061</f>
        <v>322252</v>
      </c>
      <c r="E157" s="558">
        <f t="shared" si="93"/>
        <v>0.28149196366177498</v>
      </c>
      <c r="F157" s="559">
        <f>+'02 Prod Valorisée Boites'!G1065</f>
        <v>14670962.461200001</v>
      </c>
      <c r="G157" s="557">
        <f>+'03 Prod Accessoires'!K621</f>
        <v>1261465</v>
      </c>
      <c r="H157" s="560">
        <f>+'03 Prod Accessoires'!Q620</f>
        <v>9187999.6545000002</v>
      </c>
      <c r="I157" s="560">
        <f>+'02 Prod Valorisée Boites'!J1065</f>
        <v>28585851.84</v>
      </c>
      <c r="J157" s="573">
        <f>+'04 Ventes'!I842</f>
        <v>27871416.52</v>
      </c>
      <c r="K157" s="774"/>
      <c r="L157" s="774"/>
      <c r="O157" s="757"/>
    </row>
    <row r="158" spans="1:15" ht="60.6" customHeight="1" thickBot="1" x14ac:dyDescent="0.35">
      <c r="A158" s="823" t="s">
        <v>109</v>
      </c>
      <c r="B158" s="306" t="s">
        <v>236</v>
      </c>
      <c r="C158" s="566"/>
      <c r="D158" s="576"/>
      <c r="E158" s="577" t="str">
        <f t="shared" si="93"/>
        <v>-</v>
      </c>
      <c r="F158" s="578"/>
      <c r="G158" s="563"/>
      <c r="H158" s="566"/>
      <c r="I158" s="566"/>
      <c r="J158" s="575"/>
    </row>
    <row r="159" spans="1:15" s="297" customFormat="1" ht="60.6" customHeight="1" thickBot="1" x14ac:dyDescent="0.35">
      <c r="A159" s="321" t="s">
        <v>109</v>
      </c>
      <c r="B159" s="436" t="s">
        <v>239</v>
      </c>
      <c r="C159" s="568">
        <f>SUM(C157:C158)</f>
        <v>1144800</v>
      </c>
      <c r="D159" s="569">
        <f t="shared" ref="D159" si="99">SUM(D157:D158)</f>
        <v>322252</v>
      </c>
      <c r="E159" s="570">
        <f t="shared" si="93"/>
        <v>0.28149196366177498</v>
      </c>
      <c r="F159" s="571">
        <f t="shared" ref="F159:J159" si="100">SUM(F157:F158)</f>
        <v>14670962.461200001</v>
      </c>
      <c r="G159" s="569">
        <f t="shared" si="100"/>
        <v>1261465</v>
      </c>
      <c r="H159" s="571">
        <f t="shared" si="100"/>
        <v>9187999.6545000002</v>
      </c>
      <c r="I159" s="571">
        <f t="shared" si="100"/>
        <v>28585851.84</v>
      </c>
      <c r="J159" s="572">
        <f t="shared" si="100"/>
        <v>27871416.52</v>
      </c>
    </row>
    <row r="160" spans="1:15" ht="57.6" customHeight="1" thickBot="1" x14ac:dyDescent="0.35">
      <c r="A160" s="642"/>
      <c r="B160" s="554" t="s">
        <v>182</v>
      </c>
      <c r="C160" s="555">
        <f>+C153+C156+C159</f>
        <v>10258981</v>
      </c>
      <c r="D160" s="582">
        <f t="shared" ref="D160" si="101">+D153+D156+D159</f>
        <v>3857611</v>
      </c>
      <c r="E160" s="583">
        <f>IFERROR(D160/C160,"-")</f>
        <v>0.37602282331939207</v>
      </c>
      <c r="F160" s="582">
        <f>+F153+F156+F159</f>
        <v>84658142.049099997</v>
      </c>
      <c r="G160" s="582">
        <f t="shared" ref="G160:H160" si="102">+G153+G156+G159</f>
        <v>3482165</v>
      </c>
      <c r="H160" s="582">
        <f t="shared" si="102"/>
        <v>18134383.887500003</v>
      </c>
      <c r="I160" s="582">
        <f>+I153+I156+I159</f>
        <v>124315399.56999999</v>
      </c>
      <c r="J160" s="643">
        <f t="shared" ref="J160" si="103">+J153+J156+J159</f>
        <v>93281007.820000008</v>
      </c>
    </row>
    <row r="161" spans="1:15" ht="41.4" customHeight="1" x14ac:dyDescent="0.3">
      <c r="A161" s="991" t="s">
        <v>1</v>
      </c>
      <c r="B161" s="997" t="s">
        <v>477</v>
      </c>
      <c r="C161" s="997" t="s">
        <v>240</v>
      </c>
      <c r="D161" s="1088" t="s">
        <v>517</v>
      </c>
      <c r="E161" s="1089"/>
      <c r="F161" s="1089"/>
      <c r="G161" s="1089"/>
      <c r="H161" s="1090"/>
      <c r="I161" s="1091" t="s">
        <v>498</v>
      </c>
      <c r="J161" s="1091" t="s">
        <v>499</v>
      </c>
      <c r="K161" s="229" t="s">
        <v>502</v>
      </c>
    </row>
    <row r="162" spans="1:15" ht="41.4" customHeight="1" x14ac:dyDescent="0.3">
      <c r="A162" s="1070"/>
      <c r="B162" s="1087"/>
      <c r="C162" s="1087"/>
      <c r="D162" s="1094" t="s">
        <v>248</v>
      </c>
      <c r="E162" s="1095"/>
      <c r="F162" s="1096"/>
      <c r="G162" s="1094" t="s">
        <v>243</v>
      </c>
      <c r="H162" s="1096"/>
      <c r="I162" s="1092"/>
      <c r="J162" s="1092"/>
    </row>
    <row r="163" spans="1:15" ht="25.95" customHeight="1" x14ac:dyDescent="0.3">
      <c r="A163" s="992"/>
      <c r="B163" s="998"/>
      <c r="C163" s="998"/>
      <c r="D163" s="1097" t="s">
        <v>496</v>
      </c>
      <c r="E163" s="1099" t="s">
        <v>9</v>
      </c>
      <c r="F163" s="1101" t="s">
        <v>497</v>
      </c>
      <c r="G163" s="1103" t="s">
        <v>244</v>
      </c>
      <c r="H163" s="1105" t="s">
        <v>497</v>
      </c>
      <c r="I163" s="1092"/>
      <c r="J163" s="1092"/>
    </row>
    <row r="164" spans="1:15" ht="25.95" customHeight="1" thickBot="1" x14ac:dyDescent="0.35">
      <c r="A164" s="993"/>
      <c r="B164" s="999"/>
      <c r="C164" s="999"/>
      <c r="D164" s="1098"/>
      <c r="E164" s="1100"/>
      <c r="F164" s="1102"/>
      <c r="G164" s="1104"/>
      <c r="H164" s="1106"/>
      <c r="I164" s="1093"/>
      <c r="J164" s="1093"/>
    </row>
    <row r="165" spans="1:15" ht="60.6" customHeight="1" x14ac:dyDescent="0.3">
      <c r="A165" s="271" t="s">
        <v>110</v>
      </c>
      <c r="B165" s="579" t="s">
        <v>234</v>
      </c>
      <c r="C165" s="556">
        <f>+'01 Prod Physique Boites'!E1095</f>
        <v>4750000</v>
      </c>
      <c r="D165" s="557">
        <f>+'01 Prod Physique Boites'!L1095</f>
        <v>1527716</v>
      </c>
      <c r="E165" s="558">
        <f>IFERROR(D165/C165,"-")</f>
        <v>0.32162442105263156</v>
      </c>
      <c r="F165" s="559">
        <f>+'02 Prod Valorisée Boites'!G1100</f>
        <v>24543769.505599998</v>
      </c>
      <c r="G165" s="557">
        <f>+'03 Prod Accessoires'!K631</f>
        <v>1622870</v>
      </c>
      <c r="H165" s="560">
        <f>+'03 Prod Accessoires'!Q631</f>
        <v>6293104.8229999999</v>
      </c>
      <c r="I165" s="560">
        <f>+'02 Prod Valorisée Boites'!J1100</f>
        <v>33356685.540000003</v>
      </c>
      <c r="J165" s="561">
        <f>+'04 Ventes'!I864</f>
        <v>38931543.200000003</v>
      </c>
      <c r="K165" s="774"/>
      <c r="L165" s="774"/>
      <c r="O165" s="757"/>
    </row>
    <row r="166" spans="1:15" ht="60.6" customHeight="1" x14ac:dyDescent="0.3">
      <c r="A166" s="832" t="s">
        <v>110</v>
      </c>
      <c r="B166" s="580" t="s">
        <v>235</v>
      </c>
      <c r="C166" s="562">
        <f>+'01 Prod Physique Boites'!E1110</f>
        <v>1252125</v>
      </c>
      <c r="D166" s="563">
        <f>+'01 Prod Physique Boites'!L1110</f>
        <v>440854</v>
      </c>
      <c r="E166" s="564">
        <f t="shared" ref="E166:E174" si="104">IFERROR(D166/C166,"-")</f>
        <v>0.35208465608465611</v>
      </c>
      <c r="F166" s="565">
        <f>+'02 Prod Valorisée Boites'!G1115</f>
        <v>17483655.598999999</v>
      </c>
      <c r="G166" s="563">
        <f>+'03 Prod Accessoires'!K639</f>
        <v>371040</v>
      </c>
      <c r="H166" s="566">
        <f>+'03 Prod Accessoires'!Q639</f>
        <v>2542413.3840000001</v>
      </c>
      <c r="I166" s="566">
        <f>+'02 Prod Valorisée Boites'!J1115</f>
        <v>24667849.299999997</v>
      </c>
      <c r="J166" s="567">
        <f>+'04 Ventes'!I876</f>
        <v>23944566.5</v>
      </c>
      <c r="K166" s="774"/>
      <c r="L166" s="774"/>
      <c r="O166" s="757"/>
    </row>
    <row r="167" spans="1:15" ht="60.6" customHeight="1" thickBot="1" x14ac:dyDescent="0.35">
      <c r="A167" s="277" t="s">
        <v>110</v>
      </c>
      <c r="B167" s="278" t="s">
        <v>236</v>
      </c>
      <c r="C167" s="562"/>
      <c r="D167" s="563"/>
      <c r="E167" s="564" t="str">
        <f t="shared" si="104"/>
        <v>-</v>
      </c>
      <c r="F167" s="565"/>
      <c r="G167" s="563"/>
      <c r="H167" s="566"/>
      <c r="I167" s="566"/>
      <c r="J167" s="567">
        <f>+'04 Ventes'!I882</f>
        <v>739671.5</v>
      </c>
    </row>
    <row r="168" spans="1:15" s="297" customFormat="1" ht="60.6" customHeight="1" thickBot="1" x14ac:dyDescent="0.35">
      <c r="A168" s="321" t="s">
        <v>110</v>
      </c>
      <c r="B168" s="436" t="s">
        <v>237</v>
      </c>
      <c r="C168" s="568">
        <f>SUM(C165:C167)</f>
        <v>6002125</v>
      </c>
      <c r="D168" s="569">
        <f t="shared" ref="D168" si="105">SUM(D165:D167)</f>
        <v>1968570</v>
      </c>
      <c r="E168" s="570">
        <f t="shared" si="104"/>
        <v>0.32797884082720702</v>
      </c>
      <c r="F168" s="571">
        <f>SUM(F165:F167)</f>
        <v>42027425.104599997</v>
      </c>
      <c r="G168" s="569">
        <f t="shared" ref="G168:H168" si="106">SUM(G165:G167)</f>
        <v>1993910</v>
      </c>
      <c r="H168" s="571">
        <f t="shared" si="106"/>
        <v>8835518.2070000004</v>
      </c>
      <c r="I168" s="571">
        <f>SUM(I165:I167)</f>
        <v>58024534.840000004</v>
      </c>
      <c r="J168" s="572">
        <f t="shared" ref="J168" si="107">SUM(J165:J167)</f>
        <v>63615781.200000003</v>
      </c>
    </row>
    <row r="169" spans="1:15" ht="60.6" customHeight="1" x14ac:dyDescent="0.3">
      <c r="A169" s="271" t="s">
        <v>108</v>
      </c>
      <c r="B169" s="579" t="s">
        <v>234</v>
      </c>
      <c r="C169" s="556">
        <f>+'01 Prod Physique Boites'!E1140</f>
        <v>3112056</v>
      </c>
      <c r="D169" s="557">
        <f>+'01 Prod Physique Boites'!L1139</f>
        <v>1896264</v>
      </c>
      <c r="E169" s="558">
        <f t="shared" si="104"/>
        <v>0.60932836684172775</v>
      </c>
      <c r="F169" s="559">
        <f>+'02 Prod Valorisée Boites'!G1145</f>
        <v>34136707.381200001</v>
      </c>
      <c r="G169" s="557">
        <f>+'03 Prod Accessoires'!K649</f>
        <v>386500</v>
      </c>
      <c r="H169" s="560">
        <f>+'03 Prod Accessoires'!Q649</f>
        <v>855749.65</v>
      </c>
      <c r="I169" s="560">
        <f>+'02 Prod Valorisée Boites'!J1145</f>
        <v>46554492.420000002</v>
      </c>
      <c r="J169" s="573">
        <f>+'04 Ventes'!I906</f>
        <v>4940106.8000000007</v>
      </c>
      <c r="L169" s="774"/>
      <c r="O169" s="757"/>
    </row>
    <row r="170" spans="1:15" ht="60.6" customHeight="1" thickBot="1" x14ac:dyDescent="0.35">
      <c r="A170" s="832" t="s">
        <v>108</v>
      </c>
      <c r="B170" s="298" t="s">
        <v>236</v>
      </c>
      <c r="C170" s="574"/>
      <c r="D170" s="563"/>
      <c r="E170" s="564" t="str">
        <f t="shared" si="104"/>
        <v>-</v>
      </c>
      <c r="F170" s="565"/>
      <c r="G170" s="563"/>
      <c r="H170" s="566"/>
      <c r="I170" s="566"/>
      <c r="J170" s="575"/>
    </row>
    <row r="171" spans="1:15" s="297" customFormat="1" ht="60.6" customHeight="1" thickBot="1" x14ac:dyDescent="0.35">
      <c r="A171" s="321" t="s">
        <v>108</v>
      </c>
      <c r="B171" s="436" t="s">
        <v>238</v>
      </c>
      <c r="C171" s="568">
        <f>SUM(C169:C170)</f>
        <v>3112056</v>
      </c>
      <c r="D171" s="569">
        <f t="shared" ref="D171" si="108">SUM(D169:D170)</f>
        <v>1896264</v>
      </c>
      <c r="E171" s="570">
        <f t="shared" si="104"/>
        <v>0.60932836684172775</v>
      </c>
      <c r="F171" s="571">
        <f t="shared" ref="F171:J171" si="109">SUM(F169:F170)</f>
        <v>34136707.381200001</v>
      </c>
      <c r="G171" s="569">
        <f t="shared" si="109"/>
        <v>386500</v>
      </c>
      <c r="H171" s="571">
        <f t="shared" si="109"/>
        <v>855749.65</v>
      </c>
      <c r="I171" s="571">
        <f t="shared" si="109"/>
        <v>46554492.420000002</v>
      </c>
      <c r="J171" s="572">
        <f t="shared" si="109"/>
        <v>4940106.8000000007</v>
      </c>
    </row>
    <row r="172" spans="1:15" ht="60.6" customHeight="1" x14ac:dyDescent="0.3">
      <c r="A172" s="271" t="s">
        <v>109</v>
      </c>
      <c r="B172" s="581" t="s">
        <v>235</v>
      </c>
      <c r="C172" s="560">
        <f>+'01 Prod Physique Boites'!E1167</f>
        <v>1144800</v>
      </c>
      <c r="D172" s="557">
        <f>+'01 Prod Physique Boites'!L1167</f>
        <v>361704</v>
      </c>
      <c r="E172" s="558">
        <f t="shared" si="104"/>
        <v>0.31595387840670858</v>
      </c>
      <c r="F172" s="559">
        <f>+'02 Prod Valorisée Boites'!G1171</f>
        <v>17343079.2936</v>
      </c>
      <c r="G172" s="557">
        <f>+'03 Prod Accessoires'!K683</f>
        <v>1353815</v>
      </c>
      <c r="H172" s="560">
        <f>+'03 Prod Accessoires'!Q683</f>
        <v>10517380.239500001</v>
      </c>
      <c r="I172" s="560">
        <f>+'02 Prod Valorisée Boites'!J1171</f>
        <v>33518344.32</v>
      </c>
      <c r="J172" s="573">
        <f>+'04 Ventes'!I930</f>
        <v>34742069.319999993</v>
      </c>
      <c r="K172" s="774"/>
      <c r="L172" s="774"/>
      <c r="O172" s="757"/>
    </row>
    <row r="173" spans="1:15" ht="60.6" customHeight="1" thickBot="1" x14ac:dyDescent="0.35">
      <c r="A173" s="832" t="s">
        <v>109</v>
      </c>
      <c r="B173" s="306" t="s">
        <v>236</v>
      </c>
      <c r="C173" s="566"/>
      <c r="D173" s="576"/>
      <c r="E173" s="577" t="str">
        <f t="shared" si="104"/>
        <v>-</v>
      </c>
      <c r="F173" s="578"/>
      <c r="G173" s="563"/>
      <c r="H173" s="566"/>
      <c r="I173" s="566"/>
      <c r="J173" s="575"/>
    </row>
    <row r="174" spans="1:15" s="297" customFormat="1" ht="60.6" customHeight="1" thickBot="1" x14ac:dyDescent="0.35">
      <c r="A174" s="321" t="s">
        <v>109</v>
      </c>
      <c r="B174" s="436" t="s">
        <v>239</v>
      </c>
      <c r="C174" s="568">
        <f>SUM(C172:C173)</f>
        <v>1144800</v>
      </c>
      <c r="D174" s="569">
        <f t="shared" ref="D174" si="110">SUM(D172:D173)</f>
        <v>361704</v>
      </c>
      <c r="E174" s="570">
        <f t="shared" si="104"/>
        <v>0.31595387840670858</v>
      </c>
      <c r="F174" s="571">
        <f t="shared" ref="F174:J174" si="111">SUM(F172:F173)</f>
        <v>17343079.2936</v>
      </c>
      <c r="G174" s="569">
        <f t="shared" si="111"/>
        <v>1353815</v>
      </c>
      <c r="H174" s="571">
        <f t="shared" si="111"/>
        <v>10517380.239500001</v>
      </c>
      <c r="I174" s="571">
        <f t="shared" si="111"/>
        <v>33518344.32</v>
      </c>
      <c r="J174" s="572">
        <f t="shared" si="111"/>
        <v>34742069.319999993</v>
      </c>
    </row>
    <row r="175" spans="1:15" ht="57.6" customHeight="1" thickBot="1" x14ac:dyDescent="0.35">
      <c r="A175" s="642"/>
      <c r="B175" s="554" t="s">
        <v>182</v>
      </c>
      <c r="C175" s="555">
        <f>+C168+C171+C174</f>
        <v>10258981</v>
      </c>
      <c r="D175" s="582">
        <f t="shared" ref="D175" si="112">+D168+D171+D174</f>
        <v>4226538</v>
      </c>
      <c r="E175" s="583">
        <f>IFERROR(D175/C175,"-")</f>
        <v>0.41198419219218751</v>
      </c>
      <c r="F175" s="582">
        <f>+F168+F171+F174</f>
        <v>93507211.779399991</v>
      </c>
      <c r="G175" s="582">
        <f t="shared" ref="G175:H175" si="113">+G168+G171+G174</f>
        <v>3734225</v>
      </c>
      <c r="H175" s="582">
        <f t="shared" si="113"/>
        <v>20208648.096500002</v>
      </c>
      <c r="I175" s="582">
        <f>+I168+I171+I174</f>
        <v>138097371.58000001</v>
      </c>
      <c r="J175" s="643">
        <f t="shared" ref="J175" si="114">+J168+J171+J174</f>
        <v>103297957.31999999</v>
      </c>
    </row>
    <row r="176" spans="1:15" ht="41.4" customHeight="1" x14ac:dyDescent="0.3">
      <c r="A176" s="991" t="s">
        <v>1</v>
      </c>
      <c r="B176" s="997" t="s">
        <v>477</v>
      </c>
      <c r="C176" s="997" t="s">
        <v>240</v>
      </c>
      <c r="D176" s="1088" t="s">
        <v>521</v>
      </c>
      <c r="E176" s="1089"/>
      <c r="F176" s="1089"/>
      <c r="G176" s="1089"/>
      <c r="H176" s="1090"/>
      <c r="I176" s="1091" t="s">
        <v>498</v>
      </c>
      <c r="J176" s="1091" t="s">
        <v>499</v>
      </c>
      <c r="K176" s="229" t="s">
        <v>502</v>
      </c>
    </row>
    <row r="177" spans="1:15" ht="41.4" customHeight="1" x14ac:dyDescent="0.3">
      <c r="A177" s="1070"/>
      <c r="B177" s="1087"/>
      <c r="C177" s="1087"/>
      <c r="D177" s="1094" t="s">
        <v>248</v>
      </c>
      <c r="E177" s="1095"/>
      <c r="F177" s="1096"/>
      <c r="G177" s="1094" t="s">
        <v>243</v>
      </c>
      <c r="H177" s="1096"/>
      <c r="I177" s="1092"/>
      <c r="J177" s="1092"/>
    </row>
    <row r="178" spans="1:15" ht="25.95" customHeight="1" x14ac:dyDescent="0.3">
      <c r="A178" s="992"/>
      <c r="B178" s="998"/>
      <c r="C178" s="998"/>
      <c r="D178" s="1097" t="s">
        <v>496</v>
      </c>
      <c r="E178" s="1099" t="s">
        <v>9</v>
      </c>
      <c r="F178" s="1101" t="s">
        <v>497</v>
      </c>
      <c r="G178" s="1103" t="s">
        <v>244</v>
      </c>
      <c r="H178" s="1105" t="s">
        <v>497</v>
      </c>
      <c r="I178" s="1092"/>
      <c r="J178" s="1092"/>
    </row>
    <row r="179" spans="1:15" ht="25.95" customHeight="1" thickBot="1" x14ac:dyDescent="0.35">
      <c r="A179" s="993"/>
      <c r="B179" s="999"/>
      <c r="C179" s="999"/>
      <c r="D179" s="1098"/>
      <c r="E179" s="1100"/>
      <c r="F179" s="1102"/>
      <c r="G179" s="1104"/>
      <c r="H179" s="1106"/>
      <c r="I179" s="1093"/>
      <c r="J179" s="1093"/>
    </row>
    <row r="180" spans="1:15" ht="60.6" customHeight="1" x14ac:dyDescent="0.3">
      <c r="A180" s="271" t="s">
        <v>110</v>
      </c>
      <c r="B180" s="579" t="s">
        <v>234</v>
      </c>
      <c r="C180" s="556">
        <f>+'01 Prod Physique Boites'!E1201</f>
        <v>4750000</v>
      </c>
      <c r="D180" s="557">
        <f>+'01 Prod Physique Boites'!L1201</f>
        <v>1673420</v>
      </c>
      <c r="E180" s="558">
        <f>IFERROR(D180/C180,"-")</f>
        <v>0.35229894736842104</v>
      </c>
      <c r="F180" s="559">
        <f>+'02 Prod Valorisée Boites'!G1206</f>
        <v>27037064.8244</v>
      </c>
      <c r="G180" s="557">
        <f>+'03 Prod Accessoires'!K693</f>
        <v>1787370</v>
      </c>
      <c r="H180" s="560">
        <f>+'03 Prod Accessoires'!Q693</f>
        <v>7015156.1980000008</v>
      </c>
      <c r="I180" s="560">
        <f>+'02 Prod Valorisée Boites'!J1206</f>
        <v>37513600.643999994</v>
      </c>
      <c r="J180" s="561">
        <f>+'04 Ventes'!I952</f>
        <v>38931543.200000003</v>
      </c>
      <c r="K180" s="774"/>
      <c r="L180" s="774"/>
      <c r="O180" s="757"/>
    </row>
    <row r="181" spans="1:15" ht="60.6" customHeight="1" x14ac:dyDescent="0.3">
      <c r="A181" s="841" t="s">
        <v>110</v>
      </c>
      <c r="B181" s="580" t="s">
        <v>235</v>
      </c>
      <c r="C181" s="562">
        <f>+'01 Prod Physique Boites'!E1216</f>
        <v>1252125</v>
      </c>
      <c r="D181" s="563">
        <f>+'01 Prod Physique Boites'!L1216</f>
        <v>455084</v>
      </c>
      <c r="E181" s="564">
        <f t="shared" ref="E181:E189" si="115">IFERROR(D181/C181,"-")</f>
        <v>0.36344933612858144</v>
      </c>
      <c r="F181" s="565">
        <f>+'02 Prod Valorisée Boites'!G1221</f>
        <v>18772135.761999998</v>
      </c>
      <c r="G181" s="563">
        <f>+'03 Prod Accessoires'!K701</f>
        <v>389040</v>
      </c>
      <c r="H181" s="566">
        <f>+'03 Prod Accessoires'!Q701</f>
        <v>2758944.3840000001</v>
      </c>
      <c r="I181" s="566">
        <f>+'02 Prod Valorisée Boites'!J1221</f>
        <v>26687811.800000001</v>
      </c>
      <c r="J181" s="567">
        <f>+'04 Ventes'!I964</f>
        <v>23944566.5</v>
      </c>
      <c r="K181" s="774"/>
      <c r="L181" s="774"/>
      <c r="O181" s="757"/>
    </row>
    <row r="182" spans="1:15" ht="60.6" customHeight="1" thickBot="1" x14ac:dyDescent="0.35">
      <c r="A182" s="277" t="s">
        <v>110</v>
      </c>
      <c r="B182" s="278" t="s">
        <v>236</v>
      </c>
      <c r="C182" s="562"/>
      <c r="D182" s="563"/>
      <c r="E182" s="564" t="str">
        <f t="shared" si="115"/>
        <v>-</v>
      </c>
      <c r="F182" s="565"/>
      <c r="G182" s="563"/>
      <c r="H182" s="566"/>
      <c r="I182" s="566"/>
      <c r="J182" s="567">
        <f>+'04 Ventes'!I970</f>
        <v>1109671.5</v>
      </c>
    </row>
    <row r="183" spans="1:15" s="297" customFormat="1" ht="60.6" customHeight="1" thickBot="1" x14ac:dyDescent="0.35">
      <c r="A183" s="321" t="s">
        <v>110</v>
      </c>
      <c r="B183" s="436" t="s">
        <v>237</v>
      </c>
      <c r="C183" s="568">
        <f>SUM(C180:C182)</f>
        <v>6002125</v>
      </c>
      <c r="D183" s="569">
        <f t="shared" ref="D183" si="116">SUM(D180:D182)</f>
        <v>2128504</v>
      </c>
      <c r="E183" s="570">
        <f t="shared" si="115"/>
        <v>0.35462507028760648</v>
      </c>
      <c r="F183" s="571">
        <f>SUM(F180:F182)</f>
        <v>45809200.586400002</v>
      </c>
      <c r="G183" s="569">
        <f t="shared" ref="G183:H183" si="117">SUM(G180:G182)</f>
        <v>2176410</v>
      </c>
      <c r="H183" s="571">
        <f t="shared" si="117"/>
        <v>9774100.5820000004</v>
      </c>
      <c r="I183" s="571">
        <f>SUM(I180:I182)</f>
        <v>64201412.443999991</v>
      </c>
      <c r="J183" s="572">
        <f t="shared" ref="J183" si="118">SUM(J180:J182)</f>
        <v>63985781.200000003</v>
      </c>
    </row>
    <row r="184" spans="1:15" ht="60.6" customHeight="1" x14ac:dyDescent="0.3">
      <c r="A184" s="271" t="s">
        <v>108</v>
      </c>
      <c r="B184" s="579" t="s">
        <v>234</v>
      </c>
      <c r="C184" s="556">
        <f>+'01 Prod Physique Boites'!E1246</f>
        <v>3112056</v>
      </c>
      <c r="D184" s="557">
        <f>+'01 Prod Physique Boites'!L1246</f>
        <v>2099142</v>
      </c>
      <c r="E184" s="558">
        <f t="shared" si="115"/>
        <v>0.67451935312218037</v>
      </c>
      <c r="F184" s="559">
        <f>+'02 Prod Valorisée Boites'!G1251</f>
        <v>37514585.107799999</v>
      </c>
      <c r="G184" s="557">
        <f>+'03 Prod Accessoires'!K710</f>
        <v>386500</v>
      </c>
      <c r="H184" s="560">
        <f>+'03 Prod Accessoires'!Q711</f>
        <v>855749.65</v>
      </c>
      <c r="I184" s="560">
        <f>+'02 Prod Valorisée Boites'!J1251</f>
        <v>50736364.920000002</v>
      </c>
      <c r="J184" s="573">
        <f>+'04 Ventes'!I994</f>
        <v>5414483.3000000007</v>
      </c>
      <c r="L184" s="774"/>
      <c r="O184" s="757"/>
    </row>
    <row r="185" spans="1:15" ht="60.6" customHeight="1" thickBot="1" x14ac:dyDescent="0.35">
      <c r="A185" s="841" t="s">
        <v>108</v>
      </c>
      <c r="B185" s="298" t="s">
        <v>236</v>
      </c>
      <c r="C185" s="574"/>
      <c r="D185" s="563"/>
      <c r="E185" s="564" t="str">
        <f t="shared" si="115"/>
        <v>-</v>
      </c>
      <c r="F185" s="565"/>
      <c r="G185" s="563"/>
      <c r="H185" s="566"/>
      <c r="I185" s="566"/>
      <c r="J185" s="575"/>
    </row>
    <row r="186" spans="1:15" s="297" customFormat="1" ht="60.6" customHeight="1" thickBot="1" x14ac:dyDescent="0.35">
      <c r="A186" s="321" t="s">
        <v>108</v>
      </c>
      <c r="B186" s="436" t="s">
        <v>238</v>
      </c>
      <c r="C186" s="568">
        <f>SUM(C184:C185)</f>
        <v>3112056</v>
      </c>
      <c r="D186" s="569">
        <f t="shared" ref="D186" si="119">SUM(D184:D185)</f>
        <v>2099142</v>
      </c>
      <c r="E186" s="570">
        <f t="shared" si="115"/>
        <v>0.67451935312218037</v>
      </c>
      <c r="F186" s="571">
        <f t="shared" ref="F186:J186" si="120">SUM(F184:F185)</f>
        <v>37514585.107799999</v>
      </c>
      <c r="G186" s="569">
        <f t="shared" si="120"/>
        <v>386500</v>
      </c>
      <c r="H186" s="571">
        <f t="shared" si="120"/>
        <v>855749.65</v>
      </c>
      <c r="I186" s="571">
        <f t="shared" si="120"/>
        <v>50736364.920000002</v>
      </c>
      <c r="J186" s="572">
        <f t="shared" si="120"/>
        <v>5414483.3000000007</v>
      </c>
    </row>
    <row r="187" spans="1:15" ht="60.6" customHeight="1" x14ac:dyDescent="0.3">
      <c r="A187" s="271" t="s">
        <v>109</v>
      </c>
      <c r="B187" s="581" t="s">
        <v>235</v>
      </c>
      <c r="C187" s="560">
        <f>+'01 Prod Physique Boites'!E1273</f>
        <v>1144800</v>
      </c>
      <c r="D187" s="557">
        <f>+'01 Prod Physique Boites'!L1273</f>
        <v>468864</v>
      </c>
      <c r="E187" s="558">
        <f t="shared" si="115"/>
        <v>0.40955974842767295</v>
      </c>
      <c r="F187" s="559">
        <f>+'02 Prod Valorisée Boites'!G1277</f>
        <v>24671747.457600001</v>
      </c>
      <c r="G187" s="557">
        <f>+'03 Prod Accessoires'!K745</f>
        <v>1685215</v>
      </c>
      <c r="H187" s="560">
        <f>+'03 Prod Accessoires'!Q745</f>
        <v>12245828.9145</v>
      </c>
      <c r="I187" s="560">
        <f>+'02 Prod Valorisée Boites'!J1277</f>
        <v>47105617.920000002</v>
      </c>
      <c r="J187" s="573">
        <f>+'04 Ventes'!I1018</f>
        <v>34742069.319999993</v>
      </c>
      <c r="K187" s="774"/>
      <c r="L187" s="774"/>
      <c r="O187" s="757"/>
    </row>
    <row r="188" spans="1:15" ht="60.6" customHeight="1" thickBot="1" x14ac:dyDescent="0.35">
      <c r="A188" s="841" t="s">
        <v>109</v>
      </c>
      <c r="B188" s="306" t="s">
        <v>236</v>
      </c>
      <c r="C188" s="566"/>
      <c r="D188" s="576"/>
      <c r="E188" s="577" t="str">
        <f t="shared" si="115"/>
        <v>-</v>
      </c>
      <c r="F188" s="578"/>
      <c r="G188" s="563"/>
      <c r="H188" s="566"/>
      <c r="I188" s="566"/>
      <c r="J188" s="575"/>
    </row>
    <row r="189" spans="1:15" s="297" customFormat="1" ht="60.6" customHeight="1" thickBot="1" x14ac:dyDescent="0.35">
      <c r="A189" s="321" t="s">
        <v>109</v>
      </c>
      <c r="B189" s="436" t="s">
        <v>239</v>
      </c>
      <c r="C189" s="568">
        <f>SUM(C187:C188)</f>
        <v>1144800</v>
      </c>
      <c r="D189" s="569">
        <f t="shared" ref="D189" si="121">SUM(D187:D188)</f>
        <v>468864</v>
      </c>
      <c r="E189" s="570">
        <f t="shared" si="115"/>
        <v>0.40955974842767295</v>
      </c>
      <c r="F189" s="571">
        <f t="shared" ref="F189:J189" si="122">SUM(F187:F188)</f>
        <v>24671747.457600001</v>
      </c>
      <c r="G189" s="569">
        <f t="shared" si="122"/>
        <v>1685215</v>
      </c>
      <c r="H189" s="571">
        <f t="shared" si="122"/>
        <v>12245828.9145</v>
      </c>
      <c r="I189" s="571">
        <f t="shared" si="122"/>
        <v>47105617.920000002</v>
      </c>
      <c r="J189" s="572">
        <f t="shared" si="122"/>
        <v>34742069.319999993</v>
      </c>
    </row>
    <row r="190" spans="1:15" ht="57.6" customHeight="1" thickBot="1" x14ac:dyDescent="0.35">
      <c r="A190" s="642"/>
      <c r="B190" s="554" t="s">
        <v>182</v>
      </c>
      <c r="C190" s="555">
        <f>+C183+C186+C189</f>
        <v>10258981</v>
      </c>
      <c r="D190" s="582">
        <f t="shared" ref="D190" si="123">+D183+D186+D189</f>
        <v>4696510</v>
      </c>
      <c r="E190" s="583">
        <f>IFERROR(D190/C190,"-")</f>
        <v>0.45779497983279238</v>
      </c>
      <c r="F190" s="582">
        <f>+F183+F186+F189</f>
        <v>107995533.15180001</v>
      </c>
      <c r="G190" s="582">
        <f t="shared" ref="G190:H190" si="124">+G183+G186+G189</f>
        <v>4248125</v>
      </c>
      <c r="H190" s="582">
        <f t="shared" si="124"/>
        <v>22875679.146499999</v>
      </c>
      <c r="I190" s="582">
        <f>+I183+I186+I189</f>
        <v>162043395.28399998</v>
      </c>
      <c r="J190" s="643">
        <f t="shared" ref="J190" si="125">+J183+J186+J189</f>
        <v>104142333.81999999</v>
      </c>
    </row>
    <row r="191" spans="1:15" ht="41.4" customHeight="1" x14ac:dyDescent="0.3">
      <c r="A191" s="991" t="s">
        <v>1</v>
      </c>
      <c r="B191" s="997" t="s">
        <v>477</v>
      </c>
      <c r="C191" s="997" t="s">
        <v>240</v>
      </c>
      <c r="D191" s="1088" t="s">
        <v>529</v>
      </c>
      <c r="E191" s="1089"/>
      <c r="F191" s="1089"/>
      <c r="G191" s="1089"/>
      <c r="H191" s="1090"/>
      <c r="I191" s="1091" t="s">
        <v>498</v>
      </c>
      <c r="J191" s="1091" t="s">
        <v>499</v>
      </c>
      <c r="K191" s="229" t="s">
        <v>502</v>
      </c>
    </row>
    <row r="192" spans="1:15" ht="41.4" customHeight="1" x14ac:dyDescent="0.3">
      <c r="A192" s="1070"/>
      <c r="B192" s="1087"/>
      <c r="C192" s="1087"/>
      <c r="D192" s="1094" t="s">
        <v>248</v>
      </c>
      <c r="E192" s="1095"/>
      <c r="F192" s="1096"/>
      <c r="G192" s="1094" t="s">
        <v>243</v>
      </c>
      <c r="H192" s="1096"/>
      <c r="I192" s="1092"/>
      <c r="J192" s="1092"/>
    </row>
    <row r="193" spans="1:15" ht="25.95" customHeight="1" x14ac:dyDescent="0.3">
      <c r="A193" s="992"/>
      <c r="B193" s="998"/>
      <c r="C193" s="998"/>
      <c r="D193" s="1097" t="s">
        <v>496</v>
      </c>
      <c r="E193" s="1099" t="s">
        <v>9</v>
      </c>
      <c r="F193" s="1101" t="s">
        <v>497</v>
      </c>
      <c r="G193" s="1103" t="s">
        <v>244</v>
      </c>
      <c r="H193" s="1105" t="s">
        <v>497</v>
      </c>
      <c r="I193" s="1092"/>
      <c r="J193" s="1092"/>
    </row>
    <row r="194" spans="1:15" ht="25.95" customHeight="1" thickBot="1" x14ac:dyDescent="0.35">
      <c r="A194" s="993"/>
      <c r="B194" s="999"/>
      <c r="C194" s="999"/>
      <c r="D194" s="1098"/>
      <c r="E194" s="1100"/>
      <c r="F194" s="1102"/>
      <c r="G194" s="1104"/>
      <c r="H194" s="1106"/>
      <c r="I194" s="1093"/>
      <c r="J194" s="1093"/>
    </row>
    <row r="195" spans="1:15" ht="60.6" customHeight="1" x14ac:dyDescent="0.3">
      <c r="A195" s="271" t="s">
        <v>110</v>
      </c>
      <c r="B195" s="579" t="s">
        <v>234</v>
      </c>
      <c r="C195" s="556">
        <f>+'01 Prod Physique Boites'!E1307</f>
        <v>4750000</v>
      </c>
      <c r="D195" s="557">
        <f>+'01 Prod Physique Boites'!L1307</f>
        <v>1842626</v>
      </c>
      <c r="E195" s="558">
        <f>IFERROR(D195/C195,"-")</f>
        <v>0.38792126315789471</v>
      </c>
      <c r="F195" s="559">
        <f>+'02 Prod Valorisée Boites'!G1312</f>
        <v>30302920.327199999</v>
      </c>
      <c r="G195" s="557">
        <f>+'03 Prod Accessoires'!K755</f>
        <v>1992370</v>
      </c>
      <c r="H195" s="560">
        <f>+'03 Prod Accessoires'!Q755</f>
        <v>8073599.6980000008</v>
      </c>
      <c r="I195" s="560">
        <f>+'02 Prod Valorisée Boites'!J1312</f>
        <v>40919849.156000003</v>
      </c>
      <c r="J195" s="561">
        <f>+'04 Ventes'!I1040</f>
        <v>39623348.000000007</v>
      </c>
      <c r="K195" s="774"/>
      <c r="L195" s="774"/>
      <c r="O195" s="757"/>
    </row>
    <row r="196" spans="1:15" ht="60.6" customHeight="1" x14ac:dyDescent="0.3">
      <c r="A196" s="849" t="s">
        <v>110</v>
      </c>
      <c r="B196" s="580" t="s">
        <v>235</v>
      </c>
      <c r="C196" s="562">
        <f>+'01 Prod Physique Boites'!E1322</f>
        <v>1252125</v>
      </c>
      <c r="D196" s="563">
        <f>+'01 Prod Physique Boites'!L1322</f>
        <v>464964</v>
      </c>
      <c r="E196" s="564">
        <f t="shared" ref="E196:E204" si="126">IFERROR(D196/C196,"-")</f>
        <v>0.37133992213237499</v>
      </c>
      <c r="F196" s="565">
        <f>+'02 Prod Valorisée Boites'!G1327</f>
        <v>19463346.857999999</v>
      </c>
      <c r="G196" s="563">
        <f>+'03 Prod Accessoires'!K763</f>
        <v>407040</v>
      </c>
      <c r="H196" s="566">
        <f>+'03 Prod Accessoires'!Q763</f>
        <v>2975475.3840000001</v>
      </c>
      <c r="I196" s="566">
        <f>+'02 Prod Valorisée Boites'!J1327</f>
        <v>27746575.800000001</v>
      </c>
      <c r="J196" s="567">
        <f>+'04 Ventes'!I1052</f>
        <v>28085620.550000001</v>
      </c>
      <c r="K196" s="774"/>
      <c r="L196" s="774"/>
      <c r="O196" s="757"/>
    </row>
    <row r="197" spans="1:15" ht="60.6" customHeight="1" thickBot="1" x14ac:dyDescent="0.35">
      <c r="A197" s="277" t="s">
        <v>110</v>
      </c>
      <c r="B197" s="278" t="s">
        <v>236</v>
      </c>
      <c r="C197" s="562"/>
      <c r="D197" s="563"/>
      <c r="E197" s="564" t="str">
        <f t="shared" si="126"/>
        <v>-</v>
      </c>
      <c r="F197" s="565"/>
      <c r="G197" s="563"/>
      <c r="H197" s="566"/>
      <c r="I197" s="566"/>
      <c r="J197" s="567">
        <f>+'04 Ventes'!I1058</f>
        <v>1109671.5</v>
      </c>
    </row>
    <row r="198" spans="1:15" s="297" customFormat="1" ht="60.6" customHeight="1" thickBot="1" x14ac:dyDescent="0.35">
      <c r="A198" s="321" t="s">
        <v>110</v>
      </c>
      <c r="B198" s="436" t="s">
        <v>237</v>
      </c>
      <c r="C198" s="568">
        <f>SUM(C195:C197)</f>
        <v>6002125</v>
      </c>
      <c r="D198" s="569">
        <f t="shared" ref="D198" si="127">SUM(D195:D197)</f>
        <v>2307590</v>
      </c>
      <c r="E198" s="570">
        <f t="shared" si="126"/>
        <v>0.38446216964824959</v>
      </c>
      <c r="F198" s="571">
        <f>SUM(F195:F197)</f>
        <v>49766267.185199998</v>
      </c>
      <c r="G198" s="569">
        <f t="shared" ref="G198:H198" si="128">SUM(G195:G197)</f>
        <v>2399410</v>
      </c>
      <c r="H198" s="571">
        <f t="shared" si="128"/>
        <v>11049075.082</v>
      </c>
      <c r="I198" s="571">
        <f>SUM(I195:I197)</f>
        <v>68666424.956</v>
      </c>
      <c r="J198" s="572">
        <f t="shared" ref="J198" si="129">SUM(J195:J197)</f>
        <v>68818640.050000012</v>
      </c>
    </row>
    <row r="199" spans="1:15" ht="60.6" customHeight="1" x14ac:dyDescent="0.3">
      <c r="A199" s="271" t="s">
        <v>108</v>
      </c>
      <c r="B199" s="579" t="s">
        <v>234</v>
      </c>
      <c r="C199" s="556">
        <f>+'01 Prod Physique Boites'!E1351</f>
        <v>3112056</v>
      </c>
      <c r="D199" s="557">
        <f>+'01 Prod Physique Boites'!L1351</f>
        <v>2234160</v>
      </c>
      <c r="E199" s="558">
        <f t="shared" si="126"/>
        <v>0.71790481919348492</v>
      </c>
      <c r="F199" s="559">
        <f>+'02 Prod Valorisée Boites'!G1356</f>
        <v>40094186.506200001</v>
      </c>
      <c r="G199" s="557">
        <f>+'03 Prod Accessoires'!K772</f>
        <v>386500</v>
      </c>
      <c r="H199" s="560">
        <f>+'03 Prod Accessoires'!Q772</f>
        <v>855749.65</v>
      </c>
      <c r="I199" s="560">
        <f>+'02 Prod Valorisée Boites'!J1356</f>
        <v>54148618.440000005</v>
      </c>
      <c r="J199" s="573">
        <f>+'04 Ventes'!I1082</f>
        <v>6360311.2999999998</v>
      </c>
      <c r="L199" s="774"/>
      <c r="O199" s="757"/>
    </row>
    <row r="200" spans="1:15" ht="60.6" customHeight="1" thickBot="1" x14ac:dyDescent="0.35">
      <c r="A200" s="849" t="s">
        <v>108</v>
      </c>
      <c r="B200" s="298" t="s">
        <v>236</v>
      </c>
      <c r="C200" s="574"/>
      <c r="D200" s="563"/>
      <c r="E200" s="564" t="str">
        <f t="shared" si="126"/>
        <v>-</v>
      </c>
      <c r="F200" s="565"/>
      <c r="G200" s="563"/>
      <c r="H200" s="566"/>
      <c r="I200" s="566"/>
      <c r="J200" s="575"/>
    </row>
    <row r="201" spans="1:15" s="297" customFormat="1" ht="60.6" customHeight="1" thickBot="1" x14ac:dyDescent="0.35">
      <c r="A201" s="321" t="s">
        <v>108</v>
      </c>
      <c r="B201" s="436" t="s">
        <v>238</v>
      </c>
      <c r="C201" s="568">
        <f>SUM(C199:C200)</f>
        <v>3112056</v>
      </c>
      <c r="D201" s="569">
        <f t="shared" ref="D201" si="130">SUM(D199:D200)</f>
        <v>2234160</v>
      </c>
      <c r="E201" s="570">
        <f t="shared" si="126"/>
        <v>0.71790481919348492</v>
      </c>
      <c r="F201" s="571">
        <f t="shared" ref="F201:J201" si="131">SUM(F199:F200)</f>
        <v>40094186.506200001</v>
      </c>
      <c r="G201" s="569">
        <f t="shared" si="131"/>
        <v>386500</v>
      </c>
      <c r="H201" s="571">
        <f t="shared" si="131"/>
        <v>855749.65</v>
      </c>
      <c r="I201" s="571">
        <f t="shared" si="131"/>
        <v>54148618.440000005</v>
      </c>
      <c r="J201" s="572">
        <f t="shared" si="131"/>
        <v>6360311.2999999998</v>
      </c>
    </row>
    <row r="202" spans="1:15" ht="60.6" customHeight="1" x14ac:dyDescent="0.3">
      <c r="A202" s="271" t="s">
        <v>109</v>
      </c>
      <c r="B202" s="581" t="s">
        <v>235</v>
      </c>
      <c r="C202" s="560">
        <f>+'01 Prod Physique Boites'!E1378</f>
        <v>1144800</v>
      </c>
      <c r="D202" s="557">
        <f>+'01 Prod Physique Boites'!L1379</f>
        <v>510038</v>
      </c>
      <c r="E202" s="558">
        <f t="shared" si="126"/>
        <v>0.44552585604472394</v>
      </c>
      <c r="F202" s="559">
        <f>+'02 Prod Valorisée Boites'!G1383</f>
        <v>27063561.688200001</v>
      </c>
      <c r="G202" s="557">
        <f>+'03 Prod Accessoires'!K807</f>
        <v>1813515</v>
      </c>
      <c r="H202" s="560">
        <f>+'03 Prod Accessoires'!Q807</f>
        <v>13325705.274499999</v>
      </c>
      <c r="I202" s="560">
        <f>+'02 Prod Valorisée Boites'!J1383</f>
        <v>51651010.200000003</v>
      </c>
      <c r="J202" s="573">
        <f>+'04 Ventes'!I1106</f>
        <v>37795439.319999993</v>
      </c>
      <c r="K202" s="774"/>
      <c r="L202" s="774"/>
      <c r="O202" s="757"/>
    </row>
    <row r="203" spans="1:15" ht="60.6" customHeight="1" thickBot="1" x14ac:dyDescent="0.35">
      <c r="A203" s="849" t="s">
        <v>109</v>
      </c>
      <c r="B203" s="306" t="s">
        <v>236</v>
      </c>
      <c r="C203" s="566"/>
      <c r="D203" s="576"/>
      <c r="E203" s="577" t="str">
        <f t="shared" si="126"/>
        <v>-</v>
      </c>
      <c r="F203" s="578"/>
      <c r="G203" s="563"/>
      <c r="H203" s="566"/>
      <c r="I203" s="566"/>
      <c r="J203" s="575"/>
    </row>
    <row r="204" spans="1:15" s="297" customFormat="1" ht="60.6" customHeight="1" thickBot="1" x14ac:dyDescent="0.35">
      <c r="A204" s="321" t="s">
        <v>109</v>
      </c>
      <c r="B204" s="436" t="s">
        <v>239</v>
      </c>
      <c r="C204" s="568">
        <f>SUM(C202:C203)</f>
        <v>1144800</v>
      </c>
      <c r="D204" s="569">
        <f t="shared" ref="D204" si="132">SUM(D202:D203)</f>
        <v>510038</v>
      </c>
      <c r="E204" s="570">
        <f t="shared" si="126"/>
        <v>0.44552585604472394</v>
      </c>
      <c r="F204" s="571">
        <f t="shared" ref="F204:J204" si="133">SUM(F202:F203)</f>
        <v>27063561.688200001</v>
      </c>
      <c r="G204" s="569">
        <f t="shared" si="133"/>
        <v>1813515</v>
      </c>
      <c r="H204" s="571">
        <f t="shared" si="133"/>
        <v>13325705.274499999</v>
      </c>
      <c r="I204" s="571">
        <f t="shared" si="133"/>
        <v>51651010.200000003</v>
      </c>
      <c r="J204" s="572">
        <f t="shared" si="133"/>
        <v>37795439.319999993</v>
      </c>
    </row>
    <row r="205" spans="1:15" ht="57.6" customHeight="1" thickBot="1" x14ac:dyDescent="0.35">
      <c r="A205" s="642"/>
      <c r="B205" s="554" t="s">
        <v>182</v>
      </c>
      <c r="C205" s="555">
        <f>+C198+C201+C204</f>
        <v>10258981</v>
      </c>
      <c r="D205" s="582">
        <f t="shared" ref="D205" si="134">+D198+D201+D204</f>
        <v>5051788</v>
      </c>
      <c r="E205" s="583">
        <f>IFERROR(D205/C205,"-")</f>
        <v>0.49242590467805719</v>
      </c>
      <c r="F205" s="582">
        <f>+F198+F201+F204</f>
        <v>116924015.37959999</v>
      </c>
      <c r="G205" s="582">
        <f t="shared" ref="G205:H205" si="135">+G198+G201+G204</f>
        <v>4599425</v>
      </c>
      <c r="H205" s="582">
        <f t="shared" si="135"/>
        <v>25230530.006499998</v>
      </c>
      <c r="I205" s="582">
        <f>+I198+I201+I204</f>
        <v>174466053.59600002</v>
      </c>
      <c r="J205" s="643">
        <f t="shared" ref="J205" si="136">+J198+J201+J204</f>
        <v>112974390.67</v>
      </c>
    </row>
    <row r="206" spans="1:15" ht="41.4" customHeight="1" x14ac:dyDescent="0.3">
      <c r="A206" s="991" t="s">
        <v>1</v>
      </c>
      <c r="B206" s="997" t="s">
        <v>477</v>
      </c>
      <c r="C206" s="997" t="s">
        <v>240</v>
      </c>
      <c r="D206" s="1088" t="s">
        <v>537</v>
      </c>
      <c r="E206" s="1089"/>
      <c r="F206" s="1089"/>
      <c r="G206" s="1089"/>
      <c r="H206" s="1090"/>
      <c r="I206" s="1091" t="s">
        <v>498</v>
      </c>
      <c r="J206" s="1091" t="s">
        <v>499</v>
      </c>
      <c r="K206" s="229" t="s">
        <v>502</v>
      </c>
    </row>
    <row r="207" spans="1:15" ht="41.4" customHeight="1" x14ac:dyDescent="0.3">
      <c r="A207" s="1070"/>
      <c r="B207" s="1087"/>
      <c r="C207" s="1087"/>
      <c r="D207" s="1094" t="s">
        <v>248</v>
      </c>
      <c r="E207" s="1095"/>
      <c r="F207" s="1096"/>
      <c r="G207" s="1094" t="s">
        <v>243</v>
      </c>
      <c r="H207" s="1096"/>
      <c r="I207" s="1092"/>
      <c r="J207" s="1092"/>
    </row>
    <row r="208" spans="1:15" ht="25.95" customHeight="1" x14ac:dyDescent="0.3">
      <c r="A208" s="992"/>
      <c r="B208" s="998"/>
      <c r="C208" s="998"/>
      <c r="D208" s="1097" t="s">
        <v>496</v>
      </c>
      <c r="E208" s="1099" t="s">
        <v>9</v>
      </c>
      <c r="F208" s="1101" t="s">
        <v>497</v>
      </c>
      <c r="G208" s="1103" t="s">
        <v>244</v>
      </c>
      <c r="H208" s="1105" t="s">
        <v>497</v>
      </c>
      <c r="I208" s="1092"/>
      <c r="J208" s="1092"/>
    </row>
    <row r="209" spans="1:15" ht="25.95" customHeight="1" thickBot="1" x14ac:dyDescent="0.35">
      <c r="A209" s="993"/>
      <c r="B209" s="999"/>
      <c r="C209" s="999"/>
      <c r="D209" s="1098"/>
      <c r="E209" s="1100"/>
      <c r="F209" s="1102"/>
      <c r="G209" s="1104"/>
      <c r="H209" s="1106"/>
      <c r="I209" s="1093"/>
      <c r="J209" s="1093"/>
    </row>
    <row r="210" spans="1:15" ht="60.6" customHeight="1" x14ac:dyDescent="0.3">
      <c r="A210" s="271" t="s">
        <v>110</v>
      </c>
      <c r="B210" s="579" t="s">
        <v>234</v>
      </c>
      <c r="C210" s="556">
        <f>+'01 Prod Physique Boites'!E1413</f>
        <v>4750000</v>
      </c>
      <c r="D210" s="557">
        <f>+'01 Prod Physique Boites'!L1413</f>
        <v>2010114</v>
      </c>
      <c r="E210" s="558">
        <f>IFERROR(D210/C210,"-")</f>
        <v>0.42318189473684209</v>
      </c>
      <c r="F210" s="559">
        <f>+'02 Prod Valorisée Boites'!G1418</f>
        <v>33700365.419199996</v>
      </c>
      <c r="G210" s="557">
        <f>+'03 Prod Accessoires'!K817</f>
        <v>2229620</v>
      </c>
      <c r="H210" s="560">
        <f>+'03 Prod Accessoires'!Q817</f>
        <v>9338498.023</v>
      </c>
      <c r="I210" s="560">
        <f>+'02 Prod Valorisée Boites'!J1418</f>
        <v>44545708.915999994</v>
      </c>
      <c r="J210" s="561">
        <f>+'04 Ventes'!I1128</f>
        <v>39890304.800000004</v>
      </c>
      <c r="K210" s="774"/>
      <c r="L210" s="774"/>
      <c r="O210" s="757"/>
    </row>
    <row r="211" spans="1:15" ht="60.6" customHeight="1" x14ac:dyDescent="0.3">
      <c r="A211" s="857" t="s">
        <v>110</v>
      </c>
      <c r="B211" s="580" t="s">
        <v>235</v>
      </c>
      <c r="C211" s="562">
        <f>+'01 Prod Physique Boites'!E1428</f>
        <v>1252125</v>
      </c>
      <c r="D211" s="563">
        <f>+'01 Prod Physique Boites'!L1428</f>
        <v>491680</v>
      </c>
      <c r="E211" s="564">
        <f t="shared" ref="E211:E219" si="137">IFERROR(D211/C211,"-")</f>
        <v>0.39267645003494062</v>
      </c>
      <c r="F211" s="565">
        <f>+'02 Prod Valorisée Boites'!G1433</f>
        <v>21606042.137000002</v>
      </c>
      <c r="G211" s="563">
        <f>+'03 Prod Accessoires'!K825</f>
        <v>476040</v>
      </c>
      <c r="H211" s="566">
        <f>+'03 Prod Accessoires'!Q825</f>
        <v>3160684.8840000001</v>
      </c>
      <c r="I211" s="566">
        <f>+'02 Prod Valorisée Boites'!J1433</f>
        <v>31071929.5</v>
      </c>
      <c r="J211" s="567">
        <f>+'04 Ventes'!I1142</f>
        <v>30276049.910000004</v>
      </c>
      <c r="K211" s="774"/>
      <c r="L211" s="774"/>
      <c r="O211" s="757"/>
    </row>
    <row r="212" spans="1:15" ht="60.6" customHeight="1" thickBot="1" x14ac:dyDescent="0.35">
      <c r="A212" s="277" t="s">
        <v>110</v>
      </c>
      <c r="B212" s="278" t="s">
        <v>236</v>
      </c>
      <c r="C212" s="562"/>
      <c r="D212" s="563"/>
      <c r="E212" s="564" t="str">
        <f t="shared" si="137"/>
        <v>-</v>
      </c>
      <c r="F212" s="565"/>
      <c r="G212" s="563"/>
      <c r="H212" s="566"/>
      <c r="I212" s="566"/>
      <c r="J212" s="567">
        <f>+'04 Ventes'!I1148</f>
        <v>1272191.5</v>
      </c>
    </row>
    <row r="213" spans="1:15" s="297" customFormat="1" ht="60.6" customHeight="1" thickBot="1" x14ac:dyDescent="0.35">
      <c r="A213" s="321" t="s">
        <v>110</v>
      </c>
      <c r="B213" s="436" t="s">
        <v>237</v>
      </c>
      <c r="C213" s="568">
        <f>SUM(C210:C212)</f>
        <v>6002125</v>
      </c>
      <c r="D213" s="569">
        <f t="shared" ref="D213" si="138">SUM(D210:D212)</f>
        <v>2501794</v>
      </c>
      <c r="E213" s="570">
        <f t="shared" si="137"/>
        <v>0.41681804360955493</v>
      </c>
      <c r="F213" s="571">
        <f>SUM(F210:F212)</f>
        <v>55306407.556199998</v>
      </c>
      <c r="G213" s="569">
        <f t="shared" ref="G213:H213" si="139">SUM(G210:G212)</f>
        <v>2705660</v>
      </c>
      <c r="H213" s="571">
        <f t="shared" si="139"/>
        <v>12499182.907</v>
      </c>
      <c r="I213" s="571">
        <f>SUM(I210:I212)</f>
        <v>75617638.415999994</v>
      </c>
      <c r="J213" s="572">
        <f t="shared" ref="J213" si="140">SUM(J210:J212)</f>
        <v>71438546.210000008</v>
      </c>
    </row>
    <row r="214" spans="1:15" ht="60.6" customHeight="1" x14ac:dyDescent="0.3">
      <c r="A214" s="271" t="s">
        <v>108</v>
      </c>
      <c r="B214" s="579" t="s">
        <v>234</v>
      </c>
      <c r="C214" s="556">
        <f>+'01 Prod Physique Boites'!E1459</f>
        <v>3112056</v>
      </c>
      <c r="D214" s="557">
        <f>+'01 Prod Physique Boites'!L1459</f>
        <v>2423817</v>
      </c>
      <c r="E214" s="558">
        <f t="shared" si="137"/>
        <v>0.77884748860560349</v>
      </c>
      <c r="F214" s="559">
        <f>+'02 Prod Valorisée Boites'!G1464</f>
        <v>43342869.909600005</v>
      </c>
      <c r="G214" s="557">
        <f>+'03 Prod Accessoires'!K834</f>
        <v>386500</v>
      </c>
      <c r="H214" s="560">
        <f>+'03 Prod Accessoires'!Q834</f>
        <v>855749.65</v>
      </c>
      <c r="I214" s="560">
        <f>+'02 Prod Valorisée Boites'!J1464</f>
        <v>58307190.770000011</v>
      </c>
      <c r="J214" s="573">
        <f>+'04 Ventes'!I1172</f>
        <v>6360311.2999999998</v>
      </c>
      <c r="L214" s="774"/>
      <c r="O214" s="757"/>
    </row>
    <row r="215" spans="1:15" ht="60.6" customHeight="1" thickBot="1" x14ac:dyDescent="0.35">
      <c r="A215" s="857" t="s">
        <v>108</v>
      </c>
      <c r="B215" s="298" t="s">
        <v>236</v>
      </c>
      <c r="C215" s="574"/>
      <c r="D215" s="563"/>
      <c r="E215" s="564" t="str">
        <f t="shared" si="137"/>
        <v>-</v>
      </c>
      <c r="F215" s="565"/>
      <c r="G215" s="563"/>
      <c r="H215" s="566"/>
      <c r="I215" s="566"/>
      <c r="J215" s="575"/>
    </row>
    <row r="216" spans="1:15" s="297" customFormat="1" ht="60.6" customHeight="1" thickBot="1" x14ac:dyDescent="0.35">
      <c r="A216" s="321" t="s">
        <v>108</v>
      </c>
      <c r="B216" s="436" t="s">
        <v>238</v>
      </c>
      <c r="C216" s="568">
        <f>SUM(C214:C215)</f>
        <v>3112056</v>
      </c>
      <c r="D216" s="569">
        <f t="shared" ref="D216" si="141">SUM(D214:D215)</f>
        <v>2423817</v>
      </c>
      <c r="E216" s="570">
        <f t="shared" si="137"/>
        <v>0.77884748860560349</v>
      </c>
      <c r="F216" s="571">
        <f t="shared" ref="F216:J216" si="142">SUM(F214:F215)</f>
        <v>43342869.909600005</v>
      </c>
      <c r="G216" s="569">
        <f t="shared" si="142"/>
        <v>386500</v>
      </c>
      <c r="H216" s="571">
        <f t="shared" si="142"/>
        <v>855749.65</v>
      </c>
      <c r="I216" s="571">
        <f t="shared" si="142"/>
        <v>58307190.770000011</v>
      </c>
      <c r="J216" s="572">
        <f t="shared" si="142"/>
        <v>6360311.2999999998</v>
      </c>
    </row>
    <row r="217" spans="1:15" ht="60.6" customHeight="1" x14ac:dyDescent="0.3">
      <c r="A217" s="271" t="s">
        <v>109</v>
      </c>
      <c r="B217" s="581" t="s">
        <v>235</v>
      </c>
      <c r="C217" s="560">
        <f>+'01 Prod Physique Boites'!E1485</f>
        <v>1144800</v>
      </c>
      <c r="D217" s="557">
        <f>+'01 Prod Physique Boites'!L1486</f>
        <v>554173</v>
      </c>
      <c r="E217" s="558">
        <f t="shared" si="137"/>
        <v>0.48407844164919639</v>
      </c>
      <c r="F217" s="559">
        <f>+'02 Prod Valorisée Boites'!G1490</f>
        <v>28927201.1943</v>
      </c>
      <c r="G217" s="557">
        <f>+'03 Prod Accessoires'!K869</f>
        <v>1942215</v>
      </c>
      <c r="H217" s="560">
        <f>+'03 Prod Accessoires'!Q868</f>
        <v>14339207.664499998</v>
      </c>
      <c r="I217" s="560">
        <f>+'02 Prod Valorisée Boites'!J1490</f>
        <v>55313908.739999995</v>
      </c>
      <c r="J217" s="573">
        <f>+'04 Ventes'!I1196</f>
        <v>38185872.719999991</v>
      </c>
      <c r="K217" s="774"/>
      <c r="L217" s="774"/>
      <c r="O217" s="757"/>
    </row>
    <row r="218" spans="1:15" ht="60.6" customHeight="1" thickBot="1" x14ac:dyDescent="0.35">
      <c r="A218" s="857" t="s">
        <v>109</v>
      </c>
      <c r="B218" s="306" t="s">
        <v>236</v>
      </c>
      <c r="C218" s="566"/>
      <c r="D218" s="576"/>
      <c r="E218" s="577" t="str">
        <f t="shared" si="137"/>
        <v>-</v>
      </c>
      <c r="F218" s="578"/>
      <c r="G218" s="563"/>
      <c r="H218" s="566"/>
      <c r="I218" s="566"/>
      <c r="J218" s="575"/>
    </row>
    <row r="219" spans="1:15" s="297" customFormat="1" ht="60.6" customHeight="1" thickBot="1" x14ac:dyDescent="0.35">
      <c r="A219" s="321" t="s">
        <v>109</v>
      </c>
      <c r="B219" s="436" t="s">
        <v>239</v>
      </c>
      <c r="C219" s="568">
        <f>SUM(C217:C218)</f>
        <v>1144800</v>
      </c>
      <c r="D219" s="569">
        <f t="shared" ref="D219" si="143">SUM(D217:D218)</f>
        <v>554173</v>
      </c>
      <c r="E219" s="570">
        <f t="shared" si="137"/>
        <v>0.48407844164919639</v>
      </c>
      <c r="F219" s="571">
        <f t="shared" ref="F219:J219" si="144">SUM(F217:F218)</f>
        <v>28927201.1943</v>
      </c>
      <c r="G219" s="569">
        <f t="shared" si="144"/>
        <v>1942215</v>
      </c>
      <c r="H219" s="571">
        <f t="shared" si="144"/>
        <v>14339207.664499998</v>
      </c>
      <c r="I219" s="571">
        <f t="shared" si="144"/>
        <v>55313908.739999995</v>
      </c>
      <c r="J219" s="572">
        <f t="shared" si="144"/>
        <v>38185872.719999991</v>
      </c>
    </row>
    <row r="220" spans="1:15" ht="57.6" customHeight="1" thickBot="1" x14ac:dyDescent="0.35">
      <c r="A220" s="642"/>
      <c r="B220" s="554" t="s">
        <v>182</v>
      </c>
      <c r="C220" s="555">
        <f>+C213+C216+C219</f>
        <v>10258981</v>
      </c>
      <c r="D220" s="582">
        <f t="shared" ref="D220" si="145">+D213+D216+D219</f>
        <v>5479784</v>
      </c>
      <c r="E220" s="583">
        <f>IFERROR(D220/C220,"-")</f>
        <v>0.53414505787660582</v>
      </c>
      <c r="F220" s="582">
        <f>+F213+F216+F219</f>
        <v>127576478.6601</v>
      </c>
      <c r="G220" s="582">
        <f t="shared" ref="G220:H220" si="146">+G213+G216+G219</f>
        <v>5034375</v>
      </c>
      <c r="H220" s="582">
        <f t="shared" si="146"/>
        <v>27694140.221499998</v>
      </c>
      <c r="I220" s="582">
        <f>+I213+I216+I219</f>
        <v>189238737.926</v>
      </c>
      <c r="J220" s="643">
        <f t="shared" ref="J220" si="147">+J213+J216+J219</f>
        <v>115984730.22999999</v>
      </c>
    </row>
    <row r="221" spans="1:15" ht="41.4" customHeight="1" x14ac:dyDescent="0.3">
      <c r="A221" s="991" t="s">
        <v>1</v>
      </c>
      <c r="B221" s="997" t="s">
        <v>477</v>
      </c>
      <c r="C221" s="997" t="s">
        <v>240</v>
      </c>
      <c r="D221" s="1088" t="s">
        <v>554</v>
      </c>
      <c r="E221" s="1089"/>
      <c r="F221" s="1089"/>
      <c r="G221" s="1089"/>
      <c r="H221" s="1090"/>
      <c r="I221" s="1091" t="s">
        <v>498</v>
      </c>
      <c r="J221" s="1091" t="s">
        <v>499</v>
      </c>
      <c r="K221" s="229" t="s">
        <v>502</v>
      </c>
    </row>
    <row r="222" spans="1:15" ht="41.4" customHeight="1" x14ac:dyDescent="0.3">
      <c r="A222" s="1070"/>
      <c r="B222" s="1087"/>
      <c r="C222" s="1087"/>
      <c r="D222" s="1094" t="s">
        <v>248</v>
      </c>
      <c r="E222" s="1095"/>
      <c r="F222" s="1096"/>
      <c r="G222" s="1094" t="s">
        <v>243</v>
      </c>
      <c r="H222" s="1096"/>
      <c r="I222" s="1092"/>
      <c r="J222" s="1092"/>
    </row>
    <row r="223" spans="1:15" ht="25.95" customHeight="1" x14ac:dyDescent="0.3">
      <c r="A223" s="992"/>
      <c r="B223" s="998"/>
      <c r="C223" s="998"/>
      <c r="D223" s="1097" t="s">
        <v>496</v>
      </c>
      <c r="E223" s="1099" t="s">
        <v>9</v>
      </c>
      <c r="F223" s="1101" t="s">
        <v>497</v>
      </c>
      <c r="G223" s="1103" t="s">
        <v>244</v>
      </c>
      <c r="H223" s="1105" t="s">
        <v>497</v>
      </c>
      <c r="I223" s="1092"/>
      <c r="J223" s="1092"/>
    </row>
    <row r="224" spans="1:15" ht="25.95" customHeight="1" thickBot="1" x14ac:dyDescent="0.35">
      <c r="A224" s="993"/>
      <c r="B224" s="999"/>
      <c r="C224" s="999"/>
      <c r="D224" s="1098"/>
      <c r="E224" s="1100"/>
      <c r="F224" s="1102"/>
      <c r="G224" s="1104"/>
      <c r="H224" s="1106"/>
      <c r="I224" s="1093"/>
      <c r="J224" s="1093"/>
    </row>
    <row r="225" spans="1:15" ht="60.6" customHeight="1" x14ac:dyDescent="0.3">
      <c r="A225" s="271" t="s">
        <v>110</v>
      </c>
      <c r="B225" s="579" t="s">
        <v>234</v>
      </c>
      <c r="C225" s="556">
        <f>+'01 Prod Physique Boites'!E1520</f>
        <v>4750000</v>
      </c>
      <c r="D225" s="557">
        <f>+'01 Prod Physique Boites'!L1520</f>
        <v>2150874</v>
      </c>
      <c r="E225" s="558">
        <f>IFERROR(D225/C225,"-")</f>
        <v>0.4528155789473684</v>
      </c>
      <c r="F225" s="559">
        <f>+'02 Prod Valorisée Boites'!G1525</f>
        <v>35541252.851199999</v>
      </c>
      <c r="G225" s="557">
        <f>+'03 Prod Accessoires'!K879</f>
        <v>2316120</v>
      </c>
      <c r="H225" s="560">
        <f>+'03 Prod Accessoires'!Q879</f>
        <v>10035327.073000001</v>
      </c>
      <c r="I225" s="560">
        <f>+'02 Prod Valorisée Boites'!J1525</f>
        <v>47445364.915999994</v>
      </c>
      <c r="J225" s="561">
        <f>+'04 Ventes'!I1218</f>
        <v>44587710.800000004</v>
      </c>
      <c r="K225" s="774"/>
      <c r="L225" s="774"/>
      <c r="O225" s="757"/>
    </row>
    <row r="226" spans="1:15" ht="60.6" customHeight="1" x14ac:dyDescent="0.3">
      <c r="A226" s="878" t="s">
        <v>110</v>
      </c>
      <c r="B226" s="580" t="s">
        <v>235</v>
      </c>
      <c r="C226" s="562">
        <f>+'01 Prod Physique Boites'!E1535</f>
        <v>1252125</v>
      </c>
      <c r="D226" s="563">
        <f>+'01 Prod Physique Boites'!L1535</f>
        <v>505872</v>
      </c>
      <c r="E226" s="564">
        <f t="shared" ref="E226:E234" si="148">IFERROR(D226/C226,"-")</f>
        <v>0.404010781671159</v>
      </c>
      <c r="F226" s="565">
        <f>+'02 Prod Valorisée Boites'!G1540</f>
        <v>23046437.888999999</v>
      </c>
      <c r="G226" s="563">
        <f>+'03 Prod Accessoires'!K887</f>
        <v>535840</v>
      </c>
      <c r="H226" s="566">
        <f>+'03 Prod Accessoires'!Q887</f>
        <v>3592983.304</v>
      </c>
      <c r="I226" s="566">
        <f>+'02 Prod Valorisée Boites'!J1540</f>
        <v>33349035.899999999</v>
      </c>
      <c r="J226" s="567">
        <f>+'04 Ventes'!I1232</f>
        <v>33052958.060000002</v>
      </c>
      <c r="K226" s="774"/>
      <c r="L226" s="774"/>
      <c r="O226" s="757"/>
    </row>
    <row r="227" spans="1:15" ht="60.6" customHeight="1" thickBot="1" x14ac:dyDescent="0.35">
      <c r="A227" s="277" t="s">
        <v>110</v>
      </c>
      <c r="B227" s="278" t="s">
        <v>236</v>
      </c>
      <c r="C227" s="562"/>
      <c r="D227" s="563"/>
      <c r="E227" s="564" t="str">
        <f t="shared" si="148"/>
        <v>-</v>
      </c>
      <c r="F227" s="565"/>
      <c r="G227" s="563"/>
      <c r="H227" s="566"/>
      <c r="I227" s="566"/>
      <c r="J227" s="567">
        <f>+'04 Ventes'!I1238</f>
        <v>1272191.5</v>
      </c>
    </row>
    <row r="228" spans="1:15" s="297" customFormat="1" ht="60.6" customHeight="1" thickBot="1" x14ac:dyDescent="0.35">
      <c r="A228" s="321" t="s">
        <v>110</v>
      </c>
      <c r="B228" s="436" t="s">
        <v>237</v>
      </c>
      <c r="C228" s="568">
        <f>SUM(C225:C227)</f>
        <v>6002125</v>
      </c>
      <c r="D228" s="569">
        <f t="shared" ref="D228" si="149">SUM(D225:D227)</f>
        <v>2656746</v>
      </c>
      <c r="E228" s="570">
        <f t="shared" si="148"/>
        <v>0.44263423370889476</v>
      </c>
      <c r="F228" s="571">
        <f>SUM(F225:F227)</f>
        <v>58587690.740199998</v>
      </c>
      <c r="G228" s="569">
        <f t="shared" ref="G228:H228" si="150">SUM(G225:G227)</f>
        <v>2851960</v>
      </c>
      <c r="H228" s="571">
        <f t="shared" si="150"/>
        <v>13628310.377</v>
      </c>
      <c r="I228" s="571">
        <f>SUM(I225:I227)</f>
        <v>80794400.815999985</v>
      </c>
      <c r="J228" s="572">
        <f t="shared" ref="J228" si="151">SUM(J225:J227)</f>
        <v>78912860.360000014</v>
      </c>
    </row>
    <row r="229" spans="1:15" ht="60.6" customHeight="1" x14ac:dyDescent="0.3">
      <c r="A229" s="271" t="s">
        <v>108</v>
      </c>
      <c r="B229" s="579" t="s">
        <v>234</v>
      </c>
      <c r="C229" s="556">
        <f>+'01 Prod Physique Boites'!E1565</f>
        <v>3112056</v>
      </c>
      <c r="D229" s="557">
        <f>+'01 Prod Physique Boites'!L1566</f>
        <v>2604699</v>
      </c>
      <c r="E229" s="558">
        <f t="shared" si="148"/>
        <v>0.83697047868033225</v>
      </c>
      <c r="F229" s="559">
        <f>+'02 Prod Valorisée Boites'!G1571</f>
        <v>46672830.871200003</v>
      </c>
      <c r="G229" s="557">
        <f>+'03 Prod Accessoires'!K897</f>
        <v>386500</v>
      </c>
      <c r="H229" s="560">
        <f>+'03 Prod Accessoires'!Q897</f>
        <v>855749.65</v>
      </c>
      <c r="I229" s="560">
        <f>+'02 Prod Valorisée Boites'!J1571</f>
        <v>62639513.570000008</v>
      </c>
      <c r="J229" s="573">
        <f>+'04 Ventes'!I1262</f>
        <v>6644031.6200000001</v>
      </c>
      <c r="L229" s="774"/>
      <c r="O229" s="757"/>
    </row>
    <row r="230" spans="1:15" ht="60.6" customHeight="1" thickBot="1" x14ac:dyDescent="0.35">
      <c r="A230" s="878" t="s">
        <v>108</v>
      </c>
      <c r="B230" s="298" t="s">
        <v>236</v>
      </c>
      <c r="C230" s="574"/>
      <c r="D230" s="563"/>
      <c r="E230" s="564" t="str">
        <f t="shared" si="148"/>
        <v>-</v>
      </c>
      <c r="F230" s="565"/>
      <c r="G230" s="563"/>
      <c r="H230" s="566"/>
      <c r="I230" s="566"/>
      <c r="J230" s="575"/>
    </row>
    <row r="231" spans="1:15" s="297" customFormat="1" ht="60.6" customHeight="1" thickBot="1" x14ac:dyDescent="0.35">
      <c r="A231" s="321" t="s">
        <v>108</v>
      </c>
      <c r="B231" s="436" t="s">
        <v>238</v>
      </c>
      <c r="C231" s="568">
        <f>SUM(C229:C230)</f>
        <v>3112056</v>
      </c>
      <c r="D231" s="569">
        <f t="shared" ref="D231" si="152">SUM(D229:D230)</f>
        <v>2604699</v>
      </c>
      <c r="E231" s="570">
        <f t="shared" si="148"/>
        <v>0.83697047868033225</v>
      </c>
      <c r="F231" s="571">
        <f t="shared" ref="F231:J231" si="153">SUM(F229:F230)</f>
        <v>46672830.871200003</v>
      </c>
      <c r="G231" s="569">
        <f t="shared" si="153"/>
        <v>386500</v>
      </c>
      <c r="H231" s="571">
        <f t="shared" si="153"/>
        <v>855749.65</v>
      </c>
      <c r="I231" s="571">
        <f t="shared" si="153"/>
        <v>62639513.570000008</v>
      </c>
      <c r="J231" s="572">
        <f t="shared" si="153"/>
        <v>6644031.6200000001</v>
      </c>
    </row>
    <row r="232" spans="1:15" ht="60.6" customHeight="1" x14ac:dyDescent="0.3">
      <c r="A232" s="271" t="s">
        <v>109</v>
      </c>
      <c r="B232" s="581" t="s">
        <v>235</v>
      </c>
      <c r="C232" s="560">
        <f>+'01 Prod Physique Boites'!E1593</f>
        <v>1144800</v>
      </c>
      <c r="D232" s="557">
        <f>+'01 Prod Physique Boites'!L1593</f>
        <v>591169</v>
      </c>
      <c r="E232" s="558">
        <f t="shared" si="148"/>
        <v>0.51639500349406009</v>
      </c>
      <c r="F232" s="559">
        <f>+'02 Prod Valorisée Boites'!G1597</f>
        <v>31475746.0035</v>
      </c>
      <c r="G232" s="557">
        <f>+'03 Prod Accessoires'!K931</f>
        <v>2080912</v>
      </c>
      <c r="H232" s="560">
        <f>+'03 Prod Accessoires'!Q931</f>
        <v>16336301.197099999</v>
      </c>
      <c r="I232" s="560">
        <f>+'02 Prod Valorisée Boites'!J1597</f>
        <v>59989261.379999995</v>
      </c>
      <c r="J232" s="573">
        <f>+'04 Ventes'!I1286</f>
        <v>49485339.829999998</v>
      </c>
      <c r="K232" s="774"/>
      <c r="L232" s="774"/>
      <c r="O232" s="757"/>
    </row>
    <row r="233" spans="1:15" ht="60.6" customHeight="1" thickBot="1" x14ac:dyDescent="0.35">
      <c r="A233" s="878" t="s">
        <v>109</v>
      </c>
      <c r="B233" s="306" t="s">
        <v>236</v>
      </c>
      <c r="C233" s="566"/>
      <c r="D233" s="576"/>
      <c r="E233" s="577" t="str">
        <f t="shared" si="148"/>
        <v>-</v>
      </c>
      <c r="F233" s="578"/>
      <c r="G233" s="563"/>
      <c r="H233" s="566"/>
      <c r="I233" s="566"/>
      <c r="J233" s="575"/>
    </row>
    <row r="234" spans="1:15" s="297" customFormat="1" ht="60.6" customHeight="1" thickBot="1" x14ac:dyDescent="0.35">
      <c r="A234" s="321" t="s">
        <v>109</v>
      </c>
      <c r="B234" s="436" t="s">
        <v>239</v>
      </c>
      <c r="C234" s="568">
        <f>SUM(C232:C233)</f>
        <v>1144800</v>
      </c>
      <c r="D234" s="569">
        <f t="shared" ref="D234" si="154">SUM(D232:D233)</f>
        <v>591169</v>
      </c>
      <c r="E234" s="570">
        <f t="shared" si="148"/>
        <v>0.51639500349406009</v>
      </c>
      <c r="F234" s="571">
        <f t="shared" ref="F234:J234" si="155">SUM(F232:F233)</f>
        <v>31475746.0035</v>
      </c>
      <c r="G234" s="569">
        <f t="shared" si="155"/>
        <v>2080912</v>
      </c>
      <c r="H234" s="571">
        <f t="shared" si="155"/>
        <v>16336301.197099999</v>
      </c>
      <c r="I234" s="571">
        <f t="shared" si="155"/>
        <v>59989261.379999995</v>
      </c>
      <c r="J234" s="572">
        <f t="shared" si="155"/>
        <v>49485339.829999998</v>
      </c>
    </row>
    <row r="235" spans="1:15" ht="57.6" customHeight="1" thickBot="1" x14ac:dyDescent="0.35">
      <c r="A235" s="642"/>
      <c r="B235" s="554" t="s">
        <v>182</v>
      </c>
      <c r="C235" s="555">
        <f>+C228+C231+C234</f>
        <v>10258981</v>
      </c>
      <c r="D235" s="582">
        <f t="shared" ref="D235" si="156">+D228+D231+D234</f>
        <v>5852614</v>
      </c>
      <c r="E235" s="583">
        <f>IFERROR(D235/C235,"-")</f>
        <v>0.57048687389127639</v>
      </c>
      <c r="F235" s="582">
        <f>+F228+F231+F234</f>
        <v>136736267.61489999</v>
      </c>
      <c r="G235" s="582">
        <f t="shared" ref="G235:H235" si="157">+G228+G231+G234</f>
        <v>5319372</v>
      </c>
      <c r="H235" s="582">
        <f t="shared" si="157"/>
        <v>30820361.224100001</v>
      </c>
      <c r="I235" s="582">
        <f>+I228+I231+I234</f>
        <v>203423175.76599997</v>
      </c>
      <c r="J235" s="643">
        <f t="shared" ref="J235" si="158">+J228+J231+J234</f>
        <v>135042231.81</v>
      </c>
    </row>
    <row r="236" spans="1:15" ht="41.4" customHeight="1" x14ac:dyDescent="0.3">
      <c r="A236" s="991" t="s">
        <v>1</v>
      </c>
      <c r="B236" s="997" t="s">
        <v>477</v>
      </c>
      <c r="C236" s="997" t="s">
        <v>240</v>
      </c>
      <c r="D236" s="1088" t="s">
        <v>560</v>
      </c>
      <c r="E236" s="1089"/>
      <c r="F236" s="1089"/>
      <c r="G236" s="1089"/>
      <c r="H236" s="1090"/>
      <c r="I236" s="1091" t="s">
        <v>498</v>
      </c>
      <c r="J236" s="1091" t="s">
        <v>499</v>
      </c>
      <c r="K236" s="229" t="s">
        <v>502</v>
      </c>
    </row>
    <row r="237" spans="1:15" ht="41.4" customHeight="1" x14ac:dyDescent="0.3">
      <c r="A237" s="1070"/>
      <c r="B237" s="1087"/>
      <c r="C237" s="1087"/>
      <c r="D237" s="1094" t="s">
        <v>248</v>
      </c>
      <c r="E237" s="1095"/>
      <c r="F237" s="1096"/>
      <c r="G237" s="1094" t="s">
        <v>243</v>
      </c>
      <c r="H237" s="1096"/>
      <c r="I237" s="1092"/>
      <c r="J237" s="1092"/>
    </row>
    <row r="238" spans="1:15" ht="25.95" customHeight="1" x14ac:dyDescent="0.3">
      <c r="A238" s="992"/>
      <c r="B238" s="998"/>
      <c r="C238" s="998"/>
      <c r="D238" s="1097" t="s">
        <v>496</v>
      </c>
      <c r="E238" s="1099" t="s">
        <v>9</v>
      </c>
      <c r="F238" s="1101" t="s">
        <v>497</v>
      </c>
      <c r="G238" s="1103" t="s">
        <v>244</v>
      </c>
      <c r="H238" s="1105" t="s">
        <v>497</v>
      </c>
      <c r="I238" s="1092"/>
      <c r="J238" s="1092"/>
    </row>
    <row r="239" spans="1:15" ht="25.95" customHeight="1" thickBot="1" x14ac:dyDescent="0.35">
      <c r="A239" s="993"/>
      <c r="B239" s="999"/>
      <c r="C239" s="999"/>
      <c r="D239" s="1098"/>
      <c r="E239" s="1100"/>
      <c r="F239" s="1102"/>
      <c r="G239" s="1104"/>
      <c r="H239" s="1106"/>
      <c r="I239" s="1093"/>
      <c r="J239" s="1093"/>
    </row>
    <row r="240" spans="1:15" ht="60.6" customHeight="1" x14ac:dyDescent="0.3">
      <c r="A240" s="271" t="s">
        <v>110</v>
      </c>
      <c r="B240" s="579" t="s">
        <v>234</v>
      </c>
      <c r="C240" s="556">
        <f>+'01 Prod Physique Boites'!E1627</f>
        <v>4750000</v>
      </c>
      <c r="D240" s="557">
        <f>+'01 Prod Physique Boites'!L1627</f>
        <v>2274202</v>
      </c>
      <c r="E240" s="558">
        <f>IFERROR(D240/C240,"-")</f>
        <v>0.47877936842105262</v>
      </c>
      <c r="F240" s="559">
        <f>+'02 Prod Valorisée Boites'!G1632</f>
        <v>37135353.82</v>
      </c>
      <c r="G240" s="557">
        <f>+'03 Prod Accessoires'!K941</f>
        <v>2488370</v>
      </c>
      <c r="H240" s="560">
        <f>+'03 Prod Accessoires'!Q941</f>
        <v>11135489.898000002</v>
      </c>
      <c r="I240" s="560">
        <f>+'02 Prod Valorisée Boites'!J1632</f>
        <v>49922746.515999995</v>
      </c>
      <c r="J240" s="561">
        <f>+'04 Ventes'!I1308</f>
        <v>44854667.600000001</v>
      </c>
      <c r="K240" s="774"/>
      <c r="L240" s="774"/>
      <c r="O240" s="757"/>
    </row>
    <row r="241" spans="1:15" ht="60.6" customHeight="1" x14ac:dyDescent="0.3">
      <c r="A241" s="886" t="s">
        <v>110</v>
      </c>
      <c r="B241" s="580" t="s">
        <v>235</v>
      </c>
      <c r="C241" s="562">
        <f>+'01 Prod Physique Boites'!E1642</f>
        <v>1252125</v>
      </c>
      <c r="D241" s="563">
        <f>+'01 Prod Physique Boites'!L1642</f>
        <v>521432</v>
      </c>
      <c r="E241" s="564">
        <f t="shared" ref="E241:E249" si="159">IFERROR(D241/C241,"-")</f>
        <v>0.41643765598482579</v>
      </c>
      <c r="F241" s="565">
        <f>+'02 Prod Valorisée Boites'!G1647</f>
        <v>24625676.748999998</v>
      </c>
      <c r="G241" s="563">
        <f>+'03 Prod Accessoires'!K949</f>
        <v>595840</v>
      </c>
      <c r="H241" s="566">
        <f>+'03 Prod Accessoires'!Q949</f>
        <v>3669927.304</v>
      </c>
      <c r="I241" s="566">
        <f>+'02 Prod Valorisée Boites'!J1647</f>
        <v>35845637.899999999</v>
      </c>
      <c r="J241" s="567">
        <f>+'04 Ventes'!I1323</f>
        <v>36582858.059999995</v>
      </c>
      <c r="K241" s="774"/>
      <c r="L241" s="774"/>
      <c r="O241" s="757"/>
    </row>
    <row r="242" spans="1:15" ht="60.6" customHeight="1" thickBot="1" x14ac:dyDescent="0.35">
      <c r="A242" s="277" t="s">
        <v>110</v>
      </c>
      <c r="B242" s="278" t="s">
        <v>236</v>
      </c>
      <c r="C242" s="562"/>
      <c r="D242" s="563"/>
      <c r="E242" s="564" t="str">
        <f t="shared" si="159"/>
        <v>-</v>
      </c>
      <c r="F242" s="565"/>
      <c r="G242" s="563"/>
      <c r="H242" s="566"/>
      <c r="I242" s="566"/>
      <c r="J242" s="567">
        <f>+'04 Ventes'!I1329</f>
        <v>1272191.5</v>
      </c>
    </row>
    <row r="243" spans="1:15" s="297" customFormat="1" ht="60.6" customHeight="1" thickBot="1" x14ac:dyDescent="0.35">
      <c r="A243" s="321" t="s">
        <v>110</v>
      </c>
      <c r="B243" s="436" t="s">
        <v>237</v>
      </c>
      <c r="C243" s="568">
        <f>SUM(C240:C242)</f>
        <v>6002125</v>
      </c>
      <c r="D243" s="569">
        <f t="shared" ref="D243" si="160">SUM(D240:D242)</f>
        <v>2795634</v>
      </c>
      <c r="E243" s="570">
        <f t="shared" si="159"/>
        <v>0.46577403836141368</v>
      </c>
      <c r="F243" s="571">
        <f>SUM(F240:F242)</f>
        <v>61761030.568999998</v>
      </c>
      <c r="G243" s="569">
        <f t="shared" ref="G243:H243" si="161">SUM(G240:G242)</f>
        <v>3084210</v>
      </c>
      <c r="H243" s="571">
        <f t="shared" si="161"/>
        <v>14805417.202000001</v>
      </c>
      <c r="I243" s="571">
        <f>SUM(I240:I242)</f>
        <v>85768384.415999994</v>
      </c>
      <c r="J243" s="572">
        <f t="shared" ref="J243" si="162">SUM(J240:J242)</f>
        <v>82709717.159999996</v>
      </c>
    </row>
    <row r="244" spans="1:15" ht="60.6" customHeight="1" x14ac:dyDescent="0.3">
      <c r="A244" s="271" t="s">
        <v>108</v>
      </c>
      <c r="B244" s="579" t="s">
        <v>234</v>
      </c>
      <c r="C244" s="556">
        <f>+'01 Prod Physique Boites'!E1673</f>
        <v>3112056</v>
      </c>
      <c r="D244" s="557">
        <f>+'01 Prod Physique Boites'!L1673</f>
        <v>2738781</v>
      </c>
      <c r="E244" s="558">
        <f t="shared" si="159"/>
        <v>0.88005517895564866</v>
      </c>
      <c r="F244" s="559">
        <f>+'02 Prod Valorisée Boites'!G1678</f>
        <v>49419652.554000005</v>
      </c>
      <c r="G244" s="557">
        <f>+'03 Prod Accessoires'!K959</f>
        <v>386500</v>
      </c>
      <c r="H244" s="560">
        <f>+'03 Prod Accessoires'!Q959</f>
        <v>855749.65</v>
      </c>
      <c r="I244" s="560">
        <f>+'02 Prod Valorisée Boites'!J1678</f>
        <v>66471345.470000006</v>
      </c>
      <c r="J244" s="573">
        <f>+'04 Ventes'!I1353</f>
        <v>6644031.6200000001</v>
      </c>
      <c r="L244" s="774"/>
      <c r="O244" s="757"/>
    </row>
    <row r="245" spans="1:15" ht="60.6" customHeight="1" thickBot="1" x14ac:dyDescent="0.35">
      <c r="A245" s="886" t="s">
        <v>108</v>
      </c>
      <c r="B245" s="298" t="s">
        <v>236</v>
      </c>
      <c r="C245" s="574"/>
      <c r="D245" s="563"/>
      <c r="E245" s="564" t="str">
        <f t="shared" si="159"/>
        <v>-</v>
      </c>
      <c r="F245" s="565"/>
      <c r="G245" s="563"/>
      <c r="H245" s="566"/>
      <c r="I245" s="566"/>
      <c r="J245" s="575"/>
    </row>
    <row r="246" spans="1:15" s="297" customFormat="1" ht="60.6" customHeight="1" thickBot="1" x14ac:dyDescent="0.35">
      <c r="A246" s="321" t="s">
        <v>108</v>
      </c>
      <c r="B246" s="436" t="s">
        <v>238</v>
      </c>
      <c r="C246" s="568">
        <f>SUM(C244:C245)</f>
        <v>3112056</v>
      </c>
      <c r="D246" s="569">
        <f t="shared" ref="D246" si="163">SUM(D244:D245)</f>
        <v>2738781</v>
      </c>
      <c r="E246" s="570">
        <f t="shared" si="159"/>
        <v>0.88005517895564866</v>
      </c>
      <c r="F246" s="571">
        <f t="shared" ref="F246:J246" si="164">SUM(F244:F245)</f>
        <v>49419652.554000005</v>
      </c>
      <c r="G246" s="569">
        <f t="shared" si="164"/>
        <v>386500</v>
      </c>
      <c r="H246" s="571">
        <f t="shared" si="164"/>
        <v>855749.65</v>
      </c>
      <c r="I246" s="571">
        <f t="shared" si="164"/>
        <v>66471345.470000006</v>
      </c>
      <c r="J246" s="572">
        <f t="shared" si="164"/>
        <v>6644031.6200000001</v>
      </c>
    </row>
    <row r="247" spans="1:15" ht="60.6" customHeight="1" x14ac:dyDescent="0.3">
      <c r="A247" s="271" t="s">
        <v>109</v>
      </c>
      <c r="B247" s="581" t="s">
        <v>235</v>
      </c>
      <c r="C247" s="560">
        <f>+'01 Prod Physique Boites'!E1700</f>
        <v>1144800</v>
      </c>
      <c r="D247" s="557">
        <f>+'01 Prod Physique Boites'!L1700</f>
        <v>636949</v>
      </c>
      <c r="E247" s="558">
        <f t="shared" si="159"/>
        <v>0.55638452131376659</v>
      </c>
      <c r="F247" s="559">
        <f>+'02 Prod Valorisée Boites'!G1704</f>
        <v>35001730.201499999</v>
      </c>
      <c r="G247" s="557">
        <f>+'03 Prod Accessoires'!K993</f>
        <v>2204912</v>
      </c>
      <c r="H247" s="560">
        <f>+'03 Prod Accessoires'!Q993</f>
        <v>17101266.767099999</v>
      </c>
      <c r="I247" s="560">
        <f>+'02 Prod Valorisée Boites'!J1704</f>
        <v>66386044.18</v>
      </c>
      <c r="J247" s="573">
        <f>+'04 Ventes'!I1377</f>
        <v>51692378.869999997</v>
      </c>
      <c r="K247" s="774"/>
      <c r="L247" s="774"/>
      <c r="O247" s="757"/>
    </row>
    <row r="248" spans="1:15" ht="60.6" customHeight="1" thickBot="1" x14ac:dyDescent="0.35">
      <c r="A248" s="886" t="s">
        <v>109</v>
      </c>
      <c r="B248" s="306" t="s">
        <v>236</v>
      </c>
      <c r="C248" s="566"/>
      <c r="D248" s="576"/>
      <c r="E248" s="577" t="str">
        <f t="shared" si="159"/>
        <v>-</v>
      </c>
      <c r="F248" s="578"/>
      <c r="G248" s="563"/>
      <c r="H248" s="566"/>
      <c r="I248" s="566"/>
      <c r="J248" s="575"/>
    </row>
    <row r="249" spans="1:15" s="297" customFormat="1" ht="60.6" customHeight="1" thickBot="1" x14ac:dyDescent="0.35">
      <c r="A249" s="321" t="s">
        <v>109</v>
      </c>
      <c r="B249" s="436" t="s">
        <v>239</v>
      </c>
      <c r="C249" s="568">
        <f>SUM(C247:C248)</f>
        <v>1144800</v>
      </c>
      <c r="D249" s="569">
        <f t="shared" ref="D249" si="165">SUM(D247:D248)</f>
        <v>636949</v>
      </c>
      <c r="E249" s="570">
        <f t="shared" si="159"/>
        <v>0.55638452131376659</v>
      </c>
      <c r="F249" s="571">
        <f t="shared" ref="F249:J249" si="166">SUM(F247:F248)</f>
        <v>35001730.201499999</v>
      </c>
      <c r="G249" s="569">
        <f t="shared" si="166"/>
        <v>2204912</v>
      </c>
      <c r="H249" s="571">
        <f t="shared" si="166"/>
        <v>17101266.767099999</v>
      </c>
      <c r="I249" s="571">
        <f t="shared" si="166"/>
        <v>66386044.18</v>
      </c>
      <c r="J249" s="572">
        <f t="shared" si="166"/>
        <v>51692378.869999997</v>
      </c>
    </row>
    <row r="250" spans="1:15" ht="57.6" customHeight="1" thickBot="1" x14ac:dyDescent="0.35">
      <c r="A250" s="642"/>
      <c r="B250" s="554" t="s">
        <v>182</v>
      </c>
      <c r="C250" s="555">
        <f>+C243+C246+C249</f>
        <v>10258981</v>
      </c>
      <c r="D250" s="582">
        <f t="shared" ref="D250" si="167">+D243+D246+D249</f>
        <v>6171364</v>
      </c>
      <c r="E250" s="583">
        <f>IFERROR(D250/C250,"-")</f>
        <v>0.60155721118890848</v>
      </c>
      <c r="F250" s="582">
        <f>+F243+F246+F249</f>
        <v>146182413.32449999</v>
      </c>
      <c r="G250" s="582">
        <f t="shared" ref="G250:H250" si="168">+G243+G246+G249</f>
        <v>5675622</v>
      </c>
      <c r="H250" s="582">
        <f t="shared" si="168"/>
        <v>32762433.619100001</v>
      </c>
      <c r="I250" s="582">
        <f>+I243+I246+I249</f>
        <v>218625774.06600001</v>
      </c>
      <c r="J250" s="643">
        <f t="shared" ref="J250" si="169">+J243+J246+J249</f>
        <v>141046127.65000001</v>
      </c>
    </row>
    <row r="251" spans="1:15" ht="41.4" customHeight="1" x14ac:dyDescent="0.3">
      <c r="A251" s="991" t="s">
        <v>1</v>
      </c>
      <c r="B251" s="997" t="s">
        <v>477</v>
      </c>
      <c r="C251" s="997" t="s">
        <v>240</v>
      </c>
      <c r="D251" s="1088" t="s">
        <v>563</v>
      </c>
      <c r="E251" s="1089"/>
      <c r="F251" s="1089"/>
      <c r="G251" s="1089"/>
      <c r="H251" s="1090"/>
      <c r="I251" s="1091" t="s">
        <v>498</v>
      </c>
      <c r="J251" s="1091" t="s">
        <v>499</v>
      </c>
      <c r="K251" s="229" t="s">
        <v>502</v>
      </c>
    </row>
    <row r="252" spans="1:15" ht="41.4" customHeight="1" x14ac:dyDescent="0.3">
      <c r="A252" s="1070"/>
      <c r="B252" s="1087"/>
      <c r="C252" s="1087"/>
      <c r="D252" s="1094" t="s">
        <v>248</v>
      </c>
      <c r="E252" s="1095"/>
      <c r="F252" s="1096"/>
      <c r="G252" s="1094" t="s">
        <v>243</v>
      </c>
      <c r="H252" s="1096"/>
      <c r="I252" s="1092"/>
      <c r="J252" s="1092"/>
    </row>
    <row r="253" spans="1:15" ht="25.95" customHeight="1" x14ac:dyDescent="0.3">
      <c r="A253" s="992"/>
      <c r="B253" s="998"/>
      <c r="C253" s="998"/>
      <c r="D253" s="1097" t="s">
        <v>496</v>
      </c>
      <c r="E253" s="1099" t="s">
        <v>9</v>
      </c>
      <c r="F253" s="1101" t="s">
        <v>497</v>
      </c>
      <c r="G253" s="1103" t="s">
        <v>244</v>
      </c>
      <c r="H253" s="1105" t="s">
        <v>497</v>
      </c>
      <c r="I253" s="1092"/>
      <c r="J253" s="1092"/>
    </row>
    <row r="254" spans="1:15" ht="25.95" customHeight="1" thickBot="1" x14ac:dyDescent="0.35">
      <c r="A254" s="993"/>
      <c r="B254" s="999"/>
      <c r="C254" s="999"/>
      <c r="D254" s="1098"/>
      <c r="E254" s="1100"/>
      <c r="F254" s="1102"/>
      <c r="G254" s="1104"/>
      <c r="H254" s="1106"/>
      <c r="I254" s="1093"/>
      <c r="J254" s="1093"/>
    </row>
    <row r="255" spans="1:15" ht="60.6" customHeight="1" x14ac:dyDescent="0.3">
      <c r="A255" s="271" t="s">
        <v>110</v>
      </c>
      <c r="B255" s="579" t="s">
        <v>234</v>
      </c>
      <c r="C255" s="556">
        <f>+'01 Prod Physique Boites'!E1734</f>
        <v>4750000</v>
      </c>
      <c r="D255" s="557">
        <f>+'01 Prod Physique Boites'!L1734</f>
        <v>2519526</v>
      </c>
      <c r="E255" s="558">
        <f>IFERROR(D255/C255,"-")</f>
        <v>0.53042652631578946</v>
      </c>
      <c r="F255" s="559">
        <f>+'02 Prod Valorisée Boites'!G1739</f>
        <v>40240164.226799995</v>
      </c>
      <c r="G255" s="557">
        <f>+'03 Prod Accessoires'!K1003</f>
        <v>2650970</v>
      </c>
      <c r="H255" s="560">
        <f>+'03 Prod Accessoires'!Q1003</f>
        <v>11979644.118000001</v>
      </c>
      <c r="I255" s="560">
        <f>+'02 Prod Valorisée Boites'!J1739</f>
        <v>54365453.43280001</v>
      </c>
      <c r="J255" s="561">
        <f>+'04 Ventes'!I1399</f>
        <v>53664126.159999996</v>
      </c>
      <c r="K255" s="774"/>
      <c r="L255" s="774"/>
      <c r="O255" s="757"/>
    </row>
    <row r="256" spans="1:15" ht="60.6" customHeight="1" x14ac:dyDescent="0.3">
      <c r="A256" s="895" t="s">
        <v>110</v>
      </c>
      <c r="B256" s="580" t="s">
        <v>235</v>
      </c>
      <c r="C256" s="562">
        <f>+'01 Prod Physique Boites'!E1749</f>
        <v>1252125</v>
      </c>
      <c r="D256" s="563">
        <f>+'01 Prod Physique Boites'!L1749</f>
        <v>537182</v>
      </c>
      <c r="E256" s="564">
        <f t="shared" ref="E256:E264" si="170">IFERROR(D256/C256,"-")</f>
        <v>0.42901627233702705</v>
      </c>
      <c r="F256" s="565">
        <f>+'02 Prod Valorisée Boites'!G1754</f>
        <v>26224199.373999998</v>
      </c>
      <c r="G256" s="563">
        <f>+'03 Prod Accessoires'!K1011</f>
        <v>645840</v>
      </c>
      <c r="H256" s="566">
        <f>+'03 Prod Accessoires'!Q1011</f>
        <v>3734047.304</v>
      </c>
      <c r="I256" s="566">
        <f>+'02 Prod Valorisée Boites'!J1754</f>
        <v>38372725.399999999</v>
      </c>
      <c r="J256" s="567">
        <f>+'04 Ventes'!I1414</f>
        <v>39714452.209999993</v>
      </c>
      <c r="K256" s="774"/>
      <c r="L256" s="774"/>
      <c r="O256" s="757"/>
    </row>
    <row r="257" spans="1:15" ht="60.6" customHeight="1" thickBot="1" x14ac:dyDescent="0.35">
      <c r="A257" s="277" t="s">
        <v>110</v>
      </c>
      <c r="B257" s="278" t="s">
        <v>236</v>
      </c>
      <c r="C257" s="562"/>
      <c r="D257" s="563"/>
      <c r="E257" s="564" t="str">
        <f t="shared" si="170"/>
        <v>-</v>
      </c>
      <c r="F257" s="565"/>
      <c r="G257" s="563"/>
      <c r="H257" s="566"/>
      <c r="I257" s="566"/>
      <c r="J257" s="567">
        <f>+'04 Ventes'!I1420</f>
        <v>1272191.5</v>
      </c>
    </row>
    <row r="258" spans="1:15" s="297" customFormat="1" ht="60.6" customHeight="1" thickBot="1" x14ac:dyDescent="0.35">
      <c r="A258" s="321" t="s">
        <v>110</v>
      </c>
      <c r="B258" s="436" t="s">
        <v>237</v>
      </c>
      <c r="C258" s="568">
        <f>SUM(C255:C257)</f>
        <v>6002125</v>
      </c>
      <c r="D258" s="569">
        <f t="shared" ref="D258" si="171">SUM(D255:D257)</f>
        <v>3056708</v>
      </c>
      <c r="E258" s="570">
        <f t="shared" si="170"/>
        <v>0.50927096653268633</v>
      </c>
      <c r="F258" s="571">
        <f>SUM(F255:F257)</f>
        <v>66464363.600799993</v>
      </c>
      <c r="G258" s="569">
        <f t="shared" ref="G258:H258" si="172">SUM(G255:G257)</f>
        <v>3296810</v>
      </c>
      <c r="H258" s="571">
        <f t="shared" si="172"/>
        <v>15713691.422</v>
      </c>
      <c r="I258" s="571">
        <f>SUM(I255:I257)</f>
        <v>92738178.832800001</v>
      </c>
      <c r="J258" s="572">
        <f t="shared" ref="J258" si="173">SUM(J255:J257)</f>
        <v>94650769.86999999</v>
      </c>
    </row>
    <row r="259" spans="1:15" ht="60.6" customHeight="1" x14ac:dyDescent="0.3">
      <c r="A259" s="271" t="s">
        <v>108</v>
      </c>
      <c r="B259" s="579" t="s">
        <v>234</v>
      </c>
      <c r="C259" s="556">
        <f>+'01 Prod Physique Boites'!E1780</f>
        <v>3112056</v>
      </c>
      <c r="D259" s="557">
        <f>+'01 Prod Physique Boites'!L1780</f>
        <v>2998521</v>
      </c>
      <c r="E259" s="558">
        <f t="shared" si="170"/>
        <v>0.96351768734238719</v>
      </c>
      <c r="F259" s="559">
        <f>+'02 Prod Valorisée Boites'!G1785</f>
        <v>54857299.345199995</v>
      </c>
      <c r="G259" s="557">
        <f>+'03 Prod Accessoires'!K1021</f>
        <v>386500</v>
      </c>
      <c r="H259" s="560">
        <f>+'03 Prod Accessoires'!Q1021</f>
        <v>855749.65</v>
      </c>
      <c r="I259" s="560">
        <f>+'02 Prod Valorisée Boites'!J1785</f>
        <v>74139991.129999995</v>
      </c>
      <c r="J259" s="573">
        <f>+'04 Ventes'!I1444</f>
        <v>14838512.720000003</v>
      </c>
      <c r="L259" s="774"/>
      <c r="O259" s="757"/>
    </row>
    <row r="260" spans="1:15" ht="60.6" customHeight="1" thickBot="1" x14ac:dyDescent="0.35">
      <c r="A260" s="895" t="s">
        <v>108</v>
      </c>
      <c r="B260" s="298" t="s">
        <v>236</v>
      </c>
      <c r="C260" s="574"/>
      <c r="D260" s="563"/>
      <c r="E260" s="564" t="str">
        <f t="shared" si="170"/>
        <v>-</v>
      </c>
      <c r="F260" s="565"/>
      <c r="G260" s="563"/>
      <c r="H260" s="566"/>
      <c r="I260" s="566"/>
      <c r="J260" s="575"/>
    </row>
    <row r="261" spans="1:15" s="297" customFormat="1" ht="60.6" customHeight="1" thickBot="1" x14ac:dyDescent="0.35">
      <c r="A261" s="321" t="s">
        <v>108</v>
      </c>
      <c r="B261" s="436" t="s">
        <v>238</v>
      </c>
      <c r="C261" s="568">
        <f>SUM(C259:C260)</f>
        <v>3112056</v>
      </c>
      <c r="D261" s="569">
        <f t="shared" ref="D261" si="174">SUM(D259:D260)</f>
        <v>2998521</v>
      </c>
      <c r="E261" s="570">
        <f t="shared" si="170"/>
        <v>0.96351768734238719</v>
      </c>
      <c r="F261" s="571">
        <f t="shared" ref="F261:J261" si="175">SUM(F259:F260)</f>
        <v>54857299.345199995</v>
      </c>
      <c r="G261" s="569">
        <f t="shared" si="175"/>
        <v>386500</v>
      </c>
      <c r="H261" s="571">
        <f t="shared" si="175"/>
        <v>855749.65</v>
      </c>
      <c r="I261" s="571">
        <f t="shared" si="175"/>
        <v>74139991.129999995</v>
      </c>
      <c r="J261" s="572">
        <f t="shared" si="175"/>
        <v>14838512.720000003</v>
      </c>
    </row>
    <row r="262" spans="1:15" ht="60.6" customHeight="1" x14ac:dyDescent="0.3">
      <c r="A262" s="271" t="s">
        <v>109</v>
      </c>
      <c r="B262" s="581" t="s">
        <v>235</v>
      </c>
      <c r="C262" s="560">
        <f>+'01 Prod Physique Boites'!E1807</f>
        <v>1144800</v>
      </c>
      <c r="D262" s="557">
        <f>+'01 Prod Physique Boites'!L1807</f>
        <v>731582</v>
      </c>
      <c r="E262" s="558">
        <f t="shared" si="170"/>
        <v>0.63904786862334029</v>
      </c>
      <c r="F262" s="559">
        <f>+'02 Prod Valorisée Boites'!G1811</f>
        <v>40871966.4714</v>
      </c>
      <c r="G262" s="557">
        <f>+'03 Prod Accessoires'!K1055</f>
        <v>2529175</v>
      </c>
      <c r="H262" s="560">
        <f>+'03 Prod Accessoires'!Q1055</f>
        <v>19191644.605599999</v>
      </c>
      <c r="I262" s="560">
        <f>+'02 Prod Valorisée Boites'!J1811</f>
        <v>77114535.319999993</v>
      </c>
      <c r="J262" s="573">
        <f>+'04 Ventes'!I1468</f>
        <v>61527531.350000001</v>
      </c>
      <c r="K262" s="774"/>
      <c r="L262" s="774"/>
      <c r="O262" s="757"/>
    </row>
    <row r="263" spans="1:15" ht="60.6" customHeight="1" thickBot="1" x14ac:dyDescent="0.35">
      <c r="A263" s="895" t="s">
        <v>109</v>
      </c>
      <c r="B263" s="306" t="s">
        <v>236</v>
      </c>
      <c r="C263" s="566"/>
      <c r="D263" s="576"/>
      <c r="E263" s="577" t="str">
        <f t="shared" si="170"/>
        <v>-</v>
      </c>
      <c r="F263" s="578"/>
      <c r="G263" s="563"/>
      <c r="H263" s="566"/>
      <c r="I263" s="566"/>
      <c r="J263" s="575"/>
    </row>
    <row r="264" spans="1:15" s="297" customFormat="1" ht="60.6" customHeight="1" thickBot="1" x14ac:dyDescent="0.35">
      <c r="A264" s="321" t="s">
        <v>109</v>
      </c>
      <c r="B264" s="436" t="s">
        <v>239</v>
      </c>
      <c r="C264" s="568">
        <f>SUM(C262:C263)</f>
        <v>1144800</v>
      </c>
      <c r="D264" s="569">
        <f t="shared" ref="D264" si="176">SUM(D262:D263)</f>
        <v>731582</v>
      </c>
      <c r="E264" s="570">
        <f t="shared" si="170"/>
        <v>0.63904786862334029</v>
      </c>
      <c r="F264" s="571">
        <f t="shared" ref="F264:J264" si="177">SUM(F262:F263)</f>
        <v>40871966.4714</v>
      </c>
      <c r="G264" s="569">
        <f t="shared" si="177"/>
        <v>2529175</v>
      </c>
      <c r="H264" s="571">
        <f t="shared" si="177"/>
        <v>19191644.605599999</v>
      </c>
      <c r="I264" s="571">
        <f t="shared" si="177"/>
        <v>77114535.319999993</v>
      </c>
      <c r="J264" s="572">
        <f t="shared" si="177"/>
        <v>61527531.350000001</v>
      </c>
    </row>
    <row r="265" spans="1:15" ht="57.6" customHeight="1" thickBot="1" x14ac:dyDescent="0.35">
      <c r="A265" s="642"/>
      <c r="B265" s="554" t="s">
        <v>182</v>
      </c>
      <c r="C265" s="555">
        <f>+C258+C261+C264</f>
        <v>10258981</v>
      </c>
      <c r="D265" s="582">
        <f t="shared" ref="D265" si="178">+D258+D261+D264</f>
        <v>6786811</v>
      </c>
      <c r="E265" s="583">
        <f>IFERROR(D265/C265,"-")</f>
        <v>0.66154825708323273</v>
      </c>
      <c r="F265" s="582">
        <f>+F258+F261+F264</f>
        <v>162193629.41739997</v>
      </c>
      <c r="G265" s="582">
        <f t="shared" ref="G265:H265" si="179">+G258+G261+G264</f>
        <v>6212485</v>
      </c>
      <c r="H265" s="582">
        <f t="shared" si="179"/>
        <v>35761085.677599996</v>
      </c>
      <c r="I265" s="582">
        <f>+I258+I261+I264</f>
        <v>243992705.28279999</v>
      </c>
      <c r="J265" s="643">
        <f t="shared" ref="J265" si="180">+J258+J261+J264</f>
        <v>171016813.94</v>
      </c>
    </row>
    <row r="266" spans="1:15" ht="41.4" customHeight="1" x14ac:dyDescent="0.3">
      <c r="A266" s="991" t="s">
        <v>1</v>
      </c>
      <c r="B266" s="997" t="s">
        <v>477</v>
      </c>
      <c r="C266" s="997" t="s">
        <v>240</v>
      </c>
      <c r="D266" s="1088" t="s">
        <v>573</v>
      </c>
      <c r="E266" s="1089"/>
      <c r="F266" s="1089"/>
      <c r="G266" s="1089"/>
      <c r="H266" s="1090"/>
      <c r="I266" s="1091" t="s">
        <v>498</v>
      </c>
      <c r="J266" s="1091" t="s">
        <v>499</v>
      </c>
      <c r="K266" s="229" t="s">
        <v>502</v>
      </c>
    </row>
    <row r="267" spans="1:15" ht="41.4" customHeight="1" x14ac:dyDescent="0.3">
      <c r="A267" s="1070"/>
      <c r="B267" s="1087"/>
      <c r="C267" s="1087"/>
      <c r="D267" s="1094" t="s">
        <v>248</v>
      </c>
      <c r="E267" s="1095"/>
      <c r="F267" s="1096"/>
      <c r="G267" s="1094" t="s">
        <v>243</v>
      </c>
      <c r="H267" s="1096"/>
      <c r="I267" s="1092"/>
      <c r="J267" s="1092"/>
    </row>
    <row r="268" spans="1:15" ht="25.95" customHeight="1" x14ac:dyDescent="0.3">
      <c r="A268" s="992"/>
      <c r="B268" s="998"/>
      <c r="C268" s="998"/>
      <c r="D268" s="1097" t="s">
        <v>496</v>
      </c>
      <c r="E268" s="1099" t="s">
        <v>9</v>
      </c>
      <c r="F268" s="1101" t="s">
        <v>497</v>
      </c>
      <c r="G268" s="1103" t="s">
        <v>244</v>
      </c>
      <c r="H268" s="1105" t="s">
        <v>497</v>
      </c>
      <c r="I268" s="1092"/>
      <c r="J268" s="1092"/>
    </row>
    <row r="269" spans="1:15" ht="25.95" customHeight="1" thickBot="1" x14ac:dyDescent="0.35">
      <c r="A269" s="993"/>
      <c r="B269" s="999"/>
      <c r="C269" s="999"/>
      <c r="D269" s="1098"/>
      <c r="E269" s="1100"/>
      <c r="F269" s="1102"/>
      <c r="G269" s="1104"/>
      <c r="H269" s="1106"/>
      <c r="I269" s="1093"/>
      <c r="J269" s="1093"/>
    </row>
    <row r="270" spans="1:15" ht="60.6" customHeight="1" x14ac:dyDescent="0.3">
      <c r="A270" s="271" t="s">
        <v>110</v>
      </c>
      <c r="B270" s="579" t="s">
        <v>234</v>
      </c>
      <c r="C270" s="556">
        <f>+'01 Prod Physique Boites'!E1841</f>
        <v>4750000</v>
      </c>
      <c r="D270" s="557">
        <f>+'01 Prod Physique Boites'!L1841</f>
        <v>2751150</v>
      </c>
      <c r="E270" s="558">
        <f>IFERROR(D270/C270,"-")</f>
        <v>0.57918947368421048</v>
      </c>
      <c r="F270" s="559">
        <f>+'02 Prod Valorisée Boites'!G1846</f>
        <v>43139860.856399998</v>
      </c>
      <c r="G270" s="557">
        <f>+'03 Prod Accessoires'!K1065</f>
        <v>2864470</v>
      </c>
      <c r="H270" s="560">
        <f>+'03 Prod Accessoires'!Q1065</f>
        <v>12859510.068000002</v>
      </c>
      <c r="I270" s="560">
        <f>+'02 Prod Valorisée Boites'!J1846</f>
        <v>58263065.432800002</v>
      </c>
      <c r="J270" s="561">
        <f>+'04 Ventes'!I1491</f>
        <v>55732837.370000005</v>
      </c>
      <c r="K270" s="774"/>
      <c r="L270" s="774"/>
      <c r="O270" s="757"/>
    </row>
    <row r="271" spans="1:15" ht="60.6" customHeight="1" x14ac:dyDescent="0.3">
      <c r="A271" s="904" t="s">
        <v>110</v>
      </c>
      <c r="B271" s="580" t="s">
        <v>235</v>
      </c>
      <c r="C271" s="562">
        <f>+'01 Prod Physique Boites'!E1856</f>
        <v>1252125</v>
      </c>
      <c r="D271" s="563">
        <f>+'01 Prod Physique Boites'!L1856</f>
        <v>554682</v>
      </c>
      <c r="E271" s="564">
        <f t="shared" ref="E271:E279" si="181">IFERROR(D271/C271,"-")</f>
        <v>0.44299251272836176</v>
      </c>
      <c r="F271" s="565">
        <f>+'02 Prod Valorisée Boites'!G1861</f>
        <v>28000335.623999998</v>
      </c>
      <c r="G271" s="563">
        <f>+'03 Prod Accessoires'!K1073</f>
        <v>677040</v>
      </c>
      <c r="H271" s="566">
        <f>+'03 Prod Accessoires'!Q1073</f>
        <v>3912954.344</v>
      </c>
      <c r="I271" s="566">
        <f>+'02 Prod Valorisée Boites'!J1861</f>
        <v>41180600.399999991</v>
      </c>
      <c r="J271" s="567">
        <f>+'04 Ventes'!I1506</f>
        <v>42622608.459999993</v>
      </c>
      <c r="K271" s="774"/>
      <c r="L271" s="774"/>
      <c r="O271" s="757"/>
    </row>
    <row r="272" spans="1:15" ht="60.6" customHeight="1" thickBot="1" x14ac:dyDescent="0.35">
      <c r="A272" s="277" t="s">
        <v>110</v>
      </c>
      <c r="B272" s="278" t="s">
        <v>236</v>
      </c>
      <c r="C272" s="562"/>
      <c r="D272" s="563"/>
      <c r="E272" s="564" t="str">
        <f t="shared" si="181"/>
        <v>-</v>
      </c>
      <c r="F272" s="565"/>
      <c r="G272" s="563"/>
      <c r="H272" s="566"/>
      <c r="I272" s="566"/>
      <c r="J272" s="567">
        <f>+'04 Ventes'!I1512</f>
        <v>1284691.5</v>
      </c>
    </row>
    <row r="273" spans="1:15" s="297" customFormat="1" ht="60.6" customHeight="1" thickBot="1" x14ac:dyDescent="0.35">
      <c r="A273" s="321" t="s">
        <v>110</v>
      </c>
      <c r="B273" s="436" t="s">
        <v>237</v>
      </c>
      <c r="C273" s="568">
        <f>SUM(C270:C272)</f>
        <v>6002125</v>
      </c>
      <c r="D273" s="569">
        <f t="shared" ref="D273" si="182">SUM(D270:D272)</f>
        <v>3305832</v>
      </c>
      <c r="E273" s="570">
        <f t="shared" si="181"/>
        <v>0.55077693316950249</v>
      </c>
      <c r="F273" s="571">
        <f>SUM(F270:F272)</f>
        <v>71140196.480399996</v>
      </c>
      <c r="G273" s="569">
        <f t="shared" ref="G273:H273" si="183">SUM(G270:G272)</f>
        <v>3541510</v>
      </c>
      <c r="H273" s="571">
        <f t="shared" si="183"/>
        <v>16772464.412000002</v>
      </c>
      <c r="I273" s="571">
        <f>SUM(I270:I272)</f>
        <v>99443665.832800001</v>
      </c>
      <c r="J273" s="572">
        <f t="shared" ref="J273" si="184">SUM(J270:J272)</f>
        <v>99640137.329999998</v>
      </c>
    </row>
    <row r="274" spans="1:15" ht="60.6" customHeight="1" x14ac:dyDescent="0.3">
      <c r="A274" s="271" t="s">
        <v>108</v>
      </c>
      <c r="B274" s="579" t="s">
        <v>234</v>
      </c>
      <c r="C274" s="556">
        <f>+'01 Prod Physique Boites'!E1887</f>
        <v>3112056</v>
      </c>
      <c r="D274" s="557">
        <f>+'01 Prod Physique Boites'!L1887</f>
        <v>3188061</v>
      </c>
      <c r="E274" s="558">
        <f t="shared" si="181"/>
        <v>1.0244227610300072</v>
      </c>
      <c r="F274" s="559">
        <f>+'02 Prod Valorisée Boites'!G1892</f>
        <v>58924454.515200004</v>
      </c>
      <c r="G274" s="557">
        <f>+'03 Prod Accessoires'!K1083</f>
        <v>420750</v>
      </c>
      <c r="H274" s="560">
        <f>+'03 Prod Accessoires'!Q1083</f>
        <v>931582.57500000007</v>
      </c>
      <c r="I274" s="560">
        <f>+'02 Prod Valorisée Boites'!J1892</f>
        <v>78353877.170000002</v>
      </c>
      <c r="J274" s="573">
        <f>+'04 Ventes'!I1536</f>
        <v>14838512.720000003</v>
      </c>
      <c r="L274" s="774"/>
      <c r="O274" s="757"/>
    </row>
    <row r="275" spans="1:15" ht="60.6" customHeight="1" thickBot="1" x14ac:dyDescent="0.35">
      <c r="A275" s="904" t="s">
        <v>108</v>
      </c>
      <c r="B275" s="298" t="s">
        <v>236</v>
      </c>
      <c r="C275" s="574"/>
      <c r="D275" s="563"/>
      <c r="E275" s="564" t="str">
        <f t="shared" si="181"/>
        <v>-</v>
      </c>
      <c r="F275" s="565"/>
      <c r="G275" s="563"/>
      <c r="H275" s="566"/>
      <c r="I275" s="566"/>
      <c r="J275" s="575"/>
    </row>
    <row r="276" spans="1:15" s="297" customFormat="1" ht="60.6" customHeight="1" thickBot="1" x14ac:dyDescent="0.35">
      <c r="A276" s="321" t="s">
        <v>108</v>
      </c>
      <c r="B276" s="436" t="s">
        <v>238</v>
      </c>
      <c r="C276" s="568">
        <f>SUM(C274:C275)</f>
        <v>3112056</v>
      </c>
      <c r="D276" s="569">
        <f t="shared" ref="D276" si="185">SUM(D274:D275)</f>
        <v>3188061</v>
      </c>
      <c r="E276" s="570">
        <f t="shared" si="181"/>
        <v>1.0244227610300072</v>
      </c>
      <c r="F276" s="571">
        <f t="shared" ref="F276:J276" si="186">SUM(F274:F275)</f>
        <v>58924454.515200004</v>
      </c>
      <c r="G276" s="569">
        <f t="shared" si="186"/>
        <v>420750</v>
      </c>
      <c r="H276" s="571">
        <f t="shared" si="186"/>
        <v>931582.57500000007</v>
      </c>
      <c r="I276" s="571">
        <f t="shared" si="186"/>
        <v>78353877.170000002</v>
      </c>
      <c r="J276" s="572">
        <f t="shared" si="186"/>
        <v>14838512.720000003</v>
      </c>
    </row>
    <row r="277" spans="1:15" ht="60.6" customHeight="1" x14ac:dyDescent="0.3">
      <c r="A277" s="271" t="s">
        <v>109</v>
      </c>
      <c r="B277" s="581" t="s">
        <v>235</v>
      </c>
      <c r="C277" s="560">
        <f>+'01 Prod Physique Boites'!E1914</f>
        <v>1144800</v>
      </c>
      <c r="D277" s="557">
        <f>+'01 Prod Physique Boites'!L1914</f>
        <v>767382</v>
      </c>
      <c r="E277" s="558">
        <f t="shared" si="181"/>
        <v>0.67031970649895178</v>
      </c>
      <c r="F277" s="559">
        <f>+'02 Prod Valorisée Boites'!G1918</f>
        <v>43766497.163399994</v>
      </c>
      <c r="G277" s="557">
        <f>+'03 Prod Accessoires'!K1117</f>
        <v>2638368</v>
      </c>
      <c r="H277" s="560">
        <f>+'03 Prod Accessoires'!Q1117</f>
        <v>20303428.189900003</v>
      </c>
      <c r="I277" s="560">
        <f>+'02 Prod Valorisée Boites'!J1918</f>
        <v>82364132.11999999</v>
      </c>
      <c r="J277" s="573">
        <f>+'04 Ventes'!I1560</f>
        <v>67227378.210000008</v>
      </c>
      <c r="K277" s="774"/>
      <c r="L277" s="774"/>
      <c r="O277" s="757"/>
    </row>
    <row r="278" spans="1:15" ht="60.6" customHeight="1" thickBot="1" x14ac:dyDescent="0.35">
      <c r="A278" s="904" t="s">
        <v>109</v>
      </c>
      <c r="B278" s="306" t="s">
        <v>236</v>
      </c>
      <c r="C278" s="566"/>
      <c r="D278" s="576"/>
      <c r="E278" s="577" t="str">
        <f t="shared" si="181"/>
        <v>-</v>
      </c>
      <c r="F278" s="578"/>
      <c r="G278" s="563"/>
      <c r="H278" s="566"/>
      <c r="I278" s="566"/>
      <c r="J278" s="575"/>
    </row>
    <row r="279" spans="1:15" s="297" customFormat="1" ht="60.6" customHeight="1" thickBot="1" x14ac:dyDescent="0.35">
      <c r="A279" s="321" t="s">
        <v>109</v>
      </c>
      <c r="B279" s="436" t="s">
        <v>239</v>
      </c>
      <c r="C279" s="568">
        <f>SUM(C277:C278)</f>
        <v>1144800</v>
      </c>
      <c r="D279" s="569">
        <f t="shared" ref="D279" si="187">SUM(D277:D278)</f>
        <v>767382</v>
      </c>
      <c r="E279" s="570">
        <f t="shared" si="181"/>
        <v>0.67031970649895178</v>
      </c>
      <c r="F279" s="571">
        <f t="shared" ref="F279:J279" si="188">SUM(F277:F278)</f>
        <v>43766497.163399994</v>
      </c>
      <c r="G279" s="569">
        <f t="shared" si="188"/>
        <v>2638368</v>
      </c>
      <c r="H279" s="571">
        <f t="shared" si="188"/>
        <v>20303428.189900003</v>
      </c>
      <c r="I279" s="571">
        <f t="shared" si="188"/>
        <v>82364132.11999999</v>
      </c>
      <c r="J279" s="572">
        <f t="shared" si="188"/>
        <v>67227378.210000008</v>
      </c>
    </row>
    <row r="280" spans="1:15" ht="57.6" customHeight="1" thickBot="1" x14ac:dyDescent="0.35">
      <c r="A280" s="642"/>
      <c r="B280" s="554" t="s">
        <v>182</v>
      </c>
      <c r="C280" s="555">
        <f>+C273+C276+C279</f>
        <v>10258981</v>
      </c>
      <c r="D280" s="582">
        <f t="shared" ref="D280" si="189">+D273+D276+D279</f>
        <v>7261275</v>
      </c>
      <c r="E280" s="583">
        <f>IFERROR(D280/C280,"-")</f>
        <v>0.70779690497526027</v>
      </c>
      <c r="F280" s="582">
        <f>+F273+F276+F279</f>
        <v>173831148.15899998</v>
      </c>
      <c r="G280" s="582">
        <f t="shared" ref="G280:H280" si="190">+G273+G276+G279</f>
        <v>6600628</v>
      </c>
      <c r="H280" s="582">
        <f t="shared" si="190"/>
        <v>38007475.176900007</v>
      </c>
      <c r="I280" s="582">
        <f>+I273+I276+I279</f>
        <v>260161675.12279999</v>
      </c>
      <c r="J280" s="643">
        <f t="shared" ref="J280" si="191">+J273+J276+J279</f>
        <v>181706028.25999999</v>
      </c>
    </row>
    <row r="281" spans="1:15" ht="41.4" customHeight="1" x14ac:dyDescent="0.3">
      <c r="A281" s="991" t="s">
        <v>1</v>
      </c>
      <c r="B281" s="997" t="s">
        <v>477</v>
      </c>
      <c r="C281" s="997" t="s">
        <v>240</v>
      </c>
      <c r="D281" s="1088" t="s">
        <v>579</v>
      </c>
      <c r="E281" s="1089"/>
      <c r="F281" s="1089"/>
      <c r="G281" s="1089"/>
      <c r="H281" s="1090"/>
      <c r="I281" s="1091" t="s">
        <v>498</v>
      </c>
      <c r="J281" s="1091" t="s">
        <v>499</v>
      </c>
      <c r="K281" s="229" t="s">
        <v>502</v>
      </c>
    </row>
    <row r="282" spans="1:15" ht="41.4" customHeight="1" x14ac:dyDescent="0.3">
      <c r="A282" s="1070"/>
      <c r="B282" s="1087"/>
      <c r="C282" s="1087"/>
      <c r="D282" s="1094" t="s">
        <v>248</v>
      </c>
      <c r="E282" s="1095"/>
      <c r="F282" s="1096"/>
      <c r="G282" s="1094" t="s">
        <v>243</v>
      </c>
      <c r="H282" s="1096"/>
      <c r="I282" s="1092"/>
      <c r="J282" s="1092"/>
    </row>
    <row r="283" spans="1:15" ht="25.95" customHeight="1" x14ac:dyDescent="0.3">
      <c r="A283" s="992"/>
      <c r="B283" s="998"/>
      <c r="C283" s="998"/>
      <c r="D283" s="1097" t="s">
        <v>496</v>
      </c>
      <c r="E283" s="1099" t="s">
        <v>9</v>
      </c>
      <c r="F283" s="1101" t="s">
        <v>497</v>
      </c>
      <c r="G283" s="1103" t="s">
        <v>244</v>
      </c>
      <c r="H283" s="1105" t="s">
        <v>497</v>
      </c>
      <c r="I283" s="1092"/>
      <c r="J283" s="1092"/>
    </row>
    <row r="284" spans="1:15" ht="25.95" customHeight="1" thickBot="1" x14ac:dyDescent="0.35">
      <c r="A284" s="993"/>
      <c r="B284" s="999"/>
      <c r="C284" s="999"/>
      <c r="D284" s="1098"/>
      <c r="E284" s="1100"/>
      <c r="F284" s="1102"/>
      <c r="G284" s="1104"/>
      <c r="H284" s="1106"/>
      <c r="I284" s="1093"/>
      <c r="J284" s="1093"/>
    </row>
    <row r="285" spans="1:15" ht="60.6" customHeight="1" x14ac:dyDescent="0.3">
      <c r="A285" s="271" t="s">
        <v>110</v>
      </c>
      <c r="B285" s="579" t="s">
        <v>234</v>
      </c>
      <c r="C285" s="556">
        <f>+'01 Prod Physique Boites'!E1948</f>
        <v>4750000</v>
      </c>
      <c r="D285" s="557">
        <f>+'01 Prod Physique Boites'!K1948</f>
        <v>2972174</v>
      </c>
      <c r="E285" s="558">
        <f>IFERROR(D285/C285,"-")</f>
        <v>0.62572084210526313</v>
      </c>
      <c r="F285" s="559">
        <f>+'02 Prod Valorisée Boites'!G1953</f>
        <v>45726962.0964</v>
      </c>
      <c r="G285" s="557">
        <f>+'03 Prod Accessoires'!K1127</f>
        <v>3058920</v>
      </c>
      <c r="H285" s="560">
        <f>+'03 Prod Accessoires'!Q1127</f>
        <v>13834570.233000003</v>
      </c>
      <c r="I285" s="560">
        <f>+'02 Prod Valorisée Boites'!J1953</f>
        <v>62247819.032799996</v>
      </c>
      <c r="J285" s="561">
        <f>+'04 Ventes'!I1583</f>
        <v>59543307.770000011</v>
      </c>
      <c r="K285" s="774"/>
      <c r="L285" s="774"/>
      <c r="O285" s="757"/>
    </row>
    <row r="286" spans="1:15" ht="60.6" customHeight="1" x14ac:dyDescent="0.3">
      <c r="A286" s="912" t="s">
        <v>110</v>
      </c>
      <c r="B286" s="580" t="s">
        <v>235</v>
      </c>
      <c r="C286" s="562">
        <f>+'01 Prod Physique Boites'!E1963</f>
        <v>1252125</v>
      </c>
      <c r="D286" s="563">
        <f>+'01 Prod Physique Boites'!K1963</f>
        <v>575991</v>
      </c>
      <c r="E286" s="564">
        <f t="shared" ref="E286:E294" si="192">IFERROR(D286/C286,"-")</f>
        <v>0.46001078167115905</v>
      </c>
      <c r="F286" s="565">
        <f>+'02 Prod Valorisée Boites'!G1968</f>
        <v>29776471.874000002</v>
      </c>
      <c r="G286" s="563">
        <f>+'03 Prod Accessoires'!K1135</f>
        <v>695040</v>
      </c>
      <c r="H286" s="566">
        <f>+'03 Prod Accessoires'!Q1135</f>
        <v>4129485.344</v>
      </c>
      <c r="I286" s="566">
        <f>+'02 Prod Valorisée Boites'!J1968</f>
        <v>43988475.399999999</v>
      </c>
      <c r="J286" s="567">
        <f>+'04 Ventes'!I1598</f>
        <v>42622608.459999993</v>
      </c>
      <c r="K286" s="774"/>
      <c r="L286" s="774"/>
      <c r="O286" s="757"/>
    </row>
    <row r="287" spans="1:15" ht="60.6" customHeight="1" thickBot="1" x14ac:dyDescent="0.35">
      <c r="A287" s="277" t="s">
        <v>110</v>
      </c>
      <c r="B287" s="278" t="s">
        <v>236</v>
      </c>
      <c r="C287" s="562"/>
      <c r="D287" s="563"/>
      <c r="E287" s="564" t="str">
        <f t="shared" si="192"/>
        <v>-</v>
      </c>
      <c r="F287" s="565"/>
      <c r="G287" s="563"/>
      <c r="H287" s="566"/>
      <c r="I287" s="566"/>
      <c r="J287" s="567">
        <f>+'04 Ventes'!I1604</f>
        <v>1294691.5</v>
      </c>
    </row>
    <row r="288" spans="1:15" s="297" customFormat="1" ht="60.6" customHeight="1" thickBot="1" x14ac:dyDescent="0.35">
      <c r="A288" s="321" t="s">
        <v>110</v>
      </c>
      <c r="B288" s="436" t="s">
        <v>237</v>
      </c>
      <c r="C288" s="568">
        <f>SUM(C285:C287)</f>
        <v>6002125</v>
      </c>
      <c r="D288" s="569">
        <f t="shared" ref="D288" si="193">SUM(D285:D287)</f>
        <v>3548165</v>
      </c>
      <c r="E288" s="570">
        <f t="shared" si="192"/>
        <v>0.59115146718870404</v>
      </c>
      <c r="F288" s="571">
        <f>SUM(F285:F287)</f>
        <v>75503433.970400006</v>
      </c>
      <c r="G288" s="569">
        <f t="shared" ref="G288:H288" si="194">SUM(G285:G287)</f>
        <v>3753960</v>
      </c>
      <c r="H288" s="571">
        <f t="shared" si="194"/>
        <v>17964055.577000003</v>
      </c>
      <c r="I288" s="571">
        <f>SUM(I285:I287)</f>
        <v>106236294.43279999</v>
      </c>
      <c r="J288" s="572">
        <f t="shared" ref="J288" si="195">SUM(J285:J287)</f>
        <v>103460607.73</v>
      </c>
    </row>
    <row r="289" spans="1:15" ht="60.6" customHeight="1" x14ac:dyDescent="0.3">
      <c r="A289" s="271" t="s">
        <v>108</v>
      </c>
      <c r="B289" s="579" t="s">
        <v>234</v>
      </c>
      <c r="C289" s="556">
        <f>+'01 Prod Physique Boites'!E1996</f>
        <v>3112056</v>
      </c>
      <c r="D289" s="557">
        <f>+'01 Prod Physique Boites'!K1996</f>
        <v>3363163</v>
      </c>
      <c r="E289" s="558">
        <f t="shared" si="192"/>
        <v>1.0806884580483127</v>
      </c>
      <c r="F289" s="559">
        <f>+'02 Prod Valorisée Boites'!G2001</f>
        <v>61465752.547200009</v>
      </c>
      <c r="G289" s="557">
        <f>+'03 Prod Accessoires'!K1145</f>
        <v>451250</v>
      </c>
      <c r="H289" s="560">
        <f>+'03 Prod Accessoires'!Q1145</f>
        <v>999112.62500000012</v>
      </c>
      <c r="I289" s="556">
        <f>+'02 Prod Valorisée Boites'!J2001</f>
        <v>81450361.730000004</v>
      </c>
      <c r="J289" s="573">
        <f>+'04 Ventes'!I1628</f>
        <v>14838512.720000003</v>
      </c>
      <c r="L289" s="774"/>
      <c r="O289" s="757"/>
    </row>
    <row r="290" spans="1:15" ht="60.6" customHeight="1" thickBot="1" x14ac:dyDescent="0.35">
      <c r="A290" s="912" t="s">
        <v>108</v>
      </c>
      <c r="B290" s="298" t="s">
        <v>236</v>
      </c>
      <c r="C290" s="574"/>
      <c r="D290" s="563"/>
      <c r="E290" s="564" t="str">
        <f t="shared" si="192"/>
        <v>-</v>
      </c>
      <c r="F290" s="565"/>
      <c r="G290" s="563"/>
      <c r="H290" s="566"/>
      <c r="I290" s="566"/>
      <c r="J290" s="575"/>
    </row>
    <row r="291" spans="1:15" s="297" customFormat="1" ht="60.6" customHeight="1" thickBot="1" x14ac:dyDescent="0.35">
      <c r="A291" s="321" t="s">
        <v>108</v>
      </c>
      <c r="B291" s="436" t="s">
        <v>238</v>
      </c>
      <c r="C291" s="568">
        <f>SUM(C289:C290)</f>
        <v>3112056</v>
      </c>
      <c r="D291" s="569">
        <f t="shared" ref="D291" si="196">SUM(D289:D290)</f>
        <v>3363163</v>
      </c>
      <c r="E291" s="570">
        <f t="shared" si="192"/>
        <v>1.0806884580483127</v>
      </c>
      <c r="F291" s="571">
        <f t="shared" ref="F291:J291" si="197">SUM(F289:F290)</f>
        <v>61465752.547200009</v>
      </c>
      <c r="G291" s="569">
        <f t="shared" si="197"/>
        <v>451250</v>
      </c>
      <c r="H291" s="571">
        <f t="shared" si="197"/>
        <v>999112.62500000012</v>
      </c>
      <c r="I291" s="571">
        <f t="shared" si="197"/>
        <v>81450361.730000004</v>
      </c>
      <c r="J291" s="572">
        <f t="shared" si="197"/>
        <v>14838512.720000003</v>
      </c>
    </row>
    <row r="292" spans="1:15" ht="60.6" customHeight="1" x14ac:dyDescent="0.3">
      <c r="A292" s="271" t="s">
        <v>109</v>
      </c>
      <c r="B292" s="581" t="s">
        <v>235</v>
      </c>
      <c r="C292" s="560">
        <f>+'01 Prod Physique Boites'!E2023</f>
        <v>1144800</v>
      </c>
      <c r="D292" s="557">
        <f>+'01 Prod Physique Boites'!K2023</f>
        <v>815337</v>
      </c>
      <c r="E292" s="558">
        <f t="shared" si="192"/>
        <v>0.71220911949685539</v>
      </c>
      <c r="F292" s="559">
        <f>+'02 Prod Valorisée Boites'!G2027</f>
        <v>45605221.773000002</v>
      </c>
      <c r="G292" s="557">
        <f>+'03 Prod Accessoires'!K1179</f>
        <v>2767680</v>
      </c>
      <c r="H292" s="560">
        <f>+'03 Prod Accessoires'!Q1179</f>
        <v>21196814.923900001</v>
      </c>
      <c r="I292" s="560">
        <f>+'02 Prod Valorisée Boites'!J2027</f>
        <v>85863782.840000004</v>
      </c>
      <c r="J292" s="573">
        <f>+'04 Ventes'!I1652</f>
        <v>71066901.090000018</v>
      </c>
      <c r="K292" s="774"/>
      <c r="L292" s="774"/>
      <c r="O292" s="757"/>
    </row>
    <row r="293" spans="1:15" ht="60.6" customHeight="1" thickBot="1" x14ac:dyDescent="0.35">
      <c r="A293" s="912" t="s">
        <v>109</v>
      </c>
      <c r="B293" s="306" t="s">
        <v>236</v>
      </c>
      <c r="C293" s="566"/>
      <c r="D293" s="576"/>
      <c r="E293" s="577" t="str">
        <f t="shared" si="192"/>
        <v>-</v>
      </c>
      <c r="F293" s="578"/>
      <c r="G293" s="563"/>
      <c r="H293" s="566"/>
      <c r="I293" s="566"/>
      <c r="J293" s="575"/>
    </row>
    <row r="294" spans="1:15" s="297" customFormat="1" ht="60.6" customHeight="1" thickBot="1" x14ac:dyDescent="0.35">
      <c r="A294" s="321" t="s">
        <v>109</v>
      </c>
      <c r="B294" s="436" t="s">
        <v>239</v>
      </c>
      <c r="C294" s="568">
        <f>SUM(C292:C293)</f>
        <v>1144800</v>
      </c>
      <c r="D294" s="569">
        <f t="shared" ref="D294" si="198">SUM(D292:D293)</f>
        <v>815337</v>
      </c>
      <c r="E294" s="570">
        <f t="shared" si="192"/>
        <v>0.71220911949685539</v>
      </c>
      <c r="F294" s="571">
        <f t="shared" ref="F294:J294" si="199">SUM(F292:F293)</f>
        <v>45605221.773000002</v>
      </c>
      <c r="G294" s="569">
        <f t="shared" si="199"/>
        <v>2767680</v>
      </c>
      <c r="H294" s="571">
        <f t="shared" si="199"/>
        <v>21196814.923900001</v>
      </c>
      <c r="I294" s="571">
        <f t="shared" si="199"/>
        <v>85863782.840000004</v>
      </c>
      <c r="J294" s="572">
        <f t="shared" si="199"/>
        <v>71066901.090000018</v>
      </c>
    </row>
    <row r="295" spans="1:15" ht="57.6" customHeight="1" thickBot="1" x14ac:dyDescent="0.35">
      <c r="A295" s="642"/>
      <c r="B295" s="554" t="s">
        <v>182</v>
      </c>
      <c r="C295" s="555">
        <f>+C288+C291+C294</f>
        <v>10258981</v>
      </c>
      <c r="D295" s="582">
        <f t="shared" ref="D295" si="200">+D288+D291+D294</f>
        <v>7726665</v>
      </c>
      <c r="E295" s="583">
        <f>IFERROR(D295/C295,"-")</f>
        <v>0.75316105956332313</v>
      </c>
      <c r="F295" s="582">
        <f>+F288+F291+F294</f>
        <v>182574408.2906</v>
      </c>
      <c r="G295" s="582">
        <f t="shared" ref="G295:H295" si="201">+G288+G291+G294</f>
        <v>6972890</v>
      </c>
      <c r="H295" s="582">
        <f t="shared" si="201"/>
        <v>40159983.1259</v>
      </c>
      <c r="I295" s="582">
        <f>+I288+I291+I294</f>
        <v>273550439.00279999</v>
      </c>
      <c r="J295" s="643">
        <f t="shared" ref="J295" si="202">+J288+J291+J294</f>
        <v>189366021.54000002</v>
      </c>
    </row>
    <row r="296" spans="1:15" ht="41.4" customHeight="1" x14ac:dyDescent="0.3">
      <c r="A296" s="991" t="s">
        <v>1</v>
      </c>
      <c r="B296" s="997" t="s">
        <v>477</v>
      </c>
      <c r="C296" s="997" t="s">
        <v>240</v>
      </c>
      <c r="D296" s="1088" t="s">
        <v>591</v>
      </c>
      <c r="E296" s="1089"/>
      <c r="F296" s="1089"/>
      <c r="G296" s="1089"/>
      <c r="H296" s="1090"/>
      <c r="I296" s="1091" t="s">
        <v>498</v>
      </c>
      <c r="J296" s="1091" t="s">
        <v>499</v>
      </c>
      <c r="K296" s="229" t="s">
        <v>502</v>
      </c>
    </row>
    <row r="297" spans="1:15" ht="41.4" customHeight="1" x14ac:dyDescent="0.3">
      <c r="A297" s="1070"/>
      <c r="B297" s="1087"/>
      <c r="C297" s="1087"/>
      <c r="D297" s="1094" t="s">
        <v>248</v>
      </c>
      <c r="E297" s="1095"/>
      <c r="F297" s="1096"/>
      <c r="G297" s="1094" t="s">
        <v>243</v>
      </c>
      <c r="H297" s="1096"/>
      <c r="I297" s="1092"/>
      <c r="J297" s="1092"/>
    </row>
    <row r="298" spans="1:15" ht="25.95" customHeight="1" x14ac:dyDescent="0.3">
      <c r="A298" s="992"/>
      <c r="B298" s="998"/>
      <c r="C298" s="998"/>
      <c r="D298" s="1097" t="s">
        <v>496</v>
      </c>
      <c r="E298" s="1099" t="s">
        <v>9</v>
      </c>
      <c r="F298" s="1101" t="s">
        <v>497</v>
      </c>
      <c r="G298" s="1103" t="s">
        <v>244</v>
      </c>
      <c r="H298" s="1105" t="s">
        <v>497</v>
      </c>
      <c r="I298" s="1092"/>
      <c r="J298" s="1092"/>
    </row>
    <row r="299" spans="1:15" ht="25.95" customHeight="1" thickBot="1" x14ac:dyDescent="0.35">
      <c r="A299" s="993"/>
      <c r="B299" s="999"/>
      <c r="C299" s="999"/>
      <c r="D299" s="1098"/>
      <c r="E299" s="1100"/>
      <c r="F299" s="1102"/>
      <c r="G299" s="1104"/>
      <c r="H299" s="1106"/>
      <c r="I299" s="1093"/>
      <c r="J299" s="1093"/>
    </row>
    <row r="300" spans="1:15" ht="60.6" customHeight="1" x14ac:dyDescent="0.3">
      <c r="A300" s="271" t="s">
        <v>110</v>
      </c>
      <c r="B300" s="579" t="s">
        <v>234</v>
      </c>
      <c r="C300" s="556">
        <f>+'01 Prod Physique Boites'!E2057</f>
        <v>4750000</v>
      </c>
      <c r="D300" s="557">
        <f>+'01 Prod Physique Boites'!K2057</f>
        <v>3141706</v>
      </c>
      <c r="E300" s="558">
        <f>IFERROR(D300/C300,"-")</f>
        <v>0.66141178947368418</v>
      </c>
      <c r="F300" s="559">
        <f>+'02 Prod Valorisée Boites'!G2062</f>
        <v>47837468.402400002</v>
      </c>
      <c r="G300" s="557">
        <f>+'03 Prod Accessoires'!K1189</f>
        <v>3244320</v>
      </c>
      <c r="H300" s="560">
        <f>+'03 Prod Accessoires'!Q1189</f>
        <v>14965643.613000002</v>
      </c>
      <c r="I300" s="560">
        <f>+'02 Prod Valorisée Boites'!J2062</f>
        <v>65226894.632800005</v>
      </c>
      <c r="J300" s="561">
        <f>+'04 Ventes'!I1675</f>
        <v>62380380.550000012</v>
      </c>
      <c r="K300" s="774"/>
      <c r="L300" s="774"/>
      <c r="O300" s="757"/>
    </row>
    <row r="301" spans="1:15" ht="60.6" customHeight="1" x14ac:dyDescent="0.3">
      <c r="A301" s="925" t="s">
        <v>110</v>
      </c>
      <c r="B301" s="580" t="s">
        <v>235</v>
      </c>
      <c r="C301" s="562">
        <f>+'01 Prod Physique Boites'!E2072</f>
        <v>1252125</v>
      </c>
      <c r="D301" s="563">
        <f>+'01 Prod Physique Boites'!K2072</f>
        <v>590906</v>
      </c>
      <c r="E301" s="564">
        <f t="shared" ref="E301:E309" si="203">IFERROR(D301/C301,"-")</f>
        <v>0.47192253169611659</v>
      </c>
      <c r="F301" s="565">
        <f>+'02 Prod Valorisée Boites'!G2077</f>
        <v>31286187.686500002</v>
      </c>
      <c r="G301" s="563">
        <f>+'03 Prod Accessoires'!K1197</f>
        <v>713040</v>
      </c>
      <c r="H301" s="566">
        <f>+'03 Prod Accessoires'!Q1197</f>
        <v>4346016.3440000005</v>
      </c>
      <c r="I301" s="566">
        <f>+'02 Prod Valorisée Boites'!J2077</f>
        <v>46375169.149999991</v>
      </c>
      <c r="J301" s="567">
        <f>+'04 Ventes'!I1690</f>
        <v>45290089.709999993</v>
      </c>
      <c r="K301" s="774"/>
      <c r="L301" s="774"/>
      <c r="O301" s="757"/>
    </row>
    <row r="302" spans="1:15" ht="60.6" customHeight="1" thickBot="1" x14ac:dyDescent="0.35">
      <c r="A302" s="277" t="s">
        <v>110</v>
      </c>
      <c r="B302" s="278" t="s">
        <v>236</v>
      </c>
      <c r="C302" s="562"/>
      <c r="D302" s="563"/>
      <c r="E302" s="564" t="str">
        <f t="shared" si="203"/>
        <v>-</v>
      </c>
      <c r="F302" s="565"/>
      <c r="G302" s="563"/>
      <c r="H302" s="566"/>
      <c r="I302" s="566"/>
      <c r="J302" s="567">
        <f>+'04 Ventes'!I1698</f>
        <v>5888051.5</v>
      </c>
    </row>
    <row r="303" spans="1:15" s="297" customFormat="1" ht="60.6" customHeight="1" thickBot="1" x14ac:dyDescent="0.35">
      <c r="A303" s="321" t="s">
        <v>110</v>
      </c>
      <c r="B303" s="436" t="s">
        <v>237</v>
      </c>
      <c r="C303" s="568">
        <f>SUM(C300:C302)</f>
        <v>6002125</v>
      </c>
      <c r="D303" s="569">
        <f t="shared" ref="D303" si="204">SUM(D300:D302)</f>
        <v>3732612</v>
      </c>
      <c r="E303" s="570">
        <f t="shared" si="203"/>
        <v>0.62188175021346603</v>
      </c>
      <c r="F303" s="571">
        <f>SUM(F300:F302)</f>
        <v>79123656.0889</v>
      </c>
      <c r="G303" s="569">
        <f t="shared" ref="G303:H303" si="205">SUM(G300:G302)</f>
        <v>3957360</v>
      </c>
      <c r="H303" s="571">
        <f t="shared" si="205"/>
        <v>19311659.957000002</v>
      </c>
      <c r="I303" s="571">
        <f>SUM(I300:I302)</f>
        <v>111602063.78279999</v>
      </c>
      <c r="J303" s="572">
        <f t="shared" ref="J303" si="206">SUM(J300:J302)</f>
        <v>113558521.76000001</v>
      </c>
    </row>
    <row r="304" spans="1:15" ht="60.6" customHeight="1" x14ac:dyDescent="0.3">
      <c r="A304" s="271" t="s">
        <v>108</v>
      </c>
      <c r="B304" s="579" t="s">
        <v>234</v>
      </c>
      <c r="C304" s="556">
        <f>+'01 Prod Physique Boites'!E2105</f>
        <v>3112056</v>
      </c>
      <c r="D304" s="557">
        <f>+'01 Prod Physique Boites'!K2105</f>
        <v>3499471</v>
      </c>
      <c r="E304" s="558">
        <f t="shared" si="203"/>
        <v>1.124488441082037</v>
      </c>
      <c r="F304" s="559">
        <f>+'02 Prod Valorisée Boites'!G2110</f>
        <v>63728356.204799995</v>
      </c>
      <c r="G304" s="557">
        <f>+'03 Prod Accessoires'!K1207</f>
        <v>451250</v>
      </c>
      <c r="H304" s="560">
        <f>+'03 Prod Accessoires'!Q1207</f>
        <v>999112.62500000012</v>
      </c>
      <c r="I304" s="556">
        <f>+'02 Prod Valorisée Boites'!J2110</f>
        <v>84258193.25</v>
      </c>
      <c r="J304" s="573">
        <f>+'04 Ventes'!I1722</f>
        <v>14838512.720000003</v>
      </c>
      <c r="L304" s="774"/>
      <c r="O304" s="757"/>
    </row>
    <row r="305" spans="1:15" ht="60.6" customHeight="1" thickBot="1" x14ac:dyDescent="0.35">
      <c r="A305" s="925" t="s">
        <v>108</v>
      </c>
      <c r="B305" s="298" t="s">
        <v>236</v>
      </c>
      <c r="C305" s="574"/>
      <c r="D305" s="563"/>
      <c r="E305" s="564" t="str">
        <f t="shared" si="203"/>
        <v>-</v>
      </c>
      <c r="F305" s="565"/>
      <c r="G305" s="563"/>
      <c r="H305" s="566"/>
      <c r="I305" s="566"/>
      <c r="J305" s="575"/>
    </row>
    <row r="306" spans="1:15" s="297" customFormat="1" ht="60.6" customHeight="1" thickBot="1" x14ac:dyDescent="0.35">
      <c r="A306" s="321" t="s">
        <v>108</v>
      </c>
      <c r="B306" s="436" t="s">
        <v>238</v>
      </c>
      <c r="C306" s="568">
        <f>SUM(C304:C305)</f>
        <v>3112056</v>
      </c>
      <c r="D306" s="569">
        <f t="shared" ref="D306" si="207">SUM(D304:D305)</f>
        <v>3499471</v>
      </c>
      <c r="E306" s="570">
        <f t="shared" si="203"/>
        <v>1.124488441082037</v>
      </c>
      <c r="F306" s="571">
        <f t="shared" ref="F306:J306" si="208">SUM(F304:F305)</f>
        <v>63728356.204799995</v>
      </c>
      <c r="G306" s="569">
        <f t="shared" si="208"/>
        <v>451250</v>
      </c>
      <c r="H306" s="571">
        <f t="shared" si="208"/>
        <v>999112.62500000012</v>
      </c>
      <c r="I306" s="571">
        <f t="shared" si="208"/>
        <v>84258193.25</v>
      </c>
      <c r="J306" s="572">
        <f t="shared" si="208"/>
        <v>14838512.720000003</v>
      </c>
    </row>
    <row r="307" spans="1:15" ht="60.6" customHeight="1" x14ac:dyDescent="0.3">
      <c r="A307" s="271" t="s">
        <v>109</v>
      </c>
      <c r="B307" s="581" t="s">
        <v>235</v>
      </c>
      <c r="C307" s="560">
        <f>+'01 Prod Physique Boites'!E2132</f>
        <v>1144800</v>
      </c>
      <c r="D307" s="557">
        <f>+'01 Prod Physique Boites'!K2132</f>
        <v>856079</v>
      </c>
      <c r="E307" s="558">
        <f t="shared" si="203"/>
        <v>0.7477978686233403</v>
      </c>
      <c r="F307" s="559">
        <f>+'02 Prod Valorisée Boites'!G2136</f>
        <v>47947690.638300002</v>
      </c>
      <c r="G307" s="557">
        <f>+'03 Prod Accessoires'!K1241</f>
        <v>2871450</v>
      </c>
      <c r="H307" s="560">
        <f>+'03 Prod Accessoires'!Q1241</f>
        <v>21875290.3189</v>
      </c>
      <c r="I307" s="560">
        <f>+'02 Prod Valorisée Boites'!J2136</f>
        <v>90245380.980000004</v>
      </c>
      <c r="J307" s="573">
        <f>+'04 Ventes'!I1746</f>
        <v>90147322.690000027</v>
      </c>
      <c r="K307" s="774"/>
      <c r="L307" s="774"/>
      <c r="O307" s="757"/>
    </row>
    <row r="308" spans="1:15" ht="60.6" customHeight="1" thickBot="1" x14ac:dyDescent="0.35">
      <c r="A308" s="925" t="s">
        <v>109</v>
      </c>
      <c r="B308" s="306" t="s">
        <v>236</v>
      </c>
      <c r="C308" s="566"/>
      <c r="D308" s="576"/>
      <c r="E308" s="577" t="str">
        <f t="shared" si="203"/>
        <v>-</v>
      </c>
      <c r="F308" s="578"/>
      <c r="G308" s="563"/>
      <c r="H308" s="566"/>
      <c r="I308" s="566"/>
      <c r="J308" s="575"/>
    </row>
    <row r="309" spans="1:15" s="297" customFormat="1" ht="60.6" customHeight="1" thickBot="1" x14ac:dyDescent="0.35">
      <c r="A309" s="321" t="s">
        <v>109</v>
      </c>
      <c r="B309" s="436" t="s">
        <v>239</v>
      </c>
      <c r="C309" s="568">
        <f>SUM(C307:C308)</f>
        <v>1144800</v>
      </c>
      <c r="D309" s="569">
        <f t="shared" ref="D309" si="209">SUM(D307:D308)</f>
        <v>856079</v>
      </c>
      <c r="E309" s="570">
        <f t="shared" si="203"/>
        <v>0.7477978686233403</v>
      </c>
      <c r="F309" s="571">
        <f t="shared" ref="F309:J309" si="210">SUM(F307:F308)</f>
        <v>47947690.638300002</v>
      </c>
      <c r="G309" s="569">
        <f t="shared" si="210"/>
        <v>2871450</v>
      </c>
      <c r="H309" s="571">
        <f t="shared" si="210"/>
        <v>21875290.3189</v>
      </c>
      <c r="I309" s="571">
        <f t="shared" si="210"/>
        <v>90245380.980000004</v>
      </c>
      <c r="J309" s="572">
        <f t="shared" si="210"/>
        <v>90147322.690000027</v>
      </c>
    </row>
    <row r="310" spans="1:15" ht="57.6" customHeight="1" thickBot="1" x14ac:dyDescent="0.35">
      <c r="A310" s="642"/>
      <c r="B310" s="554" t="s">
        <v>182</v>
      </c>
      <c r="C310" s="555">
        <f>+C303+C306+C309</f>
        <v>10258981</v>
      </c>
      <c r="D310" s="582">
        <f t="shared" ref="D310" si="211">+D303+D306+D309</f>
        <v>8088162</v>
      </c>
      <c r="E310" s="583">
        <f>IFERROR(D310/C310,"-")</f>
        <v>0.78839818496593372</v>
      </c>
      <c r="F310" s="582">
        <f>+F303+F306+F309</f>
        <v>190799702.93199998</v>
      </c>
      <c r="G310" s="582">
        <f t="shared" ref="G310:H310" si="212">+G303+G306+G309</f>
        <v>7280060</v>
      </c>
      <c r="H310" s="582">
        <f t="shared" si="212"/>
        <v>42186062.900900006</v>
      </c>
      <c r="I310" s="582">
        <f>+I303+I306+I309</f>
        <v>286105638.01279998</v>
      </c>
      <c r="J310" s="643">
        <f t="shared" ref="J310" si="213">+J303+J306+J309</f>
        <v>218544357.17000002</v>
      </c>
    </row>
    <row r="311" spans="1:15" ht="41.4" customHeight="1" x14ac:dyDescent="0.3">
      <c r="A311" s="991" t="s">
        <v>1</v>
      </c>
      <c r="B311" s="997" t="s">
        <v>477</v>
      </c>
      <c r="C311" s="997" t="s">
        <v>240</v>
      </c>
      <c r="D311" s="1088" t="s">
        <v>597</v>
      </c>
      <c r="E311" s="1089"/>
      <c r="F311" s="1089"/>
      <c r="G311" s="1089"/>
      <c r="H311" s="1090"/>
      <c r="I311" s="1091" t="s">
        <v>498</v>
      </c>
      <c r="J311" s="1091" t="s">
        <v>499</v>
      </c>
      <c r="K311" s="229" t="s">
        <v>502</v>
      </c>
    </row>
    <row r="312" spans="1:15" ht="41.4" customHeight="1" x14ac:dyDescent="0.3">
      <c r="A312" s="1070"/>
      <c r="B312" s="1087"/>
      <c r="C312" s="1087"/>
      <c r="D312" s="1094" t="s">
        <v>248</v>
      </c>
      <c r="E312" s="1095"/>
      <c r="F312" s="1096"/>
      <c r="G312" s="1094" t="s">
        <v>243</v>
      </c>
      <c r="H312" s="1096"/>
      <c r="I312" s="1092"/>
      <c r="J312" s="1092"/>
    </row>
    <row r="313" spans="1:15" ht="25.95" customHeight="1" x14ac:dyDescent="0.3">
      <c r="A313" s="992"/>
      <c r="B313" s="998"/>
      <c r="C313" s="998"/>
      <c r="D313" s="1097" t="s">
        <v>496</v>
      </c>
      <c r="E313" s="1099" t="s">
        <v>9</v>
      </c>
      <c r="F313" s="1101" t="s">
        <v>497</v>
      </c>
      <c r="G313" s="1103" t="s">
        <v>244</v>
      </c>
      <c r="H313" s="1105" t="s">
        <v>497</v>
      </c>
      <c r="I313" s="1092"/>
      <c r="J313" s="1092"/>
    </row>
    <row r="314" spans="1:15" ht="25.95" customHeight="1" thickBot="1" x14ac:dyDescent="0.35">
      <c r="A314" s="993"/>
      <c r="B314" s="999"/>
      <c r="C314" s="999"/>
      <c r="D314" s="1098"/>
      <c r="E314" s="1100"/>
      <c r="F314" s="1102"/>
      <c r="G314" s="1104"/>
      <c r="H314" s="1106"/>
      <c r="I314" s="1093"/>
      <c r="J314" s="1093"/>
    </row>
    <row r="315" spans="1:15" ht="60.6" customHeight="1" x14ac:dyDescent="0.3">
      <c r="A315" s="271" t="s">
        <v>110</v>
      </c>
      <c r="B315" s="579" t="s">
        <v>234</v>
      </c>
      <c r="C315" s="556">
        <f>+'01 Prod Physique Boites'!E2166</f>
        <v>4750000</v>
      </c>
      <c r="D315" s="557">
        <f>+'01 Prod Physique Boites'!K2166</f>
        <v>3323184</v>
      </c>
      <c r="E315" s="558">
        <f>IFERROR(D315/C315,"-")</f>
        <v>0.69961768421052628</v>
      </c>
      <c r="F315" s="559">
        <f>+'02 Prod Valorisée Boites'!G2171</f>
        <v>50052680.844600007</v>
      </c>
      <c r="G315" s="557">
        <f>+'03 Prod Accessoires'!K1251</f>
        <v>3493320</v>
      </c>
      <c r="H315" s="560">
        <f>+'03 Prod Accessoires'!Q1251</f>
        <v>16564613.913000003</v>
      </c>
      <c r="I315" s="560">
        <f>+'02 Prod Valorisée Boites'!J2171</f>
        <v>68261501.312800005</v>
      </c>
      <c r="J315" s="561">
        <f>+'04 Ventes'!I1769</f>
        <v>62736322.950000003</v>
      </c>
      <c r="K315" s="774"/>
      <c r="L315" s="774"/>
      <c r="O315" s="757"/>
    </row>
    <row r="316" spans="1:15" ht="60.6" customHeight="1" x14ac:dyDescent="0.3">
      <c r="A316" s="934" t="s">
        <v>110</v>
      </c>
      <c r="B316" s="580" t="s">
        <v>235</v>
      </c>
      <c r="C316" s="562">
        <f>+'01 Prod Physique Boites'!E2181</f>
        <v>1252125</v>
      </c>
      <c r="D316" s="563">
        <f>+'01 Prod Physique Boites'!K2181</f>
        <v>608456</v>
      </c>
      <c r="E316" s="564">
        <f t="shared" ref="E316:E324" si="214">IFERROR(D316/C316,"-")</f>
        <v>0.48593870420285512</v>
      </c>
      <c r="F316" s="565">
        <f>+'02 Prod Valorisée Boites'!G2186</f>
        <v>33062323.936500002</v>
      </c>
      <c r="G316" s="563">
        <f>+'03 Prod Accessoires'!K1259</f>
        <v>740040</v>
      </c>
      <c r="H316" s="566">
        <f>+'03 Prod Accessoires'!Q1259</f>
        <v>4670812.8440000005</v>
      </c>
      <c r="I316" s="566">
        <f>+'02 Prod Valorisée Boites'!J2186</f>
        <v>49183044.149999991</v>
      </c>
      <c r="J316" s="567">
        <f>+'04 Ventes'!I1784</f>
        <v>55295912.159999996</v>
      </c>
      <c r="K316" s="774"/>
      <c r="L316" s="774"/>
      <c r="O316" s="757"/>
    </row>
    <row r="317" spans="1:15" ht="60.6" customHeight="1" thickBot="1" x14ac:dyDescent="0.35">
      <c r="A317" s="277" t="s">
        <v>110</v>
      </c>
      <c r="B317" s="278" t="s">
        <v>236</v>
      </c>
      <c r="C317" s="562"/>
      <c r="D317" s="563"/>
      <c r="E317" s="564" t="str">
        <f t="shared" si="214"/>
        <v>-</v>
      </c>
      <c r="F317" s="565"/>
      <c r="G317" s="563"/>
      <c r="H317" s="566"/>
      <c r="I317" s="566"/>
      <c r="J317" s="567">
        <f>+'04 Ventes'!I1792</f>
        <v>5893051.5</v>
      </c>
    </row>
    <row r="318" spans="1:15" s="297" customFormat="1" ht="60.6" customHeight="1" thickBot="1" x14ac:dyDescent="0.35">
      <c r="A318" s="321" t="s">
        <v>110</v>
      </c>
      <c r="B318" s="436" t="s">
        <v>237</v>
      </c>
      <c r="C318" s="568">
        <f>SUM(C315:C317)</f>
        <v>6002125</v>
      </c>
      <c r="D318" s="569">
        <f t="shared" ref="D318" si="215">SUM(D315:D317)</f>
        <v>3931640</v>
      </c>
      <c r="E318" s="570">
        <f t="shared" si="214"/>
        <v>0.65504133952558474</v>
      </c>
      <c r="F318" s="571">
        <f>SUM(F315:F317)</f>
        <v>83115004.781100005</v>
      </c>
      <c r="G318" s="569">
        <f t="shared" ref="G318:H318" si="216">SUM(G315:G317)</f>
        <v>4233360</v>
      </c>
      <c r="H318" s="571">
        <f t="shared" si="216"/>
        <v>21235426.757000003</v>
      </c>
      <c r="I318" s="571">
        <f>SUM(I315:I317)</f>
        <v>117444545.4628</v>
      </c>
      <c r="J318" s="572">
        <f t="shared" ref="J318" si="217">SUM(J315:J317)</f>
        <v>123925286.61</v>
      </c>
    </row>
    <row r="319" spans="1:15" ht="60.6" customHeight="1" x14ac:dyDescent="0.3">
      <c r="A319" s="271" t="s">
        <v>108</v>
      </c>
      <c r="B319" s="579" t="s">
        <v>234</v>
      </c>
      <c r="C319" s="556">
        <f>+'01 Prod Physique Boites'!E2214</f>
        <v>3112056</v>
      </c>
      <c r="D319" s="557">
        <f>+'01 Prod Physique Boites'!K2214</f>
        <v>3540351</v>
      </c>
      <c r="E319" s="558">
        <f t="shared" si="214"/>
        <v>1.1376244514880196</v>
      </c>
      <c r="F319" s="559">
        <f>+'02 Prod Valorisée Boites'!G2219</f>
        <v>64402511.047199994</v>
      </c>
      <c r="G319" s="557">
        <f>+'03 Prod Accessoires'!K1268</f>
        <v>549000</v>
      </c>
      <c r="H319" s="560">
        <f>+'03 Prod Accessoires'!Q1268</f>
        <v>1215540.9000000001</v>
      </c>
      <c r="I319" s="556">
        <f>+'02 Prod Valorisée Boites'!J2219</f>
        <v>85087685.810000002</v>
      </c>
      <c r="J319" s="573">
        <f>+'04 Ventes'!I1816</f>
        <v>43330123.360000007</v>
      </c>
      <c r="L319" s="774"/>
      <c r="O319" s="757"/>
    </row>
    <row r="320" spans="1:15" ht="60.6" customHeight="1" thickBot="1" x14ac:dyDescent="0.35">
      <c r="A320" s="934" t="s">
        <v>108</v>
      </c>
      <c r="B320" s="298" t="s">
        <v>236</v>
      </c>
      <c r="C320" s="574"/>
      <c r="D320" s="563"/>
      <c r="E320" s="564" t="str">
        <f t="shared" si="214"/>
        <v>-</v>
      </c>
      <c r="F320" s="565"/>
      <c r="G320" s="563"/>
      <c r="H320" s="566"/>
      <c r="I320" s="566"/>
      <c r="J320" s="575"/>
    </row>
    <row r="321" spans="1:15" s="297" customFormat="1" ht="60.6" customHeight="1" thickBot="1" x14ac:dyDescent="0.35">
      <c r="A321" s="321" t="s">
        <v>108</v>
      </c>
      <c r="B321" s="436" t="s">
        <v>238</v>
      </c>
      <c r="C321" s="568">
        <f>SUM(C319:C320)</f>
        <v>3112056</v>
      </c>
      <c r="D321" s="569">
        <f t="shared" ref="D321" si="218">SUM(D319:D320)</f>
        <v>3540351</v>
      </c>
      <c r="E321" s="570">
        <f t="shared" si="214"/>
        <v>1.1376244514880196</v>
      </c>
      <c r="F321" s="571">
        <f t="shared" ref="F321:J321" si="219">SUM(F319:F320)</f>
        <v>64402511.047199994</v>
      </c>
      <c r="G321" s="569">
        <f t="shared" si="219"/>
        <v>549000</v>
      </c>
      <c r="H321" s="571">
        <f t="shared" si="219"/>
        <v>1215540.9000000001</v>
      </c>
      <c r="I321" s="571">
        <f t="shared" si="219"/>
        <v>85087685.810000002</v>
      </c>
      <c r="J321" s="572">
        <f t="shared" si="219"/>
        <v>43330123.360000007</v>
      </c>
    </row>
    <row r="322" spans="1:15" ht="60.6" customHeight="1" x14ac:dyDescent="0.3">
      <c r="A322" s="271" t="s">
        <v>109</v>
      </c>
      <c r="B322" s="581" t="s">
        <v>235</v>
      </c>
      <c r="C322" s="560">
        <f>+'01 Prod Physique Boites'!E2241</f>
        <v>1144800</v>
      </c>
      <c r="D322" s="557">
        <f>+'01 Prod Physique Boites'!K2241</f>
        <v>891916</v>
      </c>
      <c r="E322" s="558">
        <f t="shared" si="214"/>
        <v>0.77910202655485672</v>
      </c>
      <c r="F322" s="559">
        <f>+'02 Prod Valorisée Boites'!G2245</f>
        <v>49546705.93500001</v>
      </c>
      <c r="G322" s="557">
        <f>+'03 Prod Accessoires'!K1303</f>
        <v>2968150</v>
      </c>
      <c r="H322" s="560">
        <f>+'03 Prod Accessoires'!Q1303</f>
        <v>22442990.2689</v>
      </c>
      <c r="I322" s="560">
        <f>+'02 Prod Valorisée Boites'!J2245</f>
        <v>93374248.840000004</v>
      </c>
      <c r="J322" s="573">
        <f>+'04 Ventes'!I1840</f>
        <v>102080064.61000001</v>
      </c>
      <c r="K322" s="774"/>
      <c r="L322" s="774"/>
      <c r="O322" s="757"/>
    </row>
    <row r="323" spans="1:15" ht="60.6" customHeight="1" thickBot="1" x14ac:dyDescent="0.35">
      <c r="A323" s="934" t="s">
        <v>109</v>
      </c>
      <c r="B323" s="306" t="s">
        <v>236</v>
      </c>
      <c r="C323" s="566"/>
      <c r="D323" s="576"/>
      <c r="E323" s="577" t="str">
        <f t="shared" si="214"/>
        <v>-</v>
      </c>
      <c r="F323" s="578"/>
      <c r="G323" s="563"/>
      <c r="H323" s="566"/>
      <c r="I323" s="566"/>
      <c r="J323" s="575"/>
    </row>
    <row r="324" spans="1:15" s="297" customFormat="1" ht="60.6" customHeight="1" thickBot="1" x14ac:dyDescent="0.35">
      <c r="A324" s="321" t="s">
        <v>109</v>
      </c>
      <c r="B324" s="436" t="s">
        <v>239</v>
      </c>
      <c r="C324" s="568">
        <f>SUM(C322:C323)</f>
        <v>1144800</v>
      </c>
      <c r="D324" s="569">
        <f t="shared" ref="D324" si="220">SUM(D322:D323)</f>
        <v>891916</v>
      </c>
      <c r="E324" s="570">
        <f t="shared" si="214"/>
        <v>0.77910202655485672</v>
      </c>
      <c r="F324" s="571">
        <f t="shared" ref="F324:J324" si="221">SUM(F322:F323)</f>
        <v>49546705.93500001</v>
      </c>
      <c r="G324" s="569">
        <f t="shared" si="221"/>
        <v>2968150</v>
      </c>
      <c r="H324" s="571">
        <f t="shared" si="221"/>
        <v>22442990.2689</v>
      </c>
      <c r="I324" s="571">
        <f t="shared" si="221"/>
        <v>93374248.840000004</v>
      </c>
      <c r="J324" s="572">
        <f t="shared" si="221"/>
        <v>102080064.61000001</v>
      </c>
    </row>
    <row r="325" spans="1:15" ht="57.6" customHeight="1" thickBot="1" x14ac:dyDescent="0.35">
      <c r="A325" s="642"/>
      <c r="B325" s="554" t="s">
        <v>182</v>
      </c>
      <c r="C325" s="555">
        <f>+C318+C321+C324</f>
        <v>10258981</v>
      </c>
      <c r="D325" s="582">
        <f t="shared" ref="D325" si="222">+D318+D321+D324</f>
        <v>8363907</v>
      </c>
      <c r="E325" s="583">
        <f>IFERROR(D325/C325,"-")</f>
        <v>0.8152765854620454</v>
      </c>
      <c r="F325" s="582">
        <f>+F318+F321+F324</f>
        <v>197064221.7633</v>
      </c>
      <c r="G325" s="582">
        <f t="shared" ref="G325:H325" si="223">+G318+G321+G324</f>
        <v>7750510</v>
      </c>
      <c r="H325" s="582">
        <f t="shared" si="223"/>
        <v>44893957.925899997</v>
      </c>
      <c r="I325" s="582">
        <f>+I318+I321+I324</f>
        <v>295906480.1128</v>
      </c>
      <c r="J325" s="643">
        <f t="shared" ref="J325" si="224">+J318+J321+J324</f>
        <v>269335474.58000004</v>
      </c>
    </row>
    <row r="326" spans="1:15" ht="41.4" customHeight="1" x14ac:dyDescent="0.3">
      <c r="A326" s="991" t="s">
        <v>1</v>
      </c>
      <c r="B326" s="997" t="s">
        <v>477</v>
      </c>
      <c r="C326" s="997" t="s">
        <v>240</v>
      </c>
      <c r="D326" s="1088" t="s">
        <v>602</v>
      </c>
      <c r="E326" s="1089"/>
      <c r="F326" s="1089"/>
      <c r="G326" s="1089"/>
      <c r="H326" s="1090"/>
      <c r="I326" s="1091" t="s">
        <v>498</v>
      </c>
      <c r="J326" s="1091" t="s">
        <v>499</v>
      </c>
      <c r="K326" s="229" t="s">
        <v>502</v>
      </c>
    </row>
    <row r="327" spans="1:15" ht="41.4" customHeight="1" x14ac:dyDescent="0.3">
      <c r="A327" s="1070"/>
      <c r="B327" s="1087"/>
      <c r="C327" s="1087"/>
      <c r="D327" s="1094" t="s">
        <v>248</v>
      </c>
      <c r="E327" s="1095"/>
      <c r="F327" s="1096"/>
      <c r="G327" s="1094" t="s">
        <v>243</v>
      </c>
      <c r="H327" s="1096"/>
      <c r="I327" s="1092"/>
      <c r="J327" s="1092"/>
    </row>
    <row r="328" spans="1:15" ht="25.95" customHeight="1" x14ac:dyDescent="0.3">
      <c r="A328" s="992"/>
      <c r="B328" s="998"/>
      <c r="C328" s="998"/>
      <c r="D328" s="1097" t="s">
        <v>496</v>
      </c>
      <c r="E328" s="1099" t="s">
        <v>9</v>
      </c>
      <c r="F328" s="1101" t="s">
        <v>497</v>
      </c>
      <c r="G328" s="1103" t="s">
        <v>244</v>
      </c>
      <c r="H328" s="1105" t="s">
        <v>497</v>
      </c>
      <c r="I328" s="1092"/>
      <c r="J328" s="1092"/>
    </row>
    <row r="329" spans="1:15" ht="25.95" customHeight="1" thickBot="1" x14ac:dyDescent="0.35">
      <c r="A329" s="993"/>
      <c r="B329" s="999"/>
      <c r="C329" s="999"/>
      <c r="D329" s="1098"/>
      <c r="E329" s="1100"/>
      <c r="F329" s="1102"/>
      <c r="G329" s="1104"/>
      <c r="H329" s="1106"/>
      <c r="I329" s="1093"/>
      <c r="J329" s="1093"/>
    </row>
    <row r="330" spans="1:15" ht="60.6" customHeight="1" x14ac:dyDescent="0.3">
      <c r="A330" s="271" t="s">
        <v>110</v>
      </c>
      <c r="B330" s="579" t="s">
        <v>234</v>
      </c>
      <c r="C330" s="556">
        <f>+'01 Prod Physique Boites'!E2275</f>
        <v>4750000</v>
      </c>
      <c r="D330" s="557">
        <f>+'01 Prod Physique Boites'!K2275</f>
        <v>3520309</v>
      </c>
      <c r="E330" s="558">
        <f>IFERROR(D330/C330,"-")</f>
        <v>0.74111768421052626</v>
      </c>
      <c r="F330" s="559">
        <f>+'02 Prod Valorisée Boites'!G2280</f>
        <v>52524565.199200004</v>
      </c>
      <c r="G330" s="557">
        <f>+'03 Prod Accessoires'!K1313</f>
        <v>3622820</v>
      </c>
      <c r="H330" s="560">
        <f>+'03 Prod Accessoires'!Q1313</f>
        <v>17383377.063000001</v>
      </c>
      <c r="I330" s="560">
        <f>+'02 Prod Valorisée Boites'!J2280</f>
        <v>78655886.5528</v>
      </c>
      <c r="J330" s="561">
        <f>+'04 Ventes'!I1864</f>
        <v>86749456.390000015</v>
      </c>
      <c r="K330" s="774"/>
      <c r="L330" s="774"/>
      <c r="O330" s="757"/>
    </row>
    <row r="331" spans="1:15" ht="60.6" customHeight="1" x14ac:dyDescent="0.3">
      <c r="A331" s="934" t="s">
        <v>110</v>
      </c>
      <c r="B331" s="580" t="s">
        <v>235</v>
      </c>
      <c r="C331" s="562">
        <f>+'01 Prod Physique Boites'!E2291</f>
        <v>1252125</v>
      </c>
      <c r="D331" s="563">
        <f>+'01 Prod Physique Boites'!K2291</f>
        <v>624422</v>
      </c>
      <c r="E331" s="564">
        <f t="shared" ref="E331:E339" si="225">IFERROR(D331/C331,"-")</f>
        <v>0.4986898272936009</v>
      </c>
      <c r="F331" s="565">
        <f>+'02 Prod Valorisée Boites'!G2296</f>
        <v>34679176.743500002</v>
      </c>
      <c r="G331" s="563">
        <f>+'03 Prod Accessoires'!K1321</f>
        <v>771840</v>
      </c>
      <c r="H331" s="566">
        <f>+'03 Prod Accessoires'!Q1321</f>
        <v>5053350.9440000001</v>
      </c>
      <c r="I331" s="566">
        <f>+'02 Prod Valorisée Boites'!J2296</f>
        <v>51739173.099999987</v>
      </c>
      <c r="J331" s="567">
        <f>+'04 Ventes'!I1879</f>
        <v>56440978.539999999</v>
      </c>
      <c r="K331" s="774"/>
      <c r="L331" s="774"/>
      <c r="O331" s="757"/>
    </row>
    <row r="332" spans="1:15" ht="60.6" customHeight="1" thickBot="1" x14ac:dyDescent="0.35">
      <c r="A332" s="277" t="s">
        <v>110</v>
      </c>
      <c r="B332" s="278" t="s">
        <v>236</v>
      </c>
      <c r="C332" s="562"/>
      <c r="D332" s="563"/>
      <c r="E332" s="564" t="str">
        <f t="shared" si="225"/>
        <v>-</v>
      </c>
      <c r="F332" s="565"/>
      <c r="G332" s="563"/>
      <c r="H332" s="566"/>
      <c r="I332" s="566"/>
      <c r="J332" s="567">
        <f>+'04 Ventes'!I1887</f>
        <v>5893051.5</v>
      </c>
    </row>
    <row r="333" spans="1:15" s="297" customFormat="1" ht="60.6" customHeight="1" thickBot="1" x14ac:dyDescent="0.35">
      <c r="A333" s="321" t="s">
        <v>110</v>
      </c>
      <c r="B333" s="436" t="s">
        <v>237</v>
      </c>
      <c r="C333" s="568">
        <f>SUM(C330:C332)</f>
        <v>6002125</v>
      </c>
      <c r="D333" s="569">
        <f t="shared" ref="D333" si="226">SUM(D330:D332)</f>
        <v>4144731</v>
      </c>
      <c r="E333" s="570">
        <f t="shared" si="225"/>
        <v>0.69054393235729017</v>
      </c>
      <c r="F333" s="571">
        <f>SUM(F330:F332)</f>
        <v>87203741.942699999</v>
      </c>
      <c r="G333" s="569">
        <f t="shared" ref="G333:H333" si="227">SUM(G330:G332)</f>
        <v>4394660</v>
      </c>
      <c r="H333" s="571">
        <f t="shared" si="227"/>
        <v>22436728.006999999</v>
      </c>
      <c r="I333" s="571">
        <f>SUM(I330:I332)</f>
        <v>130395059.65279999</v>
      </c>
      <c r="J333" s="948">
        <f t="shared" ref="J333" si="228">SUM(J330:J332)</f>
        <v>149083486.43000001</v>
      </c>
    </row>
    <row r="334" spans="1:15" ht="60.6" customHeight="1" x14ac:dyDescent="0.3">
      <c r="A334" s="271" t="s">
        <v>108</v>
      </c>
      <c r="B334" s="579" t="s">
        <v>234</v>
      </c>
      <c r="C334" s="556">
        <f>+'01 Prod Physique Boites'!E2327</f>
        <v>3112056</v>
      </c>
      <c r="D334" s="557">
        <f>+'01 Prod Physique Boites'!K2327</f>
        <v>3602451</v>
      </c>
      <c r="E334" s="558">
        <f t="shared" si="225"/>
        <v>1.1575791052603166</v>
      </c>
      <c r="F334" s="559">
        <f>+'02 Prod Valorisée Boites'!G2332</f>
        <v>65249160.215999998</v>
      </c>
      <c r="G334" s="557">
        <f>+'03 Prod Accessoires'!K1331</f>
        <v>599000</v>
      </c>
      <c r="H334" s="560">
        <f>+'03 Prod Accessoires'!Q1330</f>
        <v>1326245.9000000001</v>
      </c>
      <c r="I334" s="556">
        <f>+'02 Prod Valorisée Boites'!J2332</f>
        <v>86172518.500000015</v>
      </c>
      <c r="J334" s="573">
        <f>+'04 Ventes'!I1922</f>
        <v>78440749.749999985</v>
      </c>
      <c r="L334" s="774"/>
      <c r="O334" s="757"/>
    </row>
    <row r="335" spans="1:15" ht="60.6" customHeight="1" thickBot="1" x14ac:dyDescent="0.35">
      <c r="A335" s="934" t="s">
        <v>108</v>
      </c>
      <c r="B335" s="298" t="s">
        <v>236</v>
      </c>
      <c r="C335" s="574"/>
      <c r="D335" s="563"/>
      <c r="E335" s="564" t="str">
        <f t="shared" si="225"/>
        <v>-</v>
      </c>
      <c r="F335" s="565"/>
      <c r="G335" s="563"/>
      <c r="H335" s="566"/>
      <c r="I335" s="566"/>
      <c r="J335" s="575"/>
    </row>
    <row r="336" spans="1:15" s="297" customFormat="1" ht="60.6" customHeight="1" thickBot="1" x14ac:dyDescent="0.35">
      <c r="A336" s="321" t="s">
        <v>108</v>
      </c>
      <c r="B336" s="436" t="s">
        <v>238</v>
      </c>
      <c r="C336" s="568">
        <f>SUM(C334:C335)</f>
        <v>3112056</v>
      </c>
      <c r="D336" s="569">
        <f t="shared" ref="D336" si="229">SUM(D334:D335)</f>
        <v>3602451</v>
      </c>
      <c r="E336" s="570">
        <f t="shared" si="225"/>
        <v>1.1575791052603166</v>
      </c>
      <c r="F336" s="571">
        <f t="shared" ref="F336:J336" si="230">SUM(F334:F335)</f>
        <v>65249160.215999998</v>
      </c>
      <c r="G336" s="569">
        <f t="shared" si="230"/>
        <v>599000</v>
      </c>
      <c r="H336" s="571">
        <f t="shared" si="230"/>
        <v>1326245.9000000001</v>
      </c>
      <c r="I336" s="571">
        <f t="shared" si="230"/>
        <v>86172518.500000015</v>
      </c>
      <c r="J336" s="948">
        <f t="shared" si="230"/>
        <v>78440749.749999985</v>
      </c>
    </row>
    <row r="337" spans="1:15" ht="60.6" customHeight="1" x14ac:dyDescent="0.3">
      <c r="A337" s="271" t="s">
        <v>109</v>
      </c>
      <c r="B337" s="581" t="s">
        <v>235</v>
      </c>
      <c r="C337" s="560">
        <f>+'01 Prod Physique Boites'!E2354</f>
        <v>1144800</v>
      </c>
      <c r="D337" s="557">
        <f>+'01 Prod Physique Boites'!K2354</f>
        <v>929908</v>
      </c>
      <c r="E337" s="558">
        <f t="shared" si="225"/>
        <v>0.81228860936408109</v>
      </c>
      <c r="F337" s="559">
        <f>+'02 Prod Valorisée Boites'!G2358</f>
        <v>52697174.07</v>
      </c>
      <c r="G337" s="557">
        <f>+'03 Prod Accessoires'!K1365</f>
        <v>3182790</v>
      </c>
      <c r="H337" s="560">
        <f>+'03 Prod Accessoires'!Q1365</f>
        <v>23676586.688899998</v>
      </c>
      <c r="I337" s="560">
        <f>+'02 Prod Valorisée Boites'!J2358</f>
        <v>99028566.459999993</v>
      </c>
      <c r="J337" s="573">
        <f>+'04 Ventes'!I1948</f>
        <v>103352877.60960001</v>
      </c>
      <c r="K337" s="774"/>
      <c r="L337" s="774"/>
      <c r="O337" s="757"/>
    </row>
    <row r="338" spans="1:15" ht="60.6" customHeight="1" thickBot="1" x14ac:dyDescent="0.35">
      <c r="A338" s="934" t="s">
        <v>109</v>
      </c>
      <c r="B338" s="306" t="s">
        <v>236</v>
      </c>
      <c r="C338" s="566"/>
      <c r="D338" s="576"/>
      <c r="E338" s="577" t="str">
        <f t="shared" si="225"/>
        <v>-</v>
      </c>
      <c r="F338" s="578"/>
      <c r="G338" s="563"/>
      <c r="H338" s="566"/>
      <c r="I338" s="566"/>
      <c r="J338" s="575"/>
    </row>
    <row r="339" spans="1:15" s="297" customFormat="1" ht="60.6" customHeight="1" thickBot="1" x14ac:dyDescent="0.35">
      <c r="A339" s="321" t="s">
        <v>109</v>
      </c>
      <c r="B339" s="436" t="s">
        <v>239</v>
      </c>
      <c r="C339" s="568">
        <f>SUM(C337:C338)</f>
        <v>1144800</v>
      </c>
      <c r="D339" s="569">
        <f t="shared" ref="D339" si="231">SUM(D337:D338)</f>
        <v>929908</v>
      </c>
      <c r="E339" s="570">
        <f t="shared" si="225"/>
        <v>0.81228860936408109</v>
      </c>
      <c r="F339" s="571">
        <f t="shared" ref="F339:J339" si="232">SUM(F337:F338)</f>
        <v>52697174.07</v>
      </c>
      <c r="G339" s="569">
        <f t="shared" si="232"/>
        <v>3182790</v>
      </c>
      <c r="H339" s="571">
        <f t="shared" si="232"/>
        <v>23676586.688899998</v>
      </c>
      <c r="I339" s="571">
        <f t="shared" si="232"/>
        <v>99028566.459999993</v>
      </c>
      <c r="J339" s="948">
        <f t="shared" si="232"/>
        <v>103352877.60960001</v>
      </c>
    </row>
    <row r="340" spans="1:15" ht="57.6" customHeight="1" thickBot="1" x14ac:dyDescent="0.35">
      <c r="A340" s="642"/>
      <c r="B340" s="554" t="s">
        <v>182</v>
      </c>
      <c r="C340" s="555">
        <f>+C333+C336+C339</f>
        <v>10258981</v>
      </c>
      <c r="D340" s="582">
        <f t="shared" ref="D340" si="233">+D333+D336+D339</f>
        <v>8677090</v>
      </c>
      <c r="E340" s="583">
        <f>IFERROR(D340/C340,"-")</f>
        <v>0.84580427627266297</v>
      </c>
      <c r="F340" s="582">
        <f>+F333+F336+F339</f>
        <v>205150076.22869998</v>
      </c>
      <c r="G340" s="582">
        <f t="shared" ref="G340:H340" si="234">+G333+G336+G339</f>
        <v>8176450</v>
      </c>
      <c r="H340" s="582">
        <f t="shared" si="234"/>
        <v>47439560.595899999</v>
      </c>
      <c r="I340" s="582">
        <f>+I333+I336+I339</f>
        <v>315596144.6128</v>
      </c>
      <c r="J340" s="643">
        <f t="shared" ref="J340" si="235">+J333+J336+J339</f>
        <v>330877113.78960001</v>
      </c>
    </row>
    <row r="342" spans="1:15" x14ac:dyDescent="0.3">
      <c r="C342" s="757"/>
      <c r="D342" s="757"/>
      <c r="E342" s="757"/>
      <c r="F342" s="757"/>
      <c r="G342" s="757"/>
      <c r="H342" s="757"/>
      <c r="I342" s="757"/>
      <c r="J342" s="757"/>
    </row>
  </sheetData>
  <autoFilter ref="A11:A25" xr:uid="{00000000-0009-0000-0000-000004000000}"/>
  <mergeCells count="287">
    <mergeCell ref="A326:A329"/>
    <mergeCell ref="B326:B329"/>
    <mergeCell ref="C326:C329"/>
    <mergeCell ref="D326:H326"/>
    <mergeCell ref="I326:I329"/>
    <mergeCell ref="J326:J329"/>
    <mergeCell ref="D327:F327"/>
    <mergeCell ref="G327:H327"/>
    <mergeCell ref="D328:D329"/>
    <mergeCell ref="E328:E329"/>
    <mergeCell ref="F328:F329"/>
    <mergeCell ref="G328:G329"/>
    <mergeCell ref="H328:H329"/>
    <mergeCell ref="A311:A314"/>
    <mergeCell ref="B311:B314"/>
    <mergeCell ref="C311:C314"/>
    <mergeCell ref="D311:H311"/>
    <mergeCell ref="I311:I314"/>
    <mergeCell ref="J311:J314"/>
    <mergeCell ref="D312:F312"/>
    <mergeCell ref="G312:H312"/>
    <mergeCell ref="D313:D314"/>
    <mergeCell ref="E313:E314"/>
    <mergeCell ref="F313:F314"/>
    <mergeCell ref="G313:G314"/>
    <mergeCell ref="H313:H314"/>
    <mergeCell ref="A281:A284"/>
    <mergeCell ref="B281:B284"/>
    <mergeCell ref="C281:C284"/>
    <mergeCell ref="D281:H281"/>
    <mergeCell ref="I281:I284"/>
    <mergeCell ref="J281:J284"/>
    <mergeCell ref="D282:F282"/>
    <mergeCell ref="G282:H282"/>
    <mergeCell ref="D283:D284"/>
    <mergeCell ref="E283:E284"/>
    <mergeCell ref="F283:F284"/>
    <mergeCell ref="G283:G284"/>
    <mergeCell ref="H283:H284"/>
    <mergeCell ref="A266:A269"/>
    <mergeCell ref="B266:B269"/>
    <mergeCell ref="C266:C269"/>
    <mergeCell ref="D266:H266"/>
    <mergeCell ref="I266:I269"/>
    <mergeCell ref="J266:J269"/>
    <mergeCell ref="D267:F267"/>
    <mergeCell ref="G267:H267"/>
    <mergeCell ref="D268:D269"/>
    <mergeCell ref="E268:E269"/>
    <mergeCell ref="F268:F269"/>
    <mergeCell ref="G268:G269"/>
    <mergeCell ref="H268:H269"/>
    <mergeCell ref="A251:A254"/>
    <mergeCell ref="B251:B254"/>
    <mergeCell ref="C251:C254"/>
    <mergeCell ref="D251:H251"/>
    <mergeCell ref="I251:I254"/>
    <mergeCell ref="J251:J254"/>
    <mergeCell ref="D252:F252"/>
    <mergeCell ref="G252:H252"/>
    <mergeCell ref="D253:D254"/>
    <mergeCell ref="E253:E254"/>
    <mergeCell ref="F253:F254"/>
    <mergeCell ref="G253:G254"/>
    <mergeCell ref="H253:H254"/>
    <mergeCell ref="A221:A224"/>
    <mergeCell ref="B221:B224"/>
    <mergeCell ref="C221:C224"/>
    <mergeCell ref="D221:H221"/>
    <mergeCell ref="I221:I224"/>
    <mergeCell ref="J221:J224"/>
    <mergeCell ref="D222:F222"/>
    <mergeCell ref="G222:H222"/>
    <mergeCell ref="D223:D224"/>
    <mergeCell ref="E223:E224"/>
    <mergeCell ref="F223:F224"/>
    <mergeCell ref="G223:G224"/>
    <mergeCell ref="H223:H224"/>
    <mergeCell ref="A176:A179"/>
    <mergeCell ref="B176:B179"/>
    <mergeCell ref="C176:C179"/>
    <mergeCell ref="D176:H176"/>
    <mergeCell ref="I176:I179"/>
    <mergeCell ref="J176:J179"/>
    <mergeCell ref="D177:F177"/>
    <mergeCell ref="G177:H177"/>
    <mergeCell ref="D178:D179"/>
    <mergeCell ref="E178:E179"/>
    <mergeCell ref="F178:F179"/>
    <mergeCell ref="G178:G179"/>
    <mergeCell ref="H178:H179"/>
    <mergeCell ref="A131:A134"/>
    <mergeCell ref="B131:B134"/>
    <mergeCell ref="C131:C134"/>
    <mergeCell ref="D131:H131"/>
    <mergeCell ref="I131:I134"/>
    <mergeCell ref="J131:J134"/>
    <mergeCell ref="D132:F132"/>
    <mergeCell ref="G132:H132"/>
    <mergeCell ref="D133:D134"/>
    <mergeCell ref="E133:E134"/>
    <mergeCell ref="F133:F134"/>
    <mergeCell ref="G133:G134"/>
    <mergeCell ref="H133:H134"/>
    <mergeCell ref="J116:J119"/>
    <mergeCell ref="D117:F117"/>
    <mergeCell ref="G117:H117"/>
    <mergeCell ref="D118:D119"/>
    <mergeCell ref="E118:E119"/>
    <mergeCell ref="F118:F119"/>
    <mergeCell ref="G118:G119"/>
    <mergeCell ref="H118:H119"/>
    <mergeCell ref="A116:A119"/>
    <mergeCell ref="B116:B119"/>
    <mergeCell ref="C116:C119"/>
    <mergeCell ref="D116:H116"/>
    <mergeCell ref="I116:I119"/>
    <mergeCell ref="J101:J104"/>
    <mergeCell ref="D102:F102"/>
    <mergeCell ref="G102:H102"/>
    <mergeCell ref="D103:D104"/>
    <mergeCell ref="E103:E104"/>
    <mergeCell ref="F103:F104"/>
    <mergeCell ref="G103:G104"/>
    <mergeCell ref="H103:H104"/>
    <mergeCell ref="A101:A104"/>
    <mergeCell ref="B101:B104"/>
    <mergeCell ref="C101:C104"/>
    <mergeCell ref="D101:H101"/>
    <mergeCell ref="I101:I104"/>
    <mergeCell ref="J86:J89"/>
    <mergeCell ref="D87:F87"/>
    <mergeCell ref="G87:H87"/>
    <mergeCell ref="D88:D89"/>
    <mergeCell ref="E88:E89"/>
    <mergeCell ref="F88:F89"/>
    <mergeCell ref="G88:G89"/>
    <mergeCell ref="H88:H89"/>
    <mergeCell ref="A86:A89"/>
    <mergeCell ref="B86:B89"/>
    <mergeCell ref="C86:C89"/>
    <mergeCell ref="D86:H86"/>
    <mergeCell ref="I86:I89"/>
    <mergeCell ref="J71:J74"/>
    <mergeCell ref="D72:F72"/>
    <mergeCell ref="G72:H72"/>
    <mergeCell ref="D73:D74"/>
    <mergeCell ref="E73:E74"/>
    <mergeCell ref="F73:F74"/>
    <mergeCell ref="G73:G74"/>
    <mergeCell ref="H73:H74"/>
    <mergeCell ref="A71:A74"/>
    <mergeCell ref="B71:B74"/>
    <mergeCell ref="C71:C74"/>
    <mergeCell ref="D71:H71"/>
    <mergeCell ref="I71:I74"/>
    <mergeCell ref="J56:J59"/>
    <mergeCell ref="D57:F57"/>
    <mergeCell ref="G57:H57"/>
    <mergeCell ref="D58:D59"/>
    <mergeCell ref="E58:E59"/>
    <mergeCell ref="F58:F59"/>
    <mergeCell ref="G58:G59"/>
    <mergeCell ref="H58:H59"/>
    <mergeCell ref="A56:A59"/>
    <mergeCell ref="B56:B59"/>
    <mergeCell ref="C56:C59"/>
    <mergeCell ref="D56:H56"/>
    <mergeCell ref="I56:I59"/>
    <mergeCell ref="J41:J44"/>
    <mergeCell ref="D42:F42"/>
    <mergeCell ref="G42:H42"/>
    <mergeCell ref="D43:D44"/>
    <mergeCell ref="E43:E44"/>
    <mergeCell ref="F43:F44"/>
    <mergeCell ref="G43:G44"/>
    <mergeCell ref="H43:H44"/>
    <mergeCell ref="A41:A44"/>
    <mergeCell ref="B41:B44"/>
    <mergeCell ref="C41:C44"/>
    <mergeCell ref="D41:H41"/>
    <mergeCell ref="I41:I44"/>
    <mergeCell ref="J26:J29"/>
    <mergeCell ref="D27:F27"/>
    <mergeCell ref="G27:H27"/>
    <mergeCell ref="D28:D29"/>
    <mergeCell ref="E28:E29"/>
    <mergeCell ref="F28:F29"/>
    <mergeCell ref="G28:G29"/>
    <mergeCell ref="H28:H29"/>
    <mergeCell ref="A26:A29"/>
    <mergeCell ref="B26:B29"/>
    <mergeCell ref="C26:C29"/>
    <mergeCell ref="D26:H26"/>
    <mergeCell ref="I26:I29"/>
    <mergeCell ref="A9:J9"/>
    <mergeCell ref="A11:A14"/>
    <mergeCell ref="B11:B14"/>
    <mergeCell ref="C11:C14"/>
    <mergeCell ref="D13:D14"/>
    <mergeCell ref="E13:E14"/>
    <mergeCell ref="G12:H12"/>
    <mergeCell ref="G13:G14"/>
    <mergeCell ref="H13:H14"/>
    <mergeCell ref="I11:I14"/>
    <mergeCell ref="J11:J14"/>
    <mergeCell ref="D12:F12"/>
    <mergeCell ref="D11:H11"/>
    <mergeCell ref="F13:F14"/>
    <mergeCell ref="A146:A149"/>
    <mergeCell ref="B146:B149"/>
    <mergeCell ref="C146:C149"/>
    <mergeCell ref="D146:H146"/>
    <mergeCell ref="I146:I149"/>
    <mergeCell ref="J146:J149"/>
    <mergeCell ref="D147:F147"/>
    <mergeCell ref="G147:H147"/>
    <mergeCell ref="D148:D149"/>
    <mergeCell ref="E148:E149"/>
    <mergeCell ref="F148:F149"/>
    <mergeCell ref="G148:G149"/>
    <mergeCell ref="H148:H149"/>
    <mergeCell ref="A161:A164"/>
    <mergeCell ref="B161:B164"/>
    <mergeCell ref="C161:C164"/>
    <mergeCell ref="D161:H161"/>
    <mergeCell ref="I161:I164"/>
    <mergeCell ref="J161:J164"/>
    <mergeCell ref="D162:F162"/>
    <mergeCell ref="G162:H162"/>
    <mergeCell ref="D163:D164"/>
    <mergeCell ref="E163:E164"/>
    <mergeCell ref="F163:F164"/>
    <mergeCell ref="G163:G164"/>
    <mergeCell ref="H163:H164"/>
    <mergeCell ref="A191:A194"/>
    <mergeCell ref="B191:B194"/>
    <mergeCell ref="C191:C194"/>
    <mergeCell ref="D191:H191"/>
    <mergeCell ref="I191:I194"/>
    <mergeCell ref="J191:J194"/>
    <mergeCell ref="D192:F192"/>
    <mergeCell ref="G192:H192"/>
    <mergeCell ref="D193:D194"/>
    <mergeCell ref="E193:E194"/>
    <mergeCell ref="F193:F194"/>
    <mergeCell ref="G193:G194"/>
    <mergeCell ref="H193:H194"/>
    <mergeCell ref="A206:A209"/>
    <mergeCell ref="B206:B209"/>
    <mergeCell ref="C206:C209"/>
    <mergeCell ref="D206:H206"/>
    <mergeCell ref="I206:I209"/>
    <mergeCell ref="J206:J209"/>
    <mergeCell ref="D207:F207"/>
    <mergeCell ref="G207:H207"/>
    <mergeCell ref="D208:D209"/>
    <mergeCell ref="E208:E209"/>
    <mergeCell ref="F208:F209"/>
    <mergeCell ref="G208:G209"/>
    <mergeCell ref="H208:H209"/>
    <mergeCell ref="A236:A239"/>
    <mergeCell ref="B236:B239"/>
    <mergeCell ref="C236:C239"/>
    <mergeCell ref="D236:H236"/>
    <mergeCell ref="I236:I239"/>
    <mergeCell ref="J236:J239"/>
    <mergeCell ref="D237:F237"/>
    <mergeCell ref="G237:H237"/>
    <mergeCell ref="D238:D239"/>
    <mergeCell ref="E238:E239"/>
    <mergeCell ref="F238:F239"/>
    <mergeCell ref="G238:G239"/>
    <mergeCell ref="H238:H239"/>
    <mergeCell ref="A296:A299"/>
    <mergeCell ref="B296:B299"/>
    <mergeCell ref="C296:C299"/>
    <mergeCell ref="D296:H296"/>
    <mergeCell ref="I296:I299"/>
    <mergeCell ref="J296:J299"/>
    <mergeCell ref="D297:F297"/>
    <mergeCell ref="G297:H297"/>
    <mergeCell ref="D298:D299"/>
    <mergeCell ref="E298:E299"/>
    <mergeCell ref="F298:F299"/>
    <mergeCell ref="G298:G299"/>
    <mergeCell ref="H298:H299"/>
  </mergeCells>
  <pageMargins left="0.19685039370078741" right="0.19685039370078741" top="0.19685039370078741" bottom="0.19685039370078741" header="0.19685039370078741" footer="0.19685039370078741"/>
  <pageSetup paperSize="9" scale="32" orientation="landscape" verticalDpi="300" r:id="rId1"/>
  <rowBreaks count="21" manualBreakCount="21">
    <brk id="25" max="9" man="1"/>
    <brk id="40" max="9" man="1"/>
    <brk id="55" max="9" man="1"/>
    <brk id="70" max="9" man="1"/>
    <brk id="85" max="9" man="1"/>
    <brk id="100" max="9" man="1"/>
    <brk id="115" max="9" man="1"/>
    <brk id="130" max="9" man="1"/>
    <brk id="145" max="9" man="1"/>
    <brk id="160" max="9" man="1"/>
    <brk id="175" max="9" man="1"/>
    <brk id="190" max="9" man="1"/>
    <brk id="205" max="9" man="1"/>
    <brk id="220" max="9" man="1"/>
    <brk id="235" max="9" man="1"/>
    <brk id="250" max="9" man="1"/>
    <brk id="265" max="9" man="1"/>
    <brk id="280" max="9" man="1"/>
    <brk id="295" max="9" man="1"/>
    <brk id="310" max="9" man="1"/>
    <brk id="325" max="9" man="1"/>
  </rowBreaks>
  <ignoredErrors>
    <ignoredError sqref="E15:E2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00"/>
  </sheetPr>
  <dimension ref="A7:T476"/>
  <sheetViews>
    <sheetView view="pageBreakPreview" topLeftCell="B11" zoomScale="50" zoomScaleNormal="70" zoomScaleSheetLayoutView="50" workbookViewId="0">
      <selection activeCell="E14" sqref="E14"/>
    </sheetView>
  </sheetViews>
  <sheetFormatPr defaultColWidth="9.109375" defaultRowHeight="13.8" x14ac:dyDescent="0.3"/>
  <cols>
    <col min="1" max="1" width="10.109375" style="229" customWidth="1"/>
    <col min="2" max="2" width="32.44140625" style="221" customWidth="1"/>
    <col min="3" max="4" width="32.33203125" style="222" customWidth="1"/>
    <col min="5" max="5" width="32.33203125" style="223" customWidth="1"/>
    <col min="6" max="7" width="24.6640625" style="222" customWidth="1"/>
    <col min="8" max="8" width="24.6640625" style="224" customWidth="1"/>
    <col min="9" max="9" width="24.6640625" style="223" customWidth="1"/>
    <col min="10" max="10" width="21.109375" style="222" customWidth="1"/>
    <col min="11" max="12" width="15.6640625" style="222" customWidth="1"/>
    <col min="13" max="13" width="17.109375" style="262" customWidth="1"/>
    <col min="14" max="15" width="15.6640625" style="222" customWidth="1"/>
    <col min="16" max="16" width="20.6640625" style="262" customWidth="1"/>
    <col min="17" max="18" width="15.6640625" style="222" customWidth="1"/>
    <col min="19" max="19" width="16.109375" style="224" customWidth="1"/>
    <col min="20" max="20" width="23.33203125" style="224" bestFit="1" customWidth="1"/>
    <col min="21" max="16384" width="9.109375" style="229"/>
  </cols>
  <sheetData>
    <row r="7" spans="1:20" ht="67.2" customHeight="1" x14ac:dyDescent="0.3">
      <c r="A7" s="220" t="s">
        <v>0</v>
      </c>
      <c r="K7" s="225"/>
      <c r="L7" s="225"/>
      <c r="M7" s="226"/>
      <c r="N7" s="227"/>
      <c r="O7" s="227"/>
      <c r="P7" s="227"/>
      <c r="Q7" s="227"/>
      <c r="R7" s="225"/>
      <c r="S7" s="228"/>
    </row>
    <row r="9" spans="1:20" ht="81" customHeight="1" x14ac:dyDescent="0.3">
      <c r="A9" s="1017" t="s">
        <v>419</v>
      </c>
      <c r="B9" s="1018"/>
      <c r="C9" s="1018"/>
      <c r="D9" s="1018"/>
      <c r="E9" s="1018"/>
      <c r="F9" s="1018"/>
      <c r="G9" s="1018"/>
      <c r="H9" s="1018"/>
      <c r="I9" s="1018"/>
      <c r="J9" s="1018"/>
      <c r="K9" s="1018"/>
      <c r="L9" s="1018"/>
      <c r="M9" s="1018"/>
      <c r="N9" s="1018"/>
      <c r="O9" s="1018"/>
      <c r="P9" s="1018"/>
      <c r="Q9" s="1018"/>
      <c r="R9" s="1018"/>
      <c r="S9" s="1018"/>
      <c r="T9" s="1018"/>
    </row>
    <row r="10" spans="1:20" ht="24.6" customHeight="1" thickBot="1" x14ac:dyDescent="0.35">
      <c r="A10" s="230"/>
      <c r="B10" s="231"/>
      <c r="C10" s="232"/>
      <c r="D10" s="232"/>
      <c r="E10" s="232"/>
      <c r="F10" s="232"/>
      <c r="G10" s="233"/>
      <c r="H10" s="234"/>
      <c r="I10" s="232"/>
      <c r="J10" s="232"/>
      <c r="K10" s="232"/>
      <c r="L10" s="232"/>
      <c r="M10" s="234"/>
      <c r="N10" s="232"/>
      <c r="O10" s="232"/>
      <c r="P10" s="234"/>
      <c r="Q10" s="232"/>
      <c r="R10" s="232"/>
      <c r="S10" s="234"/>
      <c r="T10" s="234"/>
    </row>
    <row r="11" spans="1:20" ht="22.5" customHeight="1" x14ac:dyDescent="0.3">
      <c r="A11" s="1043" t="s">
        <v>1</v>
      </c>
      <c r="B11" s="1043" t="s">
        <v>2</v>
      </c>
      <c r="C11" s="1000" t="s">
        <v>221</v>
      </c>
      <c r="D11" s="1001"/>
      <c r="E11" s="1002"/>
      <c r="F11" s="1000" t="s">
        <v>603</v>
      </c>
      <c r="G11" s="1001"/>
      <c r="H11" s="1001"/>
      <c r="I11" s="1002"/>
      <c r="J11" s="1043" t="s">
        <v>218</v>
      </c>
      <c r="K11" s="1000" t="s">
        <v>206</v>
      </c>
      <c r="L11" s="1001"/>
      <c r="M11" s="1002"/>
      <c r="N11" s="1000" t="s">
        <v>207</v>
      </c>
      <c r="O11" s="1001"/>
      <c r="P11" s="1002"/>
      <c r="Q11" s="1000" t="s">
        <v>208</v>
      </c>
      <c r="R11" s="1001"/>
      <c r="S11" s="1002"/>
      <c r="T11" s="1107" t="s">
        <v>205</v>
      </c>
    </row>
    <row r="12" spans="1:20" ht="87.6" thickBot="1" x14ac:dyDescent="0.35">
      <c r="A12" s="1045"/>
      <c r="B12" s="1045"/>
      <c r="C12" s="235" t="s">
        <v>222</v>
      </c>
      <c r="D12" s="236" t="s">
        <v>219</v>
      </c>
      <c r="E12" s="237" t="s">
        <v>220</v>
      </c>
      <c r="F12" s="238" t="s">
        <v>361</v>
      </c>
      <c r="G12" s="236" t="s">
        <v>215</v>
      </c>
      <c r="H12" s="239" t="s">
        <v>216</v>
      </c>
      <c r="I12" s="240" t="s">
        <v>217</v>
      </c>
      <c r="J12" s="1045"/>
      <c r="K12" s="235" t="s">
        <v>209</v>
      </c>
      <c r="L12" s="239" t="s">
        <v>210</v>
      </c>
      <c r="M12" s="241" t="s">
        <v>223</v>
      </c>
      <c r="N12" s="242" t="s">
        <v>211</v>
      </c>
      <c r="O12" s="239" t="s">
        <v>212</v>
      </c>
      <c r="P12" s="241" t="s">
        <v>224</v>
      </c>
      <c r="Q12" s="235" t="s">
        <v>213</v>
      </c>
      <c r="R12" s="239" t="s">
        <v>214</v>
      </c>
      <c r="S12" s="243" t="s">
        <v>225</v>
      </c>
      <c r="T12" s="1108"/>
    </row>
    <row r="13" spans="1:20" ht="25.5" customHeight="1" x14ac:dyDescent="0.3">
      <c r="A13" s="244" t="s">
        <v>110</v>
      </c>
      <c r="B13" s="245" t="s">
        <v>16</v>
      </c>
      <c r="C13" s="467">
        <f>+D13+E13</f>
        <v>0</v>
      </c>
      <c r="D13" s="246"/>
      <c r="E13" s="247"/>
      <c r="F13" s="610">
        <v>15000</v>
      </c>
      <c r="G13" s="468">
        <f>+H13+I13</f>
        <v>0</v>
      </c>
      <c r="H13" s="614"/>
      <c r="I13" s="616"/>
      <c r="J13" s="619"/>
      <c r="K13" s="467">
        <f>+L13-E13</f>
        <v>0</v>
      </c>
      <c r="L13" s="468">
        <f>+J13-D13</f>
        <v>0</v>
      </c>
      <c r="M13" s="469" t="str">
        <f>IFERROR(K13/L13,"-")</f>
        <v>-</v>
      </c>
      <c r="N13" s="470">
        <f>+O13-C13</f>
        <v>0</v>
      </c>
      <c r="O13" s="468">
        <f>+K13</f>
        <v>0</v>
      </c>
      <c r="P13" s="471" t="str">
        <f>IFERROR(N13/O13,"-")</f>
        <v>-</v>
      </c>
      <c r="Q13" s="468" t="str">
        <f>IFERROR(N13-(J13-(J13*H13/G13)),"-")</f>
        <v>-</v>
      </c>
      <c r="R13" s="468">
        <f>+N13</f>
        <v>0</v>
      </c>
      <c r="S13" s="472" t="str">
        <f>IFERROR(Q13/R13,"-")</f>
        <v>-</v>
      </c>
      <c r="T13" s="473" t="str">
        <f>IFERROR(M13*P13*S13,"-")</f>
        <v>-</v>
      </c>
    </row>
    <row r="14" spans="1:20" ht="25.5" customHeight="1" x14ac:dyDescent="0.3">
      <c r="A14" s="248" t="s">
        <v>110</v>
      </c>
      <c r="B14" s="249" t="s">
        <v>229</v>
      </c>
      <c r="C14" s="474">
        <f t="shared" ref="C14:C28" si="0">+D14+E14</f>
        <v>30</v>
      </c>
      <c r="D14" s="250">
        <v>30</v>
      </c>
      <c r="E14" s="251"/>
      <c r="F14" s="611">
        <v>100000</v>
      </c>
      <c r="G14" s="476">
        <f t="shared" ref="G14:G19" si="1">+H14+I14</f>
        <v>101108</v>
      </c>
      <c r="H14" s="254">
        <v>100618</v>
      </c>
      <c r="I14" s="617">
        <v>490</v>
      </c>
      <c r="J14" s="620">
        <v>480</v>
      </c>
      <c r="K14" s="474">
        <f t="shared" ref="K14:K17" si="2">+L14-E14</f>
        <v>450</v>
      </c>
      <c r="L14" s="476">
        <f t="shared" ref="L14:L28" si="3">+J14-D14</f>
        <v>450</v>
      </c>
      <c r="M14" s="477">
        <f t="shared" ref="M14:M17" si="4">IFERROR(K14/L14,"-")</f>
        <v>1</v>
      </c>
      <c r="N14" s="478">
        <f>+O14-C14</f>
        <v>420</v>
      </c>
      <c r="O14" s="476">
        <f t="shared" ref="O14:O28" si="5">+K14</f>
        <v>450</v>
      </c>
      <c r="P14" s="479">
        <f>IFERROR(N14/O14,"-")</f>
        <v>0.93333333333333335</v>
      </c>
      <c r="Q14" s="476">
        <f t="shared" ref="Q14:Q28" si="6">IFERROR(N14-(J14-(J14*H14/G14)),"-")</f>
        <v>417.6737745776793</v>
      </c>
      <c r="R14" s="476">
        <f t="shared" ref="R14:R28" si="7">+N14</f>
        <v>420</v>
      </c>
      <c r="S14" s="480">
        <f t="shared" ref="S14:S28" si="8">IFERROR(Q14/R14,"-")</f>
        <v>0.99446136804209351</v>
      </c>
      <c r="T14" s="481">
        <f t="shared" ref="T14:T28" si="9">IFERROR(M14*P14*S14,"-")</f>
        <v>0.92816394350595399</v>
      </c>
    </row>
    <row r="15" spans="1:20" ht="23.4" x14ac:dyDescent="0.3">
      <c r="A15" s="248" t="s">
        <v>110</v>
      </c>
      <c r="B15" s="249" t="s">
        <v>228</v>
      </c>
      <c r="C15" s="474">
        <f t="shared" si="0"/>
        <v>0</v>
      </c>
      <c r="D15" s="250"/>
      <c r="E15" s="251"/>
      <c r="F15" s="611">
        <v>80000</v>
      </c>
      <c r="G15" s="476">
        <f t="shared" si="1"/>
        <v>0</v>
      </c>
      <c r="H15" s="254"/>
      <c r="I15" s="617"/>
      <c r="J15" s="620"/>
      <c r="K15" s="474">
        <f t="shared" si="2"/>
        <v>0</v>
      </c>
      <c r="L15" s="476">
        <f t="shared" si="3"/>
        <v>0</v>
      </c>
      <c r="M15" s="477" t="str">
        <f t="shared" si="4"/>
        <v>-</v>
      </c>
      <c r="N15" s="478">
        <f t="shared" ref="N15:N28" si="10">+O15-C15</f>
        <v>0</v>
      </c>
      <c r="O15" s="476">
        <f t="shared" si="5"/>
        <v>0</v>
      </c>
      <c r="P15" s="479" t="str">
        <f t="shared" ref="P15:P28" si="11">IFERROR(N15/O15,"-")</f>
        <v>-</v>
      </c>
      <c r="Q15" s="476" t="str">
        <f t="shared" si="6"/>
        <v>-</v>
      </c>
      <c r="R15" s="476">
        <f t="shared" si="7"/>
        <v>0</v>
      </c>
      <c r="S15" s="480" t="str">
        <f t="shared" si="8"/>
        <v>-</v>
      </c>
      <c r="T15" s="481" t="str">
        <f t="shared" si="9"/>
        <v>-</v>
      </c>
    </row>
    <row r="16" spans="1:20" ht="23.4" x14ac:dyDescent="0.3">
      <c r="A16" s="252" t="s">
        <v>110</v>
      </c>
      <c r="B16" s="249" t="s">
        <v>231</v>
      </c>
      <c r="C16" s="474">
        <f t="shared" si="0"/>
        <v>150</v>
      </c>
      <c r="D16" s="250">
        <f>30+30</f>
        <v>60</v>
      </c>
      <c r="E16" s="251">
        <v>90</v>
      </c>
      <c r="F16" s="611">
        <v>220000</v>
      </c>
      <c r="G16" s="476">
        <f t="shared" si="1"/>
        <v>96017</v>
      </c>
      <c r="H16" s="254">
        <v>95568</v>
      </c>
      <c r="I16" s="617">
        <v>449</v>
      </c>
      <c r="J16" s="620">
        <v>960</v>
      </c>
      <c r="K16" s="474">
        <f t="shared" si="2"/>
        <v>810</v>
      </c>
      <c r="L16" s="476">
        <f t="shared" si="3"/>
        <v>900</v>
      </c>
      <c r="M16" s="477">
        <f t="shared" si="4"/>
        <v>0.9</v>
      </c>
      <c r="N16" s="478">
        <f t="shared" si="10"/>
        <v>660</v>
      </c>
      <c r="O16" s="476">
        <f t="shared" si="5"/>
        <v>810</v>
      </c>
      <c r="P16" s="479">
        <f t="shared" si="11"/>
        <v>0.81481481481481477</v>
      </c>
      <c r="Q16" s="476">
        <f t="shared" si="6"/>
        <v>655.51079496339185</v>
      </c>
      <c r="R16" s="476">
        <f t="shared" si="7"/>
        <v>660</v>
      </c>
      <c r="S16" s="480">
        <f t="shared" si="8"/>
        <v>0.99319817418695733</v>
      </c>
      <c r="T16" s="481">
        <f t="shared" si="9"/>
        <v>0.72834532773710203</v>
      </c>
    </row>
    <row r="17" spans="1:20" ht="23.4" x14ac:dyDescent="0.3">
      <c r="A17" s="248" t="s">
        <v>110</v>
      </c>
      <c r="B17" s="249" t="s">
        <v>230</v>
      </c>
      <c r="C17" s="474">
        <f t="shared" si="0"/>
        <v>0</v>
      </c>
      <c r="D17" s="250"/>
      <c r="E17" s="251"/>
      <c r="F17" s="611">
        <v>50000</v>
      </c>
      <c r="G17" s="476">
        <f t="shared" si="1"/>
        <v>0</v>
      </c>
      <c r="H17" s="254"/>
      <c r="I17" s="617"/>
      <c r="J17" s="620"/>
      <c r="K17" s="474">
        <f t="shared" si="2"/>
        <v>0</v>
      </c>
      <c r="L17" s="476">
        <f t="shared" si="3"/>
        <v>0</v>
      </c>
      <c r="M17" s="477" t="str">
        <f t="shared" si="4"/>
        <v>-</v>
      </c>
      <c r="N17" s="478">
        <f t="shared" si="10"/>
        <v>0</v>
      </c>
      <c r="O17" s="476">
        <f t="shared" si="5"/>
        <v>0</v>
      </c>
      <c r="P17" s="479" t="str">
        <f t="shared" si="11"/>
        <v>-</v>
      </c>
      <c r="Q17" s="476" t="str">
        <f t="shared" si="6"/>
        <v>-</v>
      </c>
      <c r="R17" s="476">
        <f t="shared" si="7"/>
        <v>0</v>
      </c>
      <c r="S17" s="480" t="str">
        <f t="shared" si="8"/>
        <v>-</v>
      </c>
      <c r="T17" s="481" t="str">
        <f t="shared" si="9"/>
        <v>-</v>
      </c>
    </row>
    <row r="18" spans="1:20" ht="23.4" x14ac:dyDescent="0.3">
      <c r="A18" s="248">
        <v>5</v>
      </c>
      <c r="B18" s="249" t="s">
        <v>22</v>
      </c>
      <c r="C18" s="474">
        <f t="shared" si="0"/>
        <v>0</v>
      </c>
      <c r="D18" s="250"/>
      <c r="E18" s="251"/>
      <c r="F18" s="611">
        <v>80000</v>
      </c>
      <c r="G18" s="476">
        <f t="shared" si="1"/>
        <v>0</v>
      </c>
      <c r="H18" s="475"/>
      <c r="I18" s="621"/>
      <c r="J18" s="620"/>
      <c r="K18" s="474">
        <f>+L18-E18</f>
        <v>0</v>
      </c>
      <c r="L18" s="476">
        <f t="shared" si="3"/>
        <v>0</v>
      </c>
      <c r="M18" s="477" t="str">
        <f>IFERROR(K18/L18,"-")</f>
        <v>-</v>
      </c>
      <c r="N18" s="478">
        <f t="shared" si="10"/>
        <v>0</v>
      </c>
      <c r="O18" s="476">
        <f t="shared" si="5"/>
        <v>0</v>
      </c>
      <c r="P18" s="479" t="str">
        <f t="shared" si="11"/>
        <v>-</v>
      </c>
      <c r="Q18" s="476" t="str">
        <f t="shared" si="6"/>
        <v>-</v>
      </c>
      <c r="R18" s="476">
        <f t="shared" si="7"/>
        <v>0</v>
      </c>
      <c r="S18" s="480" t="str">
        <f t="shared" si="8"/>
        <v>-</v>
      </c>
      <c r="T18" s="481" t="str">
        <f t="shared" si="9"/>
        <v>-</v>
      </c>
    </row>
    <row r="19" spans="1:20" ht="23.4" x14ac:dyDescent="0.3">
      <c r="A19" s="248" t="s">
        <v>110</v>
      </c>
      <c r="B19" s="249" t="s">
        <v>23</v>
      </c>
      <c r="C19" s="474">
        <f t="shared" si="0"/>
        <v>30</v>
      </c>
      <c r="D19" s="250">
        <v>30</v>
      </c>
      <c r="E19" s="251"/>
      <c r="F19" s="611">
        <v>14000</v>
      </c>
      <c r="G19" s="476">
        <f t="shared" si="1"/>
        <v>0</v>
      </c>
      <c r="H19" s="254"/>
      <c r="I19" s="617"/>
      <c r="J19" s="620">
        <v>600</v>
      </c>
      <c r="K19" s="474">
        <f t="shared" ref="K19:K28" si="12">+L19-E19</f>
        <v>570</v>
      </c>
      <c r="L19" s="476">
        <f t="shared" si="3"/>
        <v>570</v>
      </c>
      <c r="M19" s="477">
        <f t="shared" ref="M19:M28" si="13">IFERROR(K19/L19,"-")</f>
        <v>1</v>
      </c>
      <c r="N19" s="478">
        <f t="shared" si="10"/>
        <v>540</v>
      </c>
      <c r="O19" s="476">
        <f t="shared" si="5"/>
        <v>570</v>
      </c>
      <c r="P19" s="479">
        <f t="shared" si="11"/>
        <v>0.94736842105263153</v>
      </c>
      <c r="Q19" s="476" t="str">
        <f t="shared" si="6"/>
        <v>-</v>
      </c>
      <c r="R19" s="476">
        <f t="shared" si="7"/>
        <v>540</v>
      </c>
      <c r="S19" s="480" t="str">
        <f t="shared" si="8"/>
        <v>-</v>
      </c>
      <c r="T19" s="481" t="str">
        <f t="shared" si="9"/>
        <v>-</v>
      </c>
    </row>
    <row r="20" spans="1:20" ht="24" thickBot="1" x14ac:dyDescent="0.35">
      <c r="A20" s="248" t="s">
        <v>110</v>
      </c>
      <c r="B20" s="253" t="s">
        <v>226</v>
      </c>
      <c r="C20" s="482">
        <f t="shared" si="0"/>
        <v>410</v>
      </c>
      <c r="D20" s="250">
        <f>30+30+60+290</f>
        <v>410</v>
      </c>
      <c r="E20" s="251"/>
      <c r="F20" s="611">
        <v>4500</v>
      </c>
      <c r="G20" s="476">
        <f>+H20+I20</f>
        <v>11148</v>
      </c>
      <c r="H20" s="259">
        <v>10839</v>
      </c>
      <c r="I20" s="618">
        <v>309</v>
      </c>
      <c r="J20" s="620">
        <v>960</v>
      </c>
      <c r="K20" s="482">
        <f t="shared" si="12"/>
        <v>550</v>
      </c>
      <c r="L20" s="250">
        <f t="shared" si="3"/>
        <v>550</v>
      </c>
      <c r="M20" s="483">
        <f t="shared" si="13"/>
        <v>1</v>
      </c>
      <c r="N20" s="484">
        <f t="shared" si="10"/>
        <v>140</v>
      </c>
      <c r="O20" s="250">
        <f t="shared" si="5"/>
        <v>550</v>
      </c>
      <c r="P20" s="485">
        <f t="shared" si="11"/>
        <v>0.25454545454545452</v>
      </c>
      <c r="Q20" s="250">
        <f t="shared" si="6"/>
        <v>113.39074273412268</v>
      </c>
      <c r="R20" s="250">
        <f t="shared" si="7"/>
        <v>140</v>
      </c>
      <c r="S20" s="486">
        <f t="shared" si="8"/>
        <v>0.80993387667230488</v>
      </c>
      <c r="T20" s="487">
        <f t="shared" si="9"/>
        <v>0.20616498678931394</v>
      </c>
    </row>
    <row r="21" spans="1:20" ht="24" thickBot="1" x14ac:dyDescent="0.35">
      <c r="A21" s="255" t="s">
        <v>110</v>
      </c>
      <c r="B21" s="256" t="s">
        <v>227</v>
      </c>
      <c r="C21" s="488">
        <f t="shared" si="0"/>
        <v>150</v>
      </c>
      <c r="D21" s="257">
        <f>30+30+60+30</f>
        <v>150</v>
      </c>
      <c r="E21" s="258"/>
      <c r="F21" s="615">
        <v>5000</v>
      </c>
      <c r="G21" s="498">
        <f t="shared" ref="G21:G28" si="14">+H21+I21</f>
        <v>31630</v>
      </c>
      <c r="H21" s="259">
        <v>31622</v>
      </c>
      <c r="I21" s="618">
        <v>8</v>
      </c>
      <c r="J21" s="623">
        <v>960</v>
      </c>
      <c r="K21" s="488">
        <f t="shared" si="12"/>
        <v>810</v>
      </c>
      <c r="L21" s="257">
        <f t="shared" si="3"/>
        <v>810</v>
      </c>
      <c r="M21" s="489">
        <f t="shared" si="13"/>
        <v>1</v>
      </c>
      <c r="N21" s="490">
        <f t="shared" si="10"/>
        <v>660</v>
      </c>
      <c r="O21" s="257">
        <f t="shared" si="5"/>
        <v>810</v>
      </c>
      <c r="P21" s="491">
        <f t="shared" si="11"/>
        <v>0.81481481481481477</v>
      </c>
      <c r="Q21" s="257">
        <f t="shared" si="6"/>
        <v>659.7571925387291</v>
      </c>
      <c r="R21" s="257">
        <f t="shared" si="7"/>
        <v>660</v>
      </c>
      <c r="S21" s="492">
        <f t="shared" si="8"/>
        <v>0.99963210990716533</v>
      </c>
      <c r="T21" s="493">
        <f t="shared" si="9"/>
        <v>0.81451505251694944</v>
      </c>
    </row>
    <row r="22" spans="1:20" ht="23.4" x14ac:dyDescent="0.3">
      <c r="A22" s="252" t="s">
        <v>108</v>
      </c>
      <c r="B22" s="260" t="s">
        <v>29</v>
      </c>
      <c r="C22" s="474">
        <f t="shared" si="0"/>
        <v>0</v>
      </c>
      <c r="D22" s="250"/>
      <c r="E22" s="251"/>
      <c r="F22" s="475">
        <v>160000</v>
      </c>
      <c r="G22" s="476">
        <f t="shared" si="14"/>
        <v>0</v>
      </c>
      <c r="H22" s="475"/>
      <c r="I22" s="621"/>
      <c r="J22" s="756"/>
      <c r="K22" s="474">
        <f t="shared" si="12"/>
        <v>0</v>
      </c>
      <c r="L22" s="476">
        <f t="shared" si="3"/>
        <v>0</v>
      </c>
      <c r="M22" s="477" t="str">
        <f t="shared" si="13"/>
        <v>-</v>
      </c>
      <c r="N22" s="478">
        <f t="shared" si="10"/>
        <v>0</v>
      </c>
      <c r="O22" s="476">
        <f t="shared" si="5"/>
        <v>0</v>
      </c>
      <c r="P22" s="479" t="str">
        <f t="shared" si="11"/>
        <v>-</v>
      </c>
      <c r="Q22" s="476" t="str">
        <f t="shared" si="6"/>
        <v>-</v>
      </c>
      <c r="R22" s="476">
        <f t="shared" si="7"/>
        <v>0</v>
      </c>
      <c r="S22" s="494" t="str">
        <f t="shared" si="8"/>
        <v>-</v>
      </c>
      <c r="T22" s="495" t="str">
        <f t="shared" si="9"/>
        <v>-</v>
      </c>
    </row>
    <row r="23" spans="1:20" ht="22.5" customHeight="1" x14ac:dyDescent="0.3">
      <c r="A23" s="248" t="s">
        <v>108</v>
      </c>
      <c r="B23" s="260" t="s">
        <v>31</v>
      </c>
      <c r="C23" s="474">
        <f t="shared" si="0"/>
        <v>0</v>
      </c>
      <c r="D23" s="769"/>
      <c r="E23" s="251"/>
      <c r="F23" s="475">
        <v>50000</v>
      </c>
      <c r="G23" s="476">
        <f t="shared" si="14"/>
        <v>0</v>
      </c>
      <c r="H23" s="475"/>
      <c r="I23" s="621"/>
      <c r="J23" s="620"/>
      <c r="K23" s="474">
        <f t="shared" si="12"/>
        <v>0</v>
      </c>
      <c r="L23" s="476">
        <f t="shared" si="3"/>
        <v>0</v>
      </c>
      <c r="M23" s="477" t="str">
        <f t="shared" si="13"/>
        <v>-</v>
      </c>
      <c r="N23" s="478">
        <f t="shared" si="10"/>
        <v>0</v>
      </c>
      <c r="O23" s="476">
        <f t="shared" si="5"/>
        <v>0</v>
      </c>
      <c r="P23" s="479" t="str">
        <f t="shared" si="11"/>
        <v>-</v>
      </c>
      <c r="Q23" s="476" t="str">
        <f t="shared" si="6"/>
        <v>-</v>
      </c>
      <c r="R23" s="476">
        <f t="shared" si="7"/>
        <v>0</v>
      </c>
      <c r="S23" s="494" t="str">
        <f t="shared" si="8"/>
        <v>-</v>
      </c>
      <c r="T23" s="495" t="str">
        <f t="shared" si="9"/>
        <v>-</v>
      </c>
    </row>
    <row r="24" spans="1:20" ht="24" thickBot="1" x14ac:dyDescent="0.35">
      <c r="A24" s="255" t="s">
        <v>108</v>
      </c>
      <c r="B24" s="261" t="s">
        <v>32</v>
      </c>
      <c r="C24" s="496">
        <f t="shared" si="0"/>
        <v>0</v>
      </c>
      <c r="D24" s="257"/>
      <c r="E24" s="258"/>
      <c r="F24" s="497">
        <v>110000</v>
      </c>
      <c r="G24" s="498">
        <f t="shared" si="14"/>
        <v>0</v>
      </c>
      <c r="H24" s="497"/>
      <c r="I24" s="622"/>
      <c r="J24" s="623"/>
      <c r="K24" s="496">
        <f t="shared" si="12"/>
        <v>0</v>
      </c>
      <c r="L24" s="498">
        <f t="shared" si="3"/>
        <v>0</v>
      </c>
      <c r="M24" s="499" t="str">
        <f t="shared" si="13"/>
        <v>-</v>
      </c>
      <c r="N24" s="500">
        <f t="shared" si="10"/>
        <v>0</v>
      </c>
      <c r="O24" s="498">
        <f t="shared" si="5"/>
        <v>0</v>
      </c>
      <c r="P24" s="501" t="str">
        <f t="shared" si="11"/>
        <v>-</v>
      </c>
      <c r="Q24" s="498" t="str">
        <f t="shared" si="6"/>
        <v>-</v>
      </c>
      <c r="R24" s="498">
        <f t="shared" si="7"/>
        <v>0</v>
      </c>
      <c r="S24" s="502" t="str">
        <f t="shared" si="8"/>
        <v>-</v>
      </c>
      <c r="T24" s="503" t="str">
        <f t="shared" si="9"/>
        <v>-</v>
      </c>
    </row>
    <row r="25" spans="1:20" ht="23.4" x14ac:dyDescent="0.3">
      <c r="A25" s="248" t="s">
        <v>109</v>
      </c>
      <c r="B25" s="249" t="s">
        <v>233</v>
      </c>
      <c r="C25" s="474">
        <f t="shared" si="0"/>
        <v>0</v>
      </c>
      <c r="D25" s="250"/>
      <c r="E25" s="251"/>
      <c r="F25" s="475">
        <v>6500</v>
      </c>
      <c r="G25" s="476">
        <f t="shared" si="14"/>
        <v>0</v>
      </c>
      <c r="H25" s="475"/>
      <c r="I25" s="621"/>
      <c r="J25" s="620"/>
      <c r="K25" s="474">
        <f t="shared" si="12"/>
        <v>0</v>
      </c>
      <c r="L25" s="476">
        <f t="shared" si="3"/>
        <v>0</v>
      </c>
      <c r="M25" s="477" t="str">
        <f t="shared" si="13"/>
        <v>-</v>
      </c>
      <c r="N25" s="478">
        <f t="shared" si="10"/>
        <v>0</v>
      </c>
      <c r="O25" s="476">
        <f t="shared" si="5"/>
        <v>0</v>
      </c>
      <c r="P25" s="479" t="str">
        <f t="shared" si="11"/>
        <v>-</v>
      </c>
      <c r="Q25" s="476" t="str">
        <f t="shared" si="6"/>
        <v>-</v>
      </c>
      <c r="R25" s="476">
        <f t="shared" si="7"/>
        <v>0</v>
      </c>
      <c r="S25" s="494" t="str">
        <f t="shared" si="8"/>
        <v>-</v>
      </c>
      <c r="T25" s="495" t="str">
        <f t="shared" si="9"/>
        <v>-</v>
      </c>
    </row>
    <row r="26" spans="1:20" ht="23.4" x14ac:dyDescent="0.3">
      <c r="A26" s="252" t="s">
        <v>109</v>
      </c>
      <c r="B26" s="249" t="s">
        <v>40</v>
      </c>
      <c r="C26" s="474">
        <f t="shared" si="0"/>
        <v>0</v>
      </c>
      <c r="D26" s="250"/>
      <c r="E26" s="251"/>
      <c r="F26" s="475">
        <v>2800</v>
      </c>
      <c r="G26" s="476">
        <f t="shared" si="14"/>
        <v>0</v>
      </c>
      <c r="H26" s="475"/>
      <c r="I26" s="621"/>
      <c r="J26" s="620"/>
      <c r="K26" s="474">
        <f t="shared" si="12"/>
        <v>0</v>
      </c>
      <c r="L26" s="476">
        <f t="shared" si="3"/>
        <v>0</v>
      </c>
      <c r="M26" s="477" t="str">
        <f t="shared" si="13"/>
        <v>-</v>
      </c>
      <c r="N26" s="478">
        <f t="shared" si="10"/>
        <v>0</v>
      </c>
      <c r="O26" s="476">
        <f t="shared" si="5"/>
        <v>0</v>
      </c>
      <c r="P26" s="479" t="str">
        <f t="shared" si="11"/>
        <v>-</v>
      </c>
      <c r="Q26" s="476" t="str">
        <f t="shared" si="6"/>
        <v>-</v>
      </c>
      <c r="R26" s="476">
        <f t="shared" si="7"/>
        <v>0</v>
      </c>
      <c r="S26" s="494" t="str">
        <f t="shared" si="8"/>
        <v>-</v>
      </c>
      <c r="T26" s="495" t="str">
        <f t="shared" si="9"/>
        <v>-</v>
      </c>
    </row>
    <row r="27" spans="1:20" ht="23.4" x14ac:dyDescent="0.3">
      <c r="A27" s="248" t="s">
        <v>109</v>
      </c>
      <c r="B27" s="249" t="s">
        <v>42</v>
      </c>
      <c r="C27" s="474">
        <f t="shared" si="0"/>
        <v>0</v>
      </c>
      <c r="D27" s="250"/>
      <c r="E27" s="251"/>
      <c r="F27" s="475">
        <v>25000</v>
      </c>
      <c r="G27" s="476">
        <f t="shared" si="14"/>
        <v>0</v>
      </c>
      <c r="H27" s="475"/>
      <c r="I27" s="621"/>
      <c r="J27" s="620"/>
      <c r="K27" s="474">
        <f t="shared" si="12"/>
        <v>0</v>
      </c>
      <c r="L27" s="476">
        <f t="shared" si="3"/>
        <v>0</v>
      </c>
      <c r="M27" s="477" t="str">
        <f t="shared" si="13"/>
        <v>-</v>
      </c>
      <c r="N27" s="478">
        <f t="shared" si="10"/>
        <v>0</v>
      </c>
      <c r="O27" s="476">
        <f t="shared" si="5"/>
        <v>0</v>
      </c>
      <c r="P27" s="479" t="str">
        <f t="shared" si="11"/>
        <v>-</v>
      </c>
      <c r="Q27" s="476" t="str">
        <f t="shared" si="6"/>
        <v>-</v>
      </c>
      <c r="R27" s="476">
        <f t="shared" si="7"/>
        <v>0</v>
      </c>
      <c r="S27" s="494" t="str">
        <f t="shared" si="8"/>
        <v>-</v>
      </c>
      <c r="T27" s="495" t="str">
        <f t="shared" si="9"/>
        <v>-</v>
      </c>
    </row>
    <row r="28" spans="1:20" ht="47.4" thickBot="1" x14ac:dyDescent="0.35">
      <c r="A28" s="625" t="s">
        <v>109</v>
      </c>
      <c r="B28" s="261" t="s">
        <v>232</v>
      </c>
      <c r="C28" s="626">
        <f t="shared" si="0"/>
        <v>0</v>
      </c>
      <c r="D28" s="627"/>
      <c r="E28" s="628"/>
      <c r="F28" s="629">
        <v>25000</v>
      </c>
      <c r="G28" s="630">
        <f t="shared" si="14"/>
        <v>0</v>
      </c>
      <c r="H28" s="629"/>
      <c r="I28" s="631"/>
      <c r="J28" s="624"/>
      <c r="K28" s="626">
        <f t="shared" si="12"/>
        <v>0</v>
      </c>
      <c r="L28" s="630">
        <f t="shared" si="3"/>
        <v>0</v>
      </c>
      <c r="M28" s="632" t="str">
        <f t="shared" si="13"/>
        <v>-</v>
      </c>
      <c r="N28" s="633">
        <f t="shared" si="10"/>
        <v>0</v>
      </c>
      <c r="O28" s="630">
        <f t="shared" si="5"/>
        <v>0</v>
      </c>
      <c r="P28" s="634" t="str">
        <f t="shared" si="11"/>
        <v>-</v>
      </c>
      <c r="Q28" s="630" t="str">
        <f t="shared" si="6"/>
        <v>-</v>
      </c>
      <c r="R28" s="630">
        <f t="shared" si="7"/>
        <v>0</v>
      </c>
      <c r="S28" s="635" t="str">
        <f t="shared" si="8"/>
        <v>-</v>
      </c>
      <c r="T28" s="636" t="str">
        <f t="shared" si="9"/>
        <v>-</v>
      </c>
    </row>
    <row r="29" spans="1:20" ht="24.6" customHeight="1" x14ac:dyDescent="0.3">
      <c r="A29" s="230"/>
      <c r="B29" s="231"/>
      <c r="C29" s="232"/>
      <c r="D29" s="232"/>
      <c r="E29" s="232"/>
      <c r="F29" s="232"/>
      <c r="G29" s="233"/>
      <c r="H29" s="234"/>
      <c r="I29" s="232"/>
      <c r="J29" s="232"/>
      <c r="K29" s="232"/>
      <c r="L29" s="232"/>
      <c r="M29" s="234"/>
      <c r="N29" s="232"/>
      <c r="O29" s="232"/>
      <c r="P29" s="234"/>
      <c r="Q29" s="232"/>
      <c r="R29" s="232"/>
      <c r="S29" s="234"/>
      <c r="T29" s="234"/>
    </row>
    <row r="30" spans="1:20" ht="24.6" customHeight="1" x14ac:dyDescent="0.3">
      <c r="A30" s="230"/>
      <c r="B30" s="231"/>
      <c r="C30" s="232"/>
      <c r="D30" s="232"/>
      <c r="E30" s="232"/>
      <c r="F30" s="232"/>
      <c r="G30" s="233"/>
      <c r="H30" s="234"/>
      <c r="I30" s="232"/>
      <c r="J30" s="232"/>
      <c r="K30" s="232"/>
      <c r="L30" s="232"/>
      <c r="M30" s="234"/>
      <c r="N30" s="232"/>
      <c r="O30" s="232"/>
      <c r="P30" s="234"/>
      <c r="Q30" s="232"/>
      <c r="R30" s="232"/>
      <c r="S30" s="234"/>
      <c r="T30" s="234"/>
    </row>
    <row r="31" spans="1:20" ht="24.6" customHeight="1" x14ac:dyDescent="0.3">
      <c r="A31" s="230"/>
      <c r="B31" s="231"/>
      <c r="C31" s="232"/>
      <c r="D31" s="232"/>
      <c r="E31" s="232"/>
      <c r="F31" s="232"/>
      <c r="G31" s="233"/>
      <c r="H31" s="234"/>
      <c r="I31" s="232"/>
      <c r="J31" s="232"/>
      <c r="K31" s="232"/>
      <c r="L31" s="232"/>
      <c r="M31" s="234"/>
      <c r="N31" s="232"/>
      <c r="O31" s="232"/>
      <c r="P31" s="234"/>
      <c r="Q31" s="232"/>
      <c r="R31" s="232"/>
      <c r="S31" s="234"/>
      <c r="T31" s="234"/>
    </row>
    <row r="32" spans="1:20" ht="24.6" customHeight="1" x14ac:dyDescent="0.3">
      <c r="A32" s="230"/>
      <c r="B32" s="231"/>
      <c r="C32" s="232"/>
      <c r="D32" s="232"/>
      <c r="E32" s="232"/>
      <c r="F32" s="232"/>
      <c r="G32" s="233"/>
      <c r="H32" s="234"/>
      <c r="I32" s="232"/>
      <c r="J32" s="232"/>
      <c r="K32" s="232"/>
      <c r="L32" s="232"/>
      <c r="M32" s="234"/>
      <c r="N32" s="232"/>
      <c r="O32" s="232"/>
      <c r="P32" s="234"/>
      <c r="Q32" s="232"/>
      <c r="R32" s="232"/>
      <c r="S32" s="234"/>
      <c r="T32" s="234"/>
    </row>
    <row r="33" spans="1:20" ht="24.6" customHeight="1" thickBot="1" x14ac:dyDescent="0.35">
      <c r="A33" s="230"/>
      <c r="B33" s="231"/>
      <c r="C33" s="232"/>
      <c r="D33" s="232"/>
      <c r="E33" s="232"/>
      <c r="F33" s="232"/>
      <c r="G33" s="233"/>
      <c r="H33" s="234"/>
      <c r="I33" s="232"/>
      <c r="J33" s="232"/>
      <c r="K33" s="232"/>
      <c r="L33" s="232"/>
      <c r="M33" s="234"/>
      <c r="N33" s="232"/>
      <c r="O33" s="232"/>
      <c r="P33" s="234"/>
      <c r="Q33" s="232"/>
      <c r="R33" s="232"/>
      <c r="S33" s="234"/>
      <c r="T33" s="234"/>
    </row>
    <row r="34" spans="1:20" ht="22.5" customHeight="1" x14ac:dyDescent="0.3">
      <c r="A34" s="1043" t="s">
        <v>1</v>
      </c>
      <c r="B34" s="1043" t="s">
        <v>2</v>
      </c>
      <c r="C34" s="1000" t="s">
        <v>221</v>
      </c>
      <c r="D34" s="1001"/>
      <c r="E34" s="1002"/>
      <c r="F34" s="1000" t="s">
        <v>598</v>
      </c>
      <c r="G34" s="1001"/>
      <c r="H34" s="1001"/>
      <c r="I34" s="1002"/>
      <c r="J34" s="1043" t="s">
        <v>218</v>
      </c>
      <c r="K34" s="1000" t="s">
        <v>206</v>
      </c>
      <c r="L34" s="1001"/>
      <c r="M34" s="1002"/>
      <c r="N34" s="1000" t="s">
        <v>207</v>
      </c>
      <c r="O34" s="1001"/>
      <c r="P34" s="1002"/>
      <c r="Q34" s="1000" t="s">
        <v>208</v>
      </c>
      <c r="R34" s="1001"/>
      <c r="S34" s="1002"/>
      <c r="T34" s="1107" t="s">
        <v>205</v>
      </c>
    </row>
    <row r="35" spans="1:20" ht="87.6" thickBot="1" x14ac:dyDescent="0.35">
      <c r="A35" s="1045"/>
      <c r="B35" s="1045"/>
      <c r="C35" s="235" t="s">
        <v>222</v>
      </c>
      <c r="D35" s="236" t="s">
        <v>219</v>
      </c>
      <c r="E35" s="237" t="s">
        <v>220</v>
      </c>
      <c r="F35" s="238" t="s">
        <v>361</v>
      </c>
      <c r="G35" s="236" t="s">
        <v>215</v>
      </c>
      <c r="H35" s="239" t="s">
        <v>216</v>
      </c>
      <c r="I35" s="240" t="s">
        <v>217</v>
      </c>
      <c r="J35" s="1045"/>
      <c r="K35" s="235" t="s">
        <v>209</v>
      </c>
      <c r="L35" s="239" t="s">
        <v>210</v>
      </c>
      <c r="M35" s="241" t="s">
        <v>223</v>
      </c>
      <c r="N35" s="242" t="s">
        <v>211</v>
      </c>
      <c r="O35" s="239" t="s">
        <v>212</v>
      </c>
      <c r="P35" s="241" t="s">
        <v>224</v>
      </c>
      <c r="Q35" s="235" t="s">
        <v>213</v>
      </c>
      <c r="R35" s="239" t="s">
        <v>214</v>
      </c>
      <c r="S35" s="243" t="s">
        <v>225</v>
      </c>
      <c r="T35" s="1108"/>
    </row>
    <row r="36" spans="1:20" ht="25.5" customHeight="1" x14ac:dyDescent="0.3">
      <c r="A36" s="244" t="s">
        <v>110</v>
      </c>
      <c r="B36" s="245" t="s">
        <v>16</v>
      </c>
      <c r="C36" s="467">
        <f>+D36+E36</f>
        <v>0</v>
      </c>
      <c r="D36" s="246"/>
      <c r="E36" s="247"/>
      <c r="F36" s="610">
        <v>15000</v>
      </c>
      <c r="G36" s="468">
        <f>+H36+I36</f>
        <v>0</v>
      </c>
      <c r="H36" s="614"/>
      <c r="I36" s="616"/>
      <c r="J36" s="619"/>
      <c r="K36" s="467">
        <f>+L36-E36</f>
        <v>0</v>
      </c>
      <c r="L36" s="468">
        <f>+J36-D36</f>
        <v>0</v>
      </c>
      <c r="M36" s="469" t="str">
        <f>IFERROR(K36/L36,"-")</f>
        <v>-</v>
      </c>
      <c r="N36" s="470">
        <f>+O36-C36</f>
        <v>0</v>
      </c>
      <c r="O36" s="468">
        <f>+K36</f>
        <v>0</v>
      </c>
      <c r="P36" s="471" t="str">
        <f>IFERROR(N36/O36,"-")</f>
        <v>-</v>
      </c>
      <c r="Q36" s="468" t="str">
        <f>IFERROR(N36-(J36-(J36*H36/G36)),"-")</f>
        <v>-</v>
      </c>
      <c r="R36" s="468">
        <f>+N36</f>
        <v>0</v>
      </c>
      <c r="S36" s="472" t="str">
        <f>IFERROR(Q36/R36,"-")</f>
        <v>-</v>
      </c>
      <c r="T36" s="473" t="str">
        <f>IFERROR(M36*P36*S36,"-")</f>
        <v>-</v>
      </c>
    </row>
    <row r="37" spans="1:20" ht="25.5" customHeight="1" x14ac:dyDescent="0.3">
      <c r="A37" s="248" t="s">
        <v>110</v>
      </c>
      <c r="B37" s="249" t="s">
        <v>229</v>
      </c>
      <c r="C37" s="474">
        <f t="shared" ref="C37:C51" si="15">+D37+E37</f>
        <v>30</v>
      </c>
      <c r="D37" s="250">
        <v>30</v>
      </c>
      <c r="E37" s="251"/>
      <c r="F37" s="611">
        <v>100000</v>
      </c>
      <c r="G37" s="476">
        <f t="shared" ref="G37:G42" si="16">+H37+I37</f>
        <v>100511</v>
      </c>
      <c r="H37" s="254">
        <v>99792</v>
      </c>
      <c r="I37" s="617">
        <v>719</v>
      </c>
      <c r="J37" s="620">
        <v>480</v>
      </c>
      <c r="K37" s="474">
        <f t="shared" ref="K37:K40" si="17">+L37-E37</f>
        <v>450</v>
      </c>
      <c r="L37" s="476">
        <f t="shared" ref="L37:L51" si="18">+J37-D37</f>
        <v>450</v>
      </c>
      <c r="M37" s="477">
        <f t="shared" ref="M37:M40" si="19">IFERROR(K37/L37,"-")</f>
        <v>1</v>
      </c>
      <c r="N37" s="478">
        <f>+O37-C37</f>
        <v>420</v>
      </c>
      <c r="O37" s="476">
        <f t="shared" ref="O37:O51" si="20">+K37</f>
        <v>450</v>
      </c>
      <c r="P37" s="479">
        <f>IFERROR(N37/O37,"-")</f>
        <v>0.93333333333333335</v>
      </c>
      <c r="Q37" s="476">
        <f t="shared" ref="Q37:Q51" si="21">IFERROR(N37-(J37-(J37*H37/G37)),"-")</f>
        <v>416.56634597208267</v>
      </c>
      <c r="R37" s="476">
        <f t="shared" ref="R37:R51" si="22">+N37</f>
        <v>420</v>
      </c>
      <c r="S37" s="480">
        <f t="shared" ref="S37:S51" si="23">IFERROR(Q37/R37,"-")</f>
        <v>0.99182463326686354</v>
      </c>
      <c r="T37" s="481">
        <f t="shared" ref="T37:T51" si="24">IFERROR(M37*P37*S37,"-")</f>
        <v>0.92570299104907261</v>
      </c>
    </row>
    <row r="38" spans="1:20" ht="23.4" x14ac:dyDescent="0.3">
      <c r="A38" s="248" t="s">
        <v>110</v>
      </c>
      <c r="B38" s="249" t="s">
        <v>228</v>
      </c>
      <c r="C38" s="474">
        <f t="shared" si="15"/>
        <v>0</v>
      </c>
      <c r="D38" s="250"/>
      <c r="E38" s="251"/>
      <c r="F38" s="611">
        <v>80000</v>
      </c>
      <c r="G38" s="476">
        <f t="shared" si="16"/>
        <v>0</v>
      </c>
      <c r="H38" s="254"/>
      <c r="I38" s="617"/>
      <c r="J38" s="620"/>
      <c r="K38" s="474">
        <f t="shared" si="17"/>
        <v>0</v>
      </c>
      <c r="L38" s="476">
        <f t="shared" si="18"/>
        <v>0</v>
      </c>
      <c r="M38" s="477" t="str">
        <f t="shared" si="19"/>
        <v>-</v>
      </c>
      <c r="N38" s="478">
        <f t="shared" ref="N38:N51" si="25">+O38-C38</f>
        <v>0</v>
      </c>
      <c r="O38" s="476">
        <f t="shared" si="20"/>
        <v>0</v>
      </c>
      <c r="P38" s="479" t="str">
        <f t="shared" ref="P38:P51" si="26">IFERROR(N38/O38,"-")</f>
        <v>-</v>
      </c>
      <c r="Q38" s="476" t="str">
        <f t="shared" si="21"/>
        <v>-</v>
      </c>
      <c r="R38" s="476">
        <f t="shared" si="22"/>
        <v>0</v>
      </c>
      <c r="S38" s="480" t="str">
        <f t="shared" si="23"/>
        <v>-</v>
      </c>
      <c r="T38" s="481" t="str">
        <f t="shared" si="24"/>
        <v>-</v>
      </c>
    </row>
    <row r="39" spans="1:20" ht="23.4" x14ac:dyDescent="0.3">
      <c r="A39" s="252" t="s">
        <v>110</v>
      </c>
      <c r="B39" s="249" t="s">
        <v>231</v>
      </c>
      <c r="C39" s="474">
        <f t="shared" si="15"/>
        <v>190</v>
      </c>
      <c r="D39" s="250">
        <f>30+30</f>
        <v>60</v>
      </c>
      <c r="E39" s="251">
        <v>130</v>
      </c>
      <c r="F39" s="611">
        <v>220000</v>
      </c>
      <c r="G39" s="476">
        <f t="shared" si="16"/>
        <v>80967</v>
      </c>
      <c r="H39" s="254">
        <v>76806</v>
      </c>
      <c r="I39" s="617">
        <v>4161</v>
      </c>
      <c r="J39" s="620">
        <v>960</v>
      </c>
      <c r="K39" s="474">
        <f t="shared" si="17"/>
        <v>770</v>
      </c>
      <c r="L39" s="476">
        <f t="shared" si="18"/>
        <v>900</v>
      </c>
      <c r="M39" s="477">
        <f t="shared" si="19"/>
        <v>0.85555555555555551</v>
      </c>
      <c r="N39" s="478">
        <f t="shared" si="25"/>
        <v>580</v>
      </c>
      <c r="O39" s="476">
        <f t="shared" si="20"/>
        <v>770</v>
      </c>
      <c r="P39" s="479">
        <f t="shared" si="26"/>
        <v>0.75324675324675328</v>
      </c>
      <c r="Q39" s="476">
        <f t="shared" si="21"/>
        <v>530.66434473303934</v>
      </c>
      <c r="R39" s="476">
        <f t="shared" si="22"/>
        <v>580</v>
      </c>
      <c r="S39" s="480">
        <f t="shared" si="23"/>
        <v>0.91493852540179199</v>
      </c>
      <c r="T39" s="481">
        <f t="shared" si="24"/>
        <v>0.58962704970337709</v>
      </c>
    </row>
    <row r="40" spans="1:20" ht="23.4" x14ac:dyDescent="0.3">
      <c r="A40" s="248" t="s">
        <v>110</v>
      </c>
      <c r="B40" s="249" t="s">
        <v>230</v>
      </c>
      <c r="C40" s="474">
        <f t="shared" si="15"/>
        <v>0</v>
      </c>
      <c r="D40" s="250"/>
      <c r="E40" s="251"/>
      <c r="F40" s="611">
        <v>50000</v>
      </c>
      <c r="G40" s="476">
        <f t="shared" si="16"/>
        <v>0</v>
      </c>
      <c r="H40" s="254"/>
      <c r="I40" s="617"/>
      <c r="J40" s="620"/>
      <c r="K40" s="474">
        <f t="shared" si="17"/>
        <v>0</v>
      </c>
      <c r="L40" s="476">
        <f t="shared" si="18"/>
        <v>0</v>
      </c>
      <c r="M40" s="477" t="str">
        <f t="shared" si="19"/>
        <v>-</v>
      </c>
      <c r="N40" s="478">
        <f t="shared" si="25"/>
        <v>0</v>
      </c>
      <c r="O40" s="476">
        <f t="shared" si="20"/>
        <v>0</v>
      </c>
      <c r="P40" s="479" t="str">
        <f t="shared" si="26"/>
        <v>-</v>
      </c>
      <c r="Q40" s="476" t="str">
        <f t="shared" si="21"/>
        <v>-</v>
      </c>
      <c r="R40" s="476">
        <f t="shared" si="22"/>
        <v>0</v>
      </c>
      <c r="S40" s="480" t="str">
        <f t="shared" si="23"/>
        <v>-</v>
      </c>
      <c r="T40" s="481" t="str">
        <f t="shared" si="24"/>
        <v>-</v>
      </c>
    </row>
    <row r="41" spans="1:20" ht="23.4" x14ac:dyDescent="0.3">
      <c r="A41" s="248">
        <v>5</v>
      </c>
      <c r="B41" s="249" t="s">
        <v>22</v>
      </c>
      <c r="C41" s="474">
        <f t="shared" si="15"/>
        <v>0</v>
      </c>
      <c r="D41" s="250"/>
      <c r="E41" s="251"/>
      <c r="F41" s="611">
        <v>80000</v>
      </c>
      <c r="G41" s="476">
        <f t="shared" si="16"/>
        <v>0</v>
      </c>
      <c r="H41" s="475"/>
      <c r="I41" s="621"/>
      <c r="J41" s="620"/>
      <c r="K41" s="474">
        <f>+L41-E41</f>
        <v>0</v>
      </c>
      <c r="L41" s="476">
        <f t="shared" si="18"/>
        <v>0</v>
      </c>
      <c r="M41" s="477" t="str">
        <f>IFERROR(K41/L41,"-")</f>
        <v>-</v>
      </c>
      <c r="N41" s="478">
        <f t="shared" si="25"/>
        <v>0</v>
      </c>
      <c r="O41" s="476">
        <f t="shared" si="20"/>
        <v>0</v>
      </c>
      <c r="P41" s="479" t="str">
        <f t="shared" si="26"/>
        <v>-</v>
      </c>
      <c r="Q41" s="476" t="str">
        <f t="shared" si="21"/>
        <v>-</v>
      </c>
      <c r="R41" s="476">
        <f t="shared" si="22"/>
        <v>0</v>
      </c>
      <c r="S41" s="480" t="str">
        <f t="shared" si="23"/>
        <v>-</v>
      </c>
      <c r="T41" s="481" t="str">
        <f t="shared" si="24"/>
        <v>-</v>
      </c>
    </row>
    <row r="42" spans="1:20" ht="23.4" x14ac:dyDescent="0.3">
      <c r="A42" s="248" t="s">
        <v>110</v>
      </c>
      <c r="B42" s="249" t="s">
        <v>23</v>
      </c>
      <c r="C42" s="474">
        <f t="shared" si="15"/>
        <v>80</v>
      </c>
      <c r="D42" s="250">
        <v>30</v>
      </c>
      <c r="E42" s="251">
        <v>50</v>
      </c>
      <c r="F42" s="611">
        <v>14000</v>
      </c>
      <c r="G42" s="476">
        <f t="shared" si="16"/>
        <v>17550</v>
      </c>
      <c r="H42" s="254">
        <v>17500</v>
      </c>
      <c r="I42" s="617">
        <v>50</v>
      </c>
      <c r="J42" s="620">
        <v>600</v>
      </c>
      <c r="K42" s="474">
        <f t="shared" ref="K42:K51" si="27">+L42-E42</f>
        <v>520</v>
      </c>
      <c r="L42" s="476">
        <f t="shared" si="18"/>
        <v>570</v>
      </c>
      <c r="M42" s="477">
        <f t="shared" ref="M42:M51" si="28">IFERROR(K42/L42,"-")</f>
        <v>0.91228070175438591</v>
      </c>
      <c r="N42" s="478">
        <f t="shared" si="25"/>
        <v>440</v>
      </c>
      <c r="O42" s="476">
        <f t="shared" si="20"/>
        <v>520</v>
      </c>
      <c r="P42" s="479">
        <f t="shared" si="26"/>
        <v>0.84615384615384615</v>
      </c>
      <c r="Q42" s="476">
        <f t="shared" si="21"/>
        <v>438.29059829059827</v>
      </c>
      <c r="R42" s="476">
        <f t="shared" si="22"/>
        <v>440</v>
      </c>
      <c r="S42" s="480">
        <f t="shared" si="23"/>
        <v>0.9961149961149961</v>
      </c>
      <c r="T42" s="481">
        <f t="shared" si="24"/>
        <v>0.76893087419403205</v>
      </c>
    </row>
    <row r="43" spans="1:20" ht="24" thickBot="1" x14ac:dyDescent="0.35">
      <c r="A43" s="248" t="s">
        <v>110</v>
      </c>
      <c r="B43" s="253" t="s">
        <v>226</v>
      </c>
      <c r="C43" s="482">
        <f t="shared" si="15"/>
        <v>425</v>
      </c>
      <c r="D43" s="250">
        <v>425</v>
      </c>
      <c r="E43" s="251"/>
      <c r="F43" s="611">
        <v>4500</v>
      </c>
      <c r="G43" s="476">
        <f>+H43+I43</f>
        <v>19916</v>
      </c>
      <c r="H43" s="259">
        <v>19625</v>
      </c>
      <c r="I43" s="618">
        <v>291</v>
      </c>
      <c r="J43" s="620">
        <v>960</v>
      </c>
      <c r="K43" s="482">
        <f t="shared" si="27"/>
        <v>535</v>
      </c>
      <c r="L43" s="250">
        <f t="shared" si="18"/>
        <v>535</v>
      </c>
      <c r="M43" s="483">
        <f t="shared" si="28"/>
        <v>1</v>
      </c>
      <c r="N43" s="484">
        <f t="shared" si="25"/>
        <v>110</v>
      </c>
      <c r="O43" s="250">
        <f t="shared" si="20"/>
        <v>535</v>
      </c>
      <c r="P43" s="485">
        <f t="shared" si="26"/>
        <v>0.20560747663551401</v>
      </c>
      <c r="Q43" s="250">
        <f t="shared" si="21"/>
        <v>95.973086965254083</v>
      </c>
      <c r="R43" s="250">
        <f t="shared" si="22"/>
        <v>110</v>
      </c>
      <c r="S43" s="486">
        <f t="shared" si="23"/>
        <v>0.87248260877503714</v>
      </c>
      <c r="T43" s="487">
        <f t="shared" si="24"/>
        <v>0.17938894759860577</v>
      </c>
    </row>
    <row r="44" spans="1:20" ht="24" thickBot="1" x14ac:dyDescent="0.35">
      <c r="A44" s="255" t="s">
        <v>110</v>
      </c>
      <c r="B44" s="256" t="s">
        <v>227</v>
      </c>
      <c r="C44" s="488">
        <f t="shared" si="15"/>
        <v>155</v>
      </c>
      <c r="D44" s="257">
        <v>155</v>
      </c>
      <c r="E44" s="258"/>
      <c r="F44" s="615">
        <v>5000</v>
      </c>
      <c r="G44" s="498">
        <f t="shared" ref="G44:G51" si="29">+H44+I44</f>
        <v>50037</v>
      </c>
      <c r="H44" s="259">
        <v>50011</v>
      </c>
      <c r="I44" s="618">
        <v>26</v>
      </c>
      <c r="J44" s="623">
        <v>960</v>
      </c>
      <c r="K44" s="488">
        <f t="shared" si="27"/>
        <v>805</v>
      </c>
      <c r="L44" s="257">
        <f t="shared" si="18"/>
        <v>805</v>
      </c>
      <c r="M44" s="489">
        <f t="shared" si="28"/>
        <v>1</v>
      </c>
      <c r="N44" s="490">
        <f t="shared" si="25"/>
        <v>650</v>
      </c>
      <c r="O44" s="257">
        <f t="shared" si="20"/>
        <v>805</v>
      </c>
      <c r="P44" s="491">
        <f t="shared" si="26"/>
        <v>0.80745341614906829</v>
      </c>
      <c r="Q44" s="257">
        <f t="shared" si="21"/>
        <v>649.50116913484021</v>
      </c>
      <c r="R44" s="257">
        <f t="shared" si="22"/>
        <v>650</v>
      </c>
      <c r="S44" s="492">
        <f t="shared" si="23"/>
        <v>0.99923256789975412</v>
      </c>
      <c r="T44" s="493">
        <f t="shared" si="24"/>
        <v>0.80683375047806227</v>
      </c>
    </row>
    <row r="45" spans="1:20" ht="23.4" x14ac:dyDescent="0.3">
      <c r="A45" s="252" t="s">
        <v>108</v>
      </c>
      <c r="B45" s="260" t="s">
        <v>29</v>
      </c>
      <c r="C45" s="474">
        <f t="shared" si="15"/>
        <v>60</v>
      </c>
      <c r="D45" s="250">
        <v>30</v>
      </c>
      <c r="E45" s="251">
        <v>30</v>
      </c>
      <c r="F45" s="475">
        <v>160000</v>
      </c>
      <c r="G45" s="476">
        <f t="shared" si="29"/>
        <v>40880</v>
      </c>
      <c r="H45" s="475">
        <v>39780</v>
      </c>
      <c r="I45" s="621">
        <v>1100</v>
      </c>
      <c r="J45" s="756">
        <v>900</v>
      </c>
      <c r="K45" s="474">
        <f t="shared" si="27"/>
        <v>840</v>
      </c>
      <c r="L45" s="476">
        <f t="shared" si="18"/>
        <v>870</v>
      </c>
      <c r="M45" s="477">
        <f t="shared" si="28"/>
        <v>0.96551724137931039</v>
      </c>
      <c r="N45" s="478">
        <f t="shared" si="25"/>
        <v>780</v>
      </c>
      <c r="O45" s="476">
        <f t="shared" si="20"/>
        <v>840</v>
      </c>
      <c r="P45" s="479">
        <f t="shared" si="26"/>
        <v>0.9285714285714286</v>
      </c>
      <c r="Q45" s="476">
        <f t="shared" si="21"/>
        <v>755.78277886497062</v>
      </c>
      <c r="R45" s="476">
        <f t="shared" si="22"/>
        <v>780</v>
      </c>
      <c r="S45" s="494">
        <f t="shared" si="23"/>
        <v>0.96895228059611616</v>
      </c>
      <c r="T45" s="495">
        <f t="shared" si="24"/>
        <v>0.86871583777582828</v>
      </c>
    </row>
    <row r="46" spans="1:20" ht="22.5" customHeight="1" x14ac:dyDescent="0.3">
      <c r="A46" s="248" t="s">
        <v>108</v>
      </c>
      <c r="B46" s="260" t="s">
        <v>31</v>
      </c>
      <c r="C46" s="474">
        <f t="shared" si="15"/>
        <v>0</v>
      </c>
      <c r="D46" s="769"/>
      <c r="E46" s="251"/>
      <c r="F46" s="475">
        <v>50000</v>
      </c>
      <c r="G46" s="476">
        <f t="shared" si="29"/>
        <v>0</v>
      </c>
      <c r="H46" s="475"/>
      <c r="I46" s="621"/>
      <c r="J46" s="620"/>
      <c r="K46" s="474">
        <f t="shared" si="27"/>
        <v>0</v>
      </c>
      <c r="L46" s="476">
        <f t="shared" si="18"/>
        <v>0</v>
      </c>
      <c r="M46" s="477" t="str">
        <f t="shared" si="28"/>
        <v>-</v>
      </c>
      <c r="N46" s="478">
        <f t="shared" si="25"/>
        <v>0</v>
      </c>
      <c r="O46" s="476">
        <f t="shared" si="20"/>
        <v>0</v>
      </c>
      <c r="P46" s="479" t="str">
        <f t="shared" si="26"/>
        <v>-</v>
      </c>
      <c r="Q46" s="476" t="str">
        <f t="shared" si="21"/>
        <v>-</v>
      </c>
      <c r="R46" s="476">
        <f t="shared" si="22"/>
        <v>0</v>
      </c>
      <c r="S46" s="494" t="str">
        <f t="shared" si="23"/>
        <v>-</v>
      </c>
      <c r="T46" s="495" t="str">
        <f t="shared" si="24"/>
        <v>-</v>
      </c>
    </row>
    <row r="47" spans="1:20" ht="24" thickBot="1" x14ac:dyDescent="0.35">
      <c r="A47" s="255" t="s">
        <v>108</v>
      </c>
      <c r="B47" s="261" t="s">
        <v>32</v>
      </c>
      <c r="C47" s="496">
        <f t="shared" si="15"/>
        <v>0</v>
      </c>
      <c r="D47" s="257"/>
      <c r="E47" s="258"/>
      <c r="F47" s="497">
        <v>110000</v>
      </c>
      <c r="G47" s="498">
        <f t="shared" si="29"/>
        <v>0</v>
      </c>
      <c r="H47" s="497"/>
      <c r="I47" s="622"/>
      <c r="J47" s="623"/>
      <c r="K47" s="496">
        <f t="shared" si="27"/>
        <v>0</v>
      </c>
      <c r="L47" s="498">
        <f t="shared" si="18"/>
        <v>0</v>
      </c>
      <c r="M47" s="499" t="str">
        <f t="shared" si="28"/>
        <v>-</v>
      </c>
      <c r="N47" s="500">
        <f t="shared" si="25"/>
        <v>0</v>
      </c>
      <c r="O47" s="498">
        <f t="shared" si="20"/>
        <v>0</v>
      </c>
      <c r="P47" s="501" t="str">
        <f t="shared" si="26"/>
        <v>-</v>
      </c>
      <c r="Q47" s="498" t="str">
        <f t="shared" si="21"/>
        <v>-</v>
      </c>
      <c r="R47" s="498">
        <f t="shared" si="22"/>
        <v>0</v>
      </c>
      <c r="S47" s="502" t="str">
        <f t="shared" si="23"/>
        <v>-</v>
      </c>
      <c r="T47" s="503" t="str">
        <f t="shared" si="24"/>
        <v>-</v>
      </c>
    </row>
    <row r="48" spans="1:20" ht="23.4" x14ac:dyDescent="0.3">
      <c r="A48" s="248" t="s">
        <v>109</v>
      </c>
      <c r="B48" s="249" t="s">
        <v>233</v>
      </c>
      <c r="C48" s="474">
        <f t="shared" si="15"/>
        <v>0</v>
      </c>
      <c r="D48" s="250"/>
      <c r="E48" s="251"/>
      <c r="F48" s="475">
        <v>6500</v>
      </c>
      <c r="G48" s="476">
        <f t="shared" si="29"/>
        <v>0</v>
      </c>
      <c r="H48" s="475"/>
      <c r="I48" s="621"/>
      <c r="J48" s="620"/>
      <c r="K48" s="474">
        <f t="shared" si="27"/>
        <v>0</v>
      </c>
      <c r="L48" s="476">
        <f t="shared" si="18"/>
        <v>0</v>
      </c>
      <c r="M48" s="477" t="str">
        <f t="shared" si="28"/>
        <v>-</v>
      </c>
      <c r="N48" s="478">
        <f t="shared" si="25"/>
        <v>0</v>
      </c>
      <c r="O48" s="476">
        <f t="shared" si="20"/>
        <v>0</v>
      </c>
      <c r="P48" s="479" t="str">
        <f t="shared" si="26"/>
        <v>-</v>
      </c>
      <c r="Q48" s="476" t="str">
        <f t="shared" si="21"/>
        <v>-</v>
      </c>
      <c r="R48" s="476">
        <f t="shared" si="22"/>
        <v>0</v>
      </c>
      <c r="S48" s="494" t="str">
        <f t="shared" si="23"/>
        <v>-</v>
      </c>
      <c r="T48" s="495" t="str">
        <f t="shared" si="24"/>
        <v>-</v>
      </c>
    </row>
    <row r="49" spans="1:20" ht="23.4" x14ac:dyDescent="0.3">
      <c r="A49" s="252" t="s">
        <v>109</v>
      </c>
      <c r="B49" s="249" t="s">
        <v>40</v>
      </c>
      <c r="C49" s="474">
        <f t="shared" si="15"/>
        <v>0</v>
      </c>
      <c r="D49" s="250"/>
      <c r="E49" s="251"/>
      <c r="F49" s="475">
        <v>2800</v>
      </c>
      <c r="G49" s="476">
        <f t="shared" si="29"/>
        <v>0</v>
      </c>
      <c r="H49" s="475"/>
      <c r="I49" s="621"/>
      <c r="J49" s="620"/>
      <c r="K49" s="474">
        <f t="shared" si="27"/>
        <v>0</v>
      </c>
      <c r="L49" s="476">
        <f t="shared" si="18"/>
        <v>0</v>
      </c>
      <c r="M49" s="477" t="str">
        <f t="shared" si="28"/>
        <v>-</v>
      </c>
      <c r="N49" s="478">
        <f t="shared" si="25"/>
        <v>0</v>
      </c>
      <c r="O49" s="476">
        <f t="shared" si="20"/>
        <v>0</v>
      </c>
      <c r="P49" s="479" t="str">
        <f t="shared" si="26"/>
        <v>-</v>
      </c>
      <c r="Q49" s="476" t="str">
        <f t="shared" si="21"/>
        <v>-</v>
      </c>
      <c r="R49" s="476">
        <f t="shared" si="22"/>
        <v>0</v>
      </c>
      <c r="S49" s="494" t="str">
        <f t="shared" si="23"/>
        <v>-</v>
      </c>
      <c r="T49" s="495" t="str">
        <f t="shared" si="24"/>
        <v>-</v>
      </c>
    </row>
    <row r="50" spans="1:20" ht="23.4" x14ac:dyDescent="0.3">
      <c r="A50" s="248" t="s">
        <v>109</v>
      </c>
      <c r="B50" s="249" t="s">
        <v>42</v>
      </c>
      <c r="C50" s="474">
        <f t="shared" si="15"/>
        <v>0</v>
      </c>
      <c r="D50" s="250"/>
      <c r="E50" s="251"/>
      <c r="F50" s="475">
        <v>25000</v>
      </c>
      <c r="G50" s="476">
        <f t="shared" si="29"/>
        <v>0</v>
      </c>
      <c r="H50" s="475"/>
      <c r="I50" s="621"/>
      <c r="J50" s="620"/>
      <c r="K50" s="474">
        <f t="shared" si="27"/>
        <v>0</v>
      </c>
      <c r="L50" s="476">
        <f t="shared" si="18"/>
        <v>0</v>
      </c>
      <c r="M50" s="477" t="str">
        <f t="shared" si="28"/>
        <v>-</v>
      </c>
      <c r="N50" s="478">
        <f t="shared" si="25"/>
        <v>0</v>
      </c>
      <c r="O50" s="476">
        <f t="shared" si="20"/>
        <v>0</v>
      </c>
      <c r="P50" s="479" t="str">
        <f t="shared" si="26"/>
        <v>-</v>
      </c>
      <c r="Q50" s="476" t="str">
        <f t="shared" si="21"/>
        <v>-</v>
      </c>
      <c r="R50" s="476">
        <f t="shared" si="22"/>
        <v>0</v>
      </c>
      <c r="S50" s="494" t="str">
        <f t="shared" si="23"/>
        <v>-</v>
      </c>
      <c r="T50" s="495" t="str">
        <f t="shared" si="24"/>
        <v>-</v>
      </c>
    </row>
    <row r="51" spans="1:20" ht="47.4" thickBot="1" x14ac:dyDescent="0.35">
      <c r="A51" s="625" t="s">
        <v>109</v>
      </c>
      <c r="B51" s="261" t="s">
        <v>232</v>
      </c>
      <c r="C51" s="626">
        <f t="shared" si="15"/>
        <v>0</v>
      </c>
      <c r="D51" s="627"/>
      <c r="E51" s="628"/>
      <c r="F51" s="629">
        <v>25000</v>
      </c>
      <c r="G51" s="630">
        <f t="shared" si="29"/>
        <v>0</v>
      </c>
      <c r="H51" s="629"/>
      <c r="I51" s="631"/>
      <c r="J51" s="624"/>
      <c r="K51" s="626">
        <f t="shared" si="27"/>
        <v>0</v>
      </c>
      <c r="L51" s="630">
        <f t="shared" si="18"/>
        <v>0</v>
      </c>
      <c r="M51" s="632" t="str">
        <f t="shared" si="28"/>
        <v>-</v>
      </c>
      <c r="N51" s="633">
        <f t="shared" si="25"/>
        <v>0</v>
      </c>
      <c r="O51" s="630">
        <f t="shared" si="20"/>
        <v>0</v>
      </c>
      <c r="P51" s="634" t="str">
        <f t="shared" si="26"/>
        <v>-</v>
      </c>
      <c r="Q51" s="630" t="str">
        <f t="shared" si="21"/>
        <v>-</v>
      </c>
      <c r="R51" s="630">
        <f t="shared" si="22"/>
        <v>0</v>
      </c>
      <c r="S51" s="635" t="str">
        <f t="shared" si="23"/>
        <v>-</v>
      </c>
      <c r="T51" s="636" t="str">
        <f t="shared" si="24"/>
        <v>-</v>
      </c>
    </row>
    <row r="52" spans="1:20" ht="24.6" customHeight="1" x14ac:dyDescent="0.3">
      <c r="A52" s="230"/>
      <c r="B52" s="231"/>
      <c r="C52" s="232"/>
      <c r="D52" s="232"/>
      <c r="E52" s="232"/>
      <c r="F52" s="232"/>
      <c r="G52" s="233"/>
      <c r="H52" s="234"/>
      <c r="I52" s="232"/>
      <c r="J52" s="232"/>
      <c r="K52" s="232"/>
      <c r="L52" s="232"/>
      <c r="M52" s="234"/>
      <c r="N52" s="232"/>
      <c r="O52" s="232"/>
      <c r="P52" s="234"/>
      <c r="Q52" s="232"/>
      <c r="R52" s="232"/>
      <c r="S52" s="234"/>
      <c r="T52" s="234"/>
    </row>
    <row r="53" spans="1:20" ht="24.6" customHeight="1" x14ac:dyDescent="0.3">
      <c r="A53" s="230"/>
      <c r="B53" s="231"/>
      <c r="C53" s="232"/>
      <c r="D53" s="232"/>
      <c r="E53" s="232"/>
      <c r="F53" s="232"/>
      <c r="G53" s="233"/>
      <c r="H53" s="234"/>
      <c r="I53" s="232"/>
      <c r="J53" s="232"/>
      <c r="K53" s="232"/>
      <c r="L53" s="232"/>
      <c r="M53" s="234"/>
      <c r="N53" s="232"/>
      <c r="O53" s="232"/>
      <c r="P53" s="234"/>
      <c r="Q53" s="232"/>
      <c r="R53" s="232"/>
      <c r="S53" s="234"/>
      <c r="T53" s="234"/>
    </row>
    <row r="54" spans="1:20" ht="24.6" customHeight="1" x14ac:dyDescent="0.3">
      <c r="A54" s="230"/>
      <c r="B54" s="231"/>
      <c r="C54" s="232"/>
      <c r="D54" s="232"/>
      <c r="E54" s="232"/>
      <c r="F54" s="232"/>
      <c r="G54" s="233"/>
      <c r="H54" s="234"/>
      <c r="I54" s="232"/>
      <c r="J54" s="232"/>
      <c r="K54" s="232"/>
      <c r="L54" s="232"/>
      <c r="M54" s="234"/>
      <c r="N54" s="232"/>
      <c r="O54" s="232"/>
      <c r="P54" s="234"/>
      <c r="Q54" s="232"/>
      <c r="R54" s="232"/>
      <c r="S54" s="234"/>
      <c r="T54" s="234"/>
    </row>
    <row r="55" spans="1:20" ht="24.6" customHeight="1" thickBot="1" x14ac:dyDescent="0.35">
      <c r="A55" s="230"/>
      <c r="B55" s="231"/>
      <c r="C55" s="232"/>
      <c r="D55" s="232"/>
      <c r="E55" s="232"/>
      <c r="F55" s="232"/>
      <c r="G55" s="233"/>
      <c r="H55" s="234"/>
      <c r="I55" s="232"/>
      <c r="J55" s="232"/>
      <c r="K55" s="232"/>
      <c r="L55" s="232"/>
      <c r="M55" s="234"/>
      <c r="N55" s="232"/>
      <c r="O55" s="232"/>
      <c r="P55" s="234"/>
      <c r="Q55" s="232"/>
      <c r="R55" s="232"/>
      <c r="S55" s="234"/>
      <c r="T55" s="234"/>
    </row>
    <row r="56" spans="1:20" ht="22.5" customHeight="1" x14ac:dyDescent="0.3">
      <c r="A56" s="1043" t="s">
        <v>1</v>
      </c>
      <c r="B56" s="1043" t="s">
        <v>2</v>
      </c>
      <c r="C56" s="1000" t="s">
        <v>221</v>
      </c>
      <c r="D56" s="1001"/>
      <c r="E56" s="1002"/>
      <c r="F56" s="1000" t="s">
        <v>592</v>
      </c>
      <c r="G56" s="1001"/>
      <c r="H56" s="1001"/>
      <c r="I56" s="1002"/>
      <c r="J56" s="1043" t="s">
        <v>218</v>
      </c>
      <c r="K56" s="1000" t="s">
        <v>206</v>
      </c>
      <c r="L56" s="1001"/>
      <c r="M56" s="1002"/>
      <c r="N56" s="1000" t="s">
        <v>207</v>
      </c>
      <c r="O56" s="1001"/>
      <c r="P56" s="1002"/>
      <c r="Q56" s="1000" t="s">
        <v>208</v>
      </c>
      <c r="R56" s="1001"/>
      <c r="S56" s="1002"/>
      <c r="T56" s="1107" t="s">
        <v>205</v>
      </c>
    </row>
    <row r="57" spans="1:20" ht="87.6" thickBot="1" x14ac:dyDescent="0.35">
      <c r="A57" s="1045"/>
      <c r="B57" s="1045"/>
      <c r="C57" s="235" t="s">
        <v>222</v>
      </c>
      <c r="D57" s="236" t="s">
        <v>219</v>
      </c>
      <c r="E57" s="237" t="s">
        <v>220</v>
      </c>
      <c r="F57" s="238" t="s">
        <v>361</v>
      </c>
      <c r="G57" s="236" t="s">
        <v>215</v>
      </c>
      <c r="H57" s="239" t="s">
        <v>216</v>
      </c>
      <c r="I57" s="240" t="s">
        <v>217</v>
      </c>
      <c r="J57" s="1045"/>
      <c r="K57" s="235" t="s">
        <v>209</v>
      </c>
      <c r="L57" s="239" t="s">
        <v>210</v>
      </c>
      <c r="M57" s="241" t="s">
        <v>223</v>
      </c>
      <c r="N57" s="242" t="s">
        <v>211</v>
      </c>
      <c r="O57" s="239" t="s">
        <v>212</v>
      </c>
      <c r="P57" s="241" t="s">
        <v>224</v>
      </c>
      <c r="Q57" s="235" t="s">
        <v>213</v>
      </c>
      <c r="R57" s="239" t="s">
        <v>214</v>
      </c>
      <c r="S57" s="243" t="s">
        <v>225</v>
      </c>
      <c r="T57" s="1108"/>
    </row>
    <row r="58" spans="1:20" ht="25.5" customHeight="1" x14ac:dyDescent="0.3">
      <c r="A58" s="244" t="s">
        <v>110</v>
      </c>
      <c r="B58" s="245" t="s">
        <v>16</v>
      </c>
      <c r="C58" s="467">
        <f>+D58+E58</f>
        <v>0</v>
      </c>
      <c r="D58" s="246"/>
      <c r="E58" s="247"/>
      <c r="F58" s="610">
        <v>15000</v>
      </c>
      <c r="G58" s="468">
        <f>+H58+I58</f>
        <v>0</v>
      </c>
      <c r="H58" s="614"/>
      <c r="I58" s="616"/>
      <c r="J58" s="619"/>
      <c r="K58" s="467">
        <f>+L58-E58</f>
        <v>0</v>
      </c>
      <c r="L58" s="468">
        <f>+J58-D58</f>
        <v>0</v>
      </c>
      <c r="M58" s="469" t="str">
        <f>IFERROR(K58/L58,"-")</f>
        <v>-</v>
      </c>
      <c r="N58" s="470">
        <f>+O58-C58</f>
        <v>0</v>
      </c>
      <c r="O58" s="468">
        <f>+K58</f>
        <v>0</v>
      </c>
      <c r="P58" s="471" t="str">
        <f>IFERROR(N58/O58,"-")</f>
        <v>-</v>
      </c>
      <c r="Q58" s="468" t="str">
        <f>IFERROR(N58-(J58-(J58*H58/G58)),"-")</f>
        <v>-</v>
      </c>
      <c r="R58" s="468">
        <f>+N58</f>
        <v>0</v>
      </c>
      <c r="S58" s="472" t="str">
        <f>IFERROR(Q58/R58,"-")</f>
        <v>-</v>
      </c>
      <c r="T58" s="473" t="str">
        <f>IFERROR(M58*P58*S58,"-")</f>
        <v>-</v>
      </c>
    </row>
    <row r="59" spans="1:20" ht="25.5" customHeight="1" x14ac:dyDescent="0.3">
      <c r="A59" s="248" t="s">
        <v>110</v>
      </c>
      <c r="B59" s="249" t="s">
        <v>229</v>
      </c>
      <c r="C59" s="474">
        <f t="shared" ref="C59:C73" si="30">+D59+E59</f>
        <v>30</v>
      </c>
      <c r="D59" s="250">
        <v>30</v>
      </c>
      <c r="E59" s="251"/>
      <c r="F59" s="611">
        <v>100000</v>
      </c>
      <c r="G59" s="476">
        <f t="shared" ref="G59:G64" si="31">+H59+I59</f>
        <v>84020</v>
      </c>
      <c r="H59" s="254">
        <v>82620</v>
      </c>
      <c r="I59" s="617">
        <v>1400</v>
      </c>
      <c r="J59" s="620">
        <v>480</v>
      </c>
      <c r="K59" s="474">
        <f t="shared" ref="K59:K62" si="32">+L59-E59</f>
        <v>450</v>
      </c>
      <c r="L59" s="476">
        <f t="shared" ref="L59:L73" si="33">+J59-D59</f>
        <v>450</v>
      </c>
      <c r="M59" s="477">
        <f t="shared" ref="M59:M62" si="34">IFERROR(K59/L59,"-")</f>
        <v>1</v>
      </c>
      <c r="N59" s="478">
        <f>+O59-C59</f>
        <v>420</v>
      </c>
      <c r="O59" s="476">
        <f t="shared" ref="O59:O73" si="35">+K59</f>
        <v>450</v>
      </c>
      <c r="P59" s="479">
        <f>IFERROR(N59/O59,"-")</f>
        <v>0.93333333333333335</v>
      </c>
      <c r="Q59" s="476">
        <f t="shared" ref="Q59:Q73" si="36">IFERROR(N59-(J59-(J59*H59/G59)),"-")</f>
        <v>412.00190430849796</v>
      </c>
      <c r="R59" s="476">
        <f t="shared" ref="R59:R73" si="37">+N59</f>
        <v>420</v>
      </c>
      <c r="S59" s="480">
        <f t="shared" ref="S59:S73" si="38">IFERROR(Q59/R59,"-")</f>
        <v>0.98095691502023319</v>
      </c>
      <c r="T59" s="481">
        <f t="shared" ref="T59:T73" si="39">IFERROR(M59*P59*S59,"-")</f>
        <v>0.91555978735221766</v>
      </c>
    </row>
    <row r="60" spans="1:20" ht="23.4" x14ac:dyDescent="0.3">
      <c r="A60" s="248" t="s">
        <v>110</v>
      </c>
      <c r="B60" s="249" t="s">
        <v>228</v>
      </c>
      <c r="C60" s="474">
        <f t="shared" si="30"/>
        <v>0</v>
      </c>
      <c r="D60" s="250"/>
      <c r="E60" s="251"/>
      <c r="F60" s="611">
        <v>80000</v>
      </c>
      <c r="G60" s="476">
        <f t="shared" si="31"/>
        <v>0</v>
      </c>
      <c r="H60" s="254"/>
      <c r="I60" s="617"/>
      <c r="J60" s="620"/>
      <c r="K60" s="474">
        <f t="shared" si="32"/>
        <v>0</v>
      </c>
      <c r="L60" s="476">
        <f t="shared" si="33"/>
        <v>0</v>
      </c>
      <c r="M60" s="477" t="str">
        <f t="shared" si="34"/>
        <v>-</v>
      </c>
      <c r="N60" s="478">
        <f t="shared" ref="N60:N73" si="40">+O60-C60</f>
        <v>0</v>
      </c>
      <c r="O60" s="476">
        <f t="shared" si="35"/>
        <v>0</v>
      </c>
      <c r="P60" s="479" t="str">
        <f t="shared" ref="P60:P73" si="41">IFERROR(N60/O60,"-")</f>
        <v>-</v>
      </c>
      <c r="Q60" s="476" t="str">
        <f t="shared" si="36"/>
        <v>-</v>
      </c>
      <c r="R60" s="476">
        <f t="shared" si="37"/>
        <v>0</v>
      </c>
      <c r="S60" s="480" t="str">
        <f t="shared" si="38"/>
        <v>-</v>
      </c>
      <c r="T60" s="481" t="str">
        <f t="shared" si="39"/>
        <v>-</v>
      </c>
    </row>
    <row r="61" spans="1:20" ht="23.4" x14ac:dyDescent="0.3">
      <c r="A61" s="252" t="s">
        <v>110</v>
      </c>
      <c r="B61" s="249" t="s">
        <v>231</v>
      </c>
      <c r="C61" s="474">
        <f t="shared" si="30"/>
        <v>180</v>
      </c>
      <c r="D61" s="250">
        <f>30+30</f>
        <v>60</v>
      </c>
      <c r="E61" s="251">
        <v>120</v>
      </c>
      <c r="F61" s="611">
        <v>220000</v>
      </c>
      <c r="G61" s="476">
        <f t="shared" si="31"/>
        <v>85512</v>
      </c>
      <c r="H61" s="254">
        <v>84480</v>
      </c>
      <c r="I61" s="617">
        <v>1032</v>
      </c>
      <c r="J61" s="620">
        <v>960</v>
      </c>
      <c r="K61" s="474">
        <f t="shared" si="32"/>
        <v>780</v>
      </c>
      <c r="L61" s="476">
        <f t="shared" si="33"/>
        <v>900</v>
      </c>
      <c r="M61" s="477">
        <f t="shared" si="34"/>
        <v>0.8666666666666667</v>
      </c>
      <c r="N61" s="478">
        <f t="shared" si="40"/>
        <v>600</v>
      </c>
      <c r="O61" s="476">
        <f t="shared" si="35"/>
        <v>780</v>
      </c>
      <c r="P61" s="479">
        <f t="shared" si="41"/>
        <v>0.76923076923076927</v>
      </c>
      <c r="Q61" s="476">
        <f t="shared" si="36"/>
        <v>588.41425764804944</v>
      </c>
      <c r="R61" s="476">
        <f t="shared" si="37"/>
        <v>600</v>
      </c>
      <c r="S61" s="480">
        <f t="shared" si="38"/>
        <v>0.98069042941341578</v>
      </c>
      <c r="T61" s="481">
        <f t="shared" si="39"/>
        <v>0.65379361960894389</v>
      </c>
    </row>
    <row r="62" spans="1:20" ht="23.4" x14ac:dyDescent="0.3">
      <c r="A62" s="248" t="s">
        <v>110</v>
      </c>
      <c r="B62" s="249" t="s">
        <v>230</v>
      </c>
      <c r="C62" s="474">
        <f t="shared" si="30"/>
        <v>0</v>
      </c>
      <c r="D62" s="250"/>
      <c r="E62" s="251"/>
      <c r="F62" s="611">
        <v>50000</v>
      </c>
      <c r="G62" s="476">
        <f t="shared" si="31"/>
        <v>0</v>
      </c>
      <c r="H62" s="254"/>
      <c r="I62" s="617"/>
      <c r="J62" s="620"/>
      <c r="K62" s="474">
        <f t="shared" si="32"/>
        <v>0</v>
      </c>
      <c r="L62" s="476">
        <f t="shared" si="33"/>
        <v>0</v>
      </c>
      <c r="M62" s="477" t="str">
        <f t="shared" si="34"/>
        <v>-</v>
      </c>
      <c r="N62" s="478">
        <f t="shared" si="40"/>
        <v>0</v>
      </c>
      <c r="O62" s="476">
        <f t="shared" si="35"/>
        <v>0</v>
      </c>
      <c r="P62" s="479" t="str">
        <f t="shared" si="41"/>
        <v>-</v>
      </c>
      <c r="Q62" s="476" t="str">
        <f t="shared" si="36"/>
        <v>-</v>
      </c>
      <c r="R62" s="476">
        <f t="shared" si="37"/>
        <v>0</v>
      </c>
      <c r="S62" s="480" t="str">
        <f t="shared" si="38"/>
        <v>-</v>
      </c>
      <c r="T62" s="481" t="str">
        <f t="shared" si="39"/>
        <v>-</v>
      </c>
    </row>
    <row r="63" spans="1:20" ht="23.4" x14ac:dyDescent="0.3">
      <c r="A63" s="248">
        <v>5</v>
      </c>
      <c r="B63" s="249" t="s">
        <v>22</v>
      </c>
      <c r="C63" s="474">
        <f t="shared" si="30"/>
        <v>0</v>
      </c>
      <c r="D63" s="250"/>
      <c r="E63" s="251"/>
      <c r="F63" s="611">
        <v>80000</v>
      </c>
      <c r="G63" s="476">
        <f t="shared" si="31"/>
        <v>0</v>
      </c>
      <c r="H63" s="475"/>
      <c r="I63" s="621"/>
      <c r="J63" s="620"/>
      <c r="K63" s="474">
        <f>+L63-E63</f>
        <v>0</v>
      </c>
      <c r="L63" s="476">
        <f t="shared" si="33"/>
        <v>0</v>
      </c>
      <c r="M63" s="477" t="str">
        <f>IFERROR(K63/L63,"-")</f>
        <v>-</v>
      </c>
      <c r="N63" s="478">
        <f t="shared" si="40"/>
        <v>0</v>
      </c>
      <c r="O63" s="476">
        <f t="shared" si="35"/>
        <v>0</v>
      </c>
      <c r="P63" s="479" t="str">
        <f t="shared" si="41"/>
        <v>-</v>
      </c>
      <c r="Q63" s="476" t="str">
        <f t="shared" si="36"/>
        <v>-</v>
      </c>
      <c r="R63" s="476">
        <f t="shared" si="37"/>
        <v>0</v>
      </c>
      <c r="S63" s="480" t="str">
        <f t="shared" si="38"/>
        <v>-</v>
      </c>
      <c r="T63" s="481" t="str">
        <f t="shared" si="39"/>
        <v>-</v>
      </c>
    </row>
    <row r="64" spans="1:20" ht="23.4" x14ac:dyDescent="0.3">
      <c r="A64" s="248" t="s">
        <v>110</v>
      </c>
      <c r="B64" s="249" t="s">
        <v>23</v>
      </c>
      <c r="C64" s="474">
        <f t="shared" si="30"/>
        <v>110</v>
      </c>
      <c r="D64" s="250">
        <v>30</v>
      </c>
      <c r="E64" s="251">
        <v>80</v>
      </c>
      <c r="F64" s="611">
        <v>14000</v>
      </c>
      <c r="G64" s="476">
        <f t="shared" si="31"/>
        <v>14915</v>
      </c>
      <c r="H64" s="254">
        <v>14875</v>
      </c>
      <c r="I64" s="617">
        <v>40</v>
      </c>
      <c r="J64" s="620">
        <v>480</v>
      </c>
      <c r="K64" s="474">
        <f t="shared" ref="K64:K73" si="42">+L64-E64</f>
        <v>370</v>
      </c>
      <c r="L64" s="476">
        <f t="shared" si="33"/>
        <v>450</v>
      </c>
      <c r="M64" s="477">
        <f t="shared" ref="M64:M73" si="43">IFERROR(K64/L64,"-")</f>
        <v>0.82222222222222219</v>
      </c>
      <c r="N64" s="478">
        <f t="shared" si="40"/>
        <v>260</v>
      </c>
      <c r="O64" s="476">
        <f t="shared" si="35"/>
        <v>370</v>
      </c>
      <c r="P64" s="479">
        <f t="shared" si="41"/>
        <v>0.70270270270270274</v>
      </c>
      <c r="Q64" s="476">
        <f t="shared" si="36"/>
        <v>258.71270533020447</v>
      </c>
      <c r="R64" s="476">
        <f t="shared" si="37"/>
        <v>260</v>
      </c>
      <c r="S64" s="480">
        <f t="shared" si="38"/>
        <v>0.99504886665463255</v>
      </c>
      <c r="T64" s="481">
        <f t="shared" si="39"/>
        <v>0.57491712295600994</v>
      </c>
    </row>
    <row r="65" spans="1:20" ht="24" thickBot="1" x14ac:dyDescent="0.35">
      <c r="A65" s="248" t="s">
        <v>110</v>
      </c>
      <c r="B65" s="253" t="s">
        <v>226</v>
      </c>
      <c r="C65" s="482">
        <f t="shared" si="30"/>
        <v>455</v>
      </c>
      <c r="D65" s="250">
        <f>30+30+60</f>
        <v>120</v>
      </c>
      <c r="E65" s="251">
        <v>335</v>
      </c>
      <c r="F65" s="611">
        <v>4500</v>
      </c>
      <c r="G65" s="476">
        <f>+H65+I65</f>
        <v>0</v>
      </c>
      <c r="H65" s="259"/>
      <c r="I65" s="618"/>
      <c r="J65" s="620">
        <v>960</v>
      </c>
      <c r="K65" s="482">
        <f t="shared" si="42"/>
        <v>505</v>
      </c>
      <c r="L65" s="250">
        <f t="shared" si="33"/>
        <v>840</v>
      </c>
      <c r="M65" s="483">
        <f t="shared" si="43"/>
        <v>0.60119047619047616</v>
      </c>
      <c r="N65" s="484">
        <f t="shared" si="40"/>
        <v>50</v>
      </c>
      <c r="O65" s="250">
        <f t="shared" si="35"/>
        <v>505</v>
      </c>
      <c r="P65" s="485">
        <f t="shared" si="41"/>
        <v>9.9009900990099015E-2</v>
      </c>
      <c r="Q65" s="250" t="str">
        <f t="shared" si="36"/>
        <v>-</v>
      </c>
      <c r="R65" s="250">
        <f t="shared" si="37"/>
        <v>50</v>
      </c>
      <c r="S65" s="486" t="str">
        <f t="shared" si="38"/>
        <v>-</v>
      </c>
      <c r="T65" s="487" t="str">
        <f t="shared" si="39"/>
        <v>-</v>
      </c>
    </row>
    <row r="66" spans="1:20" ht="24" thickBot="1" x14ac:dyDescent="0.35">
      <c r="A66" s="255" t="s">
        <v>110</v>
      </c>
      <c r="B66" s="256" t="s">
        <v>227</v>
      </c>
      <c r="C66" s="488">
        <f t="shared" si="30"/>
        <v>230</v>
      </c>
      <c r="D66" s="257">
        <f>30+30+60</f>
        <v>120</v>
      </c>
      <c r="E66" s="258">
        <v>110</v>
      </c>
      <c r="F66" s="615">
        <v>5000</v>
      </c>
      <c r="G66" s="498">
        <f t="shared" ref="G66:G73" si="44">+H66+I66</f>
        <v>0</v>
      </c>
      <c r="H66" s="259"/>
      <c r="I66" s="618"/>
      <c r="J66" s="623">
        <v>960</v>
      </c>
      <c r="K66" s="488">
        <f t="shared" si="42"/>
        <v>730</v>
      </c>
      <c r="L66" s="257">
        <f t="shared" si="33"/>
        <v>840</v>
      </c>
      <c r="M66" s="489">
        <f t="shared" si="43"/>
        <v>0.86904761904761907</v>
      </c>
      <c r="N66" s="490">
        <f t="shared" si="40"/>
        <v>500</v>
      </c>
      <c r="O66" s="257">
        <f t="shared" si="35"/>
        <v>730</v>
      </c>
      <c r="P66" s="491">
        <f t="shared" si="41"/>
        <v>0.68493150684931503</v>
      </c>
      <c r="Q66" s="257" t="str">
        <f t="shared" si="36"/>
        <v>-</v>
      </c>
      <c r="R66" s="257">
        <f t="shared" si="37"/>
        <v>500</v>
      </c>
      <c r="S66" s="492" t="str">
        <f t="shared" si="38"/>
        <v>-</v>
      </c>
      <c r="T66" s="493" t="str">
        <f t="shared" si="39"/>
        <v>-</v>
      </c>
    </row>
    <row r="67" spans="1:20" ht="23.4" x14ac:dyDescent="0.3">
      <c r="A67" s="252" t="s">
        <v>108</v>
      </c>
      <c r="B67" s="260" t="s">
        <v>29</v>
      </c>
      <c r="C67" s="474">
        <f t="shared" si="30"/>
        <v>135</v>
      </c>
      <c r="D67" s="250">
        <v>30</v>
      </c>
      <c r="E67" s="251">
        <v>105</v>
      </c>
      <c r="F67" s="475">
        <v>160000</v>
      </c>
      <c r="G67" s="476">
        <f t="shared" si="44"/>
        <v>136308</v>
      </c>
      <c r="H67" s="475">
        <v>135252</v>
      </c>
      <c r="I67" s="621">
        <v>1056</v>
      </c>
      <c r="J67" s="756">
        <v>900</v>
      </c>
      <c r="K67" s="474">
        <f t="shared" si="42"/>
        <v>765</v>
      </c>
      <c r="L67" s="476">
        <f t="shared" si="33"/>
        <v>870</v>
      </c>
      <c r="M67" s="477">
        <f t="shared" si="43"/>
        <v>0.87931034482758619</v>
      </c>
      <c r="N67" s="478">
        <f t="shared" si="40"/>
        <v>630</v>
      </c>
      <c r="O67" s="476">
        <f t="shared" si="35"/>
        <v>765</v>
      </c>
      <c r="P67" s="479">
        <f t="shared" si="41"/>
        <v>0.82352941176470584</v>
      </c>
      <c r="Q67" s="476">
        <f t="shared" si="36"/>
        <v>623.02755524253894</v>
      </c>
      <c r="R67" s="476">
        <f t="shared" si="37"/>
        <v>630</v>
      </c>
      <c r="S67" s="494">
        <f t="shared" si="38"/>
        <v>0.98893262736910947</v>
      </c>
      <c r="T67" s="495">
        <f t="shared" si="39"/>
        <v>0.71612362671556207</v>
      </c>
    </row>
    <row r="68" spans="1:20" ht="22.5" customHeight="1" x14ac:dyDescent="0.3">
      <c r="A68" s="248" t="s">
        <v>108</v>
      </c>
      <c r="B68" s="260" t="s">
        <v>31</v>
      </c>
      <c r="C68" s="474">
        <f t="shared" si="30"/>
        <v>0</v>
      </c>
      <c r="D68" s="769"/>
      <c r="E68" s="251"/>
      <c r="F68" s="475">
        <v>50000</v>
      </c>
      <c r="G68" s="476">
        <f t="shared" si="44"/>
        <v>0</v>
      </c>
      <c r="H68" s="475"/>
      <c r="I68" s="621"/>
      <c r="J68" s="620"/>
      <c r="K68" s="474">
        <f t="shared" si="42"/>
        <v>0</v>
      </c>
      <c r="L68" s="476">
        <f t="shared" si="33"/>
        <v>0</v>
      </c>
      <c r="M68" s="477" t="str">
        <f t="shared" si="43"/>
        <v>-</v>
      </c>
      <c r="N68" s="478">
        <f t="shared" si="40"/>
        <v>0</v>
      </c>
      <c r="O68" s="476">
        <f t="shared" si="35"/>
        <v>0</v>
      </c>
      <c r="P68" s="479" t="str">
        <f t="shared" si="41"/>
        <v>-</v>
      </c>
      <c r="Q68" s="476" t="str">
        <f t="shared" si="36"/>
        <v>-</v>
      </c>
      <c r="R68" s="476">
        <f t="shared" si="37"/>
        <v>0</v>
      </c>
      <c r="S68" s="494" t="str">
        <f t="shared" si="38"/>
        <v>-</v>
      </c>
      <c r="T68" s="495" t="str">
        <f t="shared" si="39"/>
        <v>-</v>
      </c>
    </row>
    <row r="69" spans="1:20" ht="24" thickBot="1" x14ac:dyDescent="0.35">
      <c r="A69" s="255" t="s">
        <v>108</v>
      </c>
      <c r="B69" s="261" t="s">
        <v>32</v>
      </c>
      <c r="C69" s="496">
        <f t="shared" si="30"/>
        <v>0</v>
      </c>
      <c r="D69" s="257"/>
      <c r="E69" s="258"/>
      <c r="F69" s="497">
        <v>110000</v>
      </c>
      <c r="G69" s="498">
        <f t="shared" si="44"/>
        <v>0</v>
      </c>
      <c r="H69" s="497"/>
      <c r="I69" s="622"/>
      <c r="J69" s="623"/>
      <c r="K69" s="496">
        <f t="shared" si="42"/>
        <v>0</v>
      </c>
      <c r="L69" s="498">
        <f t="shared" si="33"/>
        <v>0</v>
      </c>
      <c r="M69" s="499" t="str">
        <f t="shared" si="43"/>
        <v>-</v>
      </c>
      <c r="N69" s="500">
        <f t="shared" si="40"/>
        <v>0</v>
      </c>
      <c r="O69" s="498">
        <f t="shared" si="35"/>
        <v>0</v>
      </c>
      <c r="P69" s="501" t="str">
        <f t="shared" si="41"/>
        <v>-</v>
      </c>
      <c r="Q69" s="498" t="str">
        <f t="shared" si="36"/>
        <v>-</v>
      </c>
      <c r="R69" s="498">
        <f t="shared" si="37"/>
        <v>0</v>
      </c>
      <c r="S69" s="502" t="str">
        <f t="shared" si="38"/>
        <v>-</v>
      </c>
      <c r="T69" s="503" t="str">
        <f t="shared" si="39"/>
        <v>-</v>
      </c>
    </row>
    <row r="70" spans="1:20" ht="23.4" x14ac:dyDescent="0.3">
      <c r="A70" s="248" t="s">
        <v>109</v>
      </c>
      <c r="B70" s="249" t="s">
        <v>233</v>
      </c>
      <c r="C70" s="474">
        <f t="shared" si="30"/>
        <v>30</v>
      </c>
      <c r="D70" s="250">
        <v>30</v>
      </c>
      <c r="E70" s="251"/>
      <c r="F70" s="475">
        <v>6500</v>
      </c>
      <c r="G70" s="476">
        <f t="shared" si="44"/>
        <v>3454</v>
      </c>
      <c r="H70" s="475">
        <v>3327</v>
      </c>
      <c r="I70" s="621">
        <v>127</v>
      </c>
      <c r="J70" s="620">
        <v>480</v>
      </c>
      <c r="K70" s="474">
        <f t="shared" si="42"/>
        <v>450</v>
      </c>
      <c r="L70" s="476">
        <f t="shared" si="33"/>
        <v>450</v>
      </c>
      <c r="M70" s="477">
        <f t="shared" si="43"/>
        <v>1</v>
      </c>
      <c r="N70" s="478">
        <f t="shared" si="40"/>
        <v>420</v>
      </c>
      <c r="O70" s="476">
        <f t="shared" si="35"/>
        <v>450</v>
      </c>
      <c r="P70" s="479">
        <f t="shared" si="41"/>
        <v>0.93333333333333335</v>
      </c>
      <c r="Q70" s="476">
        <f t="shared" si="36"/>
        <v>402.35089751013317</v>
      </c>
      <c r="R70" s="476">
        <f t="shared" si="37"/>
        <v>420</v>
      </c>
      <c r="S70" s="494">
        <f t="shared" si="38"/>
        <v>0.95797832740507893</v>
      </c>
      <c r="T70" s="495">
        <f t="shared" si="39"/>
        <v>0.89411310557807366</v>
      </c>
    </row>
    <row r="71" spans="1:20" ht="23.4" x14ac:dyDescent="0.3">
      <c r="A71" s="252" t="s">
        <v>109</v>
      </c>
      <c r="B71" s="249" t="s">
        <v>40</v>
      </c>
      <c r="C71" s="474">
        <f t="shared" si="30"/>
        <v>30</v>
      </c>
      <c r="D71" s="250">
        <v>30</v>
      </c>
      <c r="E71" s="251"/>
      <c r="F71" s="475">
        <v>2800</v>
      </c>
      <c r="G71" s="476">
        <f t="shared" si="44"/>
        <v>1728</v>
      </c>
      <c r="H71" s="475">
        <v>1600</v>
      </c>
      <c r="I71" s="621">
        <v>128</v>
      </c>
      <c r="J71" s="620">
        <v>480</v>
      </c>
      <c r="K71" s="474">
        <f t="shared" si="42"/>
        <v>450</v>
      </c>
      <c r="L71" s="476">
        <f t="shared" si="33"/>
        <v>450</v>
      </c>
      <c r="M71" s="477">
        <f t="shared" si="43"/>
        <v>1</v>
      </c>
      <c r="N71" s="478">
        <f t="shared" si="40"/>
        <v>420</v>
      </c>
      <c r="O71" s="476">
        <f t="shared" si="35"/>
        <v>450</v>
      </c>
      <c r="P71" s="479">
        <f t="shared" si="41"/>
        <v>0.93333333333333335</v>
      </c>
      <c r="Q71" s="476">
        <f t="shared" si="36"/>
        <v>384.44444444444446</v>
      </c>
      <c r="R71" s="476">
        <f t="shared" si="37"/>
        <v>420</v>
      </c>
      <c r="S71" s="494">
        <f t="shared" si="38"/>
        <v>0.91534391534391535</v>
      </c>
      <c r="T71" s="495">
        <f t="shared" si="39"/>
        <v>0.85432098765432096</v>
      </c>
    </row>
    <row r="72" spans="1:20" ht="23.4" x14ac:dyDescent="0.3">
      <c r="A72" s="248" t="s">
        <v>109</v>
      </c>
      <c r="B72" s="249" t="s">
        <v>42</v>
      </c>
      <c r="C72" s="474">
        <f t="shared" si="30"/>
        <v>30</v>
      </c>
      <c r="D72" s="250">
        <v>30</v>
      </c>
      <c r="E72" s="251"/>
      <c r="F72" s="475">
        <v>25000</v>
      </c>
      <c r="G72" s="476">
        <f t="shared" si="44"/>
        <v>26930</v>
      </c>
      <c r="H72" s="475">
        <v>26880</v>
      </c>
      <c r="I72" s="621">
        <v>50</v>
      </c>
      <c r="J72" s="620">
        <v>480</v>
      </c>
      <c r="K72" s="474">
        <f t="shared" si="42"/>
        <v>450</v>
      </c>
      <c r="L72" s="476">
        <f t="shared" si="33"/>
        <v>450</v>
      </c>
      <c r="M72" s="477">
        <f t="shared" si="43"/>
        <v>1</v>
      </c>
      <c r="N72" s="478">
        <f t="shared" si="40"/>
        <v>420</v>
      </c>
      <c r="O72" s="476">
        <f t="shared" si="35"/>
        <v>450</v>
      </c>
      <c r="P72" s="479">
        <f t="shared" si="41"/>
        <v>0.93333333333333335</v>
      </c>
      <c r="Q72" s="476">
        <f t="shared" si="36"/>
        <v>419.10880059413296</v>
      </c>
      <c r="R72" s="476">
        <f t="shared" si="37"/>
        <v>420</v>
      </c>
      <c r="S72" s="494">
        <f t="shared" si="38"/>
        <v>0.99787809665269755</v>
      </c>
      <c r="T72" s="495">
        <f t="shared" si="39"/>
        <v>0.93135289020918444</v>
      </c>
    </row>
    <row r="73" spans="1:20" ht="47.4" thickBot="1" x14ac:dyDescent="0.35">
      <c r="A73" s="625" t="s">
        <v>109</v>
      </c>
      <c r="B73" s="261" t="s">
        <v>232</v>
      </c>
      <c r="C73" s="626">
        <f t="shared" si="30"/>
        <v>30</v>
      </c>
      <c r="D73" s="627">
        <v>30</v>
      </c>
      <c r="E73" s="628"/>
      <c r="F73" s="629">
        <v>25000</v>
      </c>
      <c r="G73" s="630">
        <f t="shared" si="44"/>
        <v>8740</v>
      </c>
      <c r="H73" s="629">
        <v>8640</v>
      </c>
      <c r="I73" s="631">
        <v>100</v>
      </c>
      <c r="J73" s="624">
        <v>480</v>
      </c>
      <c r="K73" s="626">
        <f t="shared" si="42"/>
        <v>450</v>
      </c>
      <c r="L73" s="630">
        <f t="shared" si="33"/>
        <v>450</v>
      </c>
      <c r="M73" s="632">
        <f t="shared" si="43"/>
        <v>1</v>
      </c>
      <c r="N73" s="633">
        <f t="shared" si="40"/>
        <v>420</v>
      </c>
      <c r="O73" s="630">
        <f t="shared" si="35"/>
        <v>450</v>
      </c>
      <c r="P73" s="634">
        <f t="shared" si="41"/>
        <v>0.93333333333333335</v>
      </c>
      <c r="Q73" s="630">
        <f t="shared" si="36"/>
        <v>414.50800915331808</v>
      </c>
      <c r="R73" s="630">
        <f t="shared" si="37"/>
        <v>420</v>
      </c>
      <c r="S73" s="635">
        <f t="shared" si="38"/>
        <v>0.98692383131742401</v>
      </c>
      <c r="T73" s="636">
        <f t="shared" si="39"/>
        <v>0.92112890922959578</v>
      </c>
    </row>
    <row r="74" spans="1:20" ht="24.6" customHeight="1" x14ac:dyDescent="0.3">
      <c r="A74" s="230"/>
      <c r="B74" s="231"/>
      <c r="C74" s="232"/>
      <c r="D74" s="232"/>
      <c r="E74" s="232"/>
      <c r="F74" s="232"/>
      <c r="G74" s="233"/>
      <c r="H74" s="234"/>
      <c r="I74" s="232"/>
      <c r="J74" s="232"/>
      <c r="K74" s="232"/>
      <c r="L74" s="232"/>
      <c r="M74" s="234"/>
      <c r="N74" s="232"/>
      <c r="O74" s="232"/>
      <c r="P74" s="234"/>
      <c r="Q74" s="232"/>
      <c r="R74" s="232"/>
      <c r="S74" s="234"/>
      <c r="T74" s="234"/>
    </row>
    <row r="75" spans="1:20" ht="24.6" customHeight="1" x14ac:dyDescent="0.3">
      <c r="A75" s="230"/>
      <c r="B75" s="231"/>
      <c r="C75" s="232"/>
      <c r="D75" s="232"/>
      <c r="E75" s="232"/>
      <c r="F75" s="232"/>
      <c r="G75" s="233"/>
      <c r="H75" s="234"/>
      <c r="I75" s="232"/>
      <c r="J75" s="232"/>
      <c r="K75" s="232"/>
      <c r="L75" s="232"/>
      <c r="M75" s="234"/>
      <c r="N75" s="232"/>
      <c r="O75" s="232"/>
      <c r="P75" s="234"/>
      <c r="Q75" s="232"/>
      <c r="R75" s="232"/>
      <c r="S75" s="234"/>
      <c r="T75" s="234"/>
    </row>
    <row r="76" spans="1:20" ht="24.6" customHeight="1" thickBot="1" x14ac:dyDescent="0.35">
      <c r="A76" s="230"/>
      <c r="B76" s="231"/>
      <c r="C76" s="232"/>
      <c r="D76" s="232"/>
      <c r="E76" s="232"/>
      <c r="F76" s="232"/>
      <c r="G76" s="233"/>
      <c r="H76" s="234"/>
      <c r="I76" s="232"/>
      <c r="J76" s="232"/>
      <c r="K76" s="232"/>
      <c r="L76" s="232"/>
      <c r="M76" s="234"/>
      <c r="N76" s="232"/>
      <c r="O76" s="232"/>
      <c r="P76" s="234"/>
      <c r="Q76" s="232"/>
      <c r="R76" s="232"/>
      <c r="S76" s="234"/>
      <c r="T76" s="234"/>
    </row>
    <row r="77" spans="1:20" ht="22.5" customHeight="1" x14ac:dyDescent="0.3">
      <c r="A77" s="1043" t="s">
        <v>1</v>
      </c>
      <c r="B77" s="1043" t="s">
        <v>2</v>
      </c>
      <c r="C77" s="1000" t="s">
        <v>221</v>
      </c>
      <c r="D77" s="1001"/>
      <c r="E77" s="1002"/>
      <c r="F77" s="1000" t="s">
        <v>580</v>
      </c>
      <c r="G77" s="1001"/>
      <c r="H77" s="1001"/>
      <c r="I77" s="1002"/>
      <c r="J77" s="1043" t="s">
        <v>218</v>
      </c>
      <c r="K77" s="1000" t="s">
        <v>206</v>
      </c>
      <c r="L77" s="1001"/>
      <c r="M77" s="1002"/>
      <c r="N77" s="1000" t="s">
        <v>207</v>
      </c>
      <c r="O77" s="1001"/>
      <c r="P77" s="1002"/>
      <c r="Q77" s="1000" t="s">
        <v>208</v>
      </c>
      <c r="R77" s="1001"/>
      <c r="S77" s="1002"/>
      <c r="T77" s="1107" t="s">
        <v>205</v>
      </c>
    </row>
    <row r="78" spans="1:20" ht="87.6" thickBot="1" x14ac:dyDescent="0.35">
      <c r="A78" s="1045"/>
      <c r="B78" s="1045"/>
      <c r="C78" s="235" t="s">
        <v>222</v>
      </c>
      <c r="D78" s="236" t="s">
        <v>219</v>
      </c>
      <c r="E78" s="237" t="s">
        <v>220</v>
      </c>
      <c r="F78" s="238" t="s">
        <v>361</v>
      </c>
      <c r="G78" s="236" t="s">
        <v>215</v>
      </c>
      <c r="H78" s="239" t="s">
        <v>216</v>
      </c>
      <c r="I78" s="240" t="s">
        <v>217</v>
      </c>
      <c r="J78" s="1045"/>
      <c r="K78" s="235" t="s">
        <v>209</v>
      </c>
      <c r="L78" s="239" t="s">
        <v>210</v>
      </c>
      <c r="M78" s="241" t="s">
        <v>223</v>
      </c>
      <c r="N78" s="242" t="s">
        <v>211</v>
      </c>
      <c r="O78" s="239" t="s">
        <v>212</v>
      </c>
      <c r="P78" s="241" t="s">
        <v>224</v>
      </c>
      <c r="Q78" s="235" t="s">
        <v>213</v>
      </c>
      <c r="R78" s="239" t="s">
        <v>214</v>
      </c>
      <c r="S78" s="243" t="s">
        <v>225</v>
      </c>
      <c r="T78" s="1108"/>
    </row>
    <row r="79" spans="1:20" ht="25.5" customHeight="1" x14ac:dyDescent="0.3">
      <c r="A79" s="244" t="s">
        <v>110</v>
      </c>
      <c r="B79" s="245" t="s">
        <v>16</v>
      </c>
      <c r="C79" s="467">
        <f>+D79+E79</f>
        <v>0</v>
      </c>
      <c r="D79" s="246"/>
      <c r="E79" s="247"/>
      <c r="F79" s="610">
        <v>15000</v>
      </c>
      <c r="G79" s="468">
        <f>+H79+I79</f>
        <v>0</v>
      </c>
      <c r="H79" s="614"/>
      <c r="I79" s="616"/>
      <c r="J79" s="619"/>
      <c r="K79" s="467">
        <f>+L79-E79</f>
        <v>0</v>
      </c>
      <c r="L79" s="468">
        <f>+J79-D79</f>
        <v>0</v>
      </c>
      <c r="M79" s="469" t="str">
        <f>IFERROR(K79/L79,"-")</f>
        <v>-</v>
      </c>
      <c r="N79" s="470">
        <f>+O79-C79</f>
        <v>0</v>
      </c>
      <c r="O79" s="468">
        <f>+K79</f>
        <v>0</v>
      </c>
      <c r="P79" s="471" t="str">
        <f>IFERROR(N79/O79,"-")</f>
        <v>-</v>
      </c>
      <c r="Q79" s="468" t="str">
        <f>IFERROR(N79-(J79-(J79*H79/G79)),"-")</f>
        <v>-</v>
      </c>
      <c r="R79" s="468">
        <f>+N79</f>
        <v>0</v>
      </c>
      <c r="S79" s="472" t="str">
        <f>IFERROR(Q79/R79,"-")</f>
        <v>-</v>
      </c>
      <c r="T79" s="473" t="str">
        <f>IFERROR(M79*P79*S79,"-")</f>
        <v>-</v>
      </c>
    </row>
    <row r="80" spans="1:20" ht="25.5" customHeight="1" x14ac:dyDescent="0.3">
      <c r="A80" s="248" t="s">
        <v>110</v>
      </c>
      <c r="B80" s="249" t="s">
        <v>229</v>
      </c>
      <c r="C80" s="474">
        <f t="shared" ref="C80:C94" si="45">+D80+E80</f>
        <v>90</v>
      </c>
      <c r="D80" s="250">
        <v>30</v>
      </c>
      <c r="E80" s="251">
        <v>60</v>
      </c>
      <c r="F80" s="611">
        <v>100000</v>
      </c>
      <c r="G80" s="476">
        <f t="shared" ref="G80:G85" si="46">+H80+I80</f>
        <v>160811</v>
      </c>
      <c r="H80" s="254">
        <v>159120</v>
      </c>
      <c r="I80" s="617">
        <v>1691</v>
      </c>
      <c r="J80" s="620">
        <v>480</v>
      </c>
      <c r="K80" s="474">
        <f t="shared" ref="K80:K83" si="47">+L80-E80</f>
        <v>390</v>
      </c>
      <c r="L80" s="476">
        <f t="shared" ref="L80:L94" si="48">+J80-D80</f>
        <v>450</v>
      </c>
      <c r="M80" s="477">
        <f t="shared" ref="M80:M83" si="49">IFERROR(K80/L80,"-")</f>
        <v>0.8666666666666667</v>
      </c>
      <c r="N80" s="478">
        <f>+O80-C80</f>
        <v>300</v>
      </c>
      <c r="O80" s="476">
        <f t="shared" ref="O80:O94" si="50">+K80</f>
        <v>390</v>
      </c>
      <c r="P80" s="479">
        <f>IFERROR(N80/O80,"-")</f>
        <v>0.76923076923076927</v>
      </c>
      <c r="Q80" s="476">
        <f t="shared" ref="Q80:Q94" si="51">IFERROR(N80-(J80-(J80*H80/G80)),"-")</f>
        <v>294.95258408939685</v>
      </c>
      <c r="R80" s="476">
        <f t="shared" ref="R80:R94" si="52">+N80</f>
        <v>300</v>
      </c>
      <c r="S80" s="480">
        <f t="shared" ref="S80:S94" si="53">IFERROR(Q80/R80,"-")</f>
        <v>0.98317528029798951</v>
      </c>
      <c r="T80" s="481">
        <f t="shared" ref="T80:T94" si="54">IFERROR(M80*P80*S80,"-")</f>
        <v>0.65545018686532641</v>
      </c>
    </row>
    <row r="81" spans="1:20" ht="23.4" x14ac:dyDescent="0.3">
      <c r="A81" s="248" t="s">
        <v>110</v>
      </c>
      <c r="B81" s="249" t="s">
        <v>228</v>
      </c>
      <c r="C81" s="474">
        <f t="shared" si="45"/>
        <v>0</v>
      </c>
      <c r="D81" s="250"/>
      <c r="E81" s="251"/>
      <c r="F81" s="611">
        <v>80000</v>
      </c>
      <c r="G81" s="476">
        <f t="shared" si="46"/>
        <v>0</v>
      </c>
      <c r="H81" s="254"/>
      <c r="I81" s="617"/>
      <c r="J81" s="620"/>
      <c r="K81" s="474">
        <f t="shared" si="47"/>
        <v>0</v>
      </c>
      <c r="L81" s="476">
        <f t="shared" si="48"/>
        <v>0</v>
      </c>
      <c r="M81" s="477" t="str">
        <f t="shared" si="49"/>
        <v>-</v>
      </c>
      <c r="N81" s="478">
        <f t="shared" ref="N81:N94" si="55">+O81-C81</f>
        <v>0</v>
      </c>
      <c r="O81" s="476">
        <f t="shared" si="50"/>
        <v>0</v>
      </c>
      <c r="P81" s="479" t="str">
        <f t="shared" ref="P81:P94" si="56">IFERROR(N81/O81,"-")</f>
        <v>-</v>
      </c>
      <c r="Q81" s="476" t="str">
        <f t="shared" si="51"/>
        <v>-</v>
      </c>
      <c r="R81" s="476">
        <f t="shared" si="52"/>
        <v>0</v>
      </c>
      <c r="S81" s="480" t="str">
        <f t="shared" si="53"/>
        <v>-</v>
      </c>
      <c r="T81" s="481" t="str">
        <f t="shared" si="54"/>
        <v>-</v>
      </c>
    </row>
    <row r="82" spans="1:20" ht="23.4" x14ac:dyDescent="0.3">
      <c r="A82" s="252" t="s">
        <v>110</v>
      </c>
      <c r="B82" s="249" t="s">
        <v>231</v>
      </c>
      <c r="C82" s="474">
        <f t="shared" si="45"/>
        <v>390</v>
      </c>
      <c r="D82" s="250">
        <f>30+30</f>
        <v>60</v>
      </c>
      <c r="E82" s="251">
        <v>330</v>
      </c>
      <c r="F82" s="611">
        <v>220000</v>
      </c>
      <c r="G82" s="476">
        <f t="shared" si="46"/>
        <v>42674</v>
      </c>
      <c r="H82" s="254">
        <v>42240</v>
      </c>
      <c r="I82" s="617">
        <v>434</v>
      </c>
      <c r="J82" s="620">
        <v>960</v>
      </c>
      <c r="K82" s="474">
        <f t="shared" si="47"/>
        <v>570</v>
      </c>
      <c r="L82" s="476">
        <f t="shared" si="48"/>
        <v>900</v>
      </c>
      <c r="M82" s="477">
        <f t="shared" si="49"/>
        <v>0.6333333333333333</v>
      </c>
      <c r="N82" s="478">
        <f t="shared" si="55"/>
        <v>180</v>
      </c>
      <c r="O82" s="476">
        <f t="shared" si="50"/>
        <v>570</v>
      </c>
      <c r="P82" s="479">
        <f t="shared" si="56"/>
        <v>0.31578947368421051</v>
      </c>
      <c r="Q82" s="476">
        <f t="shared" si="51"/>
        <v>170.2366780709566</v>
      </c>
      <c r="R82" s="476">
        <f t="shared" si="52"/>
        <v>180</v>
      </c>
      <c r="S82" s="480">
        <f t="shared" si="53"/>
        <v>0.94575932261642559</v>
      </c>
      <c r="T82" s="481">
        <f t="shared" si="54"/>
        <v>0.18915186452328511</v>
      </c>
    </row>
    <row r="83" spans="1:20" ht="23.4" x14ac:dyDescent="0.3">
      <c r="A83" s="248" t="s">
        <v>110</v>
      </c>
      <c r="B83" s="249" t="s">
        <v>230</v>
      </c>
      <c r="C83" s="474">
        <f t="shared" si="45"/>
        <v>0</v>
      </c>
      <c r="D83" s="250"/>
      <c r="E83" s="251"/>
      <c r="F83" s="611">
        <v>50000</v>
      </c>
      <c r="G83" s="476">
        <f t="shared" si="46"/>
        <v>0</v>
      </c>
      <c r="H83" s="254"/>
      <c r="I83" s="617"/>
      <c r="J83" s="620"/>
      <c r="K83" s="474">
        <f t="shared" si="47"/>
        <v>0</v>
      </c>
      <c r="L83" s="476">
        <f t="shared" si="48"/>
        <v>0</v>
      </c>
      <c r="M83" s="477" t="str">
        <f t="shared" si="49"/>
        <v>-</v>
      </c>
      <c r="N83" s="478">
        <f t="shared" si="55"/>
        <v>0</v>
      </c>
      <c r="O83" s="476">
        <f t="shared" si="50"/>
        <v>0</v>
      </c>
      <c r="P83" s="479" t="str">
        <f t="shared" si="56"/>
        <v>-</v>
      </c>
      <c r="Q83" s="476" t="str">
        <f t="shared" si="51"/>
        <v>-</v>
      </c>
      <c r="R83" s="476">
        <f t="shared" si="52"/>
        <v>0</v>
      </c>
      <c r="S83" s="480" t="str">
        <f t="shared" si="53"/>
        <v>-</v>
      </c>
      <c r="T83" s="481" t="str">
        <f t="shared" si="54"/>
        <v>-</v>
      </c>
    </row>
    <row r="84" spans="1:20" ht="23.4" x14ac:dyDescent="0.3">
      <c r="A84" s="248">
        <v>5</v>
      </c>
      <c r="B84" s="249" t="s">
        <v>22</v>
      </c>
      <c r="C84" s="474">
        <f t="shared" si="45"/>
        <v>0</v>
      </c>
      <c r="D84" s="250"/>
      <c r="E84" s="251"/>
      <c r="F84" s="611">
        <v>80000</v>
      </c>
      <c r="G84" s="476">
        <f t="shared" si="46"/>
        <v>0</v>
      </c>
      <c r="H84" s="475"/>
      <c r="I84" s="621"/>
      <c r="J84" s="620"/>
      <c r="K84" s="474">
        <f>+L84-E84</f>
        <v>0</v>
      </c>
      <c r="L84" s="476">
        <f t="shared" si="48"/>
        <v>0</v>
      </c>
      <c r="M84" s="477" t="str">
        <f>IFERROR(K84/L84,"-")</f>
        <v>-</v>
      </c>
      <c r="N84" s="478">
        <f t="shared" si="55"/>
        <v>0</v>
      </c>
      <c r="O84" s="476">
        <f t="shared" si="50"/>
        <v>0</v>
      </c>
      <c r="P84" s="479" t="str">
        <f t="shared" si="56"/>
        <v>-</v>
      </c>
      <c r="Q84" s="476" t="str">
        <f t="shared" si="51"/>
        <v>-</v>
      </c>
      <c r="R84" s="476">
        <f t="shared" si="52"/>
        <v>0</v>
      </c>
      <c r="S84" s="480" t="str">
        <f t="shared" si="53"/>
        <v>-</v>
      </c>
      <c r="T84" s="481" t="str">
        <f t="shared" si="54"/>
        <v>-</v>
      </c>
    </row>
    <row r="85" spans="1:20" ht="23.4" x14ac:dyDescent="0.3">
      <c r="A85" s="248" t="s">
        <v>110</v>
      </c>
      <c r="B85" s="249" t="s">
        <v>23</v>
      </c>
      <c r="C85" s="474">
        <f t="shared" si="45"/>
        <v>30</v>
      </c>
      <c r="D85" s="250">
        <v>30</v>
      </c>
      <c r="E85" s="251"/>
      <c r="F85" s="611">
        <v>14000</v>
      </c>
      <c r="G85" s="476">
        <f t="shared" si="46"/>
        <v>17550</v>
      </c>
      <c r="H85" s="254">
        <v>17500</v>
      </c>
      <c r="I85" s="617">
        <v>50</v>
      </c>
      <c r="J85" s="620">
        <v>600</v>
      </c>
      <c r="K85" s="474">
        <f t="shared" ref="K85:K94" si="57">+L85-E85</f>
        <v>570</v>
      </c>
      <c r="L85" s="476">
        <f t="shared" si="48"/>
        <v>570</v>
      </c>
      <c r="M85" s="477">
        <f t="shared" ref="M85:M94" si="58">IFERROR(K85/L85,"-")</f>
        <v>1</v>
      </c>
      <c r="N85" s="478">
        <f t="shared" si="55"/>
        <v>540</v>
      </c>
      <c r="O85" s="476">
        <f t="shared" si="50"/>
        <v>570</v>
      </c>
      <c r="P85" s="479">
        <f t="shared" si="56"/>
        <v>0.94736842105263153</v>
      </c>
      <c r="Q85" s="476">
        <f t="shared" si="51"/>
        <v>538.29059829059827</v>
      </c>
      <c r="R85" s="476">
        <f t="shared" si="52"/>
        <v>540</v>
      </c>
      <c r="S85" s="480">
        <f t="shared" si="53"/>
        <v>0.99683444127888565</v>
      </c>
      <c r="T85" s="481">
        <f t="shared" si="54"/>
        <v>0.94436947068526</v>
      </c>
    </row>
    <row r="86" spans="1:20" ht="24" thickBot="1" x14ac:dyDescent="0.35">
      <c r="A86" s="248" t="s">
        <v>110</v>
      </c>
      <c r="B86" s="253" t="s">
        <v>226</v>
      </c>
      <c r="C86" s="482">
        <f t="shared" si="45"/>
        <v>465</v>
      </c>
      <c r="D86" s="250">
        <v>465</v>
      </c>
      <c r="E86" s="251"/>
      <c r="F86" s="611">
        <v>4500</v>
      </c>
      <c r="G86" s="476">
        <f>+H86+I86</f>
        <v>10740</v>
      </c>
      <c r="H86" s="259">
        <v>10584</v>
      </c>
      <c r="I86" s="618">
        <v>156</v>
      </c>
      <c r="J86" s="620">
        <v>960</v>
      </c>
      <c r="K86" s="482">
        <f t="shared" si="57"/>
        <v>495</v>
      </c>
      <c r="L86" s="250">
        <f t="shared" si="48"/>
        <v>495</v>
      </c>
      <c r="M86" s="483">
        <f t="shared" si="58"/>
        <v>1</v>
      </c>
      <c r="N86" s="484">
        <f t="shared" si="55"/>
        <v>30</v>
      </c>
      <c r="O86" s="250">
        <f t="shared" si="50"/>
        <v>495</v>
      </c>
      <c r="P86" s="485">
        <f t="shared" si="56"/>
        <v>6.0606060606060608E-2</v>
      </c>
      <c r="Q86" s="250">
        <f t="shared" si="51"/>
        <v>16.055865921787699</v>
      </c>
      <c r="R86" s="250">
        <f t="shared" si="52"/>
        <v>30</v>
      </c>
      <c r="S86" s="486">
        <f t="shared" si="53"/>
        <v>0.5351955307262567</v>
      </c>
      <c r="T86" s="487">
        <f t="shared" si="54"/>
        <v>3.2436092771288283E-2</v>
      </c>
    </row>
    <row r="87" spans="1:20" ht="24" thickBot="1" x14ac:dyDescent="0.35">
      <c r="A87" s="255" t="s">
        <v>110</v>
      </c>
      <c r="B87" s="256" t="s">
        <v>227</v>
      </c>
      <c r="C87" s="488">
        <f t="shared" si="45"/>
        <v>440</v>
      </c>
      <c r="D87" s="257">
        <v>120</v>
      </c>
      <c r="E87" s="258">
        <v>320</v>
      </c>
      <c r="F87" s="615">
        <v>5000</v>
      </c>
      <c r="G87" s="498">
        <f t="shared" ref="G87:G94" si="59">+H87+I87</f>
        <v>28194</v>
      </c>
      <c r="H87" s="259">
        <v>28108</v>
      </c>
      <c r="I87" s="618">
        <v>86</v>
      </c>
      <c r="J87" s="623">
        <v>960</v>
      </c>
      <c r="K87" s="488">
        <f t="shared" si="57"/>
        <v>520</v>
      </c>
      <c r="L87" s="257">
        <f t="shared" si="48"/>
        <v>840</v>
      </c>
      <c r="M87" s="489">
        <f t="shared" si="58"/>
        <v>0.61904761904761907</v>
      </c>
      <c r="N87" s="490">
        <f t="shared" si="55"/>
        <v>80</v>
      </c>
      <c r="O87" s="257">
        <f t="shared" si="50"/>
        <v>520</v>
      </c>
      <c r="P87" s="491">
        <f t="shared" si="56"/>
        <v>0.15384615384615385</v>
      </c>
      <c r="Q87" s="257">
        <f t="shared" si="51"/>
        <v>77.07171738667796</v>
      </c>
      <c r="R87" s="257">
        <f t="shared" si="52"/>
        <v>80</v>
      </c>
      <c r="S87" s="492">
        <f t="shared" si="53"/>
        <v>0.9633964673334745</v>
      </c>
      <c r="T87" s="493">
        <f t="shared" si="54"/>
        <v>9.1752044507949965E-2</v>
      </c>
    </row>
    <row r="88" spans="1:20" ht="23.4" x14ac:dyDescent="0.3">
      <c r="A88" s="252" t="s">
        <v>108</v>
      </c>
      <c r="B88" s="260" t="s">
        <v>29</v>
      </c>
      <c r="C88" s="474">
        <f t="shared" si="45"/>
        <v>140</v>
      </c>
      <c r="D88" s="250">
        <f>30+110</f>
        <v>140</v>
      </c>
      <c r="E88" s="251"/>
      <c r="F88" s="475">
        <v>160000</v>
      </c>
      <c r="G88" s="476">
        <f t="shared" si="59"/>
        <v>60722</v>
      </c>
      <c r="H88" s="475">
        <v>59671</v>
      </c>
      <c r="I88" s="621">
        <v>1051</v>
      </c>
      <c r="J88" s="756">
        <v>480</v>
      </c>
      <c r="K88" s="474">
        <f t="shared" si="57"/>
        <v>340</v>
      </c>
      <c r="L88" s="476">
        <f t="shared" si="48"/>
        <v>340</v>
      </c>
      <c r="M88" s="477">
        <f t="shared" si="58"/>
        <v>1</v>
      </c>
      <c r="N88" s="478">
        <f t="shared" si="55"/>
        <v>200</v>
      </c>
      <c r="O88" s="476">
        <f t="shared" si="50"/>
        <v>340</v>
      </c>
      <c r="P88" s="479">
        <f t="shared" si="56"/>
        <v>0.58823529411764708</v>
      </c>
      <c r="Q88" s="476">
        <f t="shared" si="51"/>
        <v>191.69197325516285</v>
      </c>
      <c r="R88" s="476">
        <f t="shared" si="52"/>
        <v>200</v>
      </c>
      <c r="S88" s="494">
        <f t="shared" si="53"/>
        <v>0.95845986627581425</v>
      </c>
      <c r="T88" s="495">
        <f t="shared" si="54"/>
        <v>0.56379992133871426</v>
      </c>
    </row>
    <row r="89" spans="1:20" ht="22.5" customHeight="1" x14ac:dyDescent="0.3">
      <c r="A89" s="248" t="s">
        <v>108</v>
      </c>
      <c r="B89" s="260" t="s">
        <v>31</v>
      </c>
      <c r="C89" s="474">
        <f t="shared" si="45"/>
        <v>385</v>
      </c>
      <c r="D89" s="769">
        <f>30+30+30</f>
        <v>90</v>
      </c>
      <c r="E89" s="251">
        <v>295</v>
      </c>
      <c r="F89" s="475">
        <v>50000</v>
      </c>
      <c r="G89" s="476">
        <f t="shared" si="59"/>
        <v>64612</v>
      </c>
      <c r="H89" s="475">
        <v>63648</v>
      </c>
      <c r="I89" s="621">
        <v>964</v>
      </c>
      <c r="J89" s="620">
        <v>960</v>
      </c>
      <c r="K89" s="474">
        <f t="shared" si="57"/>
        <v>575</v>
      </c>
      <c r="L89" s="476">
        <f t="shared" si="48"/>
        <v>870</v>
      </c>
      <c r="M89" s="477">
        <f t="shared" si="58"/>
        <v>0.66091954022988508</v>
      </c>
      <c r="N89" s="478">
        <f t="shared" si="55"/>
        <v>190</v>
      </c>
      <c r="O89" s="476">
        <f t="shared" si="50"/>
        <v>575</v>
      </c>
      <c r="P89" s="479">
        <f t="shared" si="56"/>
        <v>0.33043478260869563</v>
      </c>
      <c r="Q89" s="476">
        <f t="shared" si="51"/>
        <v>175.6769640314493</v>
      </c>
      <c r="R89" s="476">
        <f t="shared" si="52"/>
        <v>190</v>
      </c>
      <c r="S89" s="494">
        <f t="shared" si="53"/>
        <v>0.92461560016552269</v>
      </c>
      <c r="T89" s="495">
        <f t="shared" si="54"/>
        <v>0.20192754486373482</v>
      </c>
    </row>
    <row r="90" spans="1:20" ht="24" thickBot="1" x14ac:dyDescent="0.35">
      <c r="A90" s="255" t="s">
        <v>108</v>
      </c>
      <c r="B90" s="261" t="s">
        <v>32</v>
      </c>
      <c r="C90" s="496">
        <f t="shared" si="45"/>
        <v>0</v>
      </c>
      <c r="D90" s="257"/>
      <c r="E90" s="258"/>
      <c r="F90" s="497">
        <v>110000</v>
      </c>
      <c r="G90" s="498">
        <f t="shared" si="59"/>
        <v>0</v>
      </c>
      <c r="H90" s="497"/>
      <c r="I90" s="622"/>
      <c r="J90" s="623"/>
      <c r="K90" s="496">
        <f t="shared" si="57"/>
        <v>0</v>
      </c>
      <c r="L90" s="498">
        <f t="shared" si="48"/>
        <v>0</v>
      </c>
      <c r="M90" s="499" t="str">
        <f t="shared" si="58"/>
        <v>-</v>
      </c>
      <c r="N90" s="500">
        <f t="shared" si="55"/>
        <v>0</v>
      </c>
      <c r="O90" s="498">
        <f t="shared" si="50"/>
        <v>0</v>
      </c>
      <c r="P90" s="501" t="str">
        <f t="shared" si="56"/>
        <v>-</v>
      </c>
      <c r="Q90" s="498" t="str">
        <f t="shared" si="51"/>
        <v>-</v>
      </c>
      <c r="R90" s="498">
        <f t="shared" si="52"/>
        <v>0</v>
      </c>
      <c r="S90" s="502" t="str">
        <f t="shared" si="53"/>
        <v>-</v>
      </c>
      <c r="T90" s="503" t="str">
        <f t="shared" si="54"/>
        <v>-</v>
      </c>
    </row>
    <row r="91" spans="1:20" ht="23.4" x14ac:dyDescent="0.3">
      <c r="A91" s="248" t="s">
        <v>109</v>
      </c>
      <c r="B91" s="249" t="s">
        <v>233</v>
      </c>
      <c r="C91" s="474">
        <f t="shared" si="45"/>
        <v>30</v>
      </c>
      <c r="D91" s="250">
        <v>30</v>
      </c>
      <c r="E91" s="251"/>
      <c r="F91" s="475">
        <v>6500</v>
      </c>
      <c r="G91" s="476">
        <f t="shared" si="59"/>
        <v>2665</v>
      </c>
      <c r="H91" s="475">
        <v>2560</v>
      </c>
      <c r="I91" s="621">
        <v>105</v>
      </c>
      <c r="J91" s="620">
        <v>480</v>
      </c>
      <c r="K91" s="474">
        <f t="shared" si="57"/>
        <v>450</v>
      </c>
      <c r="L91" s="476">
        <f t="shared" si="48"/>
        <v>450</v>
      </c>
      <c r="M91" s="477">
        <f t="shared" si="58"/>
        <v>1</v>
      </c>
      <c r="N91" s="478">
        <f t="shared" si="55"/>
        <v>420</v>
      </c>
      <c r="O91" s="476">
        <f t="shared" si="50"/>
        <v>450</v>
      </c>
      <c r="P91" s="479">
        <f t="shared" si="56"/>
        <v>0.93333333333333335</v>
      </c>
      <c r="Q91" s="476">
        <f t="shared" si="51"/>
        <v>401.08818011257034</v>
      </c>
      <c r="R91" s="476">
        <f t="shared" si="52"/>
        <v>420</v>
      </c>
      <c r="S91" s="494">
        <f t="shared" si="53"/>
        <v>0.95497185741088175</v>
      </c>
      <c r="T91" s="495">
        <f t="shared" si="54"/>
        <v>0.89130706691682293</v>
      </c>
    </row>
    <row r="92" spans="1:20" ht="23.4" x14ac:dyDescent="0.3">
      <c r="A92" s="252" t="s">
        <v>109</v>
      </c>
      <c r="B92" s="249" t="s">
        <v>40</v>
      </c>
      <c r="C92" s="474">
        <f t="shared" si="45"/>
        <v>30</v>
      </c>
      <c r="D92" s="250">
        <v>30</v>
      </c>
      <c r="E92" s="251"/>
      <c r="F92" s="475">
        <v>2800</v>
      </c>
      <c r="G92" s="476">
        <f t="shared" si="59"/>
        <v>1283</v>
      </c>
      <c r="H92" s="475">
        <v>1200</v>
      </c>
      <c r="I92" s="621">
        <v>83</v>
      </c>
      <c r="J92" s="620">
        <v>480</v>
      </c>
      <c r="K92" s="474">
        <f t="shared" si="57"/>
        <v>450</v>
      </c>
      <c r="L92" s="476">
        <f t="shared" si="48"/>
        <v>450</v>
      </c>
      <c r="M92" s="477">
        <f t="shared" si="58"/>
        <v>1</v>
      </c>
      <c r="N92" s="478">
        <f t="shared" si="55"/>
        <v>420</v>
      </c>
      <c r="O92" s="476">
        <f t="shared" si="50"/>
        <v>450</v>
      </c>
      <c r="P92" s="479">
        <f t="shared" si="56"/>
        <v>0.93333333333333335</v>
      </c>
      <c r="Q92" s="476">
        <f t="shared" si="51"/>
        <v>388.94777864380359</v>
      </c>
      <c r="R92" s="476">
        <f t="shared" si="52"/>
        <v>420</v>
      </c>
      <c r="S92" s="494">
        <f t="shared" si="53"/>
        <v>0.9260661396281038</v>
      </c>
      <c r="T92" s="495">
        <f t="shared" si="54"/>
        <v>0.86432839698623021</v>
      </c>
    </row>
    <row r="93" spans="1:20" ht="23.4" x14ac:dyDescent="0.3">
      <c r="A93" s="248" t="s">
        <v>109</v>
      </c>
      <c r="B93" s="249" t="s">
        <v>42</v>
      </c>
      <c r="C93" s="474">
        <f t="shared" si="45"/>
        <v>30</v>
      </c>
      <c r="D93" s="250">
        <v>30</v>
      </c>
      <c r="E93" s="251"/>
      <c r="F93" s="475">
        <v>25000</v>
      </c>
      <c r="G93" s="476">
        <f t="shared" si="59"/>
        <v>18604</v>
      </c>
      <c r="H93" s="475">
        <v>18528</v>
      </c>
      <c r="I93" s="621">
        <v>76</v>
      </c>
      <c r="J93" s="620">
        <v>480</v>
      </c>
      <c r="K93" s="474">
        <f t="shared" si="57"/>
        <v>450</v>
      </c>
      <c r="L93" s="476">
        <f t="shared" si="48"/>
        <v>450</v>
      </c>
      <c r="M93" s="477">
        <f t="shared" si="58"/>
        <v>1</v>
      </c>
      <c r="N93" s="478">
        <f t="shared" si="55"/>
        <v>420</v>
      </c>
      <c r="O93" s="476">
        <f t="shared" si="50"/>
        <v>450</v>
      </c>
      <c r="P93" s="479">
        <f t="shared" si="56"/>
        <v>0.93333333333333335</v>
      </c>
      <c r="Q93" s="476">
        <f t="shared" si="51"/>
        <v>418.03913136959795</v>
      </c>
      <c r="R93" s="476">
        <f t="shared" si="52"/>
        <v>420</v>
      </c>
      <c r="S93" s="494">
        <f t="shared" si="53"/>
        <v>0.99533126516570947</v>
      </c>
      <c r="T93" s="495">
        <f t="shared" si="54"/>
        <v>0.92897584748799555</v>
      </c>
    </row>
    <row r="94" spans="1:20" ht="47.4" thickBot="1" x14ac:dyDescent="0.35">
      <c r="A94" s="625" t="s">
        <v>109</v>
      </c>
      <c r="B94" s="261" t="s">
        <v>232</v>
      </c>
      <c r="C94" s="626">
        <f t="shared" si="45"/>
        <v>30</v>
      </c>
      <c r="D94" s="627">
        <v>30</v>
      </c>
      <c r="E94" s="628"/>
      <c r="F94" s="629">
        <v>25000</v>
      </c>
      <c r="G94" s="630">
        <f t="shared" si="59"/>
        <v>11639</v>
      </c>
      <c r="H94" s="629">
        <v>11520</v>
      </c>
      <c r="I94" s="631">
        <v>119</v>
      </c>
      <c r="J94" s="624">
        <v>480</v>
      </c>
      <c r="K94" s="626">
        <f t="shared" si="57"/>
        <v>450</v>
      </c>
      <c r="L94" s="630">
        <f t="shared" si="48"/>
        <v>450</v>
      </c>
      <c r="M94" s="632">
        <f t="shared" si="58"/>
        <v>1</v>
      </c>
      <c r="N94" s="633">
        <f t="shared" si="55"/>
        <v>420</v>
      </c>
      <c r="O94" s="630">
        <f t="shared" si="50"/>
        <v>450</v>
      </c>
      <c r="P94" s="634">
        <f t="shared" si="56"/>
        <v>0.93333333333333335</v>
      </c>
      <c r="Q94" s="630">
        <f t="shared" si="51"/>
        <v>415.09236188676005</v>
      </c>
      <c r="R94" s="630">
        <f t="shared" si="52"/>
        <v>420</v>
      </c>
      <c r="S94" s="635">
        <f t="shared" si="53"/>
        <v>0.98831514734942871</v>
      </c>
      <c r="T94" s="636">
        <f t="shared" si="54"/>
        <v>0.92242747085946686</v>
      </c>
    </row>
    <row r="95" spans="1:20" ht="24.6" customHeight="1" x14ac:dyDescent="0.3">
      <c r="A95" s="230"/>
      <c r="B95" s="231"/>
      <c r="C95" s="232"/>
      <c r="D95" s="232"/>
      <c r="E95" s="232"/>
      <c r="F95" s="232"/>
      <c r="G95" s="233"/>
      <c r="H95" s="234"/>
      <c r="I95" s="232"/>
      <c r="J95" s="232"/>
      <c r="K95" s="232"/>
      <c r="L95" s="232"/>
      <c r="M95" s="234"/>
      <c r="N95" s="232"/>
      <c r="O95" s="232"/>
      <c r="P95" s="234"/>
      <c r="Q95" s="232"/>
      <c r="R95" s="232"/>
      <c r="S95" s="234"/>
      <c r="T95" s="234"/>
    </row>
    <row r="96" spans="1:20" ht="24.6" customHeight="1" thickBot="1" x14ac:dyDescent="0.35">
      <c r="A96" s="230"/>
      <c r="B96" s="231"/>
      <c r="C96" s="232"/>
      <c r="D96" s="232"/>
      <c r="E96" s="232"/>
      <c r="F96" s="232"/>
      <c r="G96" s="233"/>
      <c r="H96" s="234"/>
      <c r="I96" s="232"/>
      <c r="J96" s="232"/>
      <c r="K96" s="232"/>
      <c r="L96" s="232"/>
      <c r="M96" s="234"/>
      <c r="N96" s="232"/>
      <c r="O96" s="232"/>
      <c r="P96" s="234"/>
      <c r="Q96" s="232"/>
      <c r="R96" s="232"/>
      <c r="S96" s="234"/>
      <c r="T96" s="234"/>
    </row>
    <row r="97" spans="1:20" ht="22.5" customHeight="1" x14ac:dyDescent="0.3">
      <c r="A97" s="1043" t="s">
        <v>1</v>
      </c>
      <c r="B97" s="1043" t="s">
        <v>2</v>
      </c>
      <c r="C97" s="1000" t="s">
        <v>221</v>
      </c>
      <c r="D97" s="1001"/>
      <c r="E97" s="1002"/>
      <c r="F97" s="1000" t="s">
        <v>574</v>
      </c>
      <c r="G97" s="1001"/>
      <c r="H97" s="1001"/>
      <c r="I97" s="1002"/>
      <c r="J97" s="1043" t="s">
        <v>218</v>
      </c>
      <c r="K97" s="1000" t="s">
        <v>206</v>
      </c>
      <c r="L97" s="1001"/>
      <c r="M97" s="1002"/>
      <c r="N97" s="1000" t="s">
        <v>207</v>
      </c>
      <c r="O97" s="1001"/>
      <c r="P97" s="1002"/>
      <c r="Q97" s="1000" t="s">
        <v>208</v>
      </c>
      <c r="R97" s="1001"/>
      <c r="S97" s="1002"/>
      <c r="T97" s="1107" t="s">
        <v>205</v>
      </c>
    </row>
    <row r="98" spans="1:20" ht="87.6" thickBot="1" x14ac:dyDescent="0.35">
      <c r="A98" s="1045"/>
      <c r="B98" s="1045"/>
      <c r="C98" s="235" t="s">
        <v>222</v>
      </c>
      <c r="D98" s="236" t="s">
        <v>219</v>
      </c>
      <c r="E98" s="237" t="s">
        <v>220</v>
      </c>
      <c r="F98" s="238" t="s">
        <v>361</v>
      </c>
      <c r="G98" s="236" t="s">
        <v>215</v>
      </c>
      <c r="H98" s="239" t="s">
        <v>216</v>
      </c>
      <c r="I98" s="240" t="s">
        <v>217</v>
      </c>
      <c r="J98" s="1045"/>
      <c r="K98" s="235" t="s">
        <v>209</v>
      </c>
      <c r="L98" s="239" t="s">
        <v>210</v>
      </c>
      <c r="M98" s="241" t="s">
        <v>223</v>
      </c>
      <c r="N98" s="242" t="s">
        <v>211</v>
      </c>
      <c r="O98" s="239" t="s">
        <v>212</v>
      </c>
      <c r="P98" s="241" t="s">
        <v>224</v>
      </c>
      <c r="Q98" s="235" t="s">
        <v>213</v>
      </c>
      <c r="R98" s="239" t="s">
        <v>214</v>
      </c>
      <c r="S98" s="243" t="s">
        <v>225</v>
      </c>
      <c r="T98" s="1108"/>
    </row>
    <row r="99" spans="1:20" ht="25.5" customHeight="1" x14ac:dyDescent="0.3">
      <c r="A99" s="244" t="s">
        <v>110</v>
      </c>
      <c r="B99" s="245" t="s">
        <v>16</v>
      </c>
      <c r="C99" s="467">
        <f>+D99+E99</f>
        <v>0</v>
      </c>
      <c r="D99" s="246"/>
      <c r="E99" s="247"/>
      <c r="F99" s="610">
        <v>15000</v>
      </c>
      <c r="G99" s="468">
        <f>+H99+I99</f>
        <v>0</v>
      </c>
      <c r="H99" s="614"/>
      <c r="I99" s="616"/>
      <c r="J99" s="619"/>
      <c r="K99" s="467">
        <f>+L99-E99</f>
        <v>0</v>
      </c>
      <c r="L99" s="468">
        <f>+J99-D99</f>
        <v>0</v>
      </c>
      <c r="M99" s="469" t="str">
        <f>IFERROR(K99/L99,"-")</f>
        <v>-</v>
      </c>
      <c r="N99" s="470">
        <f>+O99-C99</f>
        <v>0</v>
      </c>
      <c r="O99" s="468">
        <f>+K99</f>
        <v>0</v>
      </c>
      <c r="P99" s="471" t="str">
        <f>IFERROR(N99/O99,"-")</f>
        <v>-</v>
      </c>
      <c r="Q99" s="468" t="str">
        <f>IFERROR(N99-(J99-(J99*H99/G99)),"-")</f>
        <v>-</v>
      </c>
      <c r="R99" s="468">
        <f>+N99</f>
        <v>0</v>
      </c>
      <c r="S99" s="472" t="str">
        <f>IFERROR(Q99/R99,"-")</f>
        <v>-</v>
      </c>
      <c r="T99" s="473" t="str">
        <f>IFERROR(M99*P99*S99,"-")</f>
        <v>-</v>
      </c>
    </row>
    <row r="100" spans="1:20" ht="25.5" customHeight="1" x14ac:dyDescent="0.3">
      <c r="A100" s="248" t="s">
        <v>110</v>
      </c>
      <c r="B100" s="249" t="s">
        <v>229</v>
      </c>
      <c r="C100" s="474">
        <f t="shared" ref="C100:C114" si="60">+D100+E100</f>
        <v>30</v>
      </c>
      <c r="D100" s="250">
        <v>30</v>
      </c>
      <c r="E100" s="251"/>
      <c r="F100" s="611">
        <v>100000</v>
      </c>
      <c r="G100" s="476">
        <f t="shared" ref="G100:G105" si="61">+H100+I100</f>
        <v>79800</v>
      </c>
      <c r="H100" s="254">
        <v>79560</v>
      </c>
      <c r="I100" s="617">
        <v>240</v>
      </c>
      <c r="J100" s="620">
        <v>480</v>
      </c>
      <c r="K100" s="474">
        <f t="shared" ref="K100:K103" si="62">+L100-E100</f>
        <v>450</v>
      </c>
      <c r="L100" s="476">
        <f t="shared" ref="L100:L114" si="63">+J100-D100</f>
        <v>450</v>
      </c>
      <c r="M100" s="477">
        <f t="shared" ref="M100:M103" si="64">IFERROR(K100/L100,"-")</f>
        <v>1</v>
      </c>
      <c r="N100" s="478">
        <f>+O100-C100</f>
        <v>420</v>
      </c>
      <c r="O100" s="476">
        <f t="shared" ref="O100:O114" si="65">+K100</f>
        <v>450</v>
      </c>
      <c r="P100" s="479">
        <f>IFERROR(N100/O100,"-")</f>
        <v>0.93333333333333335</v>
      </c>
      <c r="Q100" s="476">
        <f t="shared" ref="Q100:Q114" si="66">IFERROR(N100-(J100-(J100*H100/G100)),"-")</f>
        <v>418.55639097744358</v>
      </c>
      <c r="R100" s="476">
        <f t="shared" ref="R100:R114" si="67">+N100</f>
        <v>420</v>
      </c>
      <c r="S100" s="480">
        <f t="shared" ref="S100:S114" si="68">IFERROR(Q100/R100,"-")</f>
        <v>0.99656283566058002</v>
      </c>
      <c r="T100" s="481">
        <f t="shared" ref="T100:T114" si="69">IFERROR(M100*P100*S100,"-")</f>
        <v>0.93012531328320802</v>
      </c>
    </row>
    <row r="101" spans="1:20" ht="23.4" x14ac:dyDescent="0.3">
      <c r="A101" s="248" t="s">
        <v>110</v>
      </c>
      <c r="B101" s="249" t="s">
        <v>228</v>
      </c>
      <c r="C101" s="474">
        <f t="shared" si="60"/>
        <v>0</v>
      </c>
      <c r="D101" s="250"/>
      <c r="E101" s="251"/>
      <c r="F101" s="611">
        <v>80000</v>
      </c>
      <c r="G101" s="476">
        <f t="shared" si="61"/>
        <v>0</v>
      </c>
      <c r="H101" s="254"/>
      <c r="I101" s="617"/>
      <c r="J101" s="620"/>
      <c r="K101" s="474">
        <f t="shared" si="62"/>
        <v>0</v>
      </c>
      <c r="L101" s="476">
        <f t="shared" si="63"/>
        <v>0</v>
      </c>
      <c r="M101" s="477" t="str">
        <f t="shared" si="64"/>
        <v>-</v>
      </c>
      <c r="N101" s="478">
        <f t="shared" ref="N101:N114" si="70">+O101-C101</f>
        <v>0</v>
      </c>
      <c r="O101" s="476">
        <f t="shared" si="65"/>
        <v>0</v>
      </c>
      <c r="P101" s="479" t="str">
        <f t="shared" ref="P101:P114" si="71">IFERROR(N101/O101,"-")</f>
        <v>-</v>
      </c>
      <c r="Q101" s="476" t="str">
        <f t="shared" si="66"/>
        <v>-</v>
      </c>
      <c r="R101" s="476">
        <f t="shared" si="67"/>
        <v>0</v>
      </c>
      <c r="S101" s="480" t="str">
        <f t="shared" si="68"/>
        <v>-</v>
      </c>
      <c r="T101" s="481" t="str">
        <f t="shared" si="69"/>
        <v>-</v>
      </c>
    </row>
    <row r="102" spans="1:20" ht="23.4" x14ac:dyDescent="0.3">
      <c r="A102" s="252" t="s">
        <v>110</v>
      </c>
      <c r="B102" s="249" t="s">
        <v>231</v>
      </c>
      <c r="C102" s="474">
        <f t="shared" si="60"/>
        <v>90</v>
      </c>
      <c r="D102" s="250">
        <f>30+30</f>
        <v>60</v>
      </c>
      <c r="E102" s="251">
        <v>30</v>
      </c>
      <c r="F102" s="611">
        <v>220000</v>
      </c>
      <c r="G102" s="476">
        <f t="shared" si="61"/>
        <v>152594</v>
      </c>
      <c r="H102" s="254">
        <v>152064</v>
      </c>
      <c r="I102" s="617">
        <v>530</v>
      </c>
      <c r="J102" s="620">
        <v>960</v>
      </c>
      <c r="K102" s="474">
        <f t="shared" si="62"/>
        <v>870</v>
      </c>
      <c r="L102" s="476">
        <f t="shared" si="63"/>
        <v>900</v>
      </c>
      <c r="M102" s="477">
        <f t="shared" si="64"/>
        <v>0.96666666666666667</v>
      </c>
      <c r="N102" s="478">
        <f t="shared" si="70"/>
        <v>780</v>
      </c>
      <c r="O102" s="476">
        <f t="shared" si="65"/>
        <v>870</v>
      </c>
      <c r="P102" s="479">
        <f t="shared" si="71"/>
        <v>0.89655172413793105</v>
      </c>
      <c r="Q102" s="476">
        <f t="shared" si="66"/>
        <v>776.66566182156578</v>
      </c>
      <c r="R102" s="476">
        <f t="shared" si="67"/>
        <v>780</v>
      </c>
      <c r="S102" s="480">
        <f t="shared" si="68"/>
        <v>0.99572520746354587</v>
      </c>
      <c r="T102" s="481">
        <f t="shared" si="69"/>
        <v>0.86296184646840646</v>
      </c>
    </row>
    <row r="103" spans="1:20" ht="23.4" x14ac:dyDescent="0.3">
      <c r="A103" s="248" t="s">
        <v>110</v>
      </c>
      <c r="B103" s="249" t="s">
        <v>230</v>
      </c>
      <c r="C103" s="474">
        <f t="shared" si="60"/>
        <v>0</v>
      </c>
      <c r="D103" s="250"/>
      <c r="E103" s="251"/>
      <c r="F103" s="611">
        <v>50000</v>
      </c>
      <c r="G103" s="476">
        <f t="shared" si="61"/>
        <v>0</v>
      </c>
      <c r="H103" s="254"/>
      <c r="I103" s="617"/>
      <c r="J103" s="620"/>
      <c r="K103" s="474">
        <f t="shared" si="62"/>
        <v>0</v>
      </c>
      <c r="L103" s="476">
        <f t="shared" si="63"/>
        <v>0</v>
      </c>
      <c r="M103" s="477" t="str">
        <f t="shared" si="64"/>
        <v>-</v>
      </c>
      <c r="N103" s="478">
        <f t="shared" si="70"/>
        <v>0</v>
      </c>
      <c r="O103" s="476">
        <f t="shared" si="65"/>
        <v>0</v>
      </c>
      <c r="P103" s="479" t="str">
        <f t="shared" si="71"/>
        <v>-</v>
      </c>
      <c r="Q103" s="476" t="str">
        <f t="shared" si="66"/>
        <v>-</v>
      </c>
      <c r="R103" s="476">
        <f t="shared" si="67"/>
        <v>0</v>
      </c>
      <c r="S103" s="480" t="str">
        <f t="shared" si="68"/>
        <v>-</v>
      </c>
      <c r="T103" s="481" t="str">
        <f t="shared" si="69"/>
        <v>-</v>
      </c>
    </row>
    <row r="104" spans="1:20" ht="23.4" x14ac:dyDescent="0.3">
      <c r="A104" s="248">
        <v>5</v>
      </c>
      <c r="B104" s="249" t="s">
        <v>22</v>
      </c>
      <c r="C104" s="474">
        <f t="shared" si="60"/>
        <v>0</v>
      </c>
      <c r="D104" s="250"/>
      <c r="E104" s="251"/>
      <c r="F104" s="611">
        <v>80000</v>
      </c>
      <c r="G104" s="476">
        <f t="shared" si="61"/>
        <v>0</v>
      </c>
      <c r="H104" s="475"/>
      <c r="I104" s="621"/>
      <c r="J104" s="620"/>
      <c r="K104" s="474">
        <f>+L104-E104</f>
        <v>0</v>
      </c>
      <c r="L104" s="476">
        <f t="shared" si="63"/>
        <v>0</v>
      </c>
      <c r="M104" s="477" t="str">
        <f>IFERROR(K104/L104,"-")</f>
        <v>-</v>
      </c>
      <c r="N104" s="478">
        <f t="shared" si="70"/>
        <v>0</v>
      </c>
      <c r="O104" s="476">
        <f t="shared" si="65"/>
        <v>0</v>
      </c>
      <c r="P104" s="479" t="str">
        <f t="shared" si="71"/>
        <v>-</v>
      </c>
      <c r="Q104" s="476" t="str">
        <f t="shared" si="66"/>
        <v>-</v>
      </c>
      <c r="R104" s="476">
        <f t="shared" si="67"/>
        <v>0</v>
      </c>
      <c r="S104" s="480" t="str">
        <f t="shared" si="68"/>
        <v>-</v>
      </c>
      <c r="T104" s="481" t="str">
        <f t="shared" si="69"/>
        <v>-</v>
      </c>
    </row>
    <row r="105" spans="1:20" ht="23.4" x14ac:dyDescent="0.3">
      <c r="A105" s="248" t="s">
        <v>110</v>
      </c>
      <c r="B105" s="249" t="s">
        <v>23</v>
      </c>
      <c r="C105" s="474">
        <f t="shared" si="60"/>
        <v>60</v>
      </c>
      <c r="D105" s="250">
        <f>30+30</f>
        <v>60</v>
      </c>
      <c r="E105" s="251"/>
      <c r="F105" s="611">
        <v>14000</v>
      </c>
      <c r="G105" s="476">
        <f t="shared" si="61"/>
        <v>17550</v>
      </c>
      <c r="H105" s="254">
        <v>17500</v>
      </c>
      <c r="I105" s="617">
        <v>50</v>
      </c>
      <c r="J105" s="620"/>
      <c r="K105" s="474">
        <f t="shared" ref="K105:K114" si="72">+L105-E105</f>
        <v>-60</v>
      </c>
      <c r="L105" s="476">
        <f t="shared" si="63"/>
        <v>-60</v>
      </c>
      <c r="M105" s="477">
        <f t="shared" ref="M105:M114" si="73">IFERROR(K105/L105,"-")</f>
        <v>1</v>
      </c>
      <c r="N105" s="478">
        <f t="shared" si="70"/>
        <v>-120</v>
      </c>
      <c r="O105" s="476">
        <f t="shared" si="65"/>
        <v>-60</v>
      </c>
      <c r="P105" s="479">
        <f t="shared" si="71"/>
        <v>2</v>
      </c>
      <c r="Q105" s="476">
        <f t="shared" si="66"/>
        <v>-120</v>
      </c>
      <c r="R105" s="476">
        <f t="shared" si="67"/>
        <v>-120</v>
      </c>
      <c r="S105" s="480">
        <f t="shared" si="68"/>
        <v>1</v>
      </c>
      <c r="T105" s="481">
        <f t="shared" si="69"/>
        <v>2</v>
      </c>
    </row>
    <row r="106" spans="1:20" ht="24" thickBot="1" x14ac:dyDescent="0.35">
      <c r="A106" s="248" t="s">
        <v>110</v>
      </c>
      <c r="B106" s="253" t="s">
        <v>226</v>
      </c>
      <c r="C106" s="482">
        <f t="shared" si="60"/>
        <v>120</v>
      </c>
      <c r="D106" s="250">
        <v>120</v>
      </c>
      <c r="E106" s="251"/>
      <c r="F106" s="611">
        <v>4500</v>
      </c>
      <c r="G106" s="476">
        <f>+H106+I106</f>
        <v>26326</v>
      </c>
      <c r="H106" s="259">
        <v>26161</v>
      </c>
      <c r="I106" s="618">
        <v>165</v>
      </c>
      <c r="J106" s="620">
        <v>960</v>
      </c>
      <c r="K106" s="482">
        <f t="shared" si="72"/>
        <v>840</v>
      </c>
      <c r="L106" s="250">
        <f t="shared" si="63"/>
        <v>840</v>
      </c>
      <c r="M106" s="483">
        <f t="shared" si="73"/>
        <v>1</v>
      </c>
      <c r="N106" s="484">
        <f t="shared" si="70"/>
        <v>720</v>
      </c>
      <c r="O106" s="250">
        <f t="shared" si="65"/>
        <v>840</v>
      </c>
      <c r="P106" s="485">
        <f t="shared" si="71"/>
        <v>0.8571428571428571</v>
      </c>
      <c r="Q106" s="250">
        <f t="shared" si="66"/>
        <v>713.98313454379695</v>
      </c>
      <c r="R106" s="250">
        <f t="shared" si="67"/>
        <v>720</v>
      </c>
      <c r="S106" s="486">
        <f t="shared" si="68"/>
        <v>0.99164324242194024</v>
      </c>
      <c r="T106" s="487">
        <f t="shared" si="69"/>
        <v>0.84997992207594875</v>
      </c>
    </row>
    <row r="107" spans="1:20" ht="24" thickBot="1" x14ac:dyDescent="0.35">
      <c r="A107" s="255" t="s">
        <v>110</v>
      </c>
      <c r="B107" s="256" t="s">
        <v>227</v>
      </c>
      <c r="C107" s="488">
        <f t="shared" si="60"/>
        <v>140</v>
      </c>
      <c r="D107" s="257">
        <v>140</v>
      </c>
      <c r="E107" s="258"/>
      <c r="F107" s="615">
        <v>5000</v>
      </c>
      <c r="G107" s="498">
        <f t="shared" ref="G107:G114" si="74">+H107+I107</f>
        <v>36951</v>
      </c>
      <c r="H107" s="259">
        <v>36892</v>
      </c>
      <c r="I107" s="618">
        <f>46+13</f>
        <v>59</v>
      </c>
      <c r="J107" s="623">
        <v>960</v>
      </c>
      <c r="K107" s="488">
        <f t="shared" si="72"/>
        <v>820</v>
      </c>
      <c r="L107" s="257">
        <f t="shared" si="63"/>
        <v>820</v>
      </c>
      <c r="M107" s="489">
        <f t="shared" si="73"/>
        <v>1</v>
      </c>
      <c r="N107" s="490">
        <f t="shared" si="70"/>
        <v>680</v>
      </c>
      <c r="O107" s="257">
        <f t="shared" si="65"/>
        <v>820</v>
      </c>
      <c r="P107" s="491">
        <f t="shared" si="71"/>
        <v>0.82926829268292679</v>
      </c>
      <c r="Q107" s="257">
        <f t="shared" si="66"/>
        <v>678.46715921084683</v>
      </c>
      <c r="R107" s="257">
        <f t="shared" si="67"/>
        <v>680</v>
      </c>
      <c r="S107" s="492">
        <f t="shared" si="68"/>
        <v>0.99774582236889242</v>
      </c>
      <c r="T107" s="493">
        <f t="shared" si="69"/>
        <v>0.82739897464737411</v>
      </c>
    </row>
    <row r="108" spans="1:20" ht="23.4" x14ac:dyDescent="0.3">
      <c r="A108" s="252" t="s">
        <v>108</v>
      </c>
      <c r="B108" s="260" t="s">
        <v>29</v>
      </c>
      <c r="C108" s="474">
        <f t="shared" si="60"/>
        <v>0</v>
      </c>
      <c r="D108" s="250"/>
      <c r="E108" s="251"/>
      <c r="F108" s="475">
        <v>160000</v>
      </c>
      <c r="G108" s="476">
        <f t="shared" si="74"/>
        <v>0</v>
      </c>
      <c r="H108" s="475"/>
      <c r="I108" s="621"/>
      <c r="J108" s="756"/>
      <c r="K108" s="474">
        <f t="shared" si="72"/>
        <v>0</v>
      </c>
      <c r="L108" s="476">
        <f t="shared" si="63"/>
        <v>0</v>
      </c>
      <c r="M108" s="477" t="str">
        <f t="shared" si="73"/>
        <v>-</v>
      </c>
      <c r="N108" s="478">
        <f t="shared" si="70"/>
        <v>0</v>
      </c>
      <c r="O108" s="476">
        <f t="shared" si="65"/>
        <v>0</v>
      </c>
      <c r="P108" s="479" t="str">
        <f t="shared" si="71"/>
        <v>-</v>
      </c>
      <c r="Q108" s="476" t="str">
        <f t="shared" si="66"/>
        <v>-</v>
      </c>
      <c r="R108" s="476">
        <f t="shared" si="67"/>
        <v>0</v>
      </c>
      <c r="S108" s="494" t="str">
        <f t="shared" si="68"/>
        <v>-</v>
      </c>
      <c r="T108" s="495" t="str">
        <f t="shared" si="69"/>
        <v>-</v>
      </c>
    </row>
    <row r="109" spans="1:20" ht="22.5" customHeight="1" x14ac:dyDescent="0.3">
      <c r="A109" s="248" t="s">
        <v>108</v>
      </c>
      <c r="B109" s="260" t="s">
        <v>31</v>
      </c>
      <c r="C109" s="474">
        <f t="shared" si="60"/>
        <v>0</v>
      </c>
      <c r="D109" s="769"/>
      <c r="E109" s="251"/>
      <c r="F109" s="475">
        <v>50000</v>
      </c>
      <c r="G109" s="476">
        <f t="shared" si="74"/>
        <v>0</v>
      </c>
      <c r="H109" s="475"/>
      <c r="I109" s="621"/>
      <c r="J109" s="620"/>
      <c r="K109" s="474">
        <f t="shared" si="72"/>
        <v>0</v>
      </c>
      <c r="L109" s="476">
        <f t="shared" si="63"/>
        <v>0</v>
      </c>
      <c r="M109" s="477" t="str">
        <f t="shared" si="73"/>
        <v>-</v>
      </c>
      <c r="N109" s="478">
        <f t="shared" si="70"/>
        <v>0</v>
      </c>
      <c r="O109" s="476">
        <f t="shared" si="65"/>
        <v>0</v>
      </c>
      <c r="P109" s="479" t="str">
        <f t="shared" si="71"/>
        <v>-</v>
      </c>
      <c r="Q109" s="476" t="str">
        <f t="shared" si="66"/>
        <v>-</v>
      </c>
      <c r="R109" s="476">
        <f t="shared" si="67"/>
        <v>0</v>
      </c>
      <c r="S109" s="494" t="str">
        <f t="shared" si="68"/>
        <v>-</v>
      </c>
      <c r="T109" s="495" t="str">
        <f t="shared" si="69"/>
        <v>-</v>
      </c>
    </row>
    <row r="110" spans="1:20" ht="24" thickBot="1" x14ac:dyDescent="0.35">
      <c r="A110" s="255" t="s">
        <v>108</v>
      </c>
      <c r="B110" s="261" t="s">
        <v>32</v>
      </c>
      <c r="C110" s="496">
        <f t="shared" si="60"/>
        <v>0</v>
      </c>
      <c r="D110" s="257"/>
      <c r="E110" s="258"/>
      <c r="F110" s="497">
        <v>110000</v>
      </c>
      <c r="G110" s="498">
        <f t="shared" si="74"/>
        <v>0</v>
      </c>
      <c r="H110" s="497"/>
      <c r="I110" s="622"/>
      <c r="J110" s="623"/>
      <c r="K110" s="496">
        <f t="shared" si="72"/>
        <v>0</v>
      </c>
      <c r="L110" s="498">
        <f t="shared" si="63"/>
        <v>0</v>
      </c>
      <c r="M110" s="499" t="str">
        <f t="shared" si="73"/>
        <v>-</v>
      </c>
      <c r="N110" s="500">
        <f t="shared" si="70"/>
        <v>0</v>
      </c>
      <c r="O110" s="498">
        <f t="shared" si="65"/>
        <v>0</v>
      </c>
      <c r="P110" s="501" t="str">
        <f t="shared" si="71"/>
        <v>-</v>
      </c>
      <c r="Q110" s="498" t="str">
        <f t="shared" si="66"/>
        <v>-</v>
      </c>
      <c r="R110" s="498">
        <f t="shared" si="67"/>
        <v>0</v>
      </c>
      <c r="S110" s="502" t="str">
        <f t="shared" si="68"/>
        <v>-</v>
      </c>
      <c r="T110" s="503" t="str">
        <f t="shared" si="69"/>
        <v>-</v>
      </c>
    </row>
    <row r="111" spans="1:20" ht="23.4" x14ac:dyDescent="0.3">
      <c r="A111" s="248" t="s">
        <v>109</v>
      </c>
      <c r="B111" s="249" t="s">
        <v>233</v>
      </c>
      <c r="C111" s="474">
        <f t="shared" si="60"/>
        <v>30</v>
      </c>
      <c r="D111" s="250">
        <v>30</v>
      </c>
      <c r="E111" s="251"/>
      <c r="F111" s="475">
        <v>6500</v>
      </c>
      <c r="G111" s="476">
        <f t="shared" si="74"/>
        <v>6656</v>
      </c>
      <c r="H111" s="475">
        <v>6520</v>
      </c>
      <c r="I111" s="621">
        <v>136</v>
      </c>
      <c r="J111" s="620">
        <v>480</v>
      </c>
      <c r="K111" s="474">
        <f t="shared" si="72"/>
        <v>450</v>
      </c>
      <c r="L111" s="476">
        <f t="shared" si="63"/>
        <v>450</v>
      </c>
      <c r="M111" s="477">
        <f t="shared" si="73"/>
        <v>1</v>
      </c>
      <c r="N111" s="478">
        <f t="shared" si="70"/>
        <v>420</v>
      </c>
      <c r="O111" s="476">
        <f t="shared" si="65"/>
        <v>450</v>
      </c>
      <c r="P111" s="479">
        <f t="shared" si="71"/>
        <v>0.93333333333333335</v>
      </c>
      <c r="Q111" s="476">
        <f t="shared" si="66"/>
        <v>410.19230769230768</v>
      </c>
      <c r="R111" s="476">
        <f t="shared" si="67"/>
        <v>420</v>
      </c>
      <c r="S111" s="494">
        <f t="shared" si="68"/>
        <v>0.97664835164835162</v>
      </c>
      <c r="T111" s="495">
        <f t="shared" si="69"/>
        <v>0.91153846153846152</v>
      </c>
    </row>
    <row r="112" spans="1:20" ht="23.4" x14ac:dyDescent="0.3">
      <c r="A112" s="252" t="s">
        <v>109</v>
      </c>
      <c r="B112" s="249" t="s">
        <v>40</v>
      </c>
      <c r="C112" s="474">
        <f t="shared" si="60"/>
        <v>30</v>
      </c>
      <c r="D112" s="250">
        <v>30</v>
      </c>
      <c r="E112" s="251"/>
      <c r="F112" s="475">
        <v>2800</v>
      </c>
      <c r="G112" s="476">
        <f t="shared" si="74"/>
        <v>1270</v>
      </c>
      <c r="H112" s="475">
        <v>1200</v>
      </c>
      <c r="I112" s="621">
        <v>70</v>
      </c>
      <c r="J112" s="620">
        <v>480</v>
      </c>
      <c r="K112" s="474">
        <f t="shared" si="72"/>
        <v>450</v>
      </c>
      <c r="L112" s="476">
        <f t="shared" si="63"/>
        <v>450</v>
      </c>
      <c r="M112" s="477">
        <f t="shared" si="73"/>
        <v>1</v>
      </c>
      <c r="N112" s="478">
        <f t="shared" si="70"/>
        <v>420</v>
      </c>
      <c r="O112" s="476">
        <f t="shared" si="65"/>
        <v>450</v>
      </c>
      <c r="P112" s="479">
        <f t="shared" si="71"/>
        <v>0.93333333333333335</v>
      </c>
      <c r="Q112" s="476">
        <f t="shared" si="66"/>
        <v>393.54330708661416</v>
      </c>
      <c r="R112" s="476">
        <f t="shared" si="67"/>
        <v>420</v>
      </c>
      <c r="S112" s="494">
        <f t="shared" si="68"/>
        <v>0.93700787401574803</v>
      </c>
      <c r="T112" s="495">
        <f t="shared" si="69"/>
        <v>0.87454068241469818</v>
      </c>
    </row>
    <row r="113" spans="1:20" ht="23.4" x14ac:dyDescent="0.3">
      <c r="A113" s="248" t="s">
        <v>109</v>
      </c>
      <c r="B113" s="249" t="s">
        <v>42</v>
      </c>
      <c r="C113" s="474">
        <f t="shared" si="60"/>
        <v>30</v>
      </c>
      <c r="D113" s="250">
        <v>30</v>
      </c>
      <c r="E113" s="251"/>
      <c r="F113" s="475">
        <v>25000</v>
      </c>
      <c r="G113" s="476">
        <f t="shared" si="74"/>
        <v>25280</v>
      </c>
      <c r="H113" s="475">
        <v>25200</v>
      </c>
      <c r="I113" s="621">
        <v>80</v>
      </c>
      <c r="J113" s="620">
        <v>480</v>
      </c>
      <c r="K113" s="474">
        <f t="shared" si="72"/>
        <v>450</v>
      </c>
      <c r="L113" s="476">
        <f t="shared" si="63"/>
        <v>450</v>
      </c>
      <c r="M113" s="477">
        <f t="shared" si="73"/>
        <v>1</v>
      </c>
      <c r="N113" s="478">
        <f t="shared" si="70"/>
        <v>420</v>
      </c>
      <c r="O113" s="476">
        <f t="shared" si="65"/>
        <v>450</v>
      </c>
      <c r="P113" s="479">
        <f t="shared" si="71"/>
        <v>0.93333333333333335</v>
      </c>
      <c r="Q113" s="476">
        <f t="shared" si="66"/>
        <v>418.48101265822783</v>
      </c>
      <c r="R113" s="476">
        <f t="shared" si="67"/>
        <v>420</v>
      </c>
      <c r="S113" s="494">
        <f t="shared" si="68"/>
        <v>0.99638336347197098</v>
      </c>
      <c r="T113" s="495">
        <f t="shared" si="69"/>
        <v>0.92995780590717292</v>
      </c>
    </row>
    <row r="114" spans="1:20" ht="47.4" thickBot="1" x14ac:dyDescent="0.35">
      <c r="A114" s="625" t="s">
        <v>109</v>
      </c>
      <c r="B114" s="261" t="s">
        <v>232</v>
      </c>
      <c r="C114" s="626">
        <f t="shared" si="60"/>
        <v>30</v>
      </c>
      <c r="D114" s="627">
        <v>30</v>
      </c>
      <c r="E114" s="628"/>
      <c r="F114" s="629">
        <v>25000</v>
      </c>
      <c r="G114" s="630">
        <f t="shared" si="74"/>
        <v>2910</v>
      </c>
      <c r="H114" s="629">
        <v>2880</v>
      </c>
      <c r="I114" s="631">
        <v>30</v>
      </c>
      <c r="J114" s="624">
        <v>480</v>
      </c>
      <c r="K114" s="626">
        <f t="shared" si="72"/>
        <v>450</v>
      </c>
      <c r="L114" s="630">
        <f t="shared" si="63"/>
        <v>450</v>
      </c>
      <c r="M114" s="632">
        <f t="shared" si="73"/>
        <v>1</v>
      </c>
      <c r="N114" s="633">
        <f t="shared" si="70"/>
        <v>420</v>
      </c>
      <c r="O114" s="630">
        <f t="shared" si="65"/>
        <v>450</v>
      </c>
      <c r="P114" s="634">
        <f t="shared" si="71"/>
        <v>0.93333333333333335</v>
      </c>
      <c r="Q114" s="630">
        <f t="shared" si="66"/>
        <v>415.05154639175259</v>
      </c>
      <c r="R114" s="630">
        <f t="shared" si="67"/>
        <v>420</v>
      </c>
      <c r="S114" s="635">
        <f t="shared" si="68"/>
        <v>0.98821796759941094</v>
      </c>
      <c r="T114" s="636">
        <f t="shared" si="69"/>
        <v>0.92233676975945023</v>
      </c>
    </row>
    <row r="115" spans="1:20" ht="24.6" customHeight="1" thickBot="1" x14ac:dyDescent="0.35">
      <c r="A115" s="230"/>
      <c r="B115" s="231"/>
      <c r="C115" s="232"/>
      <c r="D115" s="232"/>
      <c r="E115" s="232"/>
      <c r="F115" s="232"/>
      <c r="G115" s="233"/>
      <c r="H115" s="234"/>
      <c r="I115" s="232"/>
      <c r="J115" s="232"/>
      <c r="K115" s="232"/>
      <c r="L115" s="232"/>
      <c r="M115" s="234"/>
      <c r="N115" s="232"/>
      <c r="O115" s="232"/>
      <c r="P115" s="234"/>
      <c r="Q115" s="232"/>
      <c r="R115" s="232"/>
      <c r="S115" s="234"/>
      <c r="T115" s="234"/>
    </row>
    <row r="116" spans="1:20" ht="22.5" customHeight="1" x14ac:dyDescent="0.3">
      <c r="A116" s="1043" t="s">
        <v>1</v>
      </c>
      <c r="B116" s="1043" t="s">
        <v>2</v>
      </c>
      <c r="C116" s="1000" t="s">
        <v>221</v>
      </c>
      <c r="D116" s="1001"/>
      <c r="E116" s="1002"/>
      <c r="F116" s="1000" t="s">
        <v>564</v>
      </c>
      <c r="G116" s="1001"/>
      <c r="H116" s="1001"/>
      <c r="I116" s="1002"/>
      <c r="J116" s="1043" t="s">
        <v>218</v>
      </c>
      <c r="K116" s="1000" t="s">
        <v>206</v>
      </c>
      <c r="L116" s="1001"/>
      <c r="M116" s="1002"/>
      <c r="N116" s="1000" t="s">
        <v>207</v>
      </c>
      <c r="O116" s="1001"/>
      <c r="P116" s="1002"/>
      <c r="Q116" s="1000" t="s">
        <v>208</v>
      </c>
      <c r="R116" s="1001"/>
      <c r="S116" s="1002"/>
      <c r="T116" s="1107" t="s">
        <v>205</v>
      </c>
    </row>
    <row r="117" spans="1:20" ht="87.6" thickBot="1" x14ac:dyDescent="0.35">
      <c r="A117" s="1045"/>
      <c r="B117" s="1045"/>
      <c r="C117" s="235" t="s">
        <v>222</v>
      </c>
      <c r="D117" s="236" t="s">
        <v>219</v>
      </c>
      <c r="E117" s="237" t="s">
        <v>220</v>
      </c>
      <c r="F117" s="238" t="s">
        <v>361</v>
      </c>
      <c r="G117" s="236" t="s">
        <v>215</v>
      </c>
      <c r="H117" s="239" t="s">
        <v>216</v>
      </c>
      <c r="I117" s="240" t="s">
        <v>217</v>
      </c>
      <c r="J117" s="1045"/>
      <c r="K117" s="235" t="s">
        <v>209</v>
      </c>
      <c r="L117" s="239" t="s">
        <v>210</v>
      </c>
      <c r="M117" s="241" t="s">
        <v>223</v>
      </c>
      <c r="N117" s="242" t="s">
        <v>211</v>
      </c>
      <c r="O117" s="239" t="s">
        <v>212</v>
      </c>
      <c r="P117" s="241" t="s">
        <v>224</v>
      </c>
      <c r="Q117" s="235" t="s">
        <v>213</v>
      </c>
      <c r="R117" s="239" t="s">
        <v>214</v>
      </c>
      <c r="S117" s="243" t="s">
        <v>225</v>
      </c>
      <c r="T117" s="1108"/>
    </row>
    <row r="118" spans="1:20" ht="25.5" customHeight="1" x14ac:dyDescent="0.3">
      <c r="A118" s="244" t="s">
        <v>110</v>
      </c>
      <c r="B118" s="245" t="s">
        <v>16</v>
      </c>
      <c r="C118" s="467">
        <f>+D118+E118</f>
        <v>0</v>
      </c>
      <c r="D118" s="246"/>
      <c r="E118" s="247"/>
      <c r="F118" s="610">
        <v>15000</v>
      </c>
      <c r="G118" s="468">
        <f>+H118+I118</f>
        <v>0</v>
      </c>
      <c r="H118" s="614"/>
      <c r="I118" s="616"/>
      <c r="J118" s="619"/>
      <c r="K118" s="467">
        <f>+L118-E118</f>
        <v>0</v>
      </c>
      <c r="L118" s="468">
        <f>+J118-D118</f>
        <v>0</v>
      </c>
      <c r="M118" s="469" t="str">
        <f>IFERROR(K118/L118,"-")</f>
        <v>-</v>
      </c>
      <c r="N118" s="470">
        <f>+O118-C118</f>
        <v>0</v>
      </c>
      <c r="O118" s="468">
        <f>+K118</f>
        <v>0</v>
      </c>
      <c r="P118" s="471" t="str">
        <f>IFERROR(N118/O118,"-")</f>
        <v>-</v>
      </c>
      <c r="Q118" s="468" t="str">
        <f>IFERROR(N118-(J118-(J118*H118/G118)),"-")</f>
        <v>-</v>
      </c>
      <c r="R118" s="468">
        <f>+N118</f>
        <v>0</v>
      </c>
      <c r="S118" s="472" t="str">
        <f>IFERROR(Q118/R118,"-")</f>
        <v>-</v>
      </c>
      <c r="T118" s="473" t="str">
        <f>IFERROR(M118*P118*S118,"-")</f>
        <v>-</v>
      </c>
    </row>
    <row r="119" spans="1:20" ht="25.5" customHeight="1" x14ac:dyDescent="0.3">
      <c r="A119" s="248" t="s">
        <v>110</v>
      </c>
      <c r="B119" s="249" t="s">
        <v>229</v>
      </c>
      <c r="C119" s="474">
        <f t="shared" ref="C119:C133" si="75">+D119+E119</f>
        <v>150</v>
      </c>
      <c r="D119" s="250">
        <v>30</v>
      </c>
      <c r="E119" s="251">
        <v>120</v>
      </c>
      <c r="F119" s="611">
        <v>200000</v>
      </c>
      <c r="G119" s="476">
        <f t="shared" ref="G119:G124" si="76">+H119+I119</f>
        <v>128883</v>
      </c>
      <c r="H119" s="254">
        <v>128520</v>
      </c>
      <c r="I119" s="617">
        <v>363</v>
      </c>
      <c r="J119" s="620">
        <v>960</v>
      </c>
      <c r="K119" s="474">
        <f t="shared" ref="K119:K122" si="77">+L119-E119</f>
        <v>810</v>
      </c>
      <c r="L119" s="476">
        <f t="shared" ref="L119:L133" si="78">+J119-D119</f>
        <v>930</v>
      </c>
      <c r="M119" s="477">
        <f t="shared" ref="M119:M122" si="79">IFERROR(K119/L119,"-")</f>
        <v>0.87096774193548387</v>
      </c>
      <c r="N119" s="478">
        <f>+O119-C119</f>
        <v>660</v>
      </c>
      <c r="O119" s="476">
        <f t="shared" ref="O119:O133" si="80">+K119</f>
        <v>810</v>
      </c>
      <c r="P119" s="479">
        <f>IFERROR(N119/O119,"-")</f>
        <v>0.81481481481481477</v>
      </c>
      <c r="Q119" s="476">
        <f t="shared" ref="Q119:Q133" si="81">IFERROR(N119-(J119-(J119*H119/G119)),"-")</f>
        <v>657.29615232420099</v>
      </c>
      <c r="R119" s="476">
        <f t="shared" ref="R119:R133" si="82">+N119</f>
        <v>660</v>
      </c>
      <c r="S119" s="480">
        <f t="shared" ref="S119:S133" si="83">IFERROR(Q119/R119,"-")</f>
        <v>0.99590326109727423</v>
      </c>
      <c r="T119" s="481">
        <f t="shared" ref="T119:T133" si="84">IFERROR(M119*P119*S119,"-")</f>
        <v>0.7067700562625816</v>
      </c>
    </row>
    <row r="120" spans="1:20" ht="23.4" x14ac:dyDescent="0.3">
      <c r="A120" s="248" t="s">
        <v>110</v>
      </c>
      <c r="B120" s="249" t="s">
        <v>228</v>
      </c>
      <c r="C120" s="474">
        <f t="shared" si="75"/>
        <v>0</v>
      </c>
      <c r="D120" s="250"/>
      <c r="E120" s="251"/>
      <c r="F120" s="611">
        <v>80000</v>
      </c>
      <c r="G120" s="476">
        <f t="shared" si="76"/>
        <v>0</v>
      </c>
      <c r="H120" s="254"/>
      <c r="I120" s="617"/>
      <c r="J120" s="620"/>
      <c r="K120" s="474">
        <f t="shared" si="77"/>
        <v>0</v>
      </c>
      <c r="L120" s="476">
        <f t="shared" si="78"/>
        <v>0</v>
      </c>
      <c r="M120" s="477" t="str">
        <f t="shared" si="79"/>
        <v>-</v>
      </c>
      <c r="N120" s="478">
        <f t="shared" ref="N120:N133" si="85">+O120-C120</f>
        <v>0</v>
      </c>
      <c r="O120" s="476">
        <f t="shared" si="80"/>
        <v>0</v>
      </c>
      <c r="P120" s="479" t="str">
        <f t="shared" ref="P120:P133" si="86">IFERROR(N120/O120,"-")</f>
        <v>-</v>
      </c>
      <c r="Q120" s="476" t="str">
        <f t="shared" si="81"/>
        <v>-</v>
      </c>
      <c r="R120" s="476">
        <f t="shared" si="82"/>
        <v>0</v>
      </c>
      <c r="S120" s="480" t="str">
        <f t="shared" si="83"/>
        <v>-</v>
      </c>
      <c r="T120" s="481" t="str">
        <f t="shared" si="84"/>
        <v>-</v>
      </c>
    </row>
    <row r="121" spans="1:20" ht="23.4" x14ac:dyDescent="0.3">
      <c r="A121" s="252" t="s">
        <v>110</v>
      </c>
      <c r="B121" s="249" t="s">
        <v>231</v>
      </c>
      <c r="C121" s="474">
        <f t="shared" si="75"/>
        <v>480</v>
      </c>
      <c r="D121" s="250">
        <v>30</v>
      </c>
      <c r="E121" s="251">
        <v>450</v>
      </c>
      <c r="F121" s="611">
        <v>110000</v>
      </c>
      <c r="G121" s="476">
        <f t="shared" si="76"/>
        <v>113367</v>
      </c>
      <c r="H121" s="254">
        <v>112992</v>
      </c>
      <c r="I121" s="617">
        <v>375</v>
      </c>
      <c r="J121" s="620">
        <f>480+480</f>
        <v>960</v>
      </c>
      <c r="K121" s="474">
        <f t="shared" si="77"/>
        <v>480</v>
      </c>
      <c r="L121" s="476">
        <f t="shared" si="78"/>
        <v>930</v>
      </c>
      <c r="M121" s="477">
        <f t="shared" si="79"/>
        <v>0.5161290322580645</v>
      </c>
      <c r="N121" s="478">
        <f t="shared" si="85"/>
        <v>0</v>
      </c>
      <c r="O121" s="476">
        <f t="shared" si="80"/>
        <v>480</v>
      </c>
      <c r="P121" s="479">
        <f t="shared" si="86"/>
        <v>0</v>
      </c>
      <c r="Q121" s="476">
        <f t="shared" si="81"/>
        <v>-3.1755272698404724</v>
      </c>
      <c r="R121" s="476">
        <f t="shared" si="82"/>
        <v>0</v>
      </c>
      <c r="S121" s="480" t="str">
        <f t="shared" si="83"/>
        <v>-</v>
      </c>
      <c r="T121" s="481" t="str">
        <f t="shared" si="84"/>
        <v>-</v>
      </c>
    </row>
    <row r="122" spans="1:20" ht="23.4" x14ac:dyDescent="0.3">
      <c r="A122" s="248" t="s">
        <v>110</v>
      </c>
      <c r="B122" s="249" t="s">
        <v>230</v>
      </c>
      <c r="C122" s="474">
        <f t="shared" si="75"/>
        <v>0</v>
      </c>
      <c r="D122" s="250"/>
      <c r="E122" s="251"/>
      <c r="F122" s="611">
        <v>50000</v>
      </c>
      <c r="G122" s="476">
        <f t="shared" si="76"/>
        <v>0</v>
      </c>
      <c r="H122" s="254"/>
      <c r="I122" s="617"/>
      <c r="J122" s="620"/>
      <c r="K122" s="474">
        <f t="shared" si="77"/>
        <v>0</v>
      </c>
      <c r="L122" s="476">
        <f t="shared" si="78"/>
        <v>0</v>
      </c>
      <c r="M122" s="477" t="str">
        <f t="shared" si="79"/>
        <v>-</v>
      </c>
      <c r="N122" s="478">
        <f t="shared" si="85"/>
        <v>0</v>
      </c>
      <c r="O122" s="476">
        <f t="shared" si="80"/>
        <v>0</v>
      </c>
      <c r="P122" s="479" t="str">
        <f t="shared" si="86"/>
        <v>-</v>
      </c>
      <c r="Q122" s="476" t="str">
        <f t="shared" si="81"/>
        <v>-</v>
      </c>
      <c r="R122" s="476">
        <f t="shared" si="82"/>
        <v>0</v>
      </c>
      <c r="S122" s="480" t="str">
        <f t="shared" si="83"/>
        <v>-</v>
      </c>
      <c r="T122" s="481" t="str">
        <f t="shared" si="84"/>
        <v>-</v>
      </c>
    </row>
    <row r="123" spans="1:20" ht="23.4" x14ac:dyDescent="0.3">
      <c r="A123" s="248">
        <v>5</v>
      </c>
      <c r="B123" s="249" t="s">
        <v>22</v>
      </c>
      <c r="C123" s="474">
        <f t="shared" si="75"/>
        <v>0</v>
      </c>
      <c r="D123" s="250"/>
      <c r="E123" s="251"/>
      <c r="F123" s="611">
        <v>80000</v>
      </c>
      <c r="G123" s="476">
        <f t="shared" si="76"/>
        <v>0</v>
      </c>
      <c r="H123" s="475"/>
      <c r="I123" s="621"/>
      <c r="J123" s="620"/>
      <c r="K123" s="474">
        <f>+L123-E123</f>
        <v>0</v>
      </c>
      <c r="L123" s="476">
        <f t="shared" si="78"/>
        <v>0</v>
      </c>
      <c r="M123" s="477" t="str">
        <f>IFERROR(K123/L123,"-")</f>
        <v>-</v>
      </c>
      <c r="N123" s="478">
        <f t="shared" si="85"/>
        <v>0</v>
      </c>
      <c r="O123" s="476">
        <f t="shared" si="80"/>
        <v>0</v>
      </c>
      <c r="P123" s="479" t="str">
        <f t="shared" si="86"/>
        <v>-</v>
      </c>
      <c r="Q123" s="476" t="str">
        <f t="shared" si="81"/>
        <v>-</v>
      </c>
      <c r="R123" s="476">
        <f t="shared" si="82"/>
        <v>0</v>
      </c>
      <c r="S123" s="480" t="str">
        <f t="shared" si="83"/>
        <v>-</v>
      </c>
      <c r="T123" s="481" t="str">
        <f t="shared" si="84"/>
        <v>-</v>
      </c>
    </row>
    <row r="124" spans="1:20" ht="23.4" x14ac:dyDescent="0.3">
      <c r="A124" s="248" t="s">
        <v>110</v>
      </c>
      <c r="B124" s="249" t="s">
        <v>23</v>
      </c>
      <c r="C124" s="474">
        <f t="shared" si="75"/>
        <v>0</v>
      </c>
      <c r="D124" s="250"/>
      <c r="E124" s="251"/>
      <c r="F124" s="611">
        <v>14000</v>
      </c>
      <c r="G124" s="476">
        <f t="shared" si="76"/>
        <v>0</v>
      </c>
      <c r="H124" s="254"/>
      <c r="I124" s="617"/>
      <c r="J124" s="620"/>
      <c r="K124" s="474">
        <f t="shared" ref="K124:K133" si="87">+L124-E124</f>
        <v>0</v>
      </c>
      <c r="L124" s="476">
        <f t="shared" si="78"/>
        <v>0</v>
      </c>
      <c r="M124" s="477" t="str">
        <f t="shared" ref="M124:M133" si="88">IFERROR(K124/L124,"-")</f>
        <v>-</v>
      </c>
      <c r="N124" s="478">
        <f t="shared" si="85"/>
        <v>0</v>
      </c>
      <c r="O124" s="476">
        <f t="shared" si="80"/>
        <v>0</v>
      </c>
      <c r="P124" s="479" t="str">
        <f t="shared" si="86"/>
        <v>-</v>
      </c>
      <c r="Q124" s="476" t="str">
        <f t="shared" si="81"/>
        <v>-</v>
      </c>
      <c r="R124" s="476">
        <f t="shared" si="82"/>
        <v>0</v>
      </c>
      <c r="S124" s="480" t="str">
        <f t="shared" si="83"/>
        <v>-</v>
      </c>
      <c r="T124" s="481" t="str">
        <f t="shared" si="84"/>
        <v>-</v>
      </c>
    </row>
    <row r="125" spans="1:20" ht="24" thickBot="1" x14ac:dyDescent="0.35">
      <c r="A125" s="248" t="s">
        <v>110</v>
      </c>
      <c r="B125" s="253" t="s">
        <v>226</v>
      </c>
      <c r="C125" s="482">
        <f t="shared" si="75"/>
        <v>165</v>
      </c>
      <c r="D125" s="250">
        <f>30+30+60+45</f>
        <v>165</v>
      </c>
      <c r="E125" s="251"/>
      <c r="F125" s="611">
        <v>4500</v>
      </c>
      <c r="G125" s="476">
        <f>+H125+I125</f>
        <v>16882</v>
      </c>
      <c r="H125" s="259">
        <v>16792</v>
      </c>
      <c r="I125" s="618">
        <v>90</v>
      </c>
      <c r="J125" s="620">
        <v>960</v>
      </c>
      <c r="K125" s="482">
        <f t="shared" si="87"/>
        <v>795</v>
      </c>
      <c r="L125" s="250">
        <f t="shared" si="78"/>
        <v>795</v>
      </c>
      <c r="M125" s="483">
        <f t="shared" si="88"/>
        <v>1</v>
      </c>
      <c r="N125" s="484">
        <f t="shared" si="85"/>
        <v>630</v>
      </c>
      <c r="O125" s="250">
        <f t="shared" si="80"/>
        <v>795</v>
      </c>
      <c r="P125" s="485">
        <f t="shared" si="86"/>
        <v>0.79245283018867929</v>
      </c>
      <c r="Q125" s="250">
        <f t="shared" si="81"/>
        <v>624.88212297121197</v>
      </c>
      <c r="R125" s="250">
        <f t="shared" si="82"/>
        <v>630</v>
      </c>
      <c r="S125" s="486">
        <f t="shared" si="83"/>
        <v>0.99187638566859038</v>
      </c>
      <c r="T125" s="487">
        <f t="shared" si="84"/>
        <v>0.78601524902039244</v>
      </c>
    </row>
    <row r="126" spans="1:20" ht="24" thickBot="1" x14ac:dyDescent="0.35">
      <c r="A126" s="255" t="s">
        <v>110</v>
      </c>
      <c r="B126" s="256" t="s">
        <v>227</v>
      </c>
      <c r="C126" s="488">
        <f t="shared" si="75"/>
        <v>150</v>
      </c>
      <c r="D126" s="257">
        <f>30+30+60+30</f>
        <v>150</v>
      </c>
      <c r="E126" s="258"/>
      <c r="F126" s="615">
        <v>5000</v>
      </c>
      <c r="G126" s="498">
        <f t="shared" ref="G126:G133" si="89">+H126+I126</f>
        <v>46599</v>
      </c>
      <c r="H126" s="259">
        <v>46565</v>
      </c>
      <c r="I126" s="618">
        <v>34</v>
      </c>
      <c r="J126" s="623">
        <v>960</v>
      </c>
      <c r="K126" s="488">
        <f t="shared" si="87"/>
        <v>810</v>
      </c>
      <c r="L126" s="257">
        <f t="shared" si="78"/>
        <v>810</v>
      </c>
      <c r="M126" s="489">
        <f t="shared" si="88"/>
        <v>1</v>
      </c>
      <c r="N126" s="490">
        <f t="shared" si="85"/>
        <v>660</v>
      </c>
      <c r="O126" s="257">
        <f t="shared" si="80"/>
        <v>810</v>
      </c>
      <c r="P126" s="491">
        <f t="shared" si="86"/>
        <v>0.81481481481481477</v>
      </c>
      <c r="Q126" s="257">
        <f t="shared" si="81"/>
        <v>659.2995557844589</v>
      </c>
      <c r="R126" s="257">
        <f t="shared" si="82"/>
        <v>660</v>
      </c>
      <c r="S126" s="492">
        <f t="shared" si="83"/>
        <v>0.99893872088554381</v>
      </c>
      <c r="T126" s="493">
        <f t="shared" si="84"/>
        <v>0.81395006886970234</v>
      </c>
    </row>
    <row r="127" spans="1:20" ht="23.4" x14ac:dyDescent="0.3">
      <c r="A127" s="252" t="s">
        <v>108</v>
      </c>
      <c r="B127" s="260" t="s">
        <v>29</v>
      </c>
      <c r="C127" s="474">
        <f t="shared" si="75"/>
        <v>0</v>
      </c>
      <c r="D127" s="250"/>
      <c r="E127" s="251"/>
      <c r="F127" s="475">
        <v>160000</v>
      </c>
      <c r="G127" s="476">
        <f t="shared" si="89"/>
        <v>0</v>
      </c>
      <c r="H127" s="475"/>
      <c r="I127" s="621"/>
      <c r="J127" s="756"/>
      <c r="K127" s="474">
        <f t="shared" si="87"/>
        <v>0</v>
      </c>
      <c r="L127" s="476">
        <f t="shared" si="78"/>
        <v>0</v>
      </c>
      <c r="M127" s="477" t="str">
        <f t="shared" si="88"/>
        <v>-</v>
      </c>
      <c r="N127" s="478">
        <f t="shared" si="85"/>
        <v>0</v>
      </c>
      <c r="O127" s="476">
        <f t="shared" si="80"/>
        <v>0</v>
      </c>
      <c r="P127" s="479" t="str">
        <f t="shared" si="86"/>
        <v>-</v>
      </c>
      <c r="Q127" s="476" t="str">
        <f t="shared" si="81"/>
        <v>-</v>
      </c>
      <c r="R127" s="476">
        <f t="shared" si="82"/>
        <v>0</v>
      </c>
      <c r="S127" s="494" t="str">
        <f t="shared" si="83"/>
        <v>-</v>
      </c>
      <c r="T127" s="495" t="str">
        <f t="shared" si="84"/>
        <v>-</v>
      </c>
    </row>
    <row r="128" spans="1:20" ht="22.5" customHeight="1" x14ac:dyDescent="0.3">
      <c r="A128" s="248" t="s">
        <v>108</v>
      </c>
      <c r="B128" s="260" t="s">
        <v>31</v>
      </c>
      <c r="C128" s="474">
        <f t="shared" si="75"/>
        <v>0</v>
      </c>
      <c r="D128" s="769"/>
      <c r="E128" s="251"/>
      <c r="F128" s="475">
        <v>50000</v>
      </c>
      <c r="G128" s="476">
        <f t="shared" si="89"/>
        <v>0</v>
      </c>
      <c r="H128" s="475"/>
      <c r="I128" s="621"/>
      <c r="J128" s="620"/>
      <c r="K128" s="474">
        <f t="shared" si="87"/>
        <v>0</v>
      </c>
      <c r="L128" s="476">
        <f t="shared" si="78"/>
        <v>0</v>
      </c>
      <c r="M128" s="477" t="str">
        <f t="shared" si="88"/>
        <v>-</v>
      </c>
      <c r="N128" s="478">
        <f t="shared" si="85"/>
        <v>0</v>
      </c>
      <c r="O128" s="476">
        <f t="shared" si="80"/>
        <v>0</v>
      </c>
      <c r="P128" s="479" t="str">
        <f t="shared" si="86"/>
        <v>-</v>
      </c>
      <c r="Q128" s="476" t="str">
        <f t="shared" si="81"/>
        <v>-</v>
      </c>
      <c r="R128" s="476">
        <f t="shared" si="82"/>
        <v>0</v>
      </c>
      <c r="S128" s="494" t="str">
        <f t="shared" si="83"/>
        <v>-</v>
      </c>
      <c r="T128" s="495" t="str">
        <f t="shared" si="84"/>
        <v>-</v>
      </c>
    </row>
    <row r="129" spans="1:20" ht="24" thickBot="1" x14ac:dyDescent="0.35">
      <c r="A129" s="255" t="s">
        <v>108</v>
      </c>
      <c r="B129" s="261" t="s">
        <v>32</v>
      </c>
      <c r="C129" s="496">
        <f t="shared" si="75"/>
        <v>0</v>
      </c>
      <c r="D129" s="257"/>
      <c r="E129" s="258"/>
      <c r="F129" s="497">
        <v>110000</v>
      </c>
      <c r="G129" s="498">
        <f t="shared" si="89"/>
        <v>0</v>
      </c>
      <c r="H129" s="497"/>
      <c r="I129" s="622"/>
      <c r="J129" s="623"/>
      <c r="K129" s="496">
        <f t="shared" si="87"/>
        <v>0</v>
      </c>
      <c r="L129" s="498">
        <f t="shared" si="78"/>
        <v>0</v>
      </c>
      <c r="M129" s="499" t="str">
        <f t="shared" si="88"/>
        <v>-</v>
      </c>
      <c r="N129" s="500">
        <f t="shared" si="85"/>
        <v>0</v>
      </c>
      <c r="O129" s="498">
        <f t="shared" si="80"/>
        <v>0</v>
      </c>
      <c r="P129" s="501" t="str">
        <f t="shared" si="86"/>
        <v>-</v>
      </c>
      <c r="Q129" s="498" t="str">
        <f t="shared" si="81"/>
        <v>-</v>
      </c>
      <c r="R129" s="498">
        <f t="shared" si="82"/>
        <v>0</v>
      </c>
      <c r="S129" s="502" t="str">
        <f t="shared" si="83"/>
        <v>-</v>
      </c>
      <c r="T129" s="503" t="str">
        <f t="shared" si="84"/>
        <v>-</v>
      </c>
    </row>
    <row r="130" spans="1:20" ht="23.4" x14ac:dyDescent="0.3">
      <c r="A130" s="248" t="s">
        <v>109</v>
      </c>
      <c r="B130" s="249" t="s">
        <v>233</v>
      </c>
      <c r="C130" s="474">
        <f t="shared" si="75"/>
        <v>30</v>
      </c>
      <c r="D130" s="250">
        <v>30</v>
      </c>
      <c r="E130" s="251"/>
      <c r="F130" s="475">
        <v>6500</v>
      </c>
      <c r="G130" s="476">
        <f t="shared" si="89"/>
        <v>5536</v>
      </c>
      <c r="H130" s="475">
        <f>4480+640</f>
        <v>5120</v>
      </c>
      <c r="I130" s="621">
        <f>376+40</f>
        <v>416</v>
      </c>
      <c r="J130" s="620">
        <f>480+480</f>
        <v>960</v>
      </c>
      <c r="K130" s="474">
        <f t="shared" si="87"/>
        <v>930</v>
      </c>
      <c r="L130" s="476">
        <f t="shared" si="78"/>
        <v>930</v>
      </c>
      <c r="M130" s="477">
        <f t="shared" si="88"/>
        <v>1</v>
      </c>
      <c r="N130" s="478">
        <f t="shared" si="85"/>
        <v>900</v>
      </c>
      <c r="O130" s="476">
        <f t="shared" si="80"/>
        <v>930</v>
      </c>
      <c r="P130" s="479">
        <f t="shared" si="86"/>
        <v>0.967741935483871</v>
      </c>
      <c r="Q130" s="476">
        <f t="shared" si="81"/>
        <v>827.86127167630059</v>
      </c>
      <c r="R130" s="476">
        <f t="shared" si="82"/>
        <v>900</v>
      </c>
      <c r="S130" s="494">
        <f t="shared" si="83"/>
        <v>0.91984585741811176</v>
      </c>
      <c r="T130" s="495">
        <f t="shared" si="84"/>
        <v>0.89017341040462428</v>
      </c>
    </row>
    <row r="131" spans="1:20" ht="23.4" x14ac:dyDescent="0.3">
      <c r="A131" s="252" t="s">
        <v>109</v>
      </c>
      <c r="B131" s="249" t="s">
        <v>40</v>
      </c>
      <c r="C131" s="474">
        <f t="shared" si="75"/>
        <v>30</v>
      </c>
      <c r="D131" s="250">
        <v>30</v>
      </c>
      <c r="E131" s="251"/>
      <c r="F131" s="475">
        <v>2800</v>
      </c>
      <c r="G131" s="476">
        <f t="shared" si="89"/>
        <v>2075</v>
      </c>
      <c r="H131" s="475">
        <v>2000</v>
      </c>
      <c r="I131" s="621">
        <v>75</v>
      </c>
      <c r="J131" s="620">
        <v>480</v>
      </c>
      <c r="K131" s="474">
        <f t="shared" si="87"/>
        <v>450</v>
      </c>
      <c r="L131" s="476">
        <f t="shared" si="78"/>
        <v>450</v>
      </c>
      <c r="M131" s="477">
        <f t="shared" si="88"/>
        <v>1</v>
      </c>
      <c r="N131" s="478">
        <f t="shared" si="85"/>
        <v>420</v>
      </c>
      <c r="O131" s="476">
        <f t="shared" si="80"/>
        <v>450</v>
      </c>
      <c r="P131" s="479">
        <f t="shared" si="86"/>
        <v>0.93333333333333335</v>
      </c>
      <c r="Q131" s="476">
        <f t="shared" si="81"/>
        <v>402.65060240963857</v>
      </c>
      <c r="R131" s="476">
        <f t="shared" si="82"/>
        <v>420</v>
      </c>
      <c r="S131" s="494">
        <f t="shared" si="83"/>
        <v>0.95869191049913949</v>
      </c>
      <c r="T131" s="495">
        <f t="shared" si="84"/>
        <v>0.8947791164658635</v>
      </c>
    </row>
    <row r="132" spans="1:20" ht="23.4" x14ac:dyDescent="0.3">
      <c r="A132" s="248" t="s">
        <v>109</v>
      </c>
      <c r="B132" s="249" t="s">
        <v>42</v>
      </c>
      <c r="C132" s="474">
        <f t="shared" si="75"/>
        <v>30</v>
      </c>
      <c r="D132" s="250">
        <v>30</v>
      </c>
      <c r="E132" s="251"/>
      <c r="F132" s="475">
        <v>25000</v>
      </c>
      <c r="G132" s="476">
        <f t="shared" si="89"/>
        <v>58197</v>
      </c>
      <c r="H132" s="475">
        <f>35904+21840</f>
        <v>57744</v>
      </c>
      <c r="I132" s="621">
        <f>288+165</f>
        <v>453</v>
      </c>
      <c r="J132" s="620">
        <f>480+480</f>
        <v>960</v>
      </c>
      <c r="K132" s="474">
        <f t="shared" si="87"/>
        <v>930</v>
      </c>
      <c r="L132" s="476">
        <f t="shared" si="78"/>
        <v>930</v>
      </c>
      <c r="M132" s="477">
        <f t="shared" si="88"/>
        <v>1</v>
      </c>
      <c r="N132" s="478">
        <f t="shared" si="85"/>
        <v>900</v>
      </c>
      <c r="O132" s="476">
        <f t="shared" si="80"/>
        <v>930</v>
      </c>
      <c r="P132" s="479">
        <f t="shared" si="86"/>
        <v>0.967741935483871</v>
      </c>
      <c r="Q132" s="476">
        <f t="shared" si="81"/>
        <v>892.52744986854998</v>
      </c>
      <c r="R132" s="476">
        <f t="shared" si="82"/>
        <v>900</v>
      </c>
      <c r="S132" s="494">
        <f t="shared" si="83"/>
        <v>0.99169716652061113</v>
      </c>
      <c r="T132" s="495">
        <f t="shared" si="84"/>
        <v>0.95970693534252693</v>
      </c>
    </row>
    <row r="133" spans="1:20" ht="47.4" thickBot="1" x14ac:dyDescent="0.35">
      <c r="A133" s="625" t="s">
        <v>109</v>
      </c>
      <c r="B133" s="261" t="s">
        <v>232</v>
      </c>
      <c r="C133" s="626">
        <f t="shared" si="75"/>
        <v>0</v>
      </c>
      <c r="D133" s="627"/>
      <c r="E133" s="628"/>
      <c r="F133" s="629">
        <v>25000</v>
      </c>
      <c r="G133" s="630">
        <f t="shared" si="89"/>
        <v>0</v>
      </c>
      <c r="H133" s="629"/>
      <c r="I133" s="631"/>
      <c r="J133" s="624"/>
      <c r="K133" s="626">
        <f t="shared" si="87"/>
        <v>0</v>
      </c>
      <c r="L133" s="630">
        <f t="shared" si="78"/>
        <v>0</v>
      </c>
      <c r="M133" s="632" t="str">
        <f t="shared" si="88"/>
        <v>-</v>
      </c>
      <c r="N133" s="633">
        <f t="shared" si="85"/>
        <v>0</v>
      </c>
      <c r="O133" s="630">
        <f t="shared" si="80"/>
        <v>0</v>
      </c>
      <c r="P133" s="634" t="str">
        <f t="shared" si="86"/>
        <v>-</v>
      </c>
      <c r="Q133" s="630" t="str">
        <f t="shared" si="81"/>
        <v>-</v>
      </c>
      <c r="R133" s="630">
        <f t="shared" si="82"/>
        <v>0</v>
      </c>
      <c r="S133" s="635" t="str">
        <f t="shared" si="83"/>
        <v>-</v>
      </c>
      <c r="T133" s="636" t="str">
        <f t="shared" si="84"/>
        <v>-</v>
      </c>
    </row>
    <row r="134" spans="1:20" ht="22.5" customHeight="1" x14ac:dyDescent="0.3">
      <c r="A134" s="1043" t="s">
        <v>1</v>
      </c>
      <c r="B134" s="1043" t="s">
        <v>2</v>
      </c>
      <c r="C134" s="1000" t="s">
        <v>221</v>
      </c>
      <c r="D134" s="1001"/>
      <c r="E134" s="1002"/>
      <c r="F134" s="1000" t="s">
        <v>561</v>
      </c>
      <c r="G134" s="1001"/>
      <c r="H134" s="1001"/>
      <c r="I134" s="1002"/>
      <c r="J134" s="1043" t="s">
        <v>218</v>
      </c>
      <c r="K134" s="1000" t="s">
        <v>206</v>
      </c>
      <c r="L134" s="1001"/>
      <c r="M134" s="1002"/>
      <c r="N134" s="1000" t="s">
        <v>207</v>
      </c>
      <c r="O134" s="1001"/>
      <c r="P134" s="1002"/>
      <c r="Q134" s="1000" t="s">
        <v>208</v>
      </c>
      <c r="R134" s="1001"/>
      <c r="S134" s="1002"/>
      <c r="T134" s="1107" t="s">
        <v>205</v>
      </c>
    </row>
    <row r="135" spans="1:20" ht="87.6" thickBot="1" x14ac:dyDescent="0.35">
      <c r="A135" s="1045"/>
      <c r="B135" s="1045"/>
      <c r="C135" s="235" t="s">
        <v>222</v>
      </c>
      <c r="D135" s="236" t="s">
        <v>219</v>
      </c>
      <c r="E135" s="237" t="s">
        <v>220</v>
      </c>
      <c r="F135" s="238" t="s">
        <v>361</v>
      </c>
      <c r="G135" s="236" t="s">
        <v>215</v>
      </c>
      <c r="H135" s="239" t="s">
        <v>216</v>
      </c>
      <c r="I135" s="240" t="s">
        <v>217</v>
      </c>
      <c r="J135" s="1045"/>
      <c r="K135" s="235" t="s">
        <v>209</v>
      </c>
      <c r="L135" s="239" t="s">
        <v>210</v>
      </c>
      <c r="M135" s="241" t="s">
        <v>223</v>
      </c>
      <c r="N135" s="242" t="s">
        <v>211</v>
      </c>
      <c r="O135" s="239" t="s">
        <v>212</v>
      </c>
      <c r="P135" s="241" t="s">
        <v>224</v>
      </c>
      <c r="Q135" s="235" t="s">
        <v>213</v>
      </c>
      <c r="R135" s="239" t="s">
        <v>214</v>
      </c>
      <c r="S135" s="243" t="s">
        <v>225</v>
      </c>
      <c r="T135" s="1108"/>
    </row>
    <row r="136" spans="1:20" ht="25.5" customHeight="1" x14ac:dyDescent="0.3">
      <c r="A136" s="244" t="s">
        <v>110</v>
      </c>
      <c r="B136" s="245" t="s">
        <v>16</v>
      </c>
      <c r="C136" s="467">
        <f>+D136+E136</f>
        <v>0</v>
      </c>
      <c r="D136" s="246"/>
      <c r="E136" s="247"/>
      <c r="F136" s="610">
        <v>15000</v>
      </c>
      <c r="G136" s="468">
        <f>+H136+I136</f>
        <v>0</v>
      </c>
      <c r="H136" s="614"/>
      <c r="I136" s="616"/>
      <c r="J136" s="619"/>
      <c r="K136" s="467">
        <f>+L136-E136</f>
        <v>0</v>
      </c>
      <c r="L136" s="468">
        <f>+J136-D136</f>
        <v>0</v>
      </c>
      <c r="M136" s="469" t="str">
        <f>IFERROR(K136/L136,"-")</f>
        <v>-</v>
      </c>
      <c r="N136" s="470">
        <f>+O136-C136</f>
        <v>0</v>
      </c>
      <c r="O136" s="468">
        <f>+K136</f>
        <v>0</v>
      </c>
      <c r="P136" s="471" t="str">
        <f>IFERROR(N136/O136,"-")</f>
        <v>-</v>
      </c>
      <c r="Q136" s="468" t="str">
        <f>IFERROR(N136-(J136-(J136*H136/G136)),"-")</f>
        <v>-</v>
      </c>
      <c r="R136" s="468">
        <f>+N136</f>
        <v>0</v>
      </c>
      <c r="S136" s="472" t="str">
        <f>IFERROR(Q136/R136,"-")</f>
        <v>-</v>
      </c>
      <c r="T136" s="473" t="str">
        <f>IFERROR(M136*P136*S136,"-")</f>
        <v>-</v>
      </c>
    </row>
    <row r="137" spans="1:20" ht="23.4" x14ac:dyDescent="0.3">
      <c r="A137" s="248" t="s">
        <v>110</v>
      </c>
      <c r="B137" s="249" t="s">
        <v>229</v>
      </c>
      <c r="C137" s="474">
        <f t="shared" ref="C137:C151" si="90">+D137+E137</f>
        <v>180</v>
      </c>
      <c r="D137" s="250">
        <f>30+30</f>
        <v>60</v>
      </c>
      <c r="E137" s="251">
        <v>120</v>
      </c>
      <c r="F137" s="611">
        <v>200000</v>
      </c>
      <c r="G137" s="476">
        <f t="shared" ref="G137:G142" si="91">+H137+I137</f>
        <v>106905</v>
      </c>
      <c r="H137" s="254">
        <v>106432</v>
      </c>
      <c r="I137" s="617">
        <v>473</v>
      </c>
      <c r="J137" s="620">
        <v>960</v>
      </c>
      <c r="K137" s="474">
        <f t="shared" ref="K137:K140" si="92">+L137-E137</f>
        <v>780</v>
      </c>
      <c r="L137" s="476">
        <f t="shared" ref="L137:L151" si="93">+J137-D137</f>
        <v>900</v>
      </c>
      <c r="M137" s="477">
        <f t="shared" ref="M137:M140" si="94">IFERROR(K137/L137,"-")</f>
        <v>0.8666666666666667</v>
      </c>
      <c r="N137" s="478">
        <f>+O137-C137</f>
        <v>600</v>
      </c>
      <c r="O137" s="476">
        <f t="shared" ref="O137:O151" si="95">+K137</f>
        <v>780</v>
      </c>
      <c r="P137" s="479">
        <f>IFERROR(N137/O137,"-")</f>
        <v>0.76923076923076927</v>
      </c>
      <c r="Q137" s="476">
        <f t="shared" ref="Q137:Q151" si="96">IFERROR(N137-(J137-(J137*H137/G137)),"-")</f>
        <v>595.75249052897436</v>
      </c>
      <c r="R137" s="476">
        <f t="shared" ref="R137:R151" si="97">+N137</f>
        <v>600</v>
      </c>
      <c r="S137" s="480">
        <f t="shared" ref="S137:S151" si="98">IFERROR(Q137/R137,"-")</f>
        <v>0.99292081754829065</v>
      </c>
      <c r="T137" s="481">
        <f t="shared" ref="T137:T151" si="99">IFERROR(M137*P137*S137,"-")</f>
        <v>0.6619472116988605</v>
      </c>
    </row>
    <row r="138" spans="1:20" ht="23.4" x14ac:dyDescent="0.3">
      <c r="A138" s="248" t="s">
        <v>110</v>
      </c>
      <c r="B138" s="249" t="s">
        <v>228</v>
      </c>
      <c r="C138" s="474">
        <f t="shared" si="90"/>
        <v>0</v>
      </c>
      <c r="D138" s="250"/>
      <c r="E138" s="251"/>
      <c r="F138" s="611">
        <v>80000</v>
      </c>
      <c r="G138" s="476">
        <f t="shared" si="91"/>
        <v>0</v>
      </c>
      <c r="H138" s="254"/>
      <c r="I138" s="617"/>
      <c r="J138" s="620"/>
      <c r="K138" s="474">
        <f t="shared" si="92"/>
        <v>0</v>
      </c>
      <c r="L138" s="476">
        <f t="shared" si="93"/>
        <v>0</v>
      </c>
      <c r="M138" s="477" t="str">
        <f t="shared" si="94"/>
        <v>-</v>
      </c>
      <c r="N138" s="478">
        <f t="shared" ref="N138:N151" si="100">+O138-C138</f>
        <v>0</v>
      </c>
      <c r="O138" s="476">
        <f t="shared" si="95"/>
        <v>0</v>
      </c>
      <c r="P138" s="479" t="str">
        <f t="shared" ref="P138:P151" si="101">IFERROR(N138/O138,"-")</f>
        <v>-</v>
      </c>
      <c r="Q138" s="476" t="str">
        <f t="shared" si="96"/>
        <v>-</v>
      </c>
      <c r="R138" s="476">
        <f t="shared" si="97"/>
        <v>0</v>
      </c>
      <c r="S138" s="480" t="str">
        <f t="shared" si="98"/>
        <v>-</v>
      </c>
      <c r="T138" s="481" t="str">
        <f t="shared" si="99"/>
        <v>-</v>
      </c>
    </row>
    <row r="139" spans="1:20" ht="23.4" x14ac:dyDescent="0.3">
      <c r="A139" s="252" t="s">
        <v>110</v>
      </c>
      <c r="B139" s="249" t="s">
        <v>231</v>
      </c>
      <c r="C139" s="474">
        <f t="shared" si="90"/>
        <v>390</v>
      </c>
      <c r="D139" s="250">
        <v>30</v>
      </c>
      <c r="E139" s="251">
        <v>360</v>
      </c>
      <c r="F139" s="611">
        <v>110000</v>
      </c>
      <c r="G139" s="476">
        <f t="shared" si="91"/>
        <v>17038</v>
      </c>
      <c r="H139" s="254">
        <v>16896</v>
      </c>
      <c r="I139" s="617">
        <v>142</v>
      </c>
      <c r="J139" s="620">
        <v>480</v>
      </c>
      <c r="K139" s="474">
        <f t="shared" si="92"/>
        <v>90</v>
      </c>
      <c r="L139" s="476">
        <f t="shared" si="93"/>
        <v>450</v>
      </c>
      <c r="M139" s="477">
        <f t="shared" si="94"/>
        <v>0.2</v>
      </c>
      <c r="N139" s="478">
        <f t="shared" si="100"/>
        <v>-300</v>
      </c>
      <c r="O139" s="476">
        <f t="shared" si="95"/>
        <v>90</v>
      </c>
      <c r="P139" s="479">
        <f t="shared" si="101"/>
        <v>-3.3333333333333335</v>
      </c>
      <c r="Q139" s="476">
        <f t="shared" si="96"/>
        <v>-304.00046953867826</v>
      </c>
      <c r="R139" s="476">
        <f t="shared" si="97"/>
        <v>-300</v>
      </c>
      <c r="S139" s="480">
        <f t="shared" si="98"/>
        <v>1.0133348984622608</v>
      </c>
      <c r="T139" s="481">
        <f t="shared" si="99"/>
        <v>-0.67555659897484055</v>
      </c>
    </row>
    <row r="140" spans="1:20" ht="23.4" x14ac:dyDescent="0.3">
      <c r="A140" s="248" t="s">
        <v>110</v>
      </c>
      <c r="B140" s="249" t="s">
        <v>230</v>
      </c>
      <c r="C140" s="474">
        <f t="shared" si="90"/>
        <v>0</v>
      </c>
      <c r="D140" s="250"/>
      <c r="E140" s="251"/>
      <c r="F140" s="611">
        <v>50000</v>
      </c>
      <c r="G140" s="476">
        <f t="shared" si="91"/>
        <v>0</v>
      </c>
      <c r="H140" s="254"/>
      <c r="I140" s="617"/>
      <c r="J140" s="620"/>
      <c r="K140" s="474">
        <f t="shared" si="92"/>
        <v>0</v>
      </c>
      <c r="L140" s="476">
        <f t="shared" si="93"/>
        <v>0</v>
      </c>
      <c r="M140" s="477" t="str">
        <f t="shared" si="94"/>
        <v>-</v>
      </c>
      <c r="N140" s="478">
        <f t="shared" si="100"/>
        <v>0</v>
      </c>
      <c r="O140" s="476">
        <f t="shared" si="95"/>
        <v>0</v>
      </c>
      <c r="P140" s="479" t="str">
        <f t="shared" si="101"/>
        <v>-</v>
      </c>
      <c r="Q140" s="476" t="str">
        <f t="shared" si="96"/>
        <v>-</v>
      </c>
      <c r="R140" s="476">
        <f t="shared" si="97"/>
        <v>0</v>
      </c>
      <c r="S140" s="480" t="str">
        <f t="shared" si="98"/>
        <v>-</v>
      </c>
      <c r="T140" s="481" t="str">
        <f t="shared" si="99"/>
        <v>-</v>
      </c>
    </row>
    <row r="141" spans="1:20" ht="23.4" x14ac:dyDescent="0.3">
      <c r="A141" s="248">
        <v>5</v>
      </c>
      <c r="B141" s="249" t="s">
        <v>22</v>
      </c>
      <c r="C141" s="474">
        <f t="shared" si="90"/>
        <v>0</v>
      </c>
      <c r="D141" s="250"/>
      <c r="E141" s="251"/>
      <c r="F141" s="611">
        <v>80000</v>
      </c>
      <c r="G141" s="476">
        <f t="shared" si="91"/>
        <v>0</v>
      </c>
      <c r="H141" s="475"/>
      <c r="I141" s="621"/>
      <c r="J141" s="620"/>
      <c r="K141" s="474">
        <f>+L141-E141</f>
        <v>0</v>
      </c>
      <c r="L141" s="476">
        <f t="shared" si="93"/>
        <v>0</v>
      </c>
      <c r="M141" s="477" t="str">
        <f>IFERROR(K141/L141,"-")</f>
        <v>-</v>
      </c>
      <c r="N141" s="478">
        <f t="shared" si="100"/>
        <v>0</v>
      </c>
      <c r="O141" s="476">
        <f t="shared" si="95"/>
        <v>0</v>
      </c>
      <c r="P141" s="479" t="str">
        <f t="shared" si="101"/>
        <v>-</v>
      </c>
      <c r="Q141" s="476" t="str">
        <f t="shared" si="96"/>
        <v>-</v>
      </c>
      <c r="R141" s="476">
        <f t="shared" si="97"/>
        <v>0</v>
      </c>
      <c r="S141" s="480" t="str">
        <f t="shared" si="98"/>
        <v>-</v>
      </c>
      <c r="T141" s="481" t="str">
        <f t="shared" si="99"/>
        <v>-</v>
      </c>
    </row>
    <row r="142" spans="1:20" ht="23.4" x14ac:dyDescent="0.3">
      <c r="A142" s="248" t="s">
        <v>110</v>
      </c>
      <c r="B142" s="249" t="s">
        <v>23</v>
      </c>
      <c r="C142" s="474">
        <f t="shared" si="90"/>
        <v>140</v>
      </c>
      <c r="D142" s="250">
        <v>30</v>
      </c>
      <c r="E142" s="251">
        <v>110</v>
      </c>
      <c r="F142" s="611">
        <v>14000</v>
      </c>
      <c r="G142" s="476">
        <f t="shared" si="91"/>
        <v>15668</v>
      </c>
      <c r="H142" s="254">
        <v>15560</v>
      </c>
      <c r="I142" s="617">
        <v>108</v>
      </c>
      <c r="J142" s="620">
        <v>600</v>
      </c>
      <c r="K142" s="474">
        <f t="shared" ref="K142:K151" si="102">+L142-E142</f>
        <v>460</v>
      </c>
      <c r="L142" s="476">
        <f t="shared" si="93"/>
        <v>570</v>
      </c>
      <c r="M142" s="477">
        <f t="shared" ref="M142:M151" si="103">IFERROR(K142/L142,"-")</f>
        <v>0.80701754385964908</v>
      </c>
      <c r="N142" s="478">
        <f t="shared" si="100"/>
        <v>320</v>
      </c>
      <c r="O142" s="476">
        <f t="shared" si="95"/>
        <v>460</v>
      </c>
      <c r="P142" s="479">
        <f t="shared" si="101"/>
        <v>0.69565217391304346</v>
      </c>
      <c r="Q142" s="476">
        <f t="shared" si="96"/>
        <v>315.86418177176415</v>
      </c>
      <c r="R142" s="476">
        <f t="shared" si="97"/>
        <v>320</v>
      </c>
      <c r="S142" s="480">
        <f t="shared" si="98"/>
        <v>0.987075568036763</v>
      </c>
      <c r="T142" s="481">
        <f t="shared" si="99"/>
        <v>0.55414768731888442</v>
      </c>
    </row>
    <row r="143" spans="1:20" ht="24" thickBot="1" x14ac:dyDescent="0.35">
      <c r="A143" s="248" t="s">
        <v>110</v>
      </c>
      <c r="B143" s="253" t="s">
        <v>226</v>
      </c>
      <c r="C143" s="482">
        <f t="shared" si="90"/>
        <v>425</v>
      </c>
      <c r="D143" s="250">
        <f>30+30+365</f>
        <v>425</v>
      </c>
      <c r="E143" s="251"/>
      <c r="F143" s="611">
        <v>4500</v>
      </c>
      <c r="G143" s="476">
        <f>+H143+I143</f>
        <v>27238</v>
      </c>
      <c r="H143" s="259">
        <v>26899</v>
      </c>
      <c r="I143" s="618">
        <v>339</v>
      </c>
      <c r="J143" s="620">
        <v>960</v>
      </c>
      <c r="K143" s="482">
        <f t="shared" si="102"/>
        <v>535</v>
      </c>
      <c r="L143" s="250">
        <f t="shared" si="93"/>
        <v>535</v>
      </c>
      <c r="M143" s="483">
        <f t="shared" si="103"/>
        <v>1</v>
      </c>
      <c r="N143" s="484">
        <f t="shared" si="100"/>
        <v>110</v>
      </c>
      <c r="O143" s="250">
        <f t="shared" si="95"/>
        <v>535</v>
      </c>
      <c r="P143" s="485">
        <f t="shared" si="101"/>
        <v>0.20560747663551401</v>
      </c>
      <c r="Q143" s="250">
        <f t="shared" si="96"/>
        <v>98.051986195755944</v>
      </c>
      <c r="R143" s="250">
        <f t="shared" si="97"/>
        <v>110</v>
      </c>
      <c r="S143" s="486">
        <f t="shared" si="98"/>
        <v>0.89138169268869039</v>
      </c>
      <c r="T143" s="487">
        <f t="shared" si="99"/>
        <v>0.18327474055281484</v>
      </c>
    </row>
    <row r="144" spans="1:20" ht="24" thickBot="1" x14ac:dyDescent="0.35">
      <c r="A144" s="255" t="s">
        <v>110</v>
      </c>
      <c r="B144" s="256" t="s">
        <v>227</v>
      </c>
      <c r="C144" s="488">
        <f t="shared" si="90"/>
        <v>120</v>
      </c>
      <c r="D144" s="257">
        <f>30+30+60</f>
        <v>120</v>
      </c>
      <c r="E144" s="258"/>
      <c r="F144" s="615">
        <v>5000</v>
      </c>
      <c r="G144" s="498">
        <f t="shared" ref="G144:G151" si="104">+H144+I144</f>
        <v>29157</v>
      </c>
      <c r="H144" s="259">
        <v>29121</v>
      </c>
      <c r="I144" s="618">
        <v>36</v>
      </c>
      <c r="J144" s="623">
        <v>960</v>
      </c>
      <c r="K144" s="488">
        <f t="shared" si="102"/>
        <v>840</v>
      </c>
      <c r="L144" s="257">
        <f t="shared" si="93"/>
        <v>840</v>
      </c>
      <c r="M144" s="489">
        <f t="shared" si="103"/>
        <v>1</v>
      </c>
      <c r="N144" s="490">
        <f t="shared" si="100"/>
        <v>720</v>
      </c>
      <c r="O144" s="257">
        <f t="shared" si="95"/>
        <v>840</v>
      </c>
      <c r="P144" s="491">
        <f t="shared" si="101"/>
        <v>0.8571428571428571</v>
      </c>
      <c r="Q144" s="257">
        <f t="shared" si="96"/>
        <v>718.81469286963681</v>
      </c>
      <c r="R144" s="257">
        <f t="shared" si="97"/>
        <v>720</v>
      </c>
      <c r="S144" s="492">
        <f t="shared" si="98"/>
        <v>0.99835374009671785</v>
      </c>
      <c r="T144" s="493">
        <f t="shared" si="99"/>
        <v>0.85573177722575811</v>
      </c>
    </row>
    <row r="145" spans="1:20" ht="23.4" x14ac:dyDescent="0.3">
      <c r="A145" s="252" t="s">
        <v>108</v>
      </c>
      <c r="B145" s="260" t="s">
        <v>29</v>
      </c>
      <c r="C145" s="474">
        <f t="shared" si="90"/>
        <v>245</v>
      </c>
      <c r="D145" s="250">
        <v>60</v>
      </c>
      <c r="E145" s="251">
        <v>185</v>
      </c>
      <c r="F145" s="475">
        <v>160000</v>
      </c>
      <c r="G145" s="476">
        <f t="shared" si="104"/>
        <v>84953</v>
      </c>
      <c r="H145" s="475">
        <v>83538</v>
      </c>
      <c r="I145" s="621">
        <v>1415</v>
      </c>
      <c r="J145" s="756">
        <v>720</v>
      </c>
      <c r="K145" s="474">
        <f t="shared" si="102"/>
        <v>475</v>
      </c>
      <c r="L145" s="476">
        <f t="shared" si="93"/>
        <v>660</v>
      </c>
      <c r="M145" s="477">
        <f t="shared" si="103"/>
        <v>0.71969696969696972</v>
      </c>
      <c r="N145" s="478">
        <f t="shared" si="100"/>
        <v>230</v>
      </c>
      <c r="O145" s="476">
        <f t="shared" si="95"/>
        <v>475</v>
      </c>
      <c r="P145" s="479">
        <f t="shared" si="101"/>
        <v>0.48421052631578948</v>
      </c>
      <c r="Q145" s="476">
        <f t="shared" si="96"/>
        <v>218.00748649253114</v>
      </c>
      <c r="R145" s="476">
        <f t="shared" si="97"/>
        <v>230</v>
      </c>
      <c r="S145" s="494">
        <f t="shared" si="98"/>
        <v>0.94785863692404848</v>
      </c>
      <c r="T145" s="495">
        <f t="shared" si="99"/>
        <v>0.33031437347353204</v>
      </c>
    </row>
    <row r="146" spans="1:20" ht="22.5" customHeight="1" x14ac:dyDescent="0.3">
      <c r="A146" s="248" t="s">
        <v>108</v>
      </c>
      <c r="B146" s="260" t="s">
        <v>31</v>
      </c>
      <c r="C146" s="474">
        <f t="shared" si="90"/>
        <v>195</v>
      </c>
      <c r="D146" s="769">
        <v>30</v>
      </c>
      <c r="E146" s="251">
        <v>165</v>
      </c>
      <c r="F146" s="475">
        <v>50000</v>
      </c>
      <c r="G146" s="476">
        <f t="shared" si="104"/>
        <v>51403</v>
      </c>
      <c r="H146" s="475">
        <v>50544</v>
      </c>
      <c r="I146" s="621">
        <v>859</v>
      </c>
      <c r="J146" s="620">
        <v>660</v>
      </c>
      <c r="K146" s="474">
        <f t="shared" si="102"/>
        <v>465</v>
      </c>
      <c r="L146" s="476">
        <f t="shared" si="93"/>
        <v>630</v>
      </c>
      <c r="M146" s="477">
        <f t="shared" si="103"/>
        <v>0.73809523809523814</v>
      </c>
      <c r="N146" s="478">
        <f t="shared" si="100"/>
        <v>270</v>
      </c>
      <c r="O146" s="476">
        <f t="shared" si="95"/>
        <v>465</v>
      </c>
      <c r="P146" s="479">
        <f t="shared" si="101"/>
        <v>0.58064516129032262</v>
      </c>
      <c r="Q146" s="476">
        <f t="shared" si="96"/>
        <v>258.97068264498182</v>
      </c>
      <c r="R146" s="476">
        <f t="shared" si="97"/>
        <v>270</v>
      </c>
      <c r="S146" s="494">
        <f t="shared" si="98"/>
        <v>0.95915067646289565</v>
      </c>
      <c r="T146" s="495">
        <f t="shared" si="99"/>
        <v>0.41106457562695531</v>
      </c>
    </row>
    <row r="147" spans="1:20" ht="24" thickBot="1" x14ac:dyDescent="0.35">
      <c r="A147" s="255" t="s">
        <v>108</v>
      </c>
      <c r="B147" s="261" t="s">
        <v>32</v>
      </c>
      <c r="C147" s="496">
        <f t="shared" si="90"/>
        <v>0</v>
      </c>
      <c r="D147" s="257"/>
      <c r="E147" s="258"/>
      <c r="F147" s="497">
        <v>110000</v>
      </c>
      <c r="G147" s="498">
        <f t="shared" si="104"/>
        <v>0</v>
      </c>
      <c r="H147" s="497"/>
      <c r="I147" s="622"/>
      <c r="J147" s="623"/>
      <c r="K147" s="496">
        <f t="shared" si="102"/>
        <v>0</v>
      </c>
      <c r="L147" s="498">
        <f t="shared" si="93"/>
        <v>0</v>
      </c>
      <c r="M147" s="499" t="str">
        <f t="shared" si="103"/>
        <v>-</v>
      </c>
      <c r="N147" s="500">
        <f t="shared" si="100"/>
        <v>0</v>
      </c>
      <c r="O147" s="498">
        <f t="shared" si="95"/>
        <v>0</v>
      </c>
      <c r="P147" s="501" t="str">
        <f t="shared" si="101"/>
        <v>-</v>
      </c>
      <c r="Q147" s="498" t="str">
        <f t="shared" si="96"/>
        <v>-</v>
      </c>
      <c r="R147" s="498">
        <f t="shared" si="97"/>
        <v>0</v>
      </c>
      <c r="S147" s="502" t="str">
        <f t="shared" si="98"/>
        <v>-</v>
      </c>
      <c r="T147" s="503" t="str">
        <f t="shared" si="99"/>
        <v>-</v>
      </c>
    </row>
    <row r="148" spans="1:20" ht="23.4" x14ac:dyDescent="0.3">
      <c r="A148" s="248" t="s">
        <v>109</v>
      </c>
      <c r="B148" s="249" t="s">
        <v>233</v>
      </c>
      <c r="C148" s="474">
        <f t="shared" si="90"/>
        <v>30</v>
      </c>
      <c r="D148" s="250">
        <v>30</v>
      </c>
      <c r="E148" s="251"/>
      <c r="F148" s="475">
        <v>6500</v>
      </c>
      <c r="G148" s="476">
        <f t="shared" si="104"/>
        <v>8040</v>
      </c>
      <c r="H148" s="475">
        <v>7700</v>
      </c>
      <c r="I148" s="621">
        <v>340</v>
      </c>
      <c r="J148" s="620">
        <v>480</v>
      </c>
      <c r="K148" s="474">
        <f t="shared" si="102"/>
        <v>450</v>
      </c>
      <c r="L148" s="476">
        <f t="shared" si="93"/>
        <v>450</v>
      </c>
      <c r="M148" s="477">
        <f t="shared" si="103"/>
        <v>1</v>
      </c>
      <c r="N148" s="478">
        <f t="shared" si="100"/>
        <v>420</v>
      </c>
      <c r="O148" s="476">
        <f t="shared" si="95"/>
        <v>450</v>
      </c>
      <c r="P148" s="479">
        <f t="shared" si="101"/>
        <v>0.93333333333333335</v>
      </c>
      <c r="Q148" s="476">
        <f t="shared" si="96"/>
        <v>399.70149253731341</v>
      </c>
      <c r="R148" s="476">
        <f t="shared" si="97"/>
        <v>420</v>
      </c>
      <c r="S148" s="494">
        <f t="shared" si="98"/>
        <v>0.95167022032693671</v>
      </c>
      <c r="T148" s="495">
        <f t="shared" si="99"/>
        <v>0.88822553897180756</v>
      </c>
    </row>
    <row r="149" spans="1:20" ht="23.4" x14ac:dyDescent="0.3">
      <c r="A149" s="252" t="s">
        <v>109</v>
      </c>
      <c r="B149" s="249" t="s">
        <v>40</v>
      </c>
      <c r="C149" s="474">
        <f t="shared" si="90"/>
        <v>30</v>
      </c>
      <c r="D149" s="250">
        <v>30</v>
      </c>
      <c r="E149" s="251"/>
      <c r="F149" s="475">
        <v>2800</v>
      </c>
      <c r="G149" s="476">
        <f t="shared" si="104"/>
        <v>1910</v>
      </c>
      <c r="H149" s="475">
        <v>1600</v>
      </c>
      <c r="I149" s="621">
        <v>310</v>
      </c>
      <c r="J149" s="620">
        <v>480</v>
      </c>
      <c r="K149" s="474">
        <f t="shared" si="102"/>
        <v>450</v>
      </c>
      <c r="L149" s="476">
        <f t="shared" si="93"/>
        <v>450</v>
      </c>
      <c r="M149" s="477">
        <f t="shared" si="103"/>
        <v>1</v>
      </c>
      <c r="N149" s="478">
        <f t="shared" si="100"/>
        <v>420</v>
      </c>
      <c r="O149" s="476">
        <f t="shared" si="95"/>
        <v>450</v>
      </c>
      <c r="P149" s="479">
        <f t="shared" si="101"/>
        <v>0.93333333333333335</v>
      </c>
      <c r="Q149" s="476">
        <f t="shared" si="96"/>
        <v>342.09424083769636</v>
      </c>
      <c r="R149" s="476">
        <f t="shared" si="97"/>
        <v>420</v>
      </c>
      <c r="S149" s="494">
        <f t="shared" si="98"/>
        <v>0.81451009723261036</v>
      </c>
      <c r="T149" s="495">
        <f t="shared" si="99"/>
        <v>0.76020942408376968</v>
      </c>
    </row>
    <row r="150" spans="1:20" ht="23.4" x14ac:dyDescent="0.3">
      <c r="A150" s="248" t="s">
        <v>109</v>
      </c>
      <c r="B150" s="249" t="s">
        <v>42</v>
      </c>
      <c r="C150" s="474">
        <f t="shared" si="90"/>
        <v>30</v>
      </c>
      <c r="D150" s="250">
        <v>30</v>
      </c>
      <c r="E150" s="251"/>
      <c r="F150" s="475">
        <v>25000</v>
      </c>
      <c r="G150" s="476">
        <f t="shared" si="104"/>
        <v>33784</v>
      </c>
      <c r="H150" s="475">
        <v>33600</v>
      </c>
      <c r="I150" s="621">
        <v>184</v>
      </c>
      <c r="J150" s="620">
        <v>480</v>
      </c>
      <c r="K150" s="474">
        <f t="shared" si="102"/>
        <v>450</v>
      </c>
      <c r="L150" s="476">
        <f t="shared" si="93"/>
        <v>450</v>
      </c>
      <c r="M150" s="477">
        <f t="shared" si="103"/>
        <v>1</v>
      </c>
      <c r="N150" s="478">
        <f t="shared" si="100"/>
        <v>420</v>
      </c>
      <c r="O150" s="476">
        <f t="shared" si="95"/>
        <v>450</v>
      </c>
      <c r="P150" s="479">
        <f t="shared" si="101"/>
        <v>0.93333333333333335</v>
      </c>
      <c r="Q150" s="476">
        <f t="shared" si="96"/>
        <v>417.38574473123373</v>
      </c>
      <c r="R150" s="476">
        <f t="shared" si="97"/>
        <v>420</v>
      </c>
      <c r="S150" s="494">
        <f t="shared" si="98"/>
        <v>0.99377558269341359</v>
      </c>
      <c r="T150" s="495">
        <f t="shared" si="99"/>
        <v>0.92752387718051932</v>
      </c>
    </row>
    <row r="151" spans="1:20" ht="47.4" thickBot="1" x14ac:dyDescent="0.35">
      <c r="A151" s="625" t="s">
        <v>109</v>
      </c>
      <c r="B151" s="261" t="s">
        <v>232</v>
      </c>
      <c r="C151" s="626">
        <f t="shared" si="90"/>
        <v>30</v>
      </c>
      <c r="D151" s="627">
        <v>30</v>
      </c>
      <c r="E151" s="628"/>
      <c r="F151" s="629">
        <v>25000</v>
      </c>
      <c r="G151" s="630">
        <f t="shared" si="104"/>
        <v>2952</v>
      </c>
      <c r="H151" s="629">
        <v>2880</v>
      </c>
      <c r="I151" s="631">
        <v>72</v>
      </c>
      <c r="J151" s="624">
        <v>480</v>
      </c>
      <c r="K151" s="626">
        <f t="shared" si="102"/>
        <v>450</v>
      </c>
      <c r="L151" s="630">
        <f t="shared" si="93"/>
        <v>450</v>
      </c>
      <c r="M151" s="632">
        <f t="shared" si="103"/>
        <v>1</v>
      </c>
      <c r="N151" s="633">
        <f t="shared" si="100"/>
        <v>420</v>
      </c>
      <c r="O151" s="630">
        <f t="shared" si="95"/>
        <v>450</v>
      </c>
      <c r="P151" s="634">
        <f t="shared" si="101"/>
        <v>0.93333333333333335</v>
      </c>
      <c r="Q151" s="630">
        <f t="shared" si="96"/>
        <v>408.29268292682929</v>
      </c>
      <c r="R151" s="630">
        <f t="shared" si="97"/>
        <v>420</v>
      </c>
      <c r="S151" s="635">
        <f t="shared" si="98"/>
        <v>0.97212543554006969</v>
      </c>
      <c r="T151" s="636">
        <f t="shared" si="99"/>
        <v>0.90731707317073174</v>
      </c>
    </row>
    <row r="152" spans="1:20" ht="22.5" customHeight="1" x14ac:dyDescent="0.3">
      <c r="A152" s="1043" t="s">
        <v>1</v>
      </c>
      <c r="B152" s="1043" t="s">
        <v>2</v>
      </c>
      <c r="C152" s="1000" t="s">
        <v>221</v>
      </c>
      <c r="D152" s="1001"/>
      <c r="E152" s="1002"/>
      <c r="F152" s="1000" t="s">
        <v>555</v>
      </c>
      <c r="G152" s="1001"/>
      <c r="H152" s="1001"/>
      <c r="I152" s="1002"/>
      <c r="J152" s="1043" t="s">
        <v>218</v>
      </c>
      <c r="K152" s="1000" t="s">
        <v>206</v>
      </c>
      <c r="L152" s="1001"/>
      <c r="M152" s="1002"/>
      <c r="N152" s="1000" t="s">
        <v>207</v>
      </c>
      <c r="O152" s="1001"/>
      <c r="P152" s="1002"/>
      <c r="Q152" s="1000" t="s">
        <v>208</v>
      </c>
      <c r="R152" s="1001"/>
      <c r="S152" s="1002"/>
      <c r="T152" s="1107" t="s">
        <v>205</v>
      </c>
    </row>
    <row r="153" spans="1:20" ht="87.6" thickBot="1" x14ac:dyDescent="0.35">
      <c r="A153" s="1045"/>
      <c r="B153" s="1045"/>
      <c r="C153" s="235" t="s">
        <v>222</v>
      </c>
      <c r="D153" s="236" t="s">
        <v>219</v>
      </c>
      <c r="E153" s="237" t="s">
        <v>220</v>
      </c>
      <c r="F153" s="238" t="s">
        <v>361</v>
      </c>
      <c r="G153" s="236" t="s">
        <v>215</v>
      </c>
      <c r="H153" s="239" t="s">
        <v>216</v>
      </c>
      <c r="I153" s="240" t="s">
        <v>217</v>
      </c>
      <c r="J153" s="1045"/>
      <c r="K153" s="235" t="s">
        <v>209</v>
      </c>
      <c r="L153" s="239" t="s">
        <v>210</v>
      </c>
      <c r="M153" s="241" t="s">
        <v>223</v>
      </c>
      <c r="N153" s="242" t="s">
        <v>211</v>
      </c>
      <c r="O153" s="239" t="s">
        <v>212</v>
      </c>
      <c r="P153" s="241" t="s">
        <v>224</v>
      </c>
      <c r="Q153" s="235" t="s">
        <v>213</v>
      </c>
      <c r="R153" s="239" t="s">
        <v>214</v>
      </c>
      <c r="S153" s="243" t="s">
        <v>225</v>
      </c>
      <c r="T153" s="1108"/>
    </row>
    <row r="154" spans="1:20" ht="25.5" customHeight="1" x14ac:dyDescent="0.3">
      <c r="A154" s="244" t="s">
        <v>110</v>
      </c>
      <c r="B154" s="245" t="s">
        <v>16</v>
      </c>
      <c r="C154" s="467">
        <f>+D154+E154</f>
        <v>0</v>
      </c>
      <c r="D154" s="246"/>
      <c r="E154" s="247"/>
      <c r="F154" s="610">
        <v>15000</v>
      </c>
      <c r="G154" s="468">
        <f>+H154+I154</f>
        <v>0</v>
      </c>
      <c r="H154" s="614"/>
      <c r="I154" s="616"/>
      <c r="J154" s="619"/>
      <c r="K154" s="467">
        <f>+L154-E154</f>
        <v>0</v>
      </c>
      <c r="L154" s="468">
        <f>+J154-D154</f>
        <v>0</v>
      </c>
      <c r="M154" s="469" t="str">
        <f>IFERROR(K154/L154,"-")</f>
        <v>-</v>
      </c>
      <c r="N154" s="470">
        <f>+O154-C154</f>
        <v>0</v>
      </c>
      <c r="O154" s="468">
        <f>+K154</f>
        <v>0</v>
      </c>
      <c r="P154" s="471" t="str">
        <f>IFERROR(N154/O154,"-")</f>
        <v>-</v>
      </c>
      <c r="Q154" s="468" t="str">
        <f>IFERROR(N154-(J154-(J154*H154/G154)),"-")</f>
        <v>-</v>
      </c>
      <c r="R154" s="468">
        <f>+N154</f>
        <v>0</v>
      </c>
      <c r="S154" s="472" t="str">
        <f>IFERROR(Q154/R154,"-")</f>
        <v>-</v>
      </c>
      <c r="T154" s="473" t="str">
        <f>IFERROR(M154*P154*S154,"-")</f>
        <v>-</v>
      </c>
    </row>
    <row r="155" spans="1:20" ht="23.4" x14ac:dyDescent="0.3">
      <c r="A155" s="248" t="s">
        <v>110</v>
      </c>
      <c r="B155" s="249" t="s">
        <v>229</v>
      </c>
      <c r="C155" s="474">
        <f t="shared" ref="C155:C169" si="105">+D155+E155</f>
        <v>60</v>
      </c>
      <c r="D155" s="250">
        <f>30+30</f>
        <v>60</v>
      </c>
      <c r="E155" s="251"/>
      <c r="F155" s="611">
        <v>200000</v>
      </c>
      <c r="G155" s="476">
        <f t="shared" ref="G155:G160" si="106">+H155+I155</f>
        <v>0</v>
      </c>
      <c r="H155" s="254"/>
      <c r="I155" s="617"/>
      <c r="J155" s="620">
        <v>960</v>
      </c>
      <c r="K155" s="474">
        <f t="shared" ref="K155:K158" si="107">+L155-E155</f>
        <v>900</v>
      </c>
      <c r="L155" s="476">
        <f t="shared" ref="L155:L169" si="108">+J155-D155</f>
        <v>900</v>
      </c>
      <c r="M155" s="477">
        <f t="shared" ref="M155:M158" si="109">IFERROR(K155/L155,"-")</f>
        <v>1</v>
      </c>
      <c r="N155" s="478">
        <f>+O155-C155</f>
        <v>840</v>
      </c>
      <c r="O155" s="476">
        <f t="shared" ref="O155:O169" si="110">+K155</f>
        <v>900</v>
      </c>
      <c r="P155" s="479">
        <f>IFERROR(N155/O155,"-")</f>
        <v>0.93333333333333335</v>
      </c>
      <c r="Q155" s="476" t="str">
        <f t="shared" ref="Q155:Q169" si="111">IFERROR(N155-(J155-(J155*H155/G155)),"-")</f>
        <v>-</v>
      </c>
      <c r="R155" s="476">
        <f t="shared" ref="R155:R169" si="112">+N155</f>
        <v>840</v>
      </c>
      <c r="S155" s="480" t="str">
        <f t="shared" ref="S155:S169" si="113">IFERROR(Q155/R155,"-")</f>
        <v>-</v>
      </c>
      <c r="T155" s="481" t="str">
        <f t="shared" ref="T155:T169" si="114">IFERROR(M155*P155*S155,"-")</f>
        <v>-</v>
      </c>
    </row>
    <row r="156" spans="1:20" ht="23.4" x14ac:dyDescent="0.3">
      <c r="A156" s="248" t="s">
        <v>110</v>
      </c>
      <c r="B156" s="249" t="s">
        <v>228</v>
      </c>
      <c r="C156" s="474">
        <f t="shared" si="105"/>
        <v>0</v>
      </c>
      <c r="D156" s="250"/>
      <c r="E156" s="251"/>
      <c r="F156" s="611">
        <v>80000</v>
      </c>
      <c r="G156" s="476">
        <f t="shared" si="106"/>
        <v>0</v>
      </c>
      <c r="H156" s="254"/>
      <c r="I156" s="617"/>
      <c r="J156" s="620"/>
      <c r="K156" s="474">
        <f t="shared" si="107"/>
        <v>0</v>
      </c>
      <c r="L156" s="476">
        <f t="shared" si="108"/>
        <v>0</v>
      </c>
      <c r="M156" s="477" t="str">
        <f t="shared" si="109"/>
        <v>-</v>
      </c>
      <c r="N156" s="478">
        <f t="shared" ref="N156:N169" si="115">+O156-C156</f>
        <v>0</v>
      </c>
      <c r="O156" s="476">
        <f t="shared" si="110"/>
        <v>0</v>
      </c>
      <c r="P156" s="479" t="str">
        <f t="shared" ref="P156:P169" si="116">IFERROR(N156/O156,"-")</f>
        <v>-</v>
      </c>
      <c r="Q156" s="476" t="str">
        <f t="shared" si="111"/>
        <v>-</v>
      </c>
      <c r="R156" s="476">
        <f t="shared" si="112"/>
        <v>0</v>
      </c>
      <c r="S156" s="480" t="str">
        <f t="shared" si="113"/>
        <v>-</v>
      </c>
      <c r="T156" s="481" t="str">
        <f t="shared" si="114"/>
        <v>-</v>
      </c>
    </row>
    <row r="157" spans="1:20" ht="23.4" x14ac:dyDescent="0.3">
      <c r="A157" s="252" t="s">
        <v>110</v>
      </c>
      <c r="B157" s="249" t="s">
        <v>231</v>
      </c>
      <c r="C157" s="474">
        <f t="shared" si="105"/>
        <v>0</v>
      </c>
      <c r="D157" s="250"/>
      <c r="E157" s="251"/>
      <c r="F157" s="611">
        <v>110000</v>
      </c>
      <c r="G157" s="476">
        <f t="shared" si="106"/>
        <v>0</v>
      </c>
      <c r="H157" s="254"/>
      <c r="I157" s="617"/>
      <c r="J157" s="620"/>
      <c r="K157" s="474">
        <f t="shared" si="107"/>
        <v>0</v>
      </c>
      <c r="L157" s="476">
        <f t="shared" si="108"/>
        <v>0</v>
      </c>
      <c r="M157" s="477" t="str">
        <f t="shared" si="109"/>
        <v>-</v>
      </c>
      <c r="N157" s="478">
        <f t="shared" si="115"/>
        <v>0</v>
      </c>
      <c r="O157" s="476">
        <f t="shared" si="110"/>
        <v>0</v>
      </c>
      <c r="P157" s="479" t="str">
        <f t="shared" si="116"/>
        <v>-</v>
      </c>
      <c r="Q157" s="476" t="str">
        <f t="shared" si="111"/>
        <v>-</v>
      </c>
      <c r="R157" s="476">
        <f t="shared" si="112"/>
        <v>0</v>
      </c>
      <c r="S157" s="480" t="str">
        <f t="shared" si="113"/>
        <v>-</v>
      </c>
      <c r="T157" s="481" t="str">
        <f t="shared" si="114"/>
        <v>-</v>
      </c>
    </row>
    <row r="158" spans="1:20" ht="23.4" x14ac:dyDescent="0.3">
      <c r="A158" s="248" t="s">
        <v>110</v>
      </c>
      <c r="B158" s="249" t="s">
        <v>230</v>
      </c>
      <c r="C158" s="474">
        <f t="shared" si="105"/>
        <v>0</v>
      </c>
      <c r="D158" s="250"/>
      <c r="E158" s="251"/>
      <c r="F158" s="611">
        <v>50000</v>
      </c>
      <c r="G158" s="476">
        <f t="shared" si="106"/>
        <v>0</v>
      </c>
      <c r="H158" s="254"/>
      <c r="I158" s="617"/>
      <c r="J158" s="620"/>
      <c r="K158" s="474">
        <f t="shared" si="107"/>
        <v>0</v>
      </c>
      <c r="L158" s="476">
        <f t="shared" si="108"/>
        <v>0</v>
      </c>
      <c r="M158" s="477" t="str">
        <f t="shared" si="109"/>
        <v>-</v>
      </c>
      <c r="N158" s="478">
        <f t="shared" si="115"/>
        <v>0</v>
      </c>
      <c r="O158" s="476">
        <f t="shared" si="110"/>
        <v>0</v>
      </c>
      <c r="P158" s="479" t="str">
        <f t="shared" si="116"/>
        <v>-</v>
      </c>
      <c r="Q158" s="476" t="str">
        <f t="shared" si="111"/>
        <v>-</v>
      </c>
      <c r="R158" s="476">
        <f t="shared" si="112"/>
        <v>0</v>
      </c>
      <c r="S158" s="480" t="str">
        <f t="shared" si="113"/>
        <v>-</v>
      </c>
      <c r="T158" s="481" t="str">
        <f t="shared" si="114"/>
        <v>-</v>
      </c>
    </row>
    <row r="159" spans="1:20" ht="23.4" x14ac:dyDescent="0.3">
      <c r="A159" s="248">
        <v>5</v>
      </c>
      <c r="B159" s="249" t="s">
        <v>22</v>
      </c>
      <c r="C159" s="474">
        <f t="shared" si="105"/>
        <v>0</v>
      </c>
      <c r="D159" s="250"/>
      <c r="E159" s="251"/>
      <c r="F159" s="611">
        <v>80000</v>
      </c>
      <c r="G159" s="476">
        <f t="shared" si="106"/>
        <v>0</v>
      </c>
      <c r="H159" s="475"/>
      <c r="I159" s="621"/>
      <c r="J159" s="620"/>
      <c r="K159" s="474">
        <f>+L159-E159</f>
        <v>0</v>
      </c>
      <c r="L159" s="476">
        <f t="shared" si="108"/>
        <v>0</v>
      </c>
      <c r="M159" s="477" t="str">
        <f>IFERROR(K159/L159,"-")</f>
        <v>-</v>
      </c>
      <c r="N159" s="478">
        <f t="shared" si="115"/>
        <v>0</v>
      </c>
      <c r="O159" s="476">
        <f t="shared" si="110"/>
        <v>0</v>
      </c>
      <c r="P159" s="479" t="str">
        <f t="shared" si="116"/>
        <v>-</v>
      </c>
      <c r="Q159" s="476" t="str">
        <f t="shared" si="111"/>
        <v>-</v>
      </c>
      <c r="R159" s="476">
        <f t="shared" si="112"/>
        <v>0</v>
      </c>
      <c r="S159" s="480" t="str">
        <f t="shared" si="113"/>
        <v>-</v>
      </c>
      <c r="T159" s="481" t="str">
        <f t="shared" si="114"/>
        <v>-</v>
      </c>
    </row>
    <row r="160" spans="1:20" ht="23.4" x14ac:dyDescent="0.3">
      <c r="A160" s="248" t="s">
        <v>110</v>
      </c>
      <c r="B160" s="249" t="s">
        <v>23</v>
      </c>
      <c r="C160" s="474">
        <f t="shared" si="105"/>
        <v>0</v>
      </c>
      <c r="D160" s="250"/>
      <c r="E160" s="251"/>
      <c r="F160" s="611">
        <v>14000</v>
      </c>
      <c r="G160" s="476">
        <f t="shared" si="106"/>
        <v>0</v>
      </c>
      <c r="H160" s="254"/>
      <c r="I160" s="617"/>
      <c r="J160" s="620">
        <v>480</v>
      </c>
      <c r="K160" s="474">
        <f t="shared" ref="K160:K169" si="117">+L160-E160</f>
        <v>480</v>
      </c>
      <c r="L160" s="476">
        <f t="shared" si="108"/>
        <v>480</v>
      </c>
      <c r="M160" s="477">
        <f t="shared" ref="M160:M169" si="118">IFERROR(K160/L160,"-")</f>
        <v>1</v>
      </c>
      <c r="N160" s="478">
        <f t="shared" si="115"/>
        <v>480</v>
      </c>
      <c r="O160" s="476">
        <f t="shared" si="110"/>
        <v>480</v>
      </c>
      <c r="P160" s="479">
        <f t="shared" si="116"/>
        <v>1</v>
      </c>
      <c r="Q160" s="476" t="str">
        <f t="shared" si="111"/>
        <v>-</v>
      </c>
      <c r="R160" s="476">
        <f t="shared" si="112"/>
        <v>480</v>
      </c>
      <c r="S160" s="480" t="str">
        <f t="shared" si="113"/>
        <v>-</v>
      </c>
      <c r="T160" s="481" t="str">
        <f t="shared" si="114"/>
        <v>-</v>
      </c>
    </row>
    <row r="161" spans="1:20" ht="24" thickBot="1" x14ac:dyDescent="0.35">
      <c r="A161" s="248" t="s">
        <v>110</v>
      </c>
      <c r="B161" s="253" t="s">
        <v>226</v>
      </c>
      <c r="C161" s="482">
        <f t="shared" si="105"/>
        <v>390</v>
      </c>
      <c r="D161" s="250">
        <v>255</v>
      </c>
      <c r="E161" s="251">
        <v>135</v>
      </c>
      <c r="F161" s="611">
        <v>4500</v>
      </c>
      <c r="G161" s="476">
        <f>+H161+I161</f>
        <v>15941</v>
      </c>
      <c r="H161" s="259">
        <f>6827+9007</f>
        <v>15834</v>
      </c>
      <c r="I161" s="618">
        <f>56+51</f>
        <v>107</v>
      </c>
      <c r="J161" s="620">
        <v>960</v>
      </c>
      <c r="K161" s="482">
        <f t="shared" si="117"/>
        <v>570</v>
      </c>
      <c r="L161" s="250">
        <f t="shared" si="108"/>
        <v>705</v>
      </c>
      <c r="M161" s="483">
        <f t="shared" si="118"/>
        <v>0.80851063829787229</v>
      </c>
      <c r="N161" s="484">
        <f t="shared" si="115"/>
        <v>180</v>
      </c>
      <c r="O161" s="250">
        <f t="shared" si="110"/>
        <v>570</v>
      </c>
      <c r="P161" s="485">
        <f t="shared" si="116"/>
        <v>0.31578947368421051</v>
      </c>
      <c r="Q161" s="250">
        <f t="shared" si="111"/>
        <v>173.55623862994798</v>
      </c>
      <c r="R161" s="250">
        <f t="shared" si="112"/>
        <v>180</v>
      </c>
      <c r="S161" s="486">
        <f t="shared" si="113"/>
        <v>0.96420132572193329</v>
      </c>
      <c r="T161" s="487">
        <f t="shared" si="114"/>
        <v>0.24617906188645103</v>
      </c>
    </row>
    <row r="162" spans="1:20" ht="24" thickBot="1" x14ac:dyDescent="0.35">
      <c r="A162" s="255" t="s">
        <v>110</v>
      </c>
      <c r="B162" s="256" t="s">
        <v>227</v>
      </c>
      <c r="C162" s="488">
        <f t="shared" si="105"/>
        <v>240</v>
      </c>
      <c r="D162" s="257">
        <v>240</v>
      </c>
      <c r="E162" s="258"/>
      <c r="F162" s="615">
        <v>5000</v>
      </c>
      <c r="G162" s="498">
        <f t="shared" ref="G162:G169" si="119">+H162+I162</f>
        <v>38313</v>
      </c>
      <c r="H162" s="259">
        <v>38266</v>
      </c>
      <c r="I162" s="618">
        <v>47</v>
      </c>
      <c r="J162" s="623">
        <v>960</v>
      </c>
      <c r="K162" s="488">
        <f t="shared" si="117"/>
        <v>720</v>
      </c>
      <c r="L162" s="257">
        <f t="shared" si="108"/>
        <v>720</v>
      </c>
      <c r="M162" s="489">
        <f t="shared" si="118"/>
        <v>1</v>
      </c>
      <c r="N162" s="490">
        <f t="shared" si="115"/>
        <v>480</v>
      </c>
      <c r="O162" s="257">
        <f t="shared" si="110"/>
        <v>720</v>
      </c>
      <c r="P162" s="491">
        <f t="shared" si="116"/>
        <v>0.66666666666666663</v>
      </c>
      <c r="Q162" s="257">
        <f t="shared" si="111"/>
        <v>478.82233184558766</v>
      </c>
      <c r="R162" s="257">
        <f t="shared" si="112"/>
        <v>480</v>
      </c>
      <c r="S162" s="492">
        <f t="shared" si="113"/>
        <v>0.99754652467830762</v>
      </c>
      <c r="T162" s="493">
        <f t="shared" si="114"/>
        <v>0.66503101645220508</v>
      </c>
    </row>
    <row r="163" spans="1:20" ht="23.4" x14ac:dyDescent="0.3">
      <c r="A163" s="252" t="s">
        <v>108</v>
      </c>
      <c r="B163" s="260" t="s">
        <v>29</v>
      </c>
      <c r="C163" s="474">
        <f t="shared" si="105"/>
        <v>70</v>
      </c>
      <c r="D163" s="250">
        <v>30</v>
      </c>
      <c r="E163" s="251">
        <v>40</v>
      </c>
      <c r="F163" s="475">
        <v>160000</v>
      </c>
      <c r="G163" s="476">
        <f t="shared" si="119"/>
        <v>148568</v>
      </c>
      <c r="H163" s="475">
        <v>147186</v>
      </c>
      <c r="I163" s="621">
        <v>1382</v>
      </c>
      <c r="J163" s="756">
        <v>900</v>
      </c>
      <c r="K163" s="474">
        <f t="shared" si="117"/>
        <v>830</v>
      </c>
      <c r="L163" s="476">
        <f t="shared" si="108"/>
        <v>870</v>
      </c>
      <c r="M163" s="477">
        <f t="shared" si="118"/>
        <v>0.95402298850574707</v>
      </c>
      <c r="N163" s="478">
        <f t="shared" si="115"/>
        <v>760</v>
      </c>
      <c r="O163" s="476">
        <f t="shared" si="110"/>
        <v>830</v>
      </c>
      <c r="P163" s="479">
        <f t="shared" si="116"/>
        <v>0.91566265060240959</v>
      </c>
      <c r="Q163" s="476">
        <f t="shared" si="111"/>
        <v>751.62807603252384</v>
      </c>
      <c r="R163" s="476">
        <f t="shared" si="112"/>
        <v>760</v>
      </c>
      <c r="S163" s="494">
        <f t="shared" si="113"/>
        <v>0.98898431056911029</v>
      </c>
      <c r="T163" s="495">
        <f t="shared" si="114"/>
        <v>0.86394031727876297</v>
      </c>
    </row>
    <row r="164" spans="1:20" ht="22.5" customHeight="1" x14ac:dyDescent="0.3">
      <c r="A164" s="248" t="s">
        <v>108</v>
      </c>
      <c r="B164" s="260" t="s">
        <v>31</v>
      </c>
      <c r="C164" s="474">
        <f t="shared" si="105"/>
        <v>150</v>
      </c>
      <c r="D164" s="769">
        <v>60</v>
      </c>
      <c r="E164" s="251">
        <v>90</v>
      </c>
      <c r="F164" s="475">
        <v>50000</v>
      </c>
      <c r="G164" s="476">
        <f t="shared" si="119"/>
        <v>34270</v>
      </c>
      <c r="H164" s="475">
        <v>33696</v>
      </c>
      <c r="I164" s="621">
        <v>574</v>
      </c>
      <c r="J164" s="620">
        <v>480</v>
      </c>
      <c r="K164" s="474">
        <f t="shared" si="117"/>
        <v>330</v>
      </c>
      <c r="L164" s="476">
        <f t="shared" si="108"/>
        <v>420</v>
      </c>
      <c r="M164" s="477">
        <f t="shared" si="118"/>
        <v>0.7857142857142857</v>
      </c>
      <c r="N164" s="478">
        <f t="shared" si="115"/>
        <v>180</v>
      </c>
      <c r="O164" s="476">
        <f t="shared" si="110"/>
        <v>330</v>
      </c>
      <c r="P164" s="479">
        <f t="shared" si="116"/>
        <v>0.54545454545454541</v>
      </c>
      <c r="Q164" s="476">
        <f t="shared" si="111"/>
        <v>171.96031514444121</v>
      </c>
      <c r="R164" s="476">
        <f t="shared" si="112"/>
        <v>180</v>
      </c>
      <c r="S164" s="494">
        <f t="shared" si="113"/>
        <v>0.9553350841357845</v>
      </c>
      <c r="T164" s="495">
        <f t="shared" si="114"/>
        <v>0.40942932177247904</v>
      </c>
    </row>
    <row r="165" spans="1:20" ht="24" thickBot="1" x14ac:dyDescent="0.35">
      <c r="A165" s="255" t="s">
        <v>108</v>
      </c>
      <c r="B165" s="261" t="s">
        <v>32</v>
      </c>
      <c r="C165" s="496">
        <f t="shared" si="105"/>
        <v>0</v>
      </c>
      <c r="D165" s="257"/>
      <c r="E165" s="258"/>
      <c r="F165" s="497">
        <v>110000</v>
      </c>
      <c r="G165" s="498">
        <f t="shared" si="119"/>
        <v>0</v>
      </c>
      <c r="H165" s="497"/>
      <c r="I165" s="622"/>
      <c r="J165" s="623"/>
      <c r="K165" s="496">
        <f t="shared" si="117"/>
        <v>0</v>
      </c>
      <c r="L165" s="498">
        <f t="shared" si="108"/>
        <v>0</v>
      </c>
      <c r="M165" s="499" t="str">
        <f t="shared" si="118"/>
        <v>-</v>
      </c>
      <c r="N165" s="500">
        <f t="shared" si="115"/>
        <v>0</v>
      </c>
      <c r="O165" s="498">
        <f t="shared" si="110"/>
        <v>0</v>
      </c>
      <c r="P165" s="501" t="str">
        <f t="shared" si="116"/>
        <v>-</v>
      </c>
      <c r="Q165" s="498" t="str">
        <f t="shared" si="111"/>
        <v>-</v>
      </c>
      <c r="R165" s="498">
        <f t="shared" si="112"/>
        <v>0</v>
      </c>
      <c r="S165" s="502" t="str">
        <f t="shared" si="113"/>
        <v>-</v>
      </c>
      <c r="T165" s="503" t="str">
        <f t="shared" si="114"/>
        <v>-</v>
      </c>
    </row>
    <row r="166" spans="1:20" ht="23.4" x14ac:dyDescent="0.3">
      <c r="A166" s="248" t="s">
        <v>109</v>
      </c>
      <c r="B166" s="249" t="s">
        <v>233</v>
      </c>
      <c r="C166" s="474">
        <f t="shared" si="105"/>
        <v>30</v>
      </c>
      <c r="D166" s="250">
        <v>30</v>
      </c>
      <c r="E166" s="251"/>
      <c r="F166" s="475">
        <v>6500</v>
      </c>
      <c r="G166" s="476">
        <f t="shared" si="119"/>
        <v>6200</v>
      </c>
      <c r="H166" s="475">
        <v>5760</v>
      </c>
      <c r="I166" s="621">
        <v>440</v>
      </c>
      <c r="J166" s="620">
        <v>480</v>
      </c>
      <c r="K166" s="474">
        <f t="shared" si="117"/>
        <v>450</v>
      </c>
      <c r="L166" s="476">
        <f t="shared" si="108"/>
        <v>450</v>
      </c>
      <c r="M166" s="477">
        <f t="shared" si="118"/>
        <v>1</v>
      </c>
      <c r="N166" s="478">
        <f t="shared" si="115"/>
        <v>420</v>
      </c>
      <c r="O166" s="476">
        <f t="shared" si="110"/>
        <v>450</v>
      </c>
      <c r="P166" s="479">
        <f t="shared" si="116"/>
        <v>0.93333333333333335</v>
      </c>
      <c r="Q166" s="476">
        <f t="shared" si="111"/>
        <v>385.93548387096774</v>
      </c>
      <c r="R166" s="476">
        <f t="shared" si="112"/>
        <v>420</v>
      </c>
      <c r="S166" s="494">
        <f t="shared" si="113"/>
        <v>0.91889400921658981</v>
      </c>
      <c r="T166" s="495">
        <f t="shared" si="114"/>
        <v>0.85763440860215046</v>
      </c>
    </row>
    <row r="167" spans="1:20" ht="23.4" x14ac:dyDescent="0.3">
      <c r="A167" s="252" t="s">
        <v>109</v>
      </c>
      <c r="B167" s="249" t="s">
        <v>40</v>
      </c>
      <c r="C167" s="474">
        <f t="shared" si="105"/>
        <v>0</v>
      </c>
      <c r="D167" s="250"/>
      <c r="E167" s="251"/>
      <c r="F167" s="475">
        <v>2800</v>
      </c>
      <c r="G167" s="476">
        <f t="shared" si="119"/>
        <v>0</v>
      </c>
      <c r="H167" s="475"/>
      <c r="I167" s="621"/>
      <c r="J167" s="620">
        <v>480</v>
      </c>
      <c r="K167" s="474">
        <f t="shared" si="117"/>
        <v>480</v>
      </c>
      <c r="L167" s="476">
        <f t="shared" si="108"/>
        <v>480</v>
      </c>
      <c r="M167" s="477">
        <f t="shared" si="118"/>
        <v>1</v>
      </c>
      <c r="N167" s="478">
        <f t="shared" si="115"/>
        <v>480</v>
      </c>
      <c r="O167" s="476">
        <f t="shared" si="110"/>
        <v>480</v>
      </c>
      <c r="P167" s="479">
        <f t="shared" si="116"/>
        <v>1</v>
      </c>
      <c r="Q167" s="476" t="str">
        <f t="shared" si="111"/>
        <v>-</v>
      </c>
      <c r="R167" s="476">
        <f t="shared" si="112"/>
        <v>480</v>
      </c>
      <c r="S167" s="494" t="str">
        <f t="shared" si="113"/>
        <v>-</v>
      </c>
      <c r="T167" s="495" t="str">
        <f t="shared" si="114"/>
        <v>-</v>
      </c>
    </row>
    <row r="168" spans="1:20" ht="23.4" x14ac:dyDescent="0.3">
      <c r="A168" s="248" t="s">
        <v>109</v>
      </c>
      <c r="B168" s="249" t="s">
        <v>42</v>
      </c>
      <c r="C168" s="474">
        <f t="shared" si="105"/>
        <v>30</v>
      </c>
      <c r="D168" s="250">
        <v>30</v>
      </c>
      <c r="E168" s="251"/>
      <c r="F168" s="475">
        <v>25000</v>
      </c>
      <c r="G168" s="476">
        <f t="shared" si="119"/>
        <v>28561</v>
      </c>
      <c r="H168" s="475">
        <v>28356</v>
      </c>
      <c r="I168" s="621">
        <v>205</v>
      </c>
      <c r="J168" s="620">
        <v>480</v>
      </c>
      <c r="K168" s="474">
        <f t="shared" si="117"/>
        <v>450</v>
      </c>
      <c r="L168" s="476">
        <f t="shared" si="108"/>
        <v>450</v>
      </c>
      <c r="M168" s="477">
        <f t="shared" si="118"/>
        <v>1</v>
      </c>
      <c r="N168" s="478">
        <f t="shared" si="115"/>
        <v>420</v>
      </c>
      <c r="O168" s="476">
        <f t="shared" si="110"/>
        <v>450</v>
      </c>
      <c r="P168" s="479">
        <f t="shared" si="116"/>
        <v>0.93333333333333335</v>
      </c>
      <c r="Q168" s="476">
        <f t="shared" si="111"/>
        <v>416.55474248100558</v>
      </c>
      <c r="R168" s="476">
        <f t="shared" si="112"/>
        <v>420</v>
      </c>
      <c r="S168" s="494">
        <f t="shared" si="113"/>
        <v>0.99179700590715614</v>
      </c>
      <c r="T168" s="495">
        <f t="shared" si="114"/>
        <v>0.92567720551334576</v>
      </c>
    </row>
    <row r="169" spans="1:20" ht="47.4" thickBot="1" x14ac:dyDescent="0.35">
      <c r="A169" s="625" t="s">
        <v>109</v>
      </c>
      <c r="B169" s="261" t="s">
        <v>232</v>
      </c>
      <c r="C169" s="626">
        <f t="shared" si="105"/>
        <v>30</v>
      </c>
      <c r="D169" s="627">
        <v>30</v>
      </c>
      <c r="E169" s="628"/>
      <c r="F169" s="629">
        <v>25000</v>
      </c>
      <c r="G169" s="630">
        <f t="shared" si="119"/>
        <v>3010</v>
      </c>
      <c r="H169" s="629">
        <v>2880</v>
      </c>
      <c r="I169" s="631">
        <v>130</v>
      </c>
      <c r="J169" s="624">
        <v>480</v>
      </c>
      <c r="K169" s="626">
        <f t="shared" si="117"/>
        <v>450</v>
      </c>
      <c r="L169" s="630">
        <f t="shared" si="108"/>
        <v>450</v>
      </c>
      <c r="M169" s="632">
        <f t="shared" si="118"/>
        <v>1</v>
      </c>
      <c r="N169" s="633">
        <f t="shared" si="115"/>
        <v>420</v>
      </c>
      <c r="O169" s="630">
        <f t="shared" si="110"/>
        <v>450</v>
      </c>
      <c r="P169" s="634">
        <f t="shared" si="116"/>
        <v>0.93333333333333335</v>
      </c>
      <c r="Q169" s="630">
        <f t="shared" si="111"/>
        <v>399.26910299003322</v>
      </c>
      <c r="R169" s="630">
        <f t="shared" si="112"/>
        <v>420</v>
      </c>
      <c r="S169" s="635">
        <f t="shared" si="113"/>
        <v>0.95064072140484102</v>
      </c>
      <c r="T169" s="636">
        <f t="shared" si="114"/>
        <v>0.88726467331118497</v>
      </c>
    </row>
    <row r="170" spans="1:20" ht="22.5" customHeight="1" x14ac:dyDescent="0.3">
      <c r="A170" s="1043" t="s">
        <v>1</v>
      </c>
      <c r="B170" s="1043" t="s">
        <v>2</v>
      </c>
      <c r="C170" s="1000" t="s">
        <v>221</v>
      </c>
      <c r="D170" s="1001"/>
      <c r="E170" s="1002"/>
      <c r="F170" s="1000" t="s">
        <v>538</v>
      </c>
      <c r="G170" s="1001"/>
      <c r="H170" s="1001"/>
      <c r="I170" s="1002"/>
      <c r="J170" s="1043" t="s">
        <v>218</v>
      </c>
      <c r="K170" s="1000" t="s">
        <v>206</v>
      </c>
      <c r="L170" s="1001"/>
      <c r="M170" s="1002"/>
      <c r="N170" s="1000" t="s">
        <v>207</v>
      </c>
      <c r="O170" s="1001"/>
      <c r="P170" s="1002"/>
      <c r="Q170" s="1000" t="s">
        <v>208</v>
      </c>
      <c r="R170" s="1001"/>
      <c r="S170" s="1002"/>
      <c r="T170" s="1107" t="s">
        <v>205</v>
      </c>
    </row>
    <row r="171" spans="1:20" ht="87.6" thickBot="1" x14ac:dyDescent="0.35">
      <c r="A171" s="1045"/>
      <c r="B171" s="1045"/>
      <c r="C171" s="235" t="s">
        <v>222</v>
      </c>
      <c r="D171" s="236" t="s">
        <v>219</v>
      </c>
      <c r="E171" s="237" t="s">
        <v>220</v>
      </c>
      <c r="F171" s="238" t="s">
        <v>361</v>
      </c>
      <c r="G171" s="236" t="s">
        <v>215</v>
      </c>
      <c r="H171" s="239" t="s">
        <v>216</v>
      </c>
      <c r="I171" s="240" t="s">
        <v>217</v>
      </c>
      <c r="J171" s="1045"/>
      <c r="K171" s="235" t="s">
        <v>209</v>
      </c>
      <c r="L171" s="239" t="s">
        <v>210</v>
      </c>
      <c r="M171" s="241" t="s">
        <v>223</v>
      </c>
      <c r="N171" s="242" t="s">
        <v>211</v>
      </c>
      <c r="O171" s="239" t="s">
        <v>212</v>
      </c>
      <c r="P171" s="241" t="s">
        <v>224</v>
      </c>
      <c r="Q171" s="235" t="s">
        <v>213</v>
      </c>
      <c r="R171" s="239" t="s">
        <v>214</v>
      </c>
      <c r="S171" s="243" t="s">
        <v>225</v>
      </c>
      <c r="T171" s="1108"/>
    </row>
    <row r="172" spans="1:20" ht="25.5" customHeight="1" x14ac:dyDescent="0.3">
      <c r="A172" s="244" t="s">
        <v>110</v>
      </c>
      <c r="B172" s="245" t="s">
        <v>16</v>
      </c>
      <c r="C172" s="467">
        <f>+D172+E172</f>
        <v>0</v>
      </c>
      <c r="D172" s="246"/>
      <c r="E172" s="247"/>
      <c r="F172" s="610">
        <v>15000</v>
      </c>
      <c r="G172" s="468">
        <f>+H172+I172</f>
        <v>0</v>
      </c>
      <c r="H172" s="614"/>
      <c r="I172" s="616"/>
      <c r="J172" s="619"/>
      <c r="K172" s="467">
        <f>+L172-E172</f>
        <v>0</v>
      </c>
      <c r="L172" s="468">
        <f>+J172-D172</f>
        <v>0</v>
      </c>
      <c r="M172" s="469" t="str">
        <f>IFERROR(K172/L172,"-")</f>
        <v>-</v>
      </c>
      <c r="N172" s="470">
        <f>+O172-C172</f>
        <v>0</v>
      </c>
      <c r="O172" s="468">
        <f>+K172</f>
        <v>0</v>
      </c>
      <c r="P172" s="471" t="str">
        <f>IFERROR(N172/O172,"-")</f>
        <v>-</v>
      </c>
      <c r="Q172" s="468" t="str">
        <f>IFERROR(N172-(J172-(J172*H172/G172)),"-")</f>
        <v>-</v>
      </c>
      <c r="R172" s="468">
        <f>+N172</f>
        <v>0</v>
      </c>
      <c r="S172" s="472" t="str">
        <f>IFERROR(Q172/R172,"-")</f>
        <v>-</v>
      </c>
      <c r="T172" s="473" t="str">
        <f>IFERROR(M172*P172*S172,"-")</f>
        <v>-</v>
      </c>
    </row>
    <row r="173" spans="1:20" ht="23.4" x14ac:dyDescent="0.3">
      <c r="A173" s="248" t="s">
        <v>110</v>
      </c>
      <c r="B173" s="249" t="s">
        <v>229</v>
      </c>
      <c r="C173" s="474">
        <f t="shared" ref="C173:C187" si="120">+D173+E173</f>
        <v>0</v>
      </c>
      <c r="D173" s="250"/>
      <c r="E173" s="251"/>
      <c r="F173" s="611">
        <v>200000</v>
      </c>
      <c r="G173" s="476">
        <f t="shared" ref="G173:G178" si="121">+H173+I173</f>
        <v>0</v>
      </c>
      <c r="H173" s="254"/>
      <c r="I173" s="617"/>
      <c r="J173" s="620"/>
      <c r="K173" s="474">
        <f t="shared" ref="K173:K176" si="122">+L173-E173</f>
        <v>0</v>
      </c>
      <c r="L173" s="476">
        <f t="shared" ref="L173:L187" si="123">+J173-D173</f>
        <v>0</v>
      </c>
      <c r="M173" s="477" t="str">
        <f t="shared" ref="M173:M176" si="124">IFERROR(K173/L173,"-")</f>
        <v>-</v>
      </c>
      <c r="N173" s="478">
        <f>+O173-C173</f>
        <v>0</v>
      </c>
      <c r="O173" s="476">
        <f t="shared" ref="O173:O187" si="125">+K173</f>
        <v>0</v>
      </c>
      <c r="P173" s="479" t="str">
        <f>IFERROR(N173/O173,"-")</f>
        <v>-</v>
      </c>
      <c r="Q173" s="476" t="str">
        <f t="shared" ref="Q173:Q187" si="126">IFERROR(N173-(J173-(J173*H173/G173)),"-")</f>
        <v>-</v>
      </c>
      <c r="R173" s="476">
        <f t="shared" ref="R173:R187" si="127">+N173</f>
        <v>0</v>
      </c>
      <c r="S173" s="480" t="str">
        <f t="shared" ref="S173:S187" si="128">IFERROR(Q173/R173,"-")</f>
        <v>-</v>
      </c>
      <c r="T173" s="481" t="str">
        <f t="shared" ref="T173:T187" si="129">IFERROR(M173*P173*S173,"-")</f>
        <v>-</v>
      </c>
    </row>
    <row r="174" spans="1:20" ht="23.4" x14ac:dyDescent="0.3">
      <c r="A174" s="248" t="s">
        <v>110</v>
      </c>
      <c r="B174" s="249" t="s">
        <v>228</v>
      </c>
      <c r="C174" s="474">
        <f t="shared" si="120"/>
        <v>0</v>
      </c>
      <c r="D174" s="250"/>
      <c r="E174" s="251"/>
      <c r="F174" s="611">
        <v>80000</v>
      </c>
      <c r="G174" s="476">
        <f t="shared" si="121"/>
        <v>0</v>
      </c>
      <c r="H174" s="254"/>
      <c r="I174" s="617"/>
      <c r="J174" s="620"/>
      <c r="K174" s="474">
        <f t="shared" si="122"/>
        <v>0</v>
      </c>
      <c r="L174" s="476">
        <f t="shared" si="123"/>
        <v>0</v>
      </c>
      <c r="M174" s="477" t="str">
        <f t="shared" si="124"/>
        <v>-</v>
      </c>
      <c r="N174" s="478">
        <f t="shared" ref="N174:N187" si="130">+O174-C174</f>
        <v>0</v>
      </c>
      <c r="O174" s="476">
        <f t="shared" si="125"/>
        <v>0</v>
      </c>
      <c r="P174" s="479" t="str">
        <f t="shared" ref="P174:P187" si="131">IFERROR(N174/O174,"-")</f>
        <v>-</v>
      </c>
      <c r="Q174" s="476" t="str">
        <f t="shared" si="126"/>
        <v>-</v>
      </c>
      <c r="R174" s="476">
        <f t="shared" si="127"/>
        <v>0</v>
      </c>
      <c r="S174" s="480" t="str">
        <f t="shared" si="128"/>
        <v>-</v>
      </c>
      <c r="T174" s="481" t="str">
        <f t="shared" si="129"/>
        <v>-</v>
      </c>
    </row>
    <row r="175" spans="1:20" ht="23.4" x14ac:dyDescent="0.3">
      <c r="A175" s="252" t="s">
        <v>110</v>
      </c>
      <c r="B175" s="249" t="s">
        <v>231</v>
      </c>
      <c r="C175" s="474">
        <f t="shared" si="120"/>
        <v>0</v>
      </c>
      <c r="D175" s="250"/>
      <c r="E175" s="251"/>
      <c r="F175" s="611">
        <v>110000</v>
      </c>
      <c r="G175" s="476">
        <f t="shared" si="121"/>
        <v>0</v>
      </c>
      <c r="H175" s="254"/>
      <c r="I175" s="617"/>
      <c r="J175" s="620"/>
      <c r="K175" s="474">
        <f t="shared" si="122"/>
        <v>0</v>
      </c>
      <c r="L175" s="476">
        <f t="shared" si="123"/>
        <v>0</v>
      </c>
      <c r="M175" s="477" t="str">
        <f t="shared" si="124"/>
        <v>-</v>
      </c>
      <c r="N175" s="478">
        <f t="shared" si="130"/>
        <v>0</v>
      </c>
      <c r="O175" s="476">
        <f t="shared" si="125"/>
        <v>0</v>
      </c>
      <c r="P175" s="479" t="str">
        <f t="shared" si="131"/>
        <v>-</v>
      </c>
      <c r="Q175" s="476" t="str">
        <f t="shared" si="126"/>
        <v>-</v>
      </c>
      <c r="R175" s="476">
        <f t="shared" si="127"/>
        <v>0</v>
      </c>
      <c r="S175" s="480" t="str">
        <f t="shared" si="128"/>
        <v>-</v>
      </c>
      <c r="T175" s="481" t="str">
        <f t="shared" si="129"/>
        <v>-</v>
      </c>
    </row>
    <row r="176" spans="1:20" ht="23.4" x14ac:dyDescent="0.3">
      <c r="A176" s="248" t="s">
        <v>110</v>
      </c>
      <c r="B176" s="249" t="s">
        <v>230</v>
      </c>
      <c r="C176" s="474">
        <f t="shared" si="120"/>
        <v>0</v>
      </c>
      <c r="D176" s="250"/>
      <c r="E176" s="251"/>
      <c r="F176" s="611">
        <v>50000</v>
      </c>
      <c r="G176" s="476">
        <f t="shared" si="121"/>
        <v>0</v>
      </c>
      <c r="H176" s="254"/>
      <c r="I176" s="617"/>
      <c r="J176" s="620"/>
      <c r="K176" s="474">
        <f t="shared" si="122"/>
        <v>0</v>
      </c>
      <c r="L176" s="476">
        <f t="shared" si="123"/>
        <v>0</v>
      </c>
      <c r="M176" s="477" t="str">
        <f t="shared" si="124"/>
        <v>-</v>
      </c>
      <c r="N176" s="478">
        <f t="shared" si="130"/>
        <v>0</v>
      </c>
      <c r="O176" s="476">
        <f t="shared" si="125"/>
        <v>0</v>
      </c>
      <c r="P176" s="479" t="str">
        <f t="shared" si="131"/>
        <v>-</v>
      </c>
      <c r="Q176" s="476" t="str">
        <f t="shared" si="126"/>
        <v>-</v>
      </c>
      <c r="R176" s="476">
        <f t="shared" si="127"/>
        <v>0</v>
      </c>
      <c r="S176" s="480" t="str">
        <f t="shared" si="128"/>
        <v>-</v>
      </c>
      <c r="T176" s="481" t="str">
        <f t="shared" si="129"/>
        <v>-</v>
      </c>
    </row>
    <row r="177" spans="1:20" ht="23.4" x14ac:dyDescent="0.3">
      <c r="A177" s="248">
        <v>5</v>
      </c>
      <c r="B177" s="249" t="s">
        <v>22</v>
      </c>
      <c r="C177" s="474">
        <f t="shared" si="120"/>
        <v>0</v>
      </c>
      <c r="D177" s="250"/>
      <c r="E177" s="251"/>
      <c r="F177" s="611">
        <v>80000</v>
      </c>
      <c r="G177" s="476">
        <f t="shared" si="121"/>
        <v>0</v>
      </c>
      <c r="H177" s="475"/>
      <c r="I177" s="621"/>
      <c r="J177" s="620"/>
      <c r="K177" s="474">
        <f>+L177-E177</f>
        <v>0</v>
      </c>
      <c r="L177" s="476">
        <f t="shared" si="123"/>
        <v>0</v>
      </c>
      <c r="M177" s="477" t="str">
        <f>IFERROR(K177/L177,"-")</f>
        <v>-</v>
      </c>
      <c r="N177" s="478">
        <f t="shared" si="130"/>
        <v>0</v>
      </c>
      <c r="O177" s="476">
        <f t="shared" si="125"/>
        <v>0</v>
      </c>
      <c r="P177" s="479" t="str">
        <f t="shared" si="131"/>
        <v>-</v>
      </c>
      <c r="Q177" s="476" t="str">
        <f t="shared" si="126"/>
        <v>-</v>
      </c>
      <c r="R177" s="476">
        <f t="shared" si="127"/>
        <v>0</v>
      </c>
      <c r="S177" s="480" t="str">
        <f t="shared" si="128"/>
        <v>-</v>
      </c>
      <c r="T177" s="481" t="str">
        <f t="shared" si="129"/>
        <v>-</v>
      </c>
    </row>
    <row r="178" spans="1:20" ht="23.4" x14ac:dyDescent="0.3">
      <c r="A178" s="248" t="s">
        <v>110</v>
      </c>
      <c r="B178" s="249" t="s">
        <v>23</v>
      </c>
      <c r="C178" s="474">
        <f t="shared" si="120"/>
        <v>0</v>
      </c>
      <c r="D178" s="250"/>
      <c r="E178" s="251"/>
      <c r="F178" s="611">
        <v>14000</v>
      </c>
      <c r="G178" s="476">
        <f t="shared" si="121"/>
        <v>0</v>
      </c>
      <c r="H178" s="254"/>
      <c r="I178" s="617"/>
      <c r="J178" s="620"/>
      <c r="K178" s="474">
        <f t="shared" ref="K178:K187" si="132">+L178-E178</f>
        <v>0</v>
      </c>
      <c r="L178" s="476">
        <f t="shared" si="123"/>
        <v>0</v>
      </c>
      <c r="M178" s="477" t="str">
        <f t="shared" ref="M178:M187" si="133">IFERROR(K178/L178,"-")</f>
        <v>-</v>
      </c>
      <c r="N178" s="478">
        <f t="shared" si="130"/>
        <v>0</v>
      </c>
      <c r="O178" s="476">
        <f t="shared" si="125"/>
        <v>0</v>
      </c>
      <c r="P178" s="479" t="str">
        <f t="shared" si="131"/>
        <v>-</v>
      </c>
      <c r="Q178" s="476" t="str">
        <f t="shared" si="126"/>
        <v>-</v>
      </c>
      <c r="R178" s="476">
        <f t="shared" si="127"/>
        <v>0</v>
      </c>
      <c r="S178" s="480" t="str">
        <f t="shared" si="128"/>
        <v>-</v>
      </c>
      <c r="T178" s="481" t="str">
        <f t="shared" si="129"/>
        <v>-</v>
      </c>
    </row>
    <row r="179" spans="1:20" ht="24" thickBot="1" x14ac:dyDescent="0.35">
      <c r="A179" s="248" t="s">
        <v>110</v>
      </c>
      <c r="B179" s="253" t="s">
        <v>226</v>
      </c>
      <c r="C179" s="482">
        <f t="shared" si="120"/>
        <v>0</v>
      </c>
      <c r="D179" s="250"/>
      <c r="E179" s="251"/>
      <c r="F179" s="611">
        <v>4500</v>
      </c>
      <c r="G179" s="476">
        <f>+H179+I179</f>
        <v>0</v>
      </c>
      <c r="H179" s="259"/>
      <c r="I179" s="618"/>
      <c r="J179" s="620"/>
      <c r="K179" s="482">
        <f t="shared" si="132"/>
        <v>0</v>
      </c>
      <c r="L179" s="250">
        <f t="shared" si="123"/>
        <v>0</v>
      </c>
      <c r="M179" s="483" t="str">
        <f t="shared" si="133"/>
        <v>-</v>
      </c>
      <c r="N179" s="484">
        <f t="shared" si="130"/>
        <v>0</v>
      </c>
      <c r="O179" s="250">
        <f t="shared" si="125"/>
        <v>0</v>
      </c>
      <c r="P179" s="485" t="str">
        <f t="shared" si="131"/>
        <v>-</v>
      </c>
      <c r="Q179" s="250" t="str">
        <f t="shared" si="126"/>
        <v>-</v>
      </c>
      <c r="R179" s="250">
        <f t="shared" si="127"/>
        <v>0</v>
      </c>
      <c r="S179" s="486" t="str">
        <f t="shared" si="128"/>
        <v>-</v>
      </c>
      <c r="T179" s="487" t="str">
        <f t="shared" si="129"/>
        <v>-</v>
      </c>
    </row>
    <row r="180" spans="1:20" ht="24" thickBot="1" x14ac:dyDescent="0.35">
      <c r="A180" s="255" t="s">
        <v>110</v>
      </c>
      <c r="B180" s="256" t="s">
        <v>227</v>
      </c>
      <c r="C180" s="488">
        <f t="shared" si="120"/>
        <v>0</v>
      </c>
      <c r="D180" s="257"/>
      <c r="E180" s="258"/>
      <c r="F180" s="615">
        <v>5000</v>
      </c>
      <c r="G180" s="498">
        <f t="shared" ref="G180:G187" si="134">+H180+I180</f>
        <v>0</v>
      </c>
      <c r="H180" s="259"/>
      <c r="I180" s="618"/>
      <c r="J180" s="623"/>
      <c r="K180" s="488">
        <f t="shared" si="132"/>
        <v>0</v>
      </c>
      <c r="L180" s="257">
        <f t="shared" si="123"/>
        <v>0</v>
      </c>
      <c r="M180" s="489" t="str">
        <f t="shared" si="133"/>
        <v>-</v>
      </c>
      <c r="N180" s="490">
        <f t="shared" si="130"/>
        <v>0</v>
      </c>
      <c r="O180" s="257">
        <f t="shared" si="125"/>
        <v>0</v>
      </c>
      <c r="P180" s="491" t="str">
        <f t="shared" si="131"/>
        <v>-</v>
      </c>
      <c r="Q180" s="257" t="str">
        <f t="shared" si="126"/>
        <v>-</v>
      </c>
      <c r="R180" s="257">
        <f t="shared" si="127"/>
        <v>0</v>
      </c>
      <c r="S180" s="492" t="str">
        <f t="shared" si="128"/>
        <v>-</v>
      </c>
      <c r="T180" s="493" t="str">
        <f t="shared" si="129"/>
        <v>-</v>
      </c>
    </row>
    <row r="181" spans="1:20" ht="23.4" x14ac:dyDescent="0.3">
      <c r="A181" s="252" t="s">
        <v>108</v>
      </c>
      <c r="B181" s="260" t="s">
        <v>29</v>
      </c>
      <c r="C181" s="474">
        <f t="shared" si="120"/>
        <v>0</v>
      </c>
      <c r="D181" s="250"/>
      <c r="E181" s="251"/>
      <c r="F181" s="475">
        <v>160000</v>
      </c>
      <c r="G181" s="476">
        <f t="shared" si="134"/>
        <v>0</v>
      </c>
      <c r="H181" s="475"/>
      <c r="I181" s="621"/>
      <c r="J181" s="756"/>
      <c r="K181" s="474">
        <f t="shared" si="132"/>
        <v>0</v>
      </c>
      <c r="L181" s="476">
        <f t="shared" si="123"/>
        <v>0</v>
      </c>
      <c r="M181" s="477" t="str">
        <f t="shared" si="133"/>
        <v>-</v>
      </c>
      <c r="N181" s="478">
        <f t="shared" si="130"/>
        <v>0</v>
      </c>
      <c r="O181" s="476">
        <f t="shared" si="125"/>
        <v>0</v>
      </c>
      <c r="P181" s="479" t="str">
        <f t="shared" si="131"/>
        <v>-</v>
      </c>
      <c r="Q181" s="476" t="str">
        <f t="shared" si="126"/>
        <v>-</v>
      </c>
      <c r="R181" s="476">
        <f t="shared" si="127"/>
        <v>0</v>
      </c>
      <c r="S181" s="494" t="str">
        <f t="shared" si="128"/>
        <v>-</v>
      </c>
      <c r="T181" s="495" t="str">
        <f t="shared" si="129"/>
        <v>-</v>
      </c>
    </row>
    <row r="182" spans="1:20" ht="22.5" customHeight="1" x14ac:dyDescent="0.3">
      <c r="A182" s="248" t="s">
        <v>108</v>
      </c>
      <c r="B182" s="260" t="s">
        <v>31</v>
      </c>
      <c r="C182" s="474">
        <f t="shared" si="120"/>
        <v>0</v>
      </c>
      <c r="D182" s="769"/>
      <c r="E182" s="251"/>
      <c r="F182" s="475">
        <v>50000</v>
      </c>
      <c r="G182" s="476">
        <f t="shared" si="134"/>
        <v>0</v>
      </c>
      <c r="H182" s="475"/>
      <c r="I182" s="621"/>
      <c r="J182" s="620"/>
      <c r="K182" s="474">
        <f t="shared" si="132"/>
        <v>0</v>
      </c>
      <c r="L182" s="476">
        <f t="shared" si="123"/>
        <v>0</v>
      </c>
      <c r="M182" s="477" t="str">
        <f t="shared" si="133"/>
        <v>-</v>
      </c>
      <c r="N182" s="478">
        <f t="shared" si="130"/>
        <v>0</v>
      </c>
      <c r="O182" s="476">
        <f t="shared" si="125"/>
        <v>0</v>
      </c>
      <c r="P182" s="479" t="str">
        <f t="shared" si="131"/>
        <v>-</v>
      </c>
      <c r="Q182" s="476" t="str">
        <f t="shared" si="126"/>
        <v>-</v>
      </c>
      <c r="R182" s="476">
        <f t="shared" si="127"/>
        <v>0</v>
      </c>
      <c r="S182" s="494" t="str">
        <f t="shared" si="128"/>
        <v>-</v>
      </c>
      <c r="T182" s="495" t="str">
        <f t="shared" si="129"/>
        <v>-</v>
      </c>
    </row>
    <row r="183" spans="1:20" ht="24" thickBot="1" x14ac:dyDescent="0.35">
      <c r="A183" s="255" t="s">
        <v>108</v>
      </c>
      <c r="B183" s="261" t="s">
        <v>32</v>
      </c>
      <c r="C183" s="496">
        <f t="shared" si="120"/>
        <v>0</v>
      </c>
      <c r="D183" s="257"/>
      <c r="E183" s="258"/>
      <c r="F183" s="497">
        <v>110000</v>
      </c>
      <c r="G183" s="498">
        <f t="shared" si="134"/>
        <v>0</v>
      </c>
      <c r="H183" s="497"/>
      <c r="I183" s="622"/>
      <c r="J183" s="623"/>
      <c r="K183" s="496">
        <f t="shared" si="132"/>
        <v>0</v>
      </c>
      <c r="L183" s="498">
        <f t="shared" si="123"/>
        <v>0</v>
      </c>
      <c r="M183" s="499" t="str">
        <f t="shared" si="133"/>
        <v>-</v>
      </c>
      <c r="N183" s="500">
        <f t="shared" si="130"/>
        <v>0</v>
      </c>
      <c r="O183" s="498">
        <f t="shared" si="125"/>
        <v>0</v>
      </c>
      <c r="P183" s="501" t="str">
        <f t="shared" si="131"/>
        <v>-</v>
      </c>
      <c r="Q183" s="498" t="str">
        <f t="shared" si="126"/>
        <v>-</v>
      </c>
      <c r="R183" s="498">
        <f t="shared" si="127"/>
        <v>0</v>
      </c>
      <c r="S183" s="502" t="str">
        <f t="shared" si="128"/>
        <v>-</v>
      </c>
      <c r="T183" s="503" t="str">
        <f t="shared" si="129"/>
        <v>-</v>
      </c>
    </row>
    <row r="184" spans="1:20" ht="23.4" x14ac:dyDescent="0.3">
      <c r="A184" s="248" t="s">
        <v>109</v>
      </c>
      <c r="B184" s="249" t="s">
        <v>233</v>
      </c>
      <c r="C184" s="474">
        <f t="shared" si="120"/>
        <v>330</v>
      </c>
      <c r="D184" s="250">
        <v>30</v>
      </c>
      <c r="E184" s="251">
        <v>300</v>
      </c>
      <c r="F184" s="475">
        <v>6500</v>
      </c>
      <c r="G184" s="476">
        <f t="shared" si="134"/>
        <v>2000</v>
      </c>
      <c r="H184" s="475">
        <v>1883</v>
      </c>
      <c r="I184" s="621">
        <v>117</v>
      </c>
      <c r="J184" s="620">
        <v>480</v>
      </c>
      <c r="K184" s="474">
        <f t="shared" si="132"/>
        <v>150</v>
      </c>
      <c r="L184" s="476">
        <f t="shared" si="123"/>
        <v>450</v>
      </c>
      <c r="M184" s="477">
        <f t="shared" si="133"/>
        <v>0.33333333333333331</v>
      </c>
      <c r="N184" s="478">
        <f t="shared" si="130"/>
        <v>-180</v>
      </c>
      <c r="O184" s="476">
        <f t="shared" si="125"/>
        <v>150</v>
      </c>
      <c r="P184" s="479">
        <f t="shared" si="131"/>
        <v>-1.2</v>
      </c>
      <c r="Q184" s="476">
        <f t="shared" si="126"/>
        <v>-208.07999999999998</v>
      </c>
      <c r="R184" s="476">
        <f t="shared" si="127"/>
        <v>-180</v>
      </c>
      <c r="S184" s="494">
        <f t="shared" si="128"/>
        <v>1.1559999999999999</v>
      </c>
      <c r="T184" s="495">
        <f t="shared" si="129"/>
        <v>-0.46239999999999992</v>
      </c>
    </row>
    <row r="185" spans="1:20" ht="23.4" x14ac:dyDescent="0.3">
      <c r="A185" s="252" t="s">
        <v>109</v>
      </c>
      <c r="B185" s="249" t="s">
        <v>40</v>
      </c>
      <c r="C185" s="474">
        <f t="shared" si="120"/>
        <v>0</v>
      </c>
      <c r="D185" s="250"/>
      <c r="E185" s="251"/>
      <c r="F185" s="475">
        <v>2800</v>
      </c>
      <c r="G185" s="476">
        <f t="shared" si="134"/>
        <v>0</v>
      </c>
      <c r="H185" s="475"/>
      <c r="I185" s="621"/>
      <c r="J185" s="620">
        <v>480</v>
      </c>
      <c r="K185" s="474">
        <f t="shared" si="132"/>
        <v>480</v>
      </c>
      <c r="L185" s="476">
        <f t="shared" si="123"/>
        <v>480</v>
      </c>
      <c r="M185" s="477">
        <f t="shared" si="133"/>
        <v>1</v>
      </c>
      <c r="N185" s="478">
        <f t="shared" si="130"/>
        <v>480</v>
      </c>
      <c r="O185" s="476">
        <f t="shared" si="125"/>
        <v>480</v>
      </c>
      <c r="P185" s="479">
        <f t="shared" si="131"/>
        <v>1</v>
      </c>
      <c r="Q185" s="476" t="str">
        <f t="shared" si="126"/>
        <v>-</v>
      </c>
      <c r="R185" s="476">
        <f t="shared" si="127"/>
        <v>480</v>
      </c>
      <c r="S185" s="494" t="str">
        <f t="shared" si="128"/>
        <v>-</v>
      </c>
      <c r="T185" s="495" t="str">
        <f t="shared" si="129"/>
        <v>-</v>
      </c>
    </row>
    <row r="186" spans="1:20" ht="23.4" x14ac:dyDescent="0.3">
      <c r="A186" s="248" t="s">
        <v>109</v>
      </c>
      <c r="B186" s="249" t="s">
        <v>42</v>
      </c>
      <c r="C186" s="474">
        <f t="shared" si="120"/>
        <v>30</v>
      </c>
      <c r="D186" s="250">
        <v>30</v>
      </c>
      <c r="E186" s="251"/>
      <c r="F186" s="475">
        <v>25000</v>
      </c>
      <c r="G186" s="476">
        <f t="shared" si="134"/>
        <v>28200</v>
      </c>
      <c r="H186" s="475">
        <v>27852</v>
      </c>
      <c r="I186" s="621">
        <v>348</v>
      </c>
      <c r="J186" s="620">
        <v>480</v>
      </c>
      <c r="K186" s="474">
        <f t="shared" si="132"/>
        <v>450</v>
      </c>
      <c r="L186" s="476">
        <f t="shared" si="123"/>
        <v>450</v>
      </c>
      <c r="M186" s="477">
        <f t="shared" si="133"/>
        <v>1</v>
      </c>
      <c r="N186" s="478">
        <f t="shared" si="130"/>
        <v>420</v>
      </c>
      <c r="O186" s="476">
        <f t="shared" si="125"/>
        <v>450</v>
      </c>
      <c r="P186" s="479">
        <f t="shared" si="131"/>
        <v>0.93333333333333335</v>
      </c>
      <c r="Q186" s="476">
        <f t="shared" si="126"/>
        <v>414.07659574468084</v>
      </c>
      <c r="R186" s="476">
        <f t="shared" si="127"/>
        <v>420</v>
      </c>
      <c r="S186" s="494">
        <f t="shared" si="128"/>
        <v>0.9858966565349544</v>
      </c>
      <c r="T186" s="495">
        <f t="shared" si="129"/>
        <v>0.92017021276595745</v>
      </c>
    </row>
    <row r="187" spans="1:20" ht="47.4" thickBot="1" x14ac:dyDescent="0.35">
      <c r="A187" s="625" t="s">
        <v>109</v>
      </c>
      <c r="B187" s="261" t="s">
        <v>232</v>
      </c>
      <c r="C187" s="626">
        <f t="shared" si="120"/>
        <v>30</v>
      </c>
      <c r="D187" s="627">
        <v>30</v>
      </c>
      <c r="E187" s="628"/>
      <c r="F187" s="629">
        <v>25000</v>
      </c>
      <c r="G187" s="630">
        <f t="shared" si="134"/>
        <v>14600</v>
      </c>
      <c r="H187" s="629">
        <v>14400</v>
      </c>
      <c r="I187" s="631">
        <v>200</v>
      </c>
      <c r="J187" s="624">
        <v>480</v>
      </c>
      <c r="K187" s="626">
        <f t="shared" si="132"/>
        <v>450</v>
      </c>
      <c r="L187" s="630">
        <f t="shared" si="123"/>
        <v>450</v>
      </c>
      <c r="M187" s="632">
        <f t="shared" si="133"/>
        <v>1</v>
      </c>
      <c r="N187" s="633">
        <f t="shared" si="130"/>
        <v>420</v>
      </c>
      <c r="O187" s="630">
        <f t="shared" si="125"/>
        <v>450</v>
      </c>
      <c r="P187" s="634">
        <f t="shared" si="131"/>
        <v>0.93333333333333335</v>
      </c>
      <c r="Q187" s="630">
        <f t="shared" si="126"/>
        <v>413.42465753424659</v>
      </c>
      <c r="R187" s="630">
        <f t="shared" si="127"/>
        <v>420</v>
      </c>
      <c r="S187" s="635">
        <f t="shared" si="128"/>
        <v>0.98434442270058709</v>
      </c>
      <c r="T187" s="636">
        <f t="shared" si="129"/>
        <v>0.91872146118721465</v>
      </c>
    </row>
    <row r="188" spans="1:20" ht="24.6" customHeight="1" thickBot="1" x14ac:dyDescent="0.35">
      <c r="A188" s="230"/>
      <c r="B188" s="231"/>
      <c r="C188" s="232"/>
      <c r="D188" s="232"/>
      <c r="E188" s="232"/>
      <c r="F188" s="232"/>
      <c r="G188" s="233"/>
      <c r="H188" s="234"/>
      <c r="I188" s="232"/>
      <c r="J188" s="232"/>
      <c r="K188" s="232"/>
      <c r="L188" s="232"/>
      <c r="M188" s="234"/>
      <c r="N188" s="232"/>
      <c r="O188" s="232"/>
      <c r="P188" s="234"/>
      <c r="Q188" s="232"/>
      <c r="R188" s="232"/>
      <c r="S188" s="234"/>
      <c r="T188" s="234"/>
    </row>
    <row r="189" spans="1:20" ht="22.5" customHeight="1" x14ac:dyDescent="0.3">
      <c r="A189" s="1043" t="s">
        <v>1</v>
      </c>
      <c r="B189" s="1043" t="s">
        <v>2</v>
      </c>
      <c r="C189" s="1000" t="s">
        <v>221</v>
      </c>
      <c r="D189" s="1001"/>
      <c r="E189" s="1002"/>
      <c r="F189" s="1000" t="s">
        <v>530</v>
      </c>
      <c r="G189" s="1001"/>
      <c r="H189" s="1001"/>
      <c r="I189" s="1002"/>
      <c r="J189" s="1043" t="s">
        <v>218</v>
      </c>
      <c r="K189" s="1000" t="s">
        <v>206</v>
      </c>
      <c r="L189" s="1001"/>
      <c r="M189" s="1002"/>
      <c r="N189" s="1000" t="s">
        <v>207</v>
      </c>
      <c r="O189" s="1001"/>
      <c r="P189" s="1002"/>
      <c r="Q189" s="1000" t="s">
        <v>208</v>
      </c>
      <c r="R189" s="1001"/>
      <c r="S189" s="1002"/>
      <c r="T189" s="1107" t="s">
        <v>205</v>
      </c>
    </row>
    <row r="190" spans="1:20" ht="87.6" thickBot="1" x14ac:dyDescent="0.35">
      <c r="A190" s="1045"/>
      <c r="B190" s="1045"/>
      <c r="C190" s="235" t="s">
        <v>222</v>
      </c>
      <c r="D190" s="236" t="s">
        <v>219</v>
      </c>
      <c r="E190" s="237" t="s">
        <v>220</v>
      </c>
      <c r="F190" s="238" t="s">
        <v>361</v>
      </c>
      <c r="G190" s="236" t="s">
        <v>215</v>
      </c>
      <c r="H190" s="239" t="s">
        <v>216</v>
      </c>
      <c r="I190" s="240" t="s">
        <v>217</v>
      </c>
      <c r="J190" s="1045"/>
      <c r="K190" s="235" t="s">
        <v>209</v>
      </c>
      <c r="L190" s="239" t="s">
        <v>210</v>
      </c>
      <c r="M190" s="241" t="s">
        <v>223</v>
      </c>
      <c r="N190" s="242" t="s">
        <v>211</v>
      </c>
      <c r="O190" s="239" t="s">
        <v>212</v>
      </c>
      <c r="P190" s="241" t="s">
        <v>224</v>
      </c>
      <c r="Q190" s="235" t="s">
        <v>213</v>
      </c>
      <c r="R190" s="239" t="s">
        <v>214</v>
      </c>
      <c r="S190" s="243" t="s">
        <v>225</v>
      </c>
      <c r="T190" s="1108"/>
    </row>
    <row r="191" spans="1:20" ht="25.5" customHeight="1" x14ac:dyDescent="0.3">
      <c r="A191" s="244" t="s">
        <v>110</v>
      </c>
      <c r="B191" s="245" t="s">
        <v>16</v>
      </c>
      <c r="C191" s="467">
        <f>+D191+E191</f>
        <v>0</v>
      </c>
      <c r="D191" s="246"/>
      <c r="E191" s="247"/>
      <c r="F191" s="610">
        <v>15000</v>
      </c>
      <c r="G191" s="468">
        <f>+H191+I191</f>
        <v>0</v>
      </c>
      <c r="H191" s="614"/>
      <c r="I191" s="616"/>
      <c r="J191" s="619"/>
      <c r="K191" s="467">
        <f>+L191-E191</f>
        <v>0</v>
      </c>
      <c r="L191" s="468">
        <f>+J191-D191</f>
        <v>0</v>
      </c>
      <c r="M191" s="469" t="str">
        <f>IFERROR(K191/L191,"-")</f>
        <v>-</v>
      </c>
      <c r="N191" s="470">
        <f>+O191-C191</f>
        <v>0</v>
      </c>
      <c r="O191" s="468">
        <f>+K191</f>
        <v>0</v>
      </c>
      <c r="P191" s="471" t="str">
        <f>IFERROR(N191/O191,"-")</f>
        <v>-</v>
      </c>
      <c r="Q191" s="468" t="str">
        <f>IFERROR(N191-(J191-(J191*H191/G191)),"-")</f>
        <v>-</v>
      </c>
      <c r="R191" s="468">
        <f>+N191</f>
        <v>0</v>
      </c>
      <c r="S191" s="472" t="str">
        <f>IFERROR(Q191/R191,"-")</f>
        <v>-</v>
      </c>
      <c r="T191" s="473" t="str">
        <f>IFERROR(M191*P191*S191,"-")</f>
        <v>-</v>
      </c>
    </row>
    <row r="192" spans="1:20" ht="23.4" x14ac:dyDescent="0.3">
      <c r="A192" s="248" t="s">
        <v>110</v>
      </c>
      <c r="B192" s="249" t="s">
        <v>229</v>
      </c>
      <c r="C192" s="474">
        <f t="shared" ref="C192:C206" si="135">+D192+E192</f>
        <v>0</v>
      </c>
      <c r="D192" s="250"/>
      <c r="E192" s="251"/>
      <c r="F192" s="611">
        <v>200000</v>
      </c>
      <c r="G192" s="476">
        <f t="shared" ref="G192:G197" si="136">+H192+I192</f>
        <v>0</v>
      </c>
      <c r="H192" s="254"/>
      <c r="I192" s="617"/>
      <c r="J192" s="620"/>
      <c r="K192" s="474">
        <f t="shared" ref="K192:K195" si="137">+L192-E192</f>
        <v>0</v>
      </c>
      <c r="L192" s="476">
        <f t="shared" ref="L192:L206" si="138">+J192-D192</f>
        <v>0</v>
      </c>
      <c r="M192" s="477" t="str">
        <f t="shared" ref="M192:M195" si="139">IFERROR(K192/L192,"-")</f>
        <v>-</v>
      </c>
      <c r="N192" s="478">
        <f>+O192-C192</f>
        <v>0</v>
      </c>
      <c r="O192" s="476">
        <f t="shared" ref="O192:O206" si="140">+K192</f>
        <v>0</v>
      </c>
      <c r="P192" s="479" t="str">
        <f>IFERROR(N192/O192,"-")</f>
        <v>-</v>
      </c>
      <c r="Q192" s="476" t="str">
        <f t="shared" ref="Q192:Q206" si="141">IFERROR(N192-(J192-(J192*H192/G192)),"-")</f>
        <v>-</v>
      </c>
      <c r="R192" s="476">
        <f t="shared" ref="R192:R206" si="142">+N192</f>
        <v>0</v>
      </c>
      <c r="S192" s="480" t="str">
        <f t="shared" ref="S192:S206" si="143">IFERROR(Q192/R192,"-")</f>
        <v>-</v>
      </c>
      <c r="T192" s="481" t="str">
        <f t="shared" ref="T192:T206" si="144">IFERROR(M192*P192*S192,"-")</f>
        <v>-</v>
      </c>
    </row>
    <row r="193" spans="1:20" ht="23.4" x14ac:dyDescent="0.3">
      <c r="A193" s="248" t="s">
        <v>110</v>
      </c>
      <c r="B193" s="249" t="s">
        <v>228</v>
      </c>
      <c r="C193" s="474">
        <f t="shared" si="135"/>
        <v>0</v>
      </c>
      <c r="D193" s="250"/>
      <c r="E193" s="251"/>
      <c r="F193" s="611">
        <v>80000</v>
      </c>
      <c r="G193" s="476">
        <f t="shared" si="136"/>
        <v>0</v>
      </c>
      <c r="H193" s="254"/>
      <c r="I193" s="617"/>
      <c r="J193" s="620"/>
      <c r="K193" s="474">
        <f t="shared" si="137"/>
        <v>0</v>
      </c>
      <c r="L193" s="476">
        <f t="shared" si="138"/>
        <v>0</v>
      </c>
      <c r="M193" s="477" t="str">
        <f t="shared" si="139"/>
        <v>-</v>
      </c>
      <c r="N193" s="478">
        <f t="shared" ref="N193:N206" si="145">+O193-C193</f>
        <v>0</v>
      </c>
      <c r="O193" s="476">
        <f t="shared" si="140"/>
        <v>0</v>
      </c>
      <c r="P193" s="479" t="str">
        <f t="shared" ref="P193:P206" si="146">IFERROR(N193/O193,"-")</f>
        <v>-</v>
      </c>
      <c r="Q193" s="476" t="str">
        <f t="shared" si="141"/>
        <v>-</v>
      </c>
      <c r="R193" s="476">
        <f t="shared" si="142"/>
        <v>0</v>
      </c>
      <c r="S193" s="480" t="str">
        <f t="shared" si="143"/>
        <v>-</v>
      </c>
      <c r="T193" s="481" t="str">
        <f t="shared" si="144"/>
        <v>-</v>
      </c>
    </row>
    <row r="194" spans="1:20" ht="23.4" x14ac:dyDescent="0.3">
      <c r="A194" s="252" t="s">
        <v>110</v>
      </c>
      <c r="B194" s="249" t="s">
        <v>231</v>
      </c>
      <c r="C194" s="474">
        <f t="shared" si="135"/>
        <v>0</v>
      </c>
      <c r="D194" s="250"/>
      <c r="E194" s="251"/>
      <c r="F194" s="611">
        <v>110000</v>
      </c>
      <c r="G194" s="476">
        <f t="shared" si="136"/>
        <v>0</v>
      </c>
      <c r="H194" s="254"/>
      <c r="I194" s="617"/>
      <c r="J194" s="620"/>
      <c r="K194" s="474">
        <f t="shared" si="137"/>
        <v>0</v>
      </c>
      <c r="L194" s="476">
        <f t="shared" si="138"/>
        <v>0</v>
      </c>
      <c r="M194" s="477" t="str">
        <f t="shared" si="139"/>
        <v>-</v>
      </c>
      <c r="N194" s="478">
        <f t="shared" si="145"/>
        <v>0</v>
      </c>
      <c r="O194" s="476">
        <f t="shared" si="140"/>
        <v>0</v>
      </c>
      <c r="P194" s="479" t="str">
        <f t="shared" si="146"/>
        <v>-</v>
      </c>
      <c r="Q194" s="476" t="str">
        <f t="shared" si="141"/>
        <v>-</v>
      </c>
      <c r="R194" s="476">
        <f t="shared" si="142"/>
        <v>0</v>
      </c>
      <c r="S194" s="480" t="str">
        <f t="shared" si="143"/>
        <v>-</v>
      </c>
      <c r="T194" s="481" t="str">
        <f t="shared" si="144"/>
        <v>-</v>
      </c>
    </row>
    <row r="195" spans="1:20" ht="23.4" x14ac:dyDescent="0.3">
      <c r="A195" s="248" t="s">
        <v>110</v>
      </c>
      <c r="B195" s="249" t="s">
        <v>230</v>
      </c>
      <c r="C195" s="474">
        <f t="shared" si="135"/>
        <v>0</v>
      </c>
      <c r="D195" s="250"/>
      <c r="E195" s="251"/>
      <c r="F195" s="611">
        <v>50000</v>
      </c>
      <c r="G195" s="476">
        <f t="shared" si="136"/>
        <v>0</v>
      </c>
      <c r="H195" s="254"/>
      <c r="I195" s="617"/>
      <c r="J195" s="620"/>
      <c r="K195" s="474">
        <f t="shared" si="137"/>
        <v>0</v>
      </c>
      <c r="L195" s="476">
        <f t="shared" si="138"/>
        <v>0</v>
      </c>
      <c r="M195" s="477" t="str">
        <f t="shared" si="139"/>
        <v>-</v>
      </c>
      <c r="N195" s="478">
        <f t="shared" si="145"/>
        <v>0</v>
      </c>
      <c r="O195" s="476">
        <f t="shared" si="140"/>
        <v>0</v>
      </c>
      <c r="P195" s="479" t="str">
        <f t="shared" si="146"/>
        <v>-</v>
      </c>
      <c r="Q195" s="476" t="str">
        <f t="shared" si="141"/>
        <v>-</v>
      </c>
      <c r="R195" s="476">
        <f t="shared" si="142"/>
        <v>0</v>
      </c>
      <c r="S195" s="480" t="str">
        <f t="shared" si="143"/>
        <v>-</v>
      </c>
      <c r="T195" s="481" t="str">
        <f t="shared" si="144"/>
        <v>-</v>
      </c>
    </row>
    <row r="196" spans="1:20" ht="23.4" x14ac:dyDescent="0.3">
      <c r="A196" s="248">
        <v>5</v>
      </c>
      <c r="B196" s="249" t="s">
        <v>22</v>
      </c>
      <c r="C196" s="474">
        <f t="shared" si="135"/>
        <v>0</v>
      </c>
      <c r="D196" s="250"/>
      <c r="E196" s="251"/>
      <c r="F196" s="611">
        <v>80000</v>
      </c>
      <c r="G196" s="476">
        <f t="shared" si="136"/>
        <v>0</v>
      </c>
      <c r="H196" s="475"/>
      <c r="I196" s="621"/>
      <c r="J196" s="620"/>
      <c r="K196" s="474">
        <f>+L196-E196</f>
        <v>0</v>
      </c>
      <c r="L196" s="476">
        <f t="shared" si="138"/>
        <v>0</v>
      </c>
      <c r="M196" s="477" t="str">
        <f>IFERROR(K196/L196,"-")</f>
        <v>-</v>
      </c>
      <c r="N196" s="478">
        <f t="shared" si="145"/>
        <v>0</v>
      </c>
      <c r="O196" s="476">
        <f t="shared" si="140"/>
        <v>0</v>
      </c>
      <c r="P196" s="479" t="str">
        <f t="shared" si="146"/>
        <v>-</v>
      </c>
      <c r="Q196" s="476" t="str">
        <f t="shared" si="141"/>
        <v>-</v>
      </c>
      <c r="R196" s="476">
        <f t="shared" si="142"/>
        <v>0</v>
      </c>
      <c r="S196" s="480" t="str">
        <f t="shared" si="143"/>
        <v>-</v>
      </c>
      <c r="T196" s="481" t="str">
        <f t="shared" si="144"/>
        <v>-</v>
      </c>
    </row>
    <row r="197" spans="1:20" ht="23.4" x14ac:dyDescent="0.3">
      <c r="A197" s="248" t="s">
        <v>110</v>
      </c>
      <c r="B197" s="249" t="s">
        <v>23</v>
      </c>
      <c r="C197" s="474">
        <f t="shared" si="135"/>
        <v>0</v>
      </c>
      <c r="D197" s="250"/>
      <c r="E197" s="251"/>
      <c r="F197" s="611">
        <v>14000</v>
      </c>
      <c r="G197" s="476">
        <f t="shared" si="136"/>
        <v>0</v>
      </c>
      <c r="H197" s="254"/>
      <c r="I197" s="617"/>
      <c r="J197" s="620"/>
      <c r="K197" s="474">
        <f t="shared" ref="K197:K206" si="147">+L197-E197</f>
        <v>0</v>
      </c>
      <c r="L197" s="476">
        <f t="shared" si="138"/>
        <v>0</v>
      </c>
      <c r="M197" s="477" t="str">
        <f t="shared" ref="M197:M206" si="148">IFERROR(K197/L197,"-")</f>
        <v>-</v>
      </c>
      <c r="N197" s="478">
        <f t="shared" si="145"/>
        <v>0</v>
      </c>
      <c r="O197" s="476">
        <f t="shared" si="140"/>
        <v>0</v>
      </c>
      <c r="P197" s="479" t="str">
        <f t="shared" si="146"/>
        <v>-</v>
      </c>
      <c r="Q197" s="476" t="str">
        <f t="shared" si="141"/>
        <v>-</v>
      </c>
      <c r="R197" s="476">
        <f t="shared" si="142"/>
        <v>0</v>
      </c>
      <c r="S197" s="480" t="str">
        <f t="shared" si="143"/>
        <v>-</v>
      </c>
      <c r="T197" s="481" t="str">
        <f t="shared" si="144"/>
        <v>-</v>
      </c>
    </row>
    <row r="198" spans="1:20" ht="24" thickBot="1" x14ac:dyDescent="0.35">
      <c r="A198" s="248" t="s">
        <v>110</v>
      </c>
      <c r="B198" s="253" t="s">
        <v>226</v>
      </c>
      <c r="C198" s="482">
        <f t="shared" si="135"/>
        <v>0</v>
      </c>
      <c r="D198" s="250"/>
      <c r="E198" s="251"/>
      <c r="F198" s="611">
        <v>4500</v>
      </c>
      <c r="G198" s="476">
        <f>+H198+I198</f>
        <v>0</v>
      </c>
      <c r="H198" s="259"/>
      <c r="I198" s="618"/>
      <c r="J198" s="620"/>
      <c r="K198" s="482">
        <f t="shared" si="147"/>
        <v>0</v>
      </c>
      <c r="L198" s="250">
        <f t="shared" si="138"/>
        <v>0</v>
      </c>
      <c r="M198" s="483" t="str">
        <f t="shared" si="148"/>
        <v>-</v>
      </c>
      <c r="N198" s="484">
        <f t="shared" si="145"/>
        <v>0</v>
      </c>
      <c r="O198" s="250">
        <f t="shared" si="140"/>
        <v>0</v>
      </c>
      <c r="P198" s="485" t="str">
        <f t="shared" si="146"/>
        <v>-</v>
      </c>
      <c r="Q198" s="250" t="str">
        <f t="shared" si="141"/>
        <v>-</v>
      </c>
      <c r="R198" s="250">
        <f t="shared" si="142"/>
        <v>0</v>
      </c>
      <c r="S198" s="486" t="str">
        <f t="shared" si="143"/>
        <v>-</v>
      </c>
      <c r="T198" s="487" t="str">
        <f t="shared" si="144"/>
        <v>-</v>
      </c>
    </row>
    <row r="199" spans="1:20" ht="24" thickBot="1" x14ac:dyDescent="0.35">
      <c r="A199" s="255" t="s">
        <v>110</v>
      </c>
      <c r="B199" s="256" t="s">
        <v>227</v>
      </c>
      <c r="C199" s="488">
        <f t="shared" si="135"/>
        <v>0</v>
      </c>
      <c r="D199" s="257"/>
      <c r="E199" s="258"/>
      <c r="F199" s="615">
        <v>5000</v>
      </c>
      <c r="G199" s="498">
        <f t="shared" ref="G199:G206" si="149">+H199+I199</f>
        <v>0</v>
      </c>
      <c r="H199" s="259"/>
      <c r="I199" s="618"/>
      <c r="J199" s="623"/>
      <c r="K199" s="488">
        <f t="shared" si="147"/>
        <v>0</v>
      </c>
      <c r="L199" s="257">
        <f t="shared" si="138"/>
        <v>0</v>
      </c>
      <c r="M199" s="489" t="str">
        <f t="shared" si="148"/>
        <v>-</v>
      </c>
      <c r="N199" s="490">
        <f t="shared" si="145"/>
        <v>0</v>
      </c>
      <c r="O199" s="257">
        <f t="shared" si="140"/>
        <v>0</v>
      </c>
      <c r="P199" s="491" t="str">
        <f t="shared" si="146"/>
        <v>-</v>
      </c>
      <c r="Q199" s="257" t="str">
        <f t="shared" si="141"/>
        <v>-</v>
      </c>
      <c r="R199" s="257">
        <f t="shared" si="142"/>
        <v>0</v>
      </c>
      <c r="S199" s="492" t="str">
        <f t="shared" si="143"/>
        <v>-</v>
      </c>
      <c r="T199" s="493" t="str">
        <f t="shared" si="144"/>
        <v>-</v>
      </c>
    </row>
    <row r="200" spans="1:20" ht="23.4" x14ac:dyDescent="0.3">
      <c r="A200" s="252" t="s">
        <v>108</v>
      </c>
      <c r="B200" s="260" t="s">
        <v>29</v>
      </c>
      <c r="C200" s="474">
        <f t="shared" si="135"/>
        <v>330</v>
      </c>
      <c r="D200" s="250">
        <v>30</v>
      </c>
      <c r="E200" s="251">
        <v>300</v>
      </c>
      <c r="F200" s="475">
        <v>160000</v>
      </c>
      <c r="G200" s="476">
        <f t="shared" si="149"/>
        <v>100690</v>
      </c>
      <c r="H200" s="475">
        <v>99450</v>
      </c>
      <c r="I200" s="621">
        <v>1240</v>
      </c>
      <c r="J200" s="756">
        <v>870</v>
      </c>
      <c r="K200" s="474">
        <f t="shared" si="147"/>
        <v>540</v>
      </c>
      <c r="L200" s="476">
        <f t="shared" si="138"/>
        <v>840</v>
      </c>
      <c r="M200" s="477">
        <f t="shared" si="148"/>
        <v>0.6428571428571429</v>
      </c>
      <c r="N200" s="478">
        <f t="shared" si="145"/>
        <v>210</v>
      </c>
      <c r="O200" s="476">
        <f t="shared" si="140"/>
        <v>540</v>
      </c>
      <c r="P200" s="479">
        <f t="shared" si="146"/>
        <v>0.3888888888888889</v>
      </c>
      <c r="Q200" s="476">
        <f t="shared" si="141"/>
        <v>199.28592710298938</v>
      </c>
      <c r="R200" s="476">
        <f t="shared" si="142"/>
        <v>210</v>
      </c>
      <c r="S200" s="494">
        <f t="shared" si="143"/>
        <v>0.94898060525233041</v>
      </c>
      <c r="T200" s="495">
        <f t="shared" si="144"/>
        <v>0.2372451513130826</v>
      </c>
    </row>
    <row r="201" spans="1:20" ht="22.5" customHeight="1" x14ac:dyDescent="0.3">
      <c r="A201" s="248" t="s">
        <v>108</v>
      </c>
      <c r="B201" s="260" t="s">
        <v>31</v>
      </c>
      <c r="C201" s="474">
        <f t="shared" si="135"/>
        <v>135</v>
      </c>
      <c r="D201" s="769">
        <v>60</v>
      </c>
      <c r="E201" s="251">
        <v>75</v>
      </c>
      <c r="F201" s="475">
        <v>50000</v>
      </c>
      <c r="G201" s="476">
        <f t="shared" si="149"/>
        <v>35958</v>
      </c>
      <c r="H201" s="475">
        <v>35567</v>
      </c>
      <c r="I201" s="621">
        <v>391</v>
      </c>
      <c r="J201" s="620">
        <v>420</v>
      </c>
      <c r="K201" s="474">
        <f t="shared" si="147"/>
        <v>285</v>
      </c>
      <c r="L201" s="476">
        <f t="shared" si="138"/>
        <v>360</v>
      </c>
      <c r="M201" s="477">
        <f t="shared" si="148"/>
        <v>0.79166666666666663</v>
      </c>
      <c r="N201" s="478">
        <f t="shared" si="145"/>
        <v>150</v>
      </c>
      <c r="O201" s="476">
        <f t="shared" si="140"/>
        <v>285</v>
      </c>
      <c r="P201" s="479">
        <f t="shared" si="146"/>
        <v>0.52631578947368418</v>
      </c>
      <c r="Q201" s="476">
        <f t="shared" si="141"/>
        <v>145.43300517270148</v>
      </c>
      <c r="R201" s="476">
        <f t="shared" si="142"/>
        <v>150</v>
      </c>
      <c r="S201" s="494">
        <f t="shared" si="143"/>
        <v>0.96955336781800994</v>
      </c>
      <c r="T201" s="495">
        <f t="shared" si="144"/>
        <v>0.40398056992417075</v>
      </c>
    </row>
    <row r="202" spans="1:20" ht="24" thickBot="1" x14ac:dyDescent="0.35">
      <c r="A202" s="255" t="s">
        <v>108</v>
      </c>
      <c r="B202" s="261" t="s">
        <v>32</v>
      </c>
      <c r="C202" s="496">
        <f t="shared" si="135"/>
        <v>0</v>
      </c>
      <c r="D202" s="257"/>
      <c r="E202" s="258"/>
      <c r="F202" s="497">
        <v>110000</v>
      </c>
      <c r="G202" s="498">
        <f t="shared" si="149"/>
        <v>0</v>
      </c>
      <c r="H202" s="497"/>
      <c r="I202" s="622"/>
      <c r="J202" s="623"/>
      <c r="K202" s="496">
        <f t="shared" si="147"/>
        <v>0</v>
      </c>
      <c r="L202" s="498">
        <f t="shared" si="138"/>
        <v>0</v>
      </c>
      <c r="M202" s="499" t="str">
        <f t="shared" si="148"/>
        <v>-</v>
      </c>
      <c r="N202" s="500">
        <f t="shared" si="145"/>
        <v>0</v>
      </c>
      <c r="O202" s="498">
        <f t="shared" si="140"/>
        <v>0</v>
      </c>
      <c r="P202" s="501" t="str">
        <f t="shared" si="146"/>
        <v>-</v>
      </c>
      <c r="Q202" s="498" t="str">
        <f t="shared" si="141"/>
        <v>-</v>
      </c>
      <c r="R202" s="498">
        <f t="shared" si="142"/>
        <v>0</v>
      </c>
      <c r="S202" s="502" t="str">
        <f t="shared" si="143"/>
        <v>-</v>
      </c>
      <c r="T202" s="503" t="str">
        <f t="shared" si="144"/>
        <v>-</v>
      </c>
    </row>
    <row r="203" spans="1:20" ht="23.4" x14ac:dyDescent="0.3">
      <c r="A203" s="248" t="s">
        <v>109</v>
      </c>
      <c r="B203" s="249" t="s">
        <v>233</v>
      </c>
      <c r="C203" s="474">
        <f t="shared" si="135"/>
        <v>120</v>
      </c>
      <c r="D203" s="250">
        <v>30</v>
      </c>
      <c r="E203" s="251">
        <v>90</v>
      </c>
      <c r="F203" s="475">
        <v>6500</v>
      </c>
      <c r="G203" s="476">
        <f t="shared" si="149"/>
        <v>5239</v>
      </c>
      <c r="H203" s="475">
        <v>4934</v>
      </c>
      <c r="I203" s="621">
        <v>305</v>
      </c>
      <c r="J203" s="620">
        <v>480</v>
      </c>
      <c r="K203" s="474">
        <f t="shared" si="147"/>
        <v>360</v>
      </c>
      <c r="L203" s="476">
        <f t="shared" si="138"/>
        <v>450</v>
      </c>
      <c r="M203" s="477">
        <f t="shared" si="148"/>
        <v>0.8</v>
      </c>
      <c r="N203" s="478">
        <f t="shared" si="145"/>
        <v>240</v>
      </c>
      <c r="O203" s="476">
        <f t="shared" si="140"/>
        <v>360</v>
      </c>
      <c r="P203" s="479">
        <f t="shared" si="146"/>
        <v>0.66666666666666663</v>
      </c>
      <c r="Q203" s="476">
        <f t="shared" si="141"/>
        <v>212.05573582744796</v>
      </c>
      <c r="R203" s="476">
        <f t="shared" si="142"/>
        <v>240</v>
      </c>
      <c r="S203" s="494">
        <f t="shared" si="143"/>
        <v>0.88356556594769986</v>
      </c>
      <c r="T203" s="495">
        <f t="shared" si="144"/>
        <v>0.47123496850543994</v>
      </c>
    </row>
    <row r="204" spans="1:20" ht="23.4" x14ac:dyDescent="0.3">
      <c r="A204" s="252" t="s">
        <v>109</v>
      </c>
      <c r="B204" s="249" t="s">
        <v>40</v>
      </c>
      <c r="C204" s="474">
        <f t="shared" si="135"/>
        <v>0</v>
      </c>
      <c r="D204" s="250"/>
      <c r="E204" s="251"/>
      <c r="F204" s="475">
        <v>2800</v>
      </c>
      <c r="G204" s="476">
        <f t="shared" si="149"/>
        <v>0</v>
      </c>
      <c r="H204" s="475"/>
      <c r="I204" s="621"/>
      <c r="J204" s="620">
        <v>480</v>
      </c>
      <c r="K204" s="474">
        <f t="shared" si="147"/>
        <v>480</v>
      </c>
      <c r="L204" s="476">
        <f t="shared" si="138"/>
        <v>480</v>
      </c>
      <c r="M204" s="477">
        <f t="shared" si="148"/>
        <v>1</v>
      </c>
      <c r="N204" s="478">
        <f t="shared" si="145"/>
        <v>480</v>
      </c>
      <c r="O204" s="476">
        <f t="shared" si="140"/>
        <v>480</v>
      </c>
      <c r="P204" s="479">
        <f t="shared" si="146"/>
        <v>1</v>
      </c>
      <c r="Q204" s="476" t="str">
        <f t="shared" si="141"/>
        <v>-</v>
      </c>
      <c r="R204" s="476">
        <f t="shared" si="142"/>
        <v>480</v>
      </c>
      <c r="S204" s="494" t="str">
        <f t="shared" si="143"/>
        <v>-</v>
      </c>
      <c r="T204" s="495" t="str">
        <f t="shared" si="144"/>
        <v>-</v>
      </c>
    </row>
    <row r="205" spans="1:20" ht="23.4" x14ac:dyDescent="0.3">
      <c r="A205" s="248" t="s">
        <v>109</v>
      </c>
      <c r="B205" s="249" t="s">
        <v>42</v>
      </c>
      <c r="C205" s="474">
        <f t="shared" si="135"/>
        <v>30</v>
      </c>
      <c r="D205" s="250">
        <v>30</v>
      </c>
      <c r="E205" s="251"/>
      <c r="F205" s="475">
        <v>25000</v>
      </c>
      <c r="G205" s="476">
        <f t="shared" si="149"/>
        <v>21920</v>
      </c>
      <c r="H205" s="475">
        <v>21840</v>
      </c>
      <c r="I205" s="621">
        <v>80</v>
      </c>
      <c r="J205" s="620">
        <v>480</v>
      </c>
      <c r="K205" s="474">
        <f t="shared" si="147"/>
        <v>450</v>
      </c>
      <c r="L205" s="476">
        <f t="shared" si="138"/>
        <v>450</v>
      </c>
      <c r="M205" s="477">
        <f t="shared" si="148"/>
        <v>1</v>
      </c>
      <c r="N205" s="478">
        <f t="shared" si="145"/>
        <v>420</v>
      </c>
      <c r="O205" s="476">
        <f t="shared" si="140"/>
        <v>450</v>
      </c>
      <c r="P205" s="479">
        <f t="shared" si="146"/>
        <v>0.93333333333333335</v>
      </c>
      <c r="Q205" s="476">
        <f t="shared" si="141"/>
        <v>418.24817518248176</v>
      </c>
      <c r="R205" s="476">
        <f t="shared" si="142"/>
        <v>420</v>
      </c>
      <c r="S205" s="494">
        <f t="shared" si="143"/>
        <v>0.99582898852971846</v>
      </c>
      <c r="T205" s="495">
        <f t="shared" si="144"/>
        <v>0.92944038929440387</v>
      </c>
    </row>
    <row r="206" spans="1:20" ht="47.4" thickBot="1" x14ac:dyDescent="0.35">
      <c r="A206" s="625" t="s">
        <v>109</v>
      </c>
      <c r="B206" s="261" t="s">
        <v>232</v>
      </c>
      <c r="C206" s="626">
        <f t="shared" si="135"/>
        <v>30</v>
      </c>
      <c r="D206" s="627">
        <v>30</v>
      </c>
      <c r="E206" s="628"/>
      <c r="F206" s="629">
        <v>25000</v>
      </c>
      <c r="G206" s="630">
        <f t="shared" si="149"/>
        <v>14618</v>
      </c>
      <c r="H206" s="629">
        <v>14400</v>
      </c>
      <c r="I206" s="631">
        <v>218</v>
      </c>
      <c r="J206" s="624">
        <v>480</v>
      </c>
      <c r="K206" s="626">
        <f t="shared" si="147"/>
        <v>450</v>
      </c>
      <c r="L206" s="630">
        <f t="shared" si="138"/>
        <v>450</v>
      </c>
      <c r="M206" s="632">
        <f t="shared" si="148"/>
        <v>1</v>
      </c>
      <c r="N206" s="633">
        <f t="shared" si="145"/>
        <v>420</v>
      </c>
      <c r="O206" s="630">
        <f t="shared" si="140"/>
        <v>450</v>
      </c>
      <c r="P206" s="634">
        <f t="shared" si="146"/>
        <v>0.93333333333333335</v>
      </c>
      <c r="Q206" s="630">
        <f t="shared" si="141"/>
        <v>412.84170201121907</v>
      </c>
      <c r="R206" s="630">
        <f t="shared" si="142"/>
        <v>420</v>
      </c>
      <c r="S206" s="635">
        <f t="shared" si="143"/>
        <v>0.98295643336004546</v>
      </c>
      <c r="T206" s="636">
        <f t="shared" si="144"/>
        <v>0.91742600446937572</v>
      </c>
    </row>
    <row r="207" spans="1:20" ht="22.5" customHeight="1" x14ac:dyDescent="0.3">
      <c r="A207" s="1043" t="s">
        <v>1</v>
      </c>
      <c r="B207" s="1043" t="s">
        <v>2</v>
      </c>
      <c r="C207" s="1000" t="s">
        <v>221</v>
      </c>
      <c r="D207" s="1001"/>
      <c r="E207" s="1002"/>
      <c r="F207" s="1000" t="s">
        <v>524</v>
      </c>
      <c r="G207" s="1001"/>
      <c r="H207" s="1001"/>
      <c r="I207" s="1002"/>
      <c r="J207" s="1043" t="s">
        <v>218</v>
      </c>
      <c r="K207" s="1000" t="s">
        <v>206</v>
      </c>
      <c r="L207" s="1001"/>
      <c r="M207" s="1002"/>
      <c r="N207" s="1000" t="s">
        <v>207</v>
      </c>
      <c r="O207" s="1001"/>
      <c r="P207" s="1002"/>
      <c r="Q207" s="1000" t="s">
        <v>208</v>
      </c>
      <c r="R207" s="1001"/>
      <c r="S207" s="1002"/>
      <c r="T207" s="1107" t="s">
        <v>205</v>
      </c>
    </row>
    <row r="208" spans="1:20" ht="87.6" thickBot="1" x14ac:dyDescent="0.35">
      <c r="A208" s="1045"/>
      <c r="B208" s="1045"/>
      <c r="C208" s="235" t="s">
        <v>222</v>
      </c>
      <c r="D208" s="236" t="s">
        <v>219</v>
      </c>
      <c r="E208" s="237" t="s">
        <v>220</v>
      </c>
      <c r="F208" s="238" t="s">
        <v>361</v>
      </c>
      <c r="G208" s="236" t="s">
        <v>215</v>
      </c>
      <c r="H208" s="239" t="s">
        <v>216</v>
      </c>
      <c r="I208" s="240" t="s">
        <v>217</v>
      </c>
      <c r="J208" s="1045"/>
      <c r="K208" s="235" t="s">
        <v>209</v>
      </c>
      <c r="L208" s="239" t="s">
        <v>210</v>
      </c>
      <c r="M208" s="241" t="s">
        <v>223</v>
      </c>
      <c r="N208" s="242" t="s">
        <v>211</v>
      </c>
      <c r="O208" s="239" t="s">
        <v>212</v>
      </c>
      <c r="P208" s="241" t="s">
        <v>224</v>
      </c>
      <c r="Q208" s="235" t="s">
        <v>213</v>
      </c>
      <c r="R208" s="239" t="s">
        <v>214</v>
      </c>
      <c r="S208" s="243" t="s">
        <v>225</v>
      </c>
      <c r="T208" s="1108"/>
    </row>
    <row r="209" spans="1:20" ht="25.5" customHeight="1" x14ac:dyDescent="0.3">
      <c r="A209" s="244" t="s">
        <v>110</v>
      </c>
      <c r="B209" s="245" t="s">
        <v>16</v>
      </c>
      <c r="C209" s="467">
        <f>+D209+E209</f>
        <v>330</v>
      </c>
      <c r="D209" s="246">
        <v>30</v>
      </c>
      <c r="E209" s="247">
        <f>120+180</f>
        <v>300</v>
      </c>
      <c r="F209" s="610">
        <v>15000</v>
      </c>
      <c r="G209" s="468">
        <f>+H209+I209</f>
        <v>4608</v>
      </c>
      <c r="H209" s="614">
        <v>4608</v>
      </c>
      <c r="I209" s="616"/>
      <c r="J209" s="619">
        <v>480</v>
      </c>
      <c r="K209" s="467">
        <f>+L209-E209</f>
        <v>150</v>
      </c>
      <c r="L209" s="468">
        <f>+J209-D209</f>
        <v>450</v>
      </c>
      <c r="M209" s="469">
        <f>IFERROR(K209/L209,"-")</f>
        <v>0.33333333333333331</v>
      </c>
      <c r="N209" s="470">
        <f>+O209-C209</f>
        <v>-180</v>
      </c>
      <c r="O209" s="468">
        <f>+K209</f>
        <v>150</v>
      </c>
      <c r="P209" s="471">
        <f>IFERROR(N209/O209,"-")</f>
        <v>-1.2</v>
      </c>
      <c r="Q209" s="468">
        <f>IFERROR(N209-(J209-(J209*H209/G209)),"-")</f>
        <v>-180</v>
      </c>
      <c r="R209" s="468">
        <f>+N209</f>
        <v>-180</v>
      </c>
      <c r="S209" s="472">
        <f>IFERROR(Q209/R209,"-")</f>
        <v>1</v>
      </c>
      <c r="T209" s="473">
        <f>IFERROR(M209*P209*S209,"-")</f>
        <v>-0.39999999999999997</v>
      </c>
    </row>
    <row r="210" spans="1:20" ht="23.4" x14ac:dyDescent="0.3">
      <c r="A210" s="248" t="s">
        <v>110</v>
      </c>
      <c r="B210" s="249" t="s">
        <v>229</v>
      </c>
      <c r="C210" s="474">
        <f t="shared" ref="C210:C224" si="150">+D210+E210</f>
        <v>120</v>
      </c>
      <c r="D210" s="250">
        <f>30+30</f>
        <v>60</v>
      </c>
      <c r="E210" s="251">
        <v>60</v>
      </c>
      <c r="F210" s="611">
        <v>200000</v>
      </c>
      <c r="G210" s="476">
        <f t="shared" ref="G210:G215" si="151">+H210+I210</f>
        <v>133820</v>
      </c>
      <c r="H210" s="254">
        <f>3060+55080+56916+18360</f>
        <v>133416</v>
      </c>
      <c r="I210" s="617">
        <f>210+89+105</f>
        <v>404</v>
      </c>
      <c r="J210" s="620">
        <v>960</v>
      </c>
      <c r="K210" s="474">
        <f t="shared" ref="K210:K213" si="152">+L210-E210</f>
        <v>840</v>
      </c>
      <c r="L210" s="476">
        <f t="shared" ref="L210:L224" si="153">+J210-D210</f>
        <v>900</v>
      </c>
      <c r="M210" s="477">
        <f t="shared" ref="M210:M213" si="154">IFERROR(K210/L210,"-")</f>
        <v>0.93333333333333335</v>
      </c>
      <c r="N210" s="478">
        <f>+O210-C210</f>
        <v>720</v>
      </c>
      <c r="O210" s="476">
        <f t="shared" ref="O210:O224" si="155">+K210</f>
        <v>840</v>
      </c>
      <c r="P210" s="479">
        <f>IFERROR(N210/O210,"-")</f>
        <v>0.8571428571428571</v>
      </c>
      <c r="Q210" s="476">
        <f t="shared" ref="Q210:Q224" si="156">IFERROR(N210-(J210-(J210*H210/G210)),"-")</f>
        <v>717.10177850844423</v>
      </c>
      <c r="R210" s="476">
        <f t="shared" ref="R210:R224" si="157">+N210</f>
        <v>720</v>
      </c>
      <c r="S210" s="480">
        <f t="shared" ref="S210:S224" si="158">IFERROR(Q210/R210,"-")</f>
        <v>0.9959746923728392</v>
      </c>
      <c r="T210" s="481">
        <f t="shared" ref="T210:T224" si="159">IFERROR(M210*P210*S210,"-")</f>
        <v>0.79677975389827127</v>
      </c>
    </row>
    <row r="211" spans="1:20" ht="23.4" x14ac:dyDescent="0.3">
      <c r="A211" s="248" t="s">
        <v>110</v>
      </c>
      <c r="B211" s="249" t="s">
        <v>228</v>
      </c>
      <c r="C211" s="474">
        <f t="shared" si="150"/>
        <v>0</v>
      </c>
      <c r="D211" s="250"/>
      <c r="E211" s="251"/>
      <c r="F211" s="611">
        <v>80000</v>
      </c>
      <c r="G211" s="476">
        <f t="shared" si="151"/>
        <v>0</v>
      </c>
      <c r="H211" s="254"/>
      <c r="I211" s="617"/>
      <c r="J211" s="620"/>
      <c r="K211" s="474">
        <f t="shared" si="152"/>
        <v>0</v>
      </c>
      <c r="L211" s="476">
        <f t="shared" si="153"/>
        <v>0</v>
      </c>
      <c r="M211" s="477" t="str">
        <f t="shared" si="154"/>
        <v>-</v>
      </c>
      <c r="N211" s="478">
        <f t="shared" ref="N211:N224" si="160">+O211-C211</f>
        <v>0</v>
      </c>
      <c r="O211" s="476">
        <f t="shared" si="155"/>
        <v>0</v>
      </c>
      <c r="P211" s="479" t="str">
        <f t="shared" ref="P211:P224" si="161">IFERROR(N211/O211,"-")</f>
        <v>-</v>
      </c>
      <c r="Q211" s="476" t="str">
        <f t="shared" si="156"/>
        <v>-</v>
      </c>
      <c r="R211" s="476">
        <f t="shared" si="157"/>
        <v>0</v>
      </c>
      <c r="S211" s="480" t="str">
        <f t="shared" si="158"/>
        <v>-</v>
      </c>
      <c r="T211" s="481" t="str">
        <f t="shared" si="159"/>
        <v>-</v>
      </c>
    </row>
    <row r="212" spans="1:20" ht="23.4" x14ac:dyDescent="0.3">
      <c r="A212" s="252" t="s">
        <v>110</v>
      </c>
      <c r="B212" s="249" t="s">
        <v>231</v>
      </c>
      <c r="C212" s="474">
        <f t="shared" si="150"/>
        <v>0</v>
      </c>
      <c r="D212" s="250"/>
      <c r="E212" s="251"/>
      <c r="F212" s="611">
        <v>110000</v>
      </c>
      <c r="G212" s="476">
        <f t="shared" si="151"/>
        <v>0</v>
      </c>
      <c r="H212" s="254"/>
      <c r="I212" s="617"/>
      <c r="J212" s="620"/>
      <c r="K212" s="474">
        <f t="shared" si="152"/>
        <v>0</v>
      </c>
      <c r="L212" s="476">
        <f t="shared" si="153"/>
        <v>0</v>
      </c>
      <c r="M212" s="477" t="str">
        <f t="shared" si="154"/>
        <v>-</v>
      </c>
      <c r="N212" s="478">
        <f t="shared" si="160"/>
        <v>0</v>
      </c>
      <c r="O212" s="476">
        <f t="shared" si="155"/>
        <v>0</v>
      </c>
      <c r="P212" s="479" t="str">
        <f t="shared" si="161"/>
        <v>-</v>
      </c>
      <c r="Q212" s="476" t="str">
        <f t="shared" si="156"/>
        <v>-</v>
      </c>
      <c r="R212" s="476">
        <f t="shared" si="157"/>
        <v>0</v>
      </c>
      <c r="S212" s="480" t="str">
        <f t="shared" si="158"/>
        <v>-</v>
      </c>
      <c r="T212" s="481" t="str">
        <f t="shared" si="159"/>
        <v>-</v>
      </c>
    </row>
    <row r="213" spans="1:20" ht="23.4" x14ac:dyDescent="0.3">
      <c r="A213" s="248" t="s">
        <v>110</v>
      </c>
      <c r="B213" s="249" t="s">
        <v>230</v>
      </c>
      <c r="C213" s="474">
        <f t="shared" si="150"/>
        <v>0</v>
      </c>
      <c r="D213" s="250"/>
      <c r="E213" s="251"/>
      <c r="F213" s="611">
        <v>50000</v>
      </c>
      <c r="G213" s="476">
        <f t="shared" si="151"/>
        <v>0</v>
      </c>
      <c r="H213" s="254"/>
      <c r="I213" s="617"/>
      <c r="J213" s="620"/>
      <c r="K213" s="474">
        <f t="shared" si="152"/>
        <v>0</v>
      </c>
      <c r="L213" s="476">
        <f t="shared" si="153"/>
        <v>0</v>
      </c>
      <c r="M213" s="477" t="str">
        <f t="shared" si="154"/>
        <v>-</v>
      </c>
      <c r="N213" s="478">
        <f t="shared" si="160"/>
        <v>0</v>
      </c>
      <c r="O213" s="476">
        <f t="shared" si="155"/>
        <v>0</v>
      </c>
      <c r="P213" s="479" t="str">
        <f t="shared" si="161"/>
        <v>-</v>
      </c>
      <c r="Q213" s="476" t="str">
        <f t="shared" si="156"/>
        <v>-</v>
      </c>
      <c r="R213" s="476">
        <f t="shared" si="157"/>
        <v>0</v>
      </c>
      <c r="S213" s="480" t="str">
        <f t="shared" si="158"/>
        <v>-</v>
      </c>
      <c r="T213" s="481" t="str">
        <f t="shared" si="159"/>
        <v>-</v>
      </c>
    </row>
    <row r="214" spans="1:20" ht="23.4" x14ac:dyDescent="0.3">
      <c r="A214" s="248">
        <v>5</v>
      </c>
      <c r="B214" s="249" t="s">
        <v>22</v>
      </c>
      <c r="C214" s="474">
        <f t="shared" si="150"/>
        <v>0</v>
      </c>
      <c r="D214" s="250"/>
      <c r="E214" s="251"/>
      <c r="F214" s="611">
        <v>80000</v>
      </c>
      <c r="G214" s="476">
        <f t="shared" si="151"/>
        <v>0</v>
      </c>
      <c r="H214" s="475"/>
      <c r="I214" s="621"/>
      <c r="J214" s="620"/>
      <c r="K214" s="474">
        <f>+L214-E214</f>
        <v>0</v>
      </c>
      <c r="L214" s="476">
        <f t="shared" si="153"/>
        <v>0</v>
      </c>
      <c r="M214" s="477" t="str">
        <f>IFERROR(K214/L214,"-")</f>
        <v>-</v>
      </c>
      <c r="N214" s="478">
        <f t="shared" si="160"/>
        <v>0</v>
      </c>
      <c r="O214" s="476">
        <f t="shared" si="155"/>
        <v>0</v>
      </c>
      <c r="P214" s="479" t="str">
        <f t="shared" si="161"/>
        <v>-</v>
      </c>
      <c r="Q214" s="476" t="str">
        <f t="shared" si="156"/>
        <v>-</v>
      </c>
      <c r="R214" s="476">
        <f t="shared" si="157"/>
        <v>0</v>
      </c>
      <c r="S214" s="480" t="str">
        <f t="shared" si="158"/>
        <v>-</v>
      </c>
      <c r="T214" s="481" t="str">
        <f t="shared" si="159"/>
        <v>-</v>
      </c>
    </row>
    <row r="215" spans="1:20" ht="23.4" x14ac:dyDescent="0.3">
      <c r="A215" s="248" t="s">
        <v>110</v>
      </c>
      <c r="B215" s="249" t="s">
        <v>23</v>
      </c>
      <c r="C215" s="474">
        <f t="shared" si="150"/>
        <v>90</v>
      </c>
      <c r="D215" s="250">
        <f>30+30</f>
        <v>60</v>
      </c>
      <c r="E215" s="251">
        <v>30</v>
      </c>
      <c r="F215" s="611">
        <v>14000</v>
      </c>
      <c r="G215" s="476">
        <f t="shared" si="151"/>
        <v>12293</v>
      </c>
      <c r="H215" s="254">
        <v>12250</v>
      </c>
      <c r="I215" s="617">
        <v>43</v>
      </c>
      <c r="J215" s="620">
        <v>480</v>
      </c>
      <c r="K215" s="474">
        <f t="shared" ref="K215:K224" si="162">+L215-E215</f>
        <v>390</v>
      </c>
      <c r="L215" s="476">
        <f t="shared" si="153"/>
        <v>420</v>
      </c>
      <c r="M215" s="477">
        <f t="shared" ref="M215:M224" si="163">IFERROR(K215/L215,"-")</f>
        <v>0.9285714285714286</v>
      </c>
      <c r="N215" s="478">
        <f t="shared" si="160"/>
        <v>300</v>
      </c>
      <c r="O215" s="476">
        <f t="shared" si="155"/>
        <v>390</v>
      </c>
      <c r="P215" s="479">
        <f t="shared" si="161"/>
        <v>0.76923076923076927</v>
      </c>
      <c r="Q215" s="476">
        <f t="shared" si="156"/>
        <v>298.32099568860326</v>
      </c>
      <c r="R215" s="476">
        <f t="shared" si="157"/>
        <v>300</v>
      </c>
      <c r="S215" s="480">
        <f t="shared" si="158"/>
        <v>0.99440331896201084</v>
      </c>
      <c r="T215" s="481">
        <f t="shared" si="159"/>
        <v>0.71028808497286489</v>
      </c>
    </row>
    <row r="216" spans="1:20" ht="24" thickBot="1" x14ac:dyDescent="0.35">
      <c r="A216" s="248" t="s">
        <v>110</v>
      </c>
      <c r="B216" s="253" t="s">
        <v>226</v>
      </c>
      <c r="C216" s="482">
        <f t="shared" si="150"/>
        <v>910</v>
      </c>
      <c r="D216" s="250">
        <f>30+30+60+50+60+50+120+150+30+30+60+60+30+30+120</f>
        <v>910</v>
      </c>
      <c r="E216" s="251"/>
      <c r="F216" s="611">
        <v>4500</v>
      </c>
      <c r="G216" s="476">
        <f>+H216+I216</f>
        <v>47241</v>
      </c>
      <c r="H216" s="259">
        <f>9050+9827+13968+14227</f>
        <v>47072</v>
      </c>
      <c r="I216" s="618">
        <f>33+90+39+7</f>
        <v>169</v>
      </c>
      <c r="J216" s="620">
        <f>960+480+480</f>
        <v>1920</v>
      </c>
      <c r="K216" s="482">
        <f t="shared" si="162"/>
        <v>1010</v>
      </c>
      <c r="L216" s="250">
        <f t="shared" si="153"/>
        <v>1010</v>
      </c>
      <c r="M216" s="483">
        <f t="shared" si="163"/>
        <v>1</v>
      </c>
      <c r="N216" s="484">
        <f t="shared" si="160"/>
        <v>100</v>
      </c>
      <c r="O216" s="250">
        <f t="shared" si="155"/>
        <v>1010</v>
      </c>
      <c r="P216" s="485">
        <f t="shared" si="161"/>
        <v>9.9009900990099015E-2</v>
      </c>
      <c r="Q216" s="250">
        <f t="shared" si="156"/>
        <v>93.131390106051867</v>
      </c>
      <c r="R216" s="250">
        <f t="shared" si="157"/>
        <v>100</v>
      </c>
      <c r="S216" s="486">
        <f t="shared" si="158"/>
        <v>0.9313139010605187</v>
      </c>
      <c r="T216" s="487">
        <f t="shared" si="159"/>
        <v>9.2209297134704826E-2</v>
      </c>
    </row>
    <row r="217" spans="1:20" ht="24" thickBot="1" x14ac:dyDescent="0.35">
      <c r="A217" s="255" t="s">
        <v>110</v>
      </c>
      <c r="B217" s="256" t="s">
        <v>227</v>
      </c>
      <c r="C217" s="488">
        <f t="shared" si="150"/>
        <v>210</v>
      </c>
      <c r="D217" s="257">
        <f>30+30+60+30</f>
        <v>150</v>
      </c>
      <c r="E217" s="258">
        <v>60</v>
      </c>
      <c r="F217" s="615">
        <v>5000</v>
      </c>
      <c r="G217" s="498">
        <f t="shared" ref="G217:G224" si="164">+H217+I217</f>
        <v>31777</v>
      </c>
      <c r="H217" s="259">
        <v>31693</v>
      </c>
      <c r="I217" s="618">
        <v>84</v>
      </c>
      <c r="J217" s="623">
        <v>960</v>
      </c>
      <c r="K217" s="488">
        <f t="shared" si="162"/>
        <v>750</v>
      </c>
      <c r="L217" s="257">
        <f t="shared" si="153"/>
        <v>810</v>
      </c>
      <c r="M217" s="489">
        <f t="shared" si="163"/>
        <v>0.92592592592592593</v>
      </c>
      <c r="N217" s="490">
        <f t="shared" si="160"/>
        <v>540</v>
      </c>
      <c r="O217" s="257">
        <f t="shared" si="155"/>
        <v>750</v>
      </c>
      <c r="P217" s="491">
        <f t="shared" si="161"/>
        <v>0.72</v>
      </c>
      <c r="Q217" s="257">
        <f t="shared" si="156"/>
        <v>537.46231551121878</v>
      </c>
      <c r="R217" s="257">
        <f t="shared" si="157"/>
        <v>540</v>
      </c>
      <c r="S217" s="492">
        <f t="shared" si="158"/>
        <v>0.99530058428003476</v>
      </c>
      <c r="T217" s="493">
        <f t="shared" si="159"/>
        <v>0.66353372285335643</v>
      </c>
    </row>
    <row r="218" spans="1:20" ht="23.4" x14ac:dyDescent="0.3">
      <c r="A218" s="252" t="s">
        <v>108</v>
      </c>
      <c r="B218" s="260" t="s">
        <v>29</v>
      </c>
      <c r="C218" s="474">
        <f t="shared" si="150"/>
        <v>1110</v>
      </c>
      <c r="D218" s="250">
        <f>90+30+30</f>
        <v>150</v>
      </c>
      <c r="E218" s="251">
        <f>625+255+80</f>
        <v>960</v>
      </c>
      <c r="F218" s="475">
        <v>160000</v>
      </c>
      <c r="G218" s="476">
        <f t="shared" si="164"/>
        <v>206084</v>
      </c>
      <c r="H218" s="475">
        <f>27846+115362+59670</f>
        <v>202878</v>
      </c>
      <c r="I218" s="621">
        <f>2016+640+550</f>
        <v>3206</v>
      </c>
      <c r="J218" s="756">
        <f>1380+450+450</f>
        <v>2280</v>
      </c>
      <c r="K218" s="474">
        <f t="shared" si="162"/>
        <v>1170</v>
      </c>
      <c r="L218" s="476">
        <f t="shared" si="153"/>
        <v>2130</v>
      </c>
      <c r="M218" s="477">
        <f t="shared" si="163"/>
        <v>0.54929577464788737</v>
      </c>
      <c r="N218" s="478">
        <f t="shared" si="160"/>
        <v>60</v>
      </c>
      <c r="O218" s="476">
        <f t="shared" si="155"/>
        <v>1170</v>
      </c>
      <c r="P218" s="479">
        <f t="shared" si="161"/>
        <v>5.128205128205128E-2</v>
      </c>
      <c r="Q218" s="476">
        <f t="shared" si="156"/>
        <v>24.530579763591504</v>
      </c>
      <c r="R218" s="476">
        <f t="shared" si="157"/>
        <v>60</v>
      </c>
      <c r="S218" s="494">
        <f t="shared" si="158"/>
        <v>0.40884299605985841</v>
      </c>
      <c r="T218" s="495">
        <f t="shared" si="159"/>
        <v>1.151670411436221E-2</v>
      </c>
    </row>
    <row r="219" spans="1:20" ht="22.5" customHeight="1" x14ac:dyDescent="0.3">
      <c r="A219" s="248" t="s">
        <v>108</v>
      </c>
      <c r="B219" s="260" t="s">
        <v>31</v>
      </c>
      <c r="C219" s="474">
        <f t="shared" si="150"/>
        <v>0</v>
      </c>
      <c r="D219" s="769"/>
      <c r="E219" s="251"/>
      <c r="F219" s="475">
        <v>50000</v>
      </c>
      <c r="G219" s="476">
        <f t="shared" si="164"/>
        <v>0</v>
      </c>
      <c r="H219" s="475"/>
      <c r="I219" s="621"/>
      <c r="J219" s="620"/>
      <c r="K219" s="474">
        <f t="shared" si="162"/>
        <v>0</v>
      </c>
      <c r="L219" s="476">
        <f t="shared" si="153"/>
        <v>0</v>
      </c>
      <c r="M219" s="477" t="str">
        <f t="shared" si="163"/>
        <v>-</v>
      </c>
      <c r="N219" s="478">
        <f t="shared" si="160"/>
        <v>0</v>
      </c>
      <c r="O219" s="476">
        <f t="shared" si="155"/>
        <v>0</v>
      </c>
      <c r="P219" s="479" t="str">
        <f t="shared" si="161"/>
        <v>-</v>
      </c>
      <c r="Q219" s="476" t="str">
        <f t="shared" si="156"/>
        <v>-</v>
      </c>
      <c r="R219" s="476">
        <f t="shared" si="157"/>
        <v>0</v>
      </c>
      <c r="S219" s="494" t="str">
        <f t="shared" si="158"/>
        <v>-</v>
      </c>
      <c r="T219" s="495" t="str">
        <f t="shared" si="159"/>
        <v>-</v>
      </c>
    </row>
    <row r="220" spans="1:20" ht="24" thickBot="1" x14ac:dyDescent="0.35">
      <c r="A220" s="255" t="s">
        <v>108</v>
      </c>
      <c r="B220" s="261" t="s">
        <v>32</v>
      </c>
      <c r="C220" s="496">
        <f t="shared" si="150"/>
        <v>0</v>
      </c>
      <c r="D220" s="257"/>
      <c r="E220" s="258"/>
      <c r="F220" s="497">
        <v>110000</v>
      </c>
      <c r="G220" s="498">
        <f t="shared" si="164"/>
        <v>0</v>
      </c>
      <c r="H220" s="497"/>
      <c r="I220" s="622"/>
      <c r="J220" s="623"/>
      <c r="K220" s="496">
        <f t="shared" si="162"/>
        <v>0</v>
      </c>
      <c r="L220" s="498">
        <f t="shared" si="153"/>
        <v>0</v>
      </c>
      <c r="M220" s="499" t="str">
        <f t="shared" si="163"/>
        <v>-</v>
      </c>
      <c r="N220" s="500">
        <f t="shared" si="160"/>
        <v>0</v>
      </c>
      <c r="O220" s="498">
        <f t="shared" si="155"/>
        <v>0</v>
      </c>
      <c r="P220" s="501" t="str">
        <f t="shared" si="161"/>
        <v>-</v>
      </c>
      <c r="Q220" s="498" t="str">
        <f t="shared" si="156"/>
        <v>-</v>
      </c>
      <c r="R220" s="498">
        <f t="shared" si="157"/>
        <v>0</v>
      </c>
      <c r="S220" s="502" t="str">
        <f t="shared" si="158"/>
        <v>-</v>
      </c>
      <c r="T220" s="503" t="str">
        <f t="shared" si="159"/>
        <v>-</v>
      </c>
    </row>
    <row r="221" spans="1:20" ht="23.4" x14ac:dyDescent="0.3">
      <c r="A221" s="248" t="s">
        <v>109</v>
      </c>
      <c r="B221" s="249" t="s">
        <v>233</v>
      </c>
      <c r="C221" s="474">
        <f t="shared" si="150"/>
        <v>30</v>
      </c>
      <c r="D221" s="250">
        <v>30</v>
      </c>
      <c r="E221" s="251"/>
      <c r="F221" s="475">
        <v>6500</v>
      </c>
      <c r="G221" s="476">
        <f t="shared" si="164"/>
        <v>11440</v>
      </c>
      <c r="H221" s="475">
        <f>4160+7040</f>
        <v>11200</v>
      </c>
      <c r="I221" s="621">
        <f>160+80</f>
        <v>240</v>
      </c>
      <c r="J221" s="620">
        <f>480+480</f>
        <v>960</v>
      </c>
      <c r="K221" s="474">
        <f t="shared" si="162"/>
        <v>930</v>
      </c>
      <c r="L221" s="476">
        <f t="shared" si="153"/>
        <v>930</v>
      </c>
      <c r="M221" s="477">
        <f t="shared" si="163"/>
        <v>1</v>
      </c>
      <c r="N221" s="478">
        <f t="shared" si="160"/>
        <v>900</v>
      </c>
      <c r="O221" s="476">
        <f t="shared" si="155"/>
        <v>930</v>
      </c>
      <c r="P221" s="479">
        <f t="shared" si="161"/>
        <v>0.967741935483871</v>
      </c>
      <c r="Q221" s="476">
        <f t="shared" si="156"/>
        <v>879.86013986013984</v>
      </c>
      <c r="R221" s="476">
        <f t="shared" si="157"/>
        <v>900</v>
      </c>
      <c r="S221" s="494">
        <f t="shared" si="158"/>
        <v>0.97762237762237758</v>
      </c>
      <c r="T221" s="495">
        <f t="shared" si="159"/>
        <v>0.94608617189262345</v>
      </c>
    </row>
    <row r="222" spans="1:20" ht="23.4" x14ac:dyDescent="0.3">
      <c r="A222" s="252" t="s">
        <v>109</v>
      </c>
      <c r="B222" s="249" t="s">
        <v>40</v>
      </c>
      <c r="C222" s="474">
        <f t="shared" si="150"/>
        <v>0</v>
      </c>
      <c r="D222" s="250"/>
      <c r="E222" s="251"/>
      <c r="F222" s="475">
        <v>2800</v>
      </c>
      <c r="G222" s="476">
        <f t="shared" si="164"/>
        <v>0</v>
      </c>
      <c r="H222" s="475"/>
      <c r="I222" s="621"/>
      <c r="J222" s="620">
        <f>480+480</f>
        <v>960</v>
      </c>
      <c r="K222" s="474">
        <f t="shared" si="162"/>
        <v>960</v>
      </c>
      <c r="L222" s="476">
        <f t="shared" si="153"/>
        <v>960</v>
      </c>
      <c r="M222" s="477">
        <f t="shared" si="163"/>
        <v>1</v>
      </c>
      <c r="N222" s="478">
        <f t="shared" si="160"/>
        <v>960</v>
      </c>
      <c r="O222" s="476">
        <f t="shared" si="155"/>
        <v>960</v>
      </c>
      <c r="P222" s="479">
        <f t="shared" si="161"/>
        <v>1</v>
      </c>
      <c r="Q222" s="476" t="str">
        <f t="shared" si="156"/>
        <v>-</v>
      </c>
      <c r="R222" s="476">
        <f t="shared" si="157"/>
        <v>960</v>
      </c>
      <c r="S222" s="494" t="str">
        <f t="shared" si="158"/>
        <v>-</v>
      </c>
      <c r="T222" s="495" t="str">
        <f t="shared" si="159"/>
        <v>-</v>
      </c>
    </row>
    <row r="223" spans="1:20" ht="23.4" x14ac:dyDescent="0.3">
      <c r="A223" s="248" t="s">
        <v>109</v>
      </c>
      <c r="B223" s="249" t="s">
        <v>42</v>
      </c>
      <c r="C223" s="474">
        <f t="shared" si="150"/>
        <v>30</v>
      </c>
      <c r="D223" s="250">
        <v>30</v>
      </c>
      <c r="E223" s="251"/>
      <c r="F223" s="475">
        <v>25000</v>
      </c>
      <c r="G223" s="476">
        <f t="shared" si="164"/>
        <v>47112</v>
      </c>
      <c r="H223" s="475">
        <f>11760+34920</f>
        <v>46680</v>
      </c>
      <c r="I223" s="621">
        <f>310+122</f>
        <v>432</v>
      </c>
      <c r="J223" s="620">
        <f>480+480</f>
        <v>960</v>
      </c>
      <c r="K223" s="474">
        <f t="shared" si="162"/>
        <v>930</v>
      </c>
      <c r="L223" s="476">
        <f t="shared" si="153"/>
        <v>930</v>
      </c>
      <c r="M223" s="477">
        <f t="shared" si="163"/>
        <v>1</v>
      </c>
      <c r="N223" s="478">
        <f t="shared" si="160"/>
        <v>900</v>
      </c>
      <c r="O223" s="476">
        <f t="shared" si="155"/>
        <v>930</v>
      </c>
      <c r="P223" s="479">
        <f t="shared" si="161"/>
        <v>0.967741935483871</v>
      </c>
      <c r="Q223" s="476">
        <f t="shared" si="156"/>
        <v>891.19714722363733</v>
      </c>
      <c r="R223" s="476">
        <f t="shared" si="157"/>
        <v>900</v>
      </c>
      <c r="S223" s="494">
        <f t="shared" si="158"/>
        <v>0.99021905247070818</v>
      </c>
      <c r="T223" s="495">
        <f t="shared" si="159"/>
        <v>0.95827650239100792</v>
      </c>
    </row>
    <row r="224" spans="1:20" ht="47.4" thickBot="1" x14ac:dyDescent="0.35">
      <c r="A224" s="625" t="s">
        <v>109</v>
      </c>
      <c r="B224" s="261" t="s">
        <v>232</v>
      </c>
      <c r="C224" s="626">
        <f t="shared" si="150"/>
        <v>30</v>
      </c>
      <c r="D224" s="627">
        <v>30</v>
      </c>
      <c r="E224" s="628"/>
      <c r="F224" s="629">
        <v>25000</v>
      </c>
      <c r="G224" s="630">
        <f t="shared" si="164"/>
        <v>23328</v>
      </c>
      <c r="H224" s="629">
        <f>5760+17280</f>
        <v>23040</v>
      </c>
      <c r="I224" s="631">
        <f>98+190</f>
        <v>288</v>
      </c>
      <c r="J224" s="624">
        <f>480+480</f>
        <v>960</v>
      </c>
      <c r="K224" s="626">
        <f t="shared" si="162"/>
        <v>930</v>
      </c>
      <c r="L224" s="630">
        <f t="shared" si="153"/>
        <v>930</v>
      </c>
      <c r="M224" s="632">
        <f t="shared" si="163"/>
        <v>1</v>
      </c>
      <c r="N224" s="633">
        <f t="shared" si="160"/>
        <v>900</v>
      </c>
      <c r="O224" s="630">
        <f t="shared" si="155"/>
        <v>930</v>
      </c>
      <c r="P224" s="634">
        <f t="shared" si="161"/>
        <v>0.967741935483871</v>
      </c>
      <c r="Q224" s="630">
        <f t="shared" si="156"/>
        <v>888.14814814814815</v>
      </c>
      <c r="R224" s="630">
        <f t="shared" si="157"/>
        <v>900</v>
      </c>
      <c r="S224" s="635">
        <f t="shared" si="158"/>
        <v>0.9868312757201646</v>
      </c>
      <c r="T224" s="636">
        <f t="shared" si="159"/>
        <v>0.95499800876144969</v>
      </c>
    </row>
    <row r="225" spans="1:20" ht="22.5" customHeight="1" x14ac:dyDescent="0.3">
      <c r="A225" s="1043" t="s">
        <v>1</v>
      </c>
      <c r="B225" s="1043" t="s">
        <v>2</v>
      </c>
      <c r="C225" s="1000" t="s">
        <v>221</v>
      </c>
      <c r="D225" s="1001"/>
      <c r="E225" s="1002"/>
      <c r="F225" s="1000" t="s">
        <v>518</v>
      </c>
      <c r="G225" s="1001"/>
      <c r="H225" s="1001"/>
      <c r="I225" s="1002"/>
      <c r="J225" s="1043" t="s">
        <v>218</v>
      </c>
      <c r="K225" s="1000" t="s">
        <v>206</v>
      </c>
      <c r="L225" s="1001"/>
      <c r="M225" s="1002"/>
      <c r="N225" s="1000" t="s">
        <v>207</v>
      </c>
      <c r="O225" s="1001"/>
      <c r="P225" s="1002"/>
      <c r="Q225" s="1000" t="s">
        <v>208</v>
      </c>
      <c r="R225" s="1001"/>
      <c r="S225" s="1002"/>
      <c r="T225" s="1107" t="s">
        <v>205</v>
      </c>
    </row>
    <row r="226" spans="1:20" ht="87.6" thickBot="1" x14ac:dyDescent="0.35">
      <c r="A226" s="1045"/>
      <c r="B226" s="1045"/>
      <c r="C226" s="235" t="s">
        <v>222</v>
      </c>
      <c r="D226" s="236" t="s">
        <v>219</v>
      </c>
      <c r="E226" s="237" t="s">
        <v>220</v>
      </c>
      <c r="F226" s="238" t="s">
        <v>361</v>
      </c>
      <c r="G226" s="236" t="s">
        <v>215</v>
      </c>
      <c r="H226" s="239" t="s">
        <v>216</v>
      </c>
      <c r="I226" s="240" t="s">
        <v>217</v>
      </c>
      <c r="J226" s="1045"/>
      <c r="K226" s="235" t="s">
        <v>209</v>
      </c>
      <c r="L226" s="239" t="s">
        <v>210</v>
      </c>
      <c r="M226" s="241" t="s">
        <v>223</v>
      </c>
      <c r="N226" s="242" t="s">
        <v>211</v>
      </c>
      <c r="O226" s="239" t="s">
        <v>212</v>
      </c>
      <c r="P226" s="241" t="s">
        <v>224</v>
      </c>
      <c r="Q226" s="235" t="s">
        <v>213</v>
      </c>
      <c r="R226" s="239" t="s">
        <v>214</v>
      </c>
      <c r="S226" s="243" t="s">
        <v>225</v>
      </c>
      <c r="T226" s="1108"/>
    </row>
    <row r="227" spans="1:20" ht="25.5" customHeight="1" x14ac:dyDescent="0.3">
      <c r="A227" s="244" t="s">
        <v>110</v>
      </c>
      <c r="B227" s="245" t="s">
        <v>16</v>
      </c>
      <c r="C227" s="467">
        <f>+D227+E227</f>
        <v>480</v>
      </c>
      <c r="D227" s="246">
        <v>30</v>
      </c>
      <c r="E227" s="247">
        <v>450</v>
      </c>
      <c r="F227" s="610">
        <v>15000</v>
      </c>
      <c r="G227" s="468">
        <f>+H227+I227</f>
        <v>0</v>
      </c>
      <c r="H227" s="614">
        <v>0</v>
      </c>
      <c r="I227" s="616"/>
      <c r="J227" s="619">
        <v>480</v>
      </c>
      <c r="K227" s="467">
        <f>+L227-E227</f>
        <v>0</v>
      </c>
      <c r="L227" s="468">
        <f>+J227-D227</f>
        <v>450</v>
      </c>
      <c r="M227" s="469">
        <f>IFERROR(K227/L227,"-")</f>
        <v>0</v>
      </c>
      <c r="N227" s="470">
        <f>+O227-C227</f>
        <v>-480</v>
      </c>
      <c r="O227" s="468">
        <f>+K227</f>
        <v>0</v>
      </c>
      <c r="P227" s="471" t="str">
        <f>IFERROR(N227/O227,"-")</f>
        <v>-</v>
      </c>
      <c r="Q227" s="468" t="str">
        <f>IFERROR(N227-(J227-(J227*H227/G227)),"-")</f>
        <v>-</v>
      </c>
      <c r="R227" s="468">
        <f>+N227</f>
        <v>-480</v>
      </c>
      <c r="S227" s="472" t="str">
        <f>IFERROR(Q227/R227,"-")</f>
        <v>-</v>
      </c>
      <c r="T227" s="473" t="str">
        <f>IFERROR(M227*P227*S227,"-")</f>
        <v>-</v>
      </c>
    </row>
    <row r="228" spans="1:20" ht="23.4" x14ac:dyDescent="0.3">
      <c r="A228" s="248" t="s">
        <v>110</v>
      </c>
      <c r="B228" s="249" t="s">
        <v>229</v>
      </c>
      <c r="C228" s="474">
        <f t="shared" ref="C228:C242" si="165">+D228+E228</f>
        <v>60</v>
      </c>
      <c r="D228" s="250">
        <f>30+30</f>
        <v>60</v>
      </c>
      <c r="E228" s="251"/>
      <c r="F228" s="611">
        <v>200000</v>
      </c>
      <c r="G228" s="476">
        <f t="shared" ref="G228:G233" si="166">+H228+I228</f>
        <v>142611</v>
      </c>
      <c r="H228" s="254">
        <f>73440+67320</f>
        <v>140760</v>
      </c>
      <c r="I228" s="617">
        <f>425+1426</f>
        <v>1851</v>
      </c>
      <c r="J228" s="620">
        <v>960</v>
      </c>
      <c r="K228" s="474">
        <f t="shared" ref="K228:K231" si="167">+L228-E228</f>
        <v>900</v>
      </c>
      <c r="L228" s="476">
        <f t="shared" ref="L228:L242" si="168">+J228-D228</f>
        <v>900</v>
      </c>
      <c r="M228" s="477">
        <f t="shared" ref="M228:M231" si="169">IFERROR(K228/L228,"-")</f>
        <v>1</v>
      </c>
      <c r="N228" s="478">
        <f>+O228-C228</f>
        <v>840</v>
      </c>
      <c r="O228" s="476">
        <f t="shared" ref="O228:O242" si="170">+K228</f>
        <v>900</v>
      </c>
      <c r="P228" s="479">
        <f>IFERROR(N228/O228,"-")</f>
        <v>0.93333333333333335</v>
      </c>
      <c r="Q228" s="476">
        <f t="shared" ref="Q228:Q242" si="171">IFERROR(N228-(J228-(J228*H228/G228)),"-")</f>
        <v>827.53981109451581</v>
      </c>
      <c r="R228" s="476">
        <f t="shared" ref="R228:R242" si="172">+N228</f>
        <v>840</v>
      </c>
      <c r="S228" s="480">
        <f t="shared" ref="S228:S242" si="173">IFERROR(Q228/R228,"-")</f>
        <v>0.98516644177918544</v>
      </c>
      <c r="T228" s="481">
        <f t="shared" ref="T228:T242" si="174">IFERROR(M228*P228*S228,"-")</f>
        <v>0.91948867899390641</v>
      </c>
    </row>
    <row r="229" spans="1:20" ht="23.4" x14ac:dyDescent="0.3">
      <c r="A229" s="248" t="s">
        <v>110</v>
      </c>
      <c r="B229" s="249" t="s">
        <v>228</v>
      </c>
      <c r="C229" s="474">
        <f t="shared" si="165"/>
        <v>0</v>
      </c>
      <c r="D229" s="250"/>
      <c r="E229" s="251"/>
      <c r="F229" s="611">
        <v>80000</v>
      </c>
      <c r="G229" s="476">
        <f t="shared" si="166"/>
        <v>0</v>
      </c>
      <c r="H229" s="254"/>
      <c r="I229" s="617"/>
      <c r="J229" s="620"/>
      <c r="K229" s="474">
        <f t="shared" si="167"/>
        <v>0</v>
      </c>
      <c r="L229" s="476">
        <f t="shared" si="168"/>
        <v>0</v>
      </c>
      <c r="M229" s="477" t="str">
        <f t="shared" si="169"/>
        <v>-</v>
      </c>
      <c r="N229" s="478">
        <f t="shared" ref="N229:N242" si="175">+O229-C229</f>
        <v>0</v>
      </c>
      <c r="O229" s="476">
        <f t="shared" si="170"/>
        <v>0</v>
      </c>
      <c r="P229" s="479" t="str">
        <f t="shared" ref="P229:P242" si="176">IFERROR(N229/O229,"-")</f>
        <v>-</v>
      </c>
      <c r="Q229" s="476" t="str">
        <f t="shared" si="171"/>
        <v>-</v>
      </c>
      <c r="R229" s="476">
        <f t="shared" si="172"/>
        <v>0</v>
      </c>
      <c r="S229" s="480" t="str">
        <f t="shared" si="173"/>
        <v>-</v>
      </c>
      <c r="T229" s="481" t="str">
        <f t="shared" si="174"/>
        <v>-</v>
      </c>
    </row>
    <row r="230" spans="1:20" ht="23.4" x14ac:dyDescent="0.3">
      <c r="A230" s="252" t="s">
        <v>110</v>
      </c>
      <c r="B230" s="249" t="s">
        <v>231</v>
      </c>
      <c r="C230" s="474">
        <f t="shared" si="165"/>
        <v>0</v>
      </c>
      <c r="D230" s="250"/>
      <c r="E230" s="251"/>
      <c r="F230" s="611">
        <v>110000</v>
      </c>
      <c r="G230" s="476">
        <f t="shared" si="166"/>
        <v>0</v>
      </c>
      <c r="H230" s="254"/>
      <c r="I230" s="617"/>
      <c r="J230" s="620"/>
      <c r="K230" s="474">
        <f t="shared" si="167"/>
        <v>0</v>
      </c>
      <c r="L230" s="476">
        <f t="shared" si="168"/>
        <v>0</v>
      </c>
      <c r="M230" s="477" t="str">
        <f t="shared" si="169"/>
        <v>-</v>
      </c>
      <c r="N230" s="478">
        <f t="shared" si="175"/>
        <v>0</v>
      </c>
      <c r="O230" s="476">
        <f t="shared" si="170"/>
        <v>0</v>
      </c>
      <c r="P230" s="479" t="str">
        <f t="shared" si="176"/>
        <v>-</v>
      </c>
      <c r="Q230" s="476" t="str">
        <f t="shared" si="171"/>
        <v>-</v>
      </c>
      <c r="R230" s="476">
        <f t="shared" si="172"/>
        <v>0</v>
      </c>
      <c r="S230" s="480" t="str">
        <f t="shared" si="173"/>
        <v>-</v>
      </c>
      <c r="T230" s="481" t="str">
        <f t="shared" si="174"/>
        <v>-</v>
      </c>
    </row>
    <row r="231" spans="1:20" ht="23.4" x14ac:dyDescent="0.3">
      <c r="A231" s="248" t="s">
        <v>110</v>
      </c>
      <c r="B231" s="249" t="s">
        <v>230</v>
      </c>
      <c r="C231" s="474">
        <f t="shared" si="165"/>
        <v>0</v>
      </c>
      <c r="D231" s="250"/>
      <c r="E231" s="251"/>
      <c r="F231" s="611">
        <v>50000</v>
      </c>
      <c r="G231" s="476">
        <f t="shared" si="166"/>
        <v>0</v>
      </c>
      <c r="H231" s="254"/>
      <c r="I231" s="617"/>
      <c r="J231" s="620"/>
      <c r="K231" s="474">
        <f t="shared" si="167"/>
        <v>0</v>
      </c>
      <c r="L231" s="476">
        <f t="shared" si="168"/>
        <v>0</v>
      </c>
      <c r="M231" s="477" t="str">
        <f t="shared" si="169"/>
        <v>-</v>
      </c>
      <c r="N231" s="478">
        <f t="shared" si="175"/>
        <v>0</v>
      </c>
      <c r="O231" s="476">
        <f t="shared" si="170"/>
        <v>0</v>
      </c>
      <c r="P231" s="479" t="str">
        <f t="shared" si="176"/>
        <v>-</v>
      </c>
      <c r="Q231" s="476" t="str">
        <f t="shared" si="171"/>
        <v>-</v>
      </c>
      <c r="R231" s="476">
        <f t="shared" si="172"/>
        <v>0</v>
      </c>
      <c r="S231" s="480" t="str">
        <f t="shared" si="173"/>
        <v>-</v>
      </c>
      <c r="T231" s="481" t="str">
        <f t="shared" si="174"/>
        <v>-</v>
      </c>
    </row>
    <row r="232" spans="1:20" ht="23.4" x14ac:dyDescent="0.3">
      <c r="A232" s="248">
        <v>5</v>
      </c>
      <c r="B232" s="249" t="s">
        <v>22</v>
      </c>
      <c r="C232" s="474">
        <f t="shared" si="165"/>
        <v>0</v>
      </c>
      <c r="D232" s="250"/>
      <c r="E232" s="251"/>
      <c r="F232" s="611">
        <v>80000</v>
      </c>
      <c r="G232" s="476">
        <f t="shared" si="166"/>
        <v>0</v>
      </c>
      <c r="H232" s="475"/>
      <c r="I232" s="621"/>
      <c r="J232" s="620"/>
      <c r="K232" s="474">
        <f>+L232-E232</f>
        <v>0</v>
      </c>
      <c r="L232" s="476">
        <f t="shared" si="168"/>
        <v>0</v>
      </c>
      <c r="M232" s="477" t="str">
        <f>IFERROR(K232/L232,"-")</f>
        <v>-</v>
      </c>
      <c r="N232" s="478">
        <f t="shared" si="175"/>
        <v>0</v>
      </c>
      <c r="O232" s="476">
        <f t="shared" si="170"/>
        <v>0</v>
      </c>
      <c r="P232" s="479" t="str">
        <f t="shared" si="176"/>
        <v>-</v>
      </c>
      <c r="Q232" s="476" t="str">
        <f t="shared" si="171"/>
        <v>-</v>
      </c>
      <c r="R232" s="476">
        <f t="shared" si="172"/>
        <v>0</v>
      </c>
      <c r="S232" s="480" t="str">
        <f t="shared" si="173"/>
        <v>-</v>
      </c>
      <c r="T232" s="481" t="str">
        <f t="shared" si="174"/>
        <v>-</v>
      </c>
    </row>
    <row r="233" spans="1:20" ht="23.4" x14ac:dyDescent="0.3">
      <c r="A233" s="248" t="s">
        <v>110</v>
      </c>
      <c r="B233" s="249" t="s">
        <v>23</v>
      </c>
      <c r="C233" s="474">
        <f t="shared" si="165"/>
        <v>50</v>
      </c>
      <c r="D233" s="250">
        <v>30</v>
      </c>
      <c r="E233" s="251">
        <v>20</v>
      </c>
      <c r="F233" s="611">
        <v>14000</v>
      </c>
      <c r="G233" s="476">
        <f t="shared" si="166"/>
        <v>13590</v>
      </c>
      <c r="H233" s="254">
        <f>10057+3500</f>
        <v>13557</v>
      </c>
      <c r="I233" s="617">
        <v>33</v>
      </c>
      <c r="J233" s="620">
        <v>480</v>
      </c>
      <c r="K233" s="474">
        <f t="shared" ref="K233:K242" si="177">+L233-E233</f>
        <v>430</v>
      </c>
      <c r="L233" s="476">
        <f t="shared" si="168"/>
        <v>450</v>
      </c>
      <c r="M233" s="477">
        <f t="shared" ref="M233:M242" si="178">IFERROR(K233/L233,"-")</f>
        <v>0.9555555555555556</v>
      </c>
      <c r="N233" s="478">
        <f t="shared" si="175"/>
        <v>380</v>
      </c>
      <c r="O233" s="476">
        <f t="shared" si="170"/>
        <v>430</v>
      </c>
      <c r="P233" s="479">
        <f t="shared" si="176"/>
        <v>0.88372093023255816</v>
      </c>
      <c r="Q233" s="476">
        <f t="shared" si="171"/>
        <v>378.83443708609269</v>
      </c>
      <c r="R233" s="476">
        <f t="shared" si="172"/>
        <v>380</v>
      </c>
      <c r="S233" s="480">
        <f t="shared" si="173"/>
        <v>0.99693272917392817</v>
      </c>
      <c r="T233" s="481">
        <f t="shared" si="174"/>
        <v>0.84185430463576172</v>
      </c>
    </row>
    <row r="234" spans="1:20" ht="24" thickBot="1" x14ac:dyDescent="0.35">
      <c r="A234" s="248" t="s">
        <v>110</v>
      </c>
      <c r="B234" s="253" t="s">
        <v>226</v>
      </c>
      <c r="C234" s="482">
        <f t="shared" si="165"/>
        <v>480</v>
      </c>
      <c r="D234" s="250">
        <f>30+30+60+30+120+60+150</f>
        <v>480</v>
      </c>
      <c r="E234" s="251"/>
      <c r="F234" s="611">
        <v>4500</v>
      </c>
      <c r="G234" s="476">
        <f>+H234+I234</f>
        <v>0</v>
      </c>
      <c r="H234" s="259"/>
      <c r="I234" s="618"/>
      <c r="J234" s="620">
        <v>960</v>
      </c>
      <c r="K234" s="482">
        <f t="shared" si="177"/>
        <v>480</v>
      </c>
      <c r="L234" s="250">
        <f t="shared" si="168"/>
        <v>480</v>
      </c>
      <c r="M234" s="483">
        <f t="shared" si="178"/>
        <v>1</v>
      </c>
      <c r="N234" s="484">
        <f t="shared" si="175"/>
        <v>0</v>
      </c>
      <c r="O234" s="250">
        <f t="shared" si="170"/>
        <v>480</v>
      </c>
      <c r="P234" s="485">
        <f t="shared" si="176"/>
        <v>0</v>
      </c>
      <c r="Q234" s="250" t="str">
        <f t="shared" si="171"/>
        <v>-</v>
      </c>
      <c r="R234" s="250">
        <f t="shared" si="172"/>
        <v>0</v>
      </c>
      <c r="S234" s="486" t="str">
        <f t="shared" si="173"/>
        <v>-</v>
      </c>
      <c r="T234" s="487" t="str">
        <f t="shared" si="174"/>
        <v>-</v>
      </c>
    </row>
    <row r="235" spans="1:20" ht="24" thickBot="1" x14ac:dyDescent="0.35">
      <c r="A235" s="255" t="s">
        <v>110</v>
      </c>
      <c r="B235" s="256" t="s">
        <v>227</v>
      </c>
      <c r="C235" s="488">
        <f t="shared" si="165"/>
        <v>240</v>
      </c>
      <c r="D235" s="257">
        <f>30+30+60</f>
        <v>120</v>
      </c>
      <c r="E235" s="258">
        <v>120</v>
      </c>
      <c r="F235" s="615">
        <v>5000</v>
      </c>
      <c r="G235" s="498">
        <f t="shared" ref="G235:G242" si="179">+H235+I235</f>
        <v>0</v>
      </c>
      <c r="H235" s="259"/>
      <c r="I235" s="618"/>
      <c r="J235" s="623">
        <v>960</v>
      </c>
      <c r="K235" s="488">
        <f t="shared" si="177"/>
        <v>720</v>
      </c>
      <c r="L235" s="257">
        <f t="shared" si="168"/>
        <v>840</v>
      </c>
      <c r="M235" s="489">
        <f t="shared" si="178"/>
        <v>0.8571428571428571</v>
      </c>
      <c r="N235" s="490">
        <f t="shared" si="175"/>
        <v>480</v>
      </c>
      <c r="O235" s="257">
        <f t="shared" si="170"/>
        <v>720</v>
      </c>
      <c r="P235" s="491">
        <f t="shared" si="176"/>
        <v>0.66666666666666663</v>
      </c>
      <c r="Q235" s="257" t="str">
        <f t="shared" si="171"/>
        <v>-</v>
      </c>
      <c r="R235" s="257">
        <f t="shared" si="172"/>
        <v>480</v>
      </c>
      <c r="S235" s="492" t="str">
        <f t="shared" si="173"/>
        <v>-</v>
      </c>
      <c r="T235" s="493" t="str">
        <f t="shared" si="174"/>
        <v>-</v>
      </c>
    </row>
    <row r="236" spans="1:20" ht="23.4" x14ac:dyDescent="0.3">
      <c r="A236" s="252" t="s">
        <v>108</v>
      </c>
      <c r="B236" s="260" t="s">
        <v>29</v>
      </c>
      <c r="C236" s="474">
        <f t="shared" si="165"/>
        <v>370</v>
      </c>
      <c r="D236" s="250">
        <v>90</v>
      </c>
      <c r="E236" s="251">
        <v>280</v>
      </c>
      <c r="F236" s="475">
        <v>160000</v>
      </c>
      <c r="G236" s="476">
        <f t="shared" si="179"/>
        <v>164553</v>
      </c>
      <c r="H236" s="475">
        <v>163098</v>
      </c>
      <c r="I236" s="621">
        <v>1455</v>
      </c>
      <c r="J236" s="756">
        <v>1380</v>
      </c>
      <c r="K236" s="474">
        <f t="shared" si="177"/>
        <v>1010</v>
      </c>
      <c r="L236" s="476">
        <f t="shared" si="168"/>
        <v>1290</v>
      </c>
      <c r="M236" s="477">
        <f t="shared" si="178"/>
        <v>0.78294573643410847</v>
      </c>
      <c r="N236" s="478">
        <f t="shared" si="175"/>
        <v>640</v>
      </c>
      <c r="O236" s="476">
        <f t="shared" si="170"/>
        <v>1010</v>
      </c>
      <c r="P236" s="479">
        <f t="shared" si="176"/>
        <v>0.63366336633663367</v>
      </c>
      <c r="Q236" s="476">
        <f t="shared" si="171"/>
        <v>627.79785236367616</v>
      </c>
      <c r="R236" s="476">
        <f t="shared" si="172"/>
        <v>640</v>
      </c>
      <c r="S236" s="494">
        <f t="shared" si="173"/>
        <v>0.98093414431824399</v>
      </c>
      <c r="T236" s="495">
        <f t="shared" si="174"/>
        <v>0.4866650018323071</v>
      </c>
    </row>
    <row r="237" spans="1:20" ht="22.5" customHeight="1" x14ac:dyDescent="0.3">
      <c r="A237" s="248" t="s">
        <v>108</v>
      </c>
      <c r="B237" s="260" t="s">
        <v>31</v>
      </c>
      <c r="C237" s="474">
        <f t="shared" si="165"/>
        <v>0</v>
      </c>
      <c r="D237" s="769"/>
      <c r="E237" s="251"/>
      <c r="F237" s="475">
        <v>50000</v>
      </c>
      <c r="G237" s="476">
        <f t="shared" si="179"/>
        <v>0</v>
      </c>
      <c r="H237" s="475"/>
      <c r="I237" s="621"/>
      <c r="J237" s="620"/>
      <c r="K237" s="474">
        <f t="shared" si="177"/>
        <v>0</v>
      </c>
      <c r="L237" s="476">
        <f t="shared" si="168"/>
        <v>0</v>
      </c>
      <c r="M237" s="477" t="str">
        <f t="shared" si="178"/>
        <v>-</v>
      </c>
      <c r="N237" s="478">
        <f t="shared" si="175"/>
        <v>0</v>
      </c>
      <c r="O237" s="476">
        <f t="shared" si="170"/>
        <v>0</v>
      </c>
      <c r="P237" s="479" t="str">
        <f t="shared" si="176"/>
        <v>-</v>
      </c>
      <c r="Q237" s="476" t="str">
        <f t="shared" si="171"/>
        <v>-</v>
      </c>
      <c r="R237" s="476">
        <f t="shared" si="172"/>
        <v>0</v>
      </c>
      <c r="S237" s="494" t="str">
        <f t="shared" si="173"/>
        <v>-</v>
      </c>
      <c r="T237" s="495" t="str">
        <f t="shared" si="174"/>
        <v>-</v>
      </c>
    </row>
    <row r="238" spans="1:20" ht="24" thickBot="1" x14ac:dyDescent="0.35">
      <c r="A238" s="255" t="s">
        <v>108</v>
      </c>
      <c r="B238" s="261" t="s">
        <v>32</v>
      </c>
      <c r="C238" s="496">
        <f t="shared" si="165"/>
        <v>0</v>
      </c>
      <c r="D238" s="257"/>
      <c r="E238" s="258"/>
      <c r="F238" s="497">
        <v>110000</v>
      </c>
      <c r="G238" s="498">
        <f t="shared" si="179"/>
        <v>0</v>
      </c>
      <c r="H238" s="497"/>
      <c r="I238" s="622"/>
      <c r="J238" s="623"/>
      <c r="K238" s="496">
        <f t="shared" si="177"/>
        <v>0</v>
      </c>
      <c r="L238" s="498">
        <f t="shared" si="168"/>
        <v>0</v>
      </c>
      <c r="M238" s="499" t="str">
        <f t="shared" si="178"/>
        <v>-</v>
      </c>
      <c r="N238" s="500">
        <f t="shared" si="175"/>
        <v>0</v>
      </c>
      <c r="O238" s="498">
        <f t="shared" si="170"/>
        <v>0</v>
      </c>
      <c r="P238" s="501" t="str">
        <f t="shared" si="176"/>
        <v>-</v>
      </c>
      <c r="Q238" s="498" t="str">
        <f t="shared" si="171"/>
        <v>-</v>
      </c>
      <c r="R238" s="498">
        <f t="shared" si="172"/>
        <v>0</v>
      </c>
      <c r="S238" s="502" t="str">
        <f t="shared" si="173"/>
        <v>-</v>
      </c>
      <c r="T238" s="503" t="str">
        <f t="shared" si="174"/>
        <v>-</v>
      </c>
    </row>
    <row r="239" spans="1:20" ht="23.4" x14ac:dyDescent="0.3">
      <c r="A239" s="248" t="s">
        <v>109</v>
      </c>
      <c r="B239" s="249" t="s">
        <v>233</v>
      </c>
      <c r="C239" s="474">
        <f t="shared" si="165"/>
        <v>30</v>
      </c>
      <c r="D239" s="250">
        <v>30</v>
      </c>
      <c r="E239" s="251"/>
      <c r="F239" s="475">
        <v>6500</v>
      </c>
      <c r="G239" s="476">
        <f t="shared" si="179"/>
        <v>6222</v>
      </c>
      <c r="H239" s="475">
        <v>6080</v>
      </c>
      <c r="I239" s="621">
        <v>142</v>
      </c>
      <c r="J239" s="620">
        <v>480</v>
      </c>
      <c r="K239" s="474">
        <f t="shared" si="177"/>
        <v>450</v>
      </c>
      <c r="L239" s="476">
        <f t="shared" si="168"/>
        <v>450</v>
      </c>
      <c r="M239" s="477">
        <f t="shared" si="178"/>
        <v>1</v>
      </c>
      <c r="N239" s="478">
        <f t="shared" si="175"/>
        <v>420</v>
      </c>
      <c r="O239" s="476">
        <f t="shared" si="170"/>
        <v>450</v>
      </c>
      <c r="P239" s="479">
        <f t="shared" si="176"/>
        <v>0.93333333333333335</v>
      </c>
      <c r="Q239" s="476">
        <f t="shared" si="171"/>
        <v>409.04532304725171</v>
      </c>
      <c r="R239" s="476">
        <f t="shared" si="172"/>
        <v>420</v>
      </c>
      <c r="S239" s="494">
        <f t="shared" si="173"/>
        <v>0.9739174358267898</v>
      </c>
      <c r="T239" s="495">
        <f t="shared" si="174"/>
        <v>0.90898960677167051</v>
      </c>
    </row>
    <row r="240" spans="1:20" ht="23.4" x14ac:dyDescent="0.3">
      <c r="A240" s="252" t="s">
        <v>109</v>
      </c>
      <c r="B240" s="249" t="s">
        <v>40</v>
      </c>
      <c r="C240" s="474">
        <f t="shared" si="165"/>
        <v>0</v>
      </c>
      <c r="D240" s="250"/>
      <c r="E240" s="251"/>
      <c r="F240" s="475">
        <v>2800</v>
      </c>
      <c r="G240" s="476">
        <f t="shared" si="179"/>
        <v>0</v>
      </c>
      <c r="H240" s="475"/>
      <c r="I240" s="621"/>
      <c r="J240" s="620">
        <v>480</v>
      </c>
      <c r="K240" s="474">
        <f t="shared" si="177"/>
        <v>480</v>
      </c>
      <c r="L240" s="476">
        <f t="shared" si="168"/>
        <v>480</v>
      </c>
      <c r="M240" s="477">
        <f t="shared" si="178"/>
        <v>1</v>
      </c>
      <c r="N240" s="478">
        <f t="shared" si="175"/>
        <v>480</v>
      </c>
      <c r="O240" s="476">
        <f t="shared" si="170"/>
        <v>480</v>
      </c>
      <c r="P240" s="479">
        <f t="shared" si="176"/>
        <v>1</v>
      </c>
      <c r="Q240" s="476" t="str">
        <f t="shared" si="171"/>
        <v>-</v>
      </c>
      <c r="R240" s="476">
        <f t="shared" si="172"/>
        <v>480</v>
      </c>
      <c r="S240" s="494" t="str">
        <f t="shared" si="173"/>
        <v>-</v>
      </c>
      <c r="T240" s="495" t="str">
        <f t="shared" si="174"/>
        <v>-</v>
      </c>
    </row>
    <row r="241" spans="1:20" ht="23.4" x14ac:dyDescent="0.3">
      <c r="A241" s="248" t="s">
        <v>109</v>
      </c>
      <c r="B241" s="249" t="s">
        <v>42</v>
      </c>
      <c r="C241" s="474">
        <f t="shared" si="165"/>
        <v>30</v>
      </c>
      <c r="D241" s="250">
        <v>30</v>
      </c>
      <c r="E241" s="251"/>
      <c r="F241" s="475">
        <v>25000</v>
      </c>
      <c r="G241" s="476">
        <f t="shared" si="179"/>
        <v>28107</v>
      </c>
      <c r="H241" s="475">
        <v>27612</v>
      </c>
      <c r="I241" s="621">
        <v>495</v>
      </c>
      <c r="J241" s="620">
        <v>480</v>
      </c>
      <c r="K241" s="474">
        <f t="shared" si="177"/>
        <v>450</v>
      </c>
      <c r="L241" s="476">
        <f t="shared" si="168"/>
        <v>450</v>
      </c>
      <c r="M241" s="477">
        <f t="shared" si="178"/>
        <v>1</v>
      </c>
      <c r="N241" s="478">
        <f t="shared" si="175"/>
        <v>420</v>
      </c>
      <c r="O241" s="476">
        <f t="shared" si="170"/>
        <v>450</v>
      </c>
      <c r="P241" s="479">
        <f t="shared" si="176"/>
        <v>0.93333333333333335</v>
      </c>
      <c r="Q241" s="476">
        <f t="shared" si="171"/>
        <v>411.54658981748321</v>
      </c>
      <c r="R241" s="476">
        <f t="shared" si="172"/>
        <v>420</v>
      </c>
      <c r="S241" s="494">
        <f t="shared" si="173"/>
        <v>0.97987283289876959</v>
      </c>
      <c r="T241" s="495">
        <f t="shared" si="174"/>
        <v>0.91454797737218496</v>
      </c>
    </row>
    <row r="242" spans="1:20" ht="47.4" thickBot="1" x14ac:dyDescent="0.35">
      <c r="A242" s="625" t="s">
        <v>109</v>
      </c>
      <c r="B242" s="261" t="s">
        <v>232</v>
      </c>
      <c r="C242" s="626">
        <f t="shared" si="165"/>
        <v>270</v>
      </c>
      <c r="D242" s="627">
        <v>30</v>
      </c>
      <c r="E242" s="628">
        <v>240</v>
      </c>
      <c r="F242" s="629">
        <v>25000</v>
      </c>
      <c r="G242" s="630">
        <f t="shared" si="179"/>
        <v>6235</v>
      </c>
      <c r="H242" s="629">
        <v>5760</v>
      </c>
      <c r="I242" s="631">
        <v>475</v>
      </c>
      <c r="J242" s="624">
        <v>480</v>
      </c>
      <c r="K242" s="626">
        <f t="shared" si="177"/>
        <v>210</v>
      </c>
      <c r="L242" s="630">
        <f t="shared" si="168"/>
        <v>450</v>
      </c>
      <c r="M242" s="632">
        <f t="shared" si="178"/>
        <v>0.46666666666666667</v>
      </c>
      <c r="N242" s="633">
        <f t="shared" si="175"/>
        <v>-60</v>
      </c>
      <c r="O242" s="630">
        <f t="shared" si="170"/>
        <v>210</v>
      </c>
      <c r="P242" s="634">
        <f t="shared" si="176"/>
        <v>-0.2857142857142857</v>
      </c>
      <c r="Q242" s="630">
        <f t="shared" si="171"/>
        <v>-96.567762630312757</v>
      </c>
      <c r="R242" s="630">
        <f t="shared" si="172"/>
        <v>-60</v>
      </c>
      <c r="S242" s="635">
        <f t="shared" si="173"/>
        <v>1.6094627105052126</v>
      </c>
      <c r="T242" s="636">
        <f t="shared" si="174"/>
        <v>-0.21459502806736167</v>
      </c>
    </row>
    <row r="243" spans="1:20" ht="22.5" customHeight="1" x14ac:dyDescent="0.3">
      <c r="A243" s="1043" t="s">
        <v>1</v>
      </c>
      <c r="B243" s="1043" t="s">
        <v>2</v>
      </c>
      <c r="C243" s="1000" t="s">
        <v>221</v>
      </c>
      <c r="D243" s="1001"/>
      <c r="E243" s="1002"/>
      <c r="F243" s="1000" t="s">
        <v>511</v>
      </c>
      <c r="G243" s="1001"/>
      <c r="H243" s="1001"/>
      <c r="I243" s="1002"/>
      <c r="J243" s="1043" t="s">
        <v>218</v>
      </c>
      <c r="K243" s="1000" t="s">
        <v>206</v>
      </c>
      <c r="L243" s="1001"/>
      <c r="M243" s="1002"/>
      <c r="N243" s="1000" t="s">
        <v>207</v>
      </c>
      <c r="O243" s="1001"/>
      <c r="P243" s="1002"/>
      <c r="Q243" s="1000" t="s">
        <v>208</v>
      </c>
      <c r="R243" s="1001"/>
      <c r="S243" s="1002"/>
      <c r="T243" s="1107" t="s">
        <v>205</v>
      </c>
    </row>
    <row r="244" spans="1:20" ht="87.6" thickBot="1" x14ac:dyDescent="0.35">
      <c r="A244" s="1045"/>
      <c r="B244" s="1045"/>
      <c r="C244" s="235" t="s">
        <v>222</v>
      </c>
      <c r="D244" s="236" t="s">
        <v>219</v>
      </c>
      <c r="E244" s="237" t="s">
        <v>220</v>
      </c>
      <c r="F244" s="238" t="s">
        <v>361</v>
      </c>
      <c r="G244" s="236" t="s">
        <v>215</v>
      </c>
      <c r="H244" s="239" t="s">
        <v>216</v>
      </c>
      <c r="I244" s="240" t="s">
        <v>217</v>
      </c>
      <c r="J244" s="1045"/>
      <c r="K244" s="235" t="s">
        <v>209</v>
      </c>
      <c r="L244" s="239" t="s">
        <v>210</v>
      </c>
      <c r="M244" s="241" t="s">
        <v>223</v>
      </c>
      <c r="N244" s="242" t="s">
        <v>211</v>
      </c>
      <c r="O244" s="239" t="s">
        <v>212</v>
      </c>
      <c r="P244" s="241" t="s">
        <v>224</v>
      </c>
      <c r="Q244" s="235" t="s">
        <v>213</v>
      </c>
      <c r="R244" s="239" t="s">
        <v>214</v>
      </c>
      <c r="S244" s="243" t="s">
        <v>225</v>
      </c>
      <c r="T244" s="1108"/>
    </row>
    <row r="245" spans="1:20" ht="25.5" customHeight="1" x14ac:dyDescent="0.3">
      <c r="A245" s="244" t="s">
        <v>110</v>
      </c>
      <c r="B245" s="245" t="s">
        <v>16</v>
      </c>
      <c r="C245" s="467">
        <f>+D245+E245</f>
        <v>0</v>
      </c>
      <c r="D245" s="246"/>
      <c r="E245" s="247"/>
      <c r="F245" s="610">
        <v>15000</v>
      </c>
      <c r="G245" s="468">
        <f>+H245+I245</f>
        <v>0</v>
      </c>
      <c r="H245" s="614"/>
      <c r="I245" s="616"/>
      <c r="J245" s="619"/>
      <c r="K245" s="467">
        <f>+L245-E245</f>
        <v>0</v>
      </c>
      <c r="L245" s="468">
        <f>+J245-D245</f>
        <v>0</v>
      </c>
      <c r="M245" s="469" t="str">
        <f>IFERROR(K245/L245,"-")</f>
        <v>-</v>
      </c>
      <c r="N245" s="470">
        <f>+O245-C245</f>
        <v>0</v>
      </c>
      <c r="O245" s="468">
        <f>+K245</f>
        <v>0</v>
      </c>
      <c r="P245" s="471" t="str">
        <f>IFERROR(N245/O245,"-")</f>
        <v>-</v>
      </c>
      <c r="Q245" s="468" t="str">
        <f>IFERROR(N245-(J245-(J245*H245/G245)),"-")</f>
        <v>-</v>
      </c>
      <c r="R245" s="468">
        <f>+N245</f>
        <v>0</v>
      </c>
      <c r="S245" s="472" t="str">
        <f>IFERROR(Q245/R245,"-")</f>
        <v>-</v>
      </c>
      <c r="T245" s="473" t="str">
        <f>IFERROR(M245*P245*S245,"-")</f>
        <v>-</v>
      </c>
    </row>
    <row r="246" spans="1:20" ht="23.4" x14ac:dyDescent="0.3">
      <c r="A246" s="248" t="s">
        <v>110</v>
      </c>
      <c r="B246" s="249" t="s">
        <v>229</v>
      </c>
      <c r="C246" s="474">
        <f t="shared" ref="C246:C260" si="180">+D246+E246</f>
        <v>60</v>
      </c>
      <c r="D246" s="250">
        <v>60</v>
      </c>
      <c r="E246" s="251"/>
      <c r="F246" s="611">
        <v>200000</v>
      </c>
      <c r="G246" s="476">
        <f t="shared" ref="G246:G251" si="181">+H246+I246</f>
        <v>140760</v>
      </c>
      <c r="H246" s="254">
        <v>140760</v>
      </c>
      <c r="I246" s="617"/>
      <c r="J246" s="620">
        <v>960</v>
      </c>
      <c r="K246" s="474">
        <f t="shared" ref="K246:K249" si="182">+L246-E246</f>
        <v>900</v>
      </c>
      <c r="L246" s="476">
        <f t="shared" ref="L246:L260" si="183">+J246-D246</f>
        <v>900</v>
      </c>
      <c r="M246" s="477">
        <f t="shared" ref="M246:M249" si="184">IFERROR(K246/L246,"-")</f>
        <v>1</v>
      </c>
      <c r="N246" s="478">
        <f>+O246-C246</f>
        <v>840</v>
      </c>
      <c r="O246" s="476">
        <f t="shared" ref="O246:O260" si="185">+K246</f>
        <v>900</v>
      </c>
      <c r="P246" s="479">
        <f>IFERROR(N246/O246,"-")</f>
        <v>0.93333333333333335</v>
      </c>
      <c r="Q246" s="476">
        <f t="shared" ref="Q246:Q260" si="186">IFERROR(N246-(J246-(J246*H246/G246)),"-")</f>
        <v>840</v>
      </c>
      <c r="R246" s="476">
        <f t="shared" ref="R246:R260" si="187">+N246</f>
        <v>840</v>
      </c>
      <c r="S246" s="480">
        <f t="shared" ref="S246:S260" si="188">IFERROR(Q246/R246,"-")</f>
        <v>1</v>
      </c>
      <c r="T246" s="481">
        <f t="shared" ref="T246:T260" si="189">IFERROR(M246*P246*S246,"-")</f>
        <v>0.93333333333333335</v>
      </c>
    </row>
    <row r="247" spans="1:20" ht="23.4" x14ac:dyDescent="0.3">
      <c r="A247" s="248" t="s">
        <v>110</v>
      </c>
      <c r="B247" s="249" t="s">
        <v>228</v>
      </c>
      <c r="C247" s="474">
        <f t="shared" si="180"/>
        <v>0</v>
      </c>
      <c r="D247" s="250"/>
      <c r="E247" s="251"/>
      <c r="F247" s="611">
        <v>80000</v>
      </c>
      <c r="G247" s="476">
        <f t="shared" si="181"/>
        <v>0</v>
      </c>
      <c r="H247" s="254"/>
      <c r="I247" s="617"/>
      <c r="J247" s="620"/>
      <c r="K247" s="474">
        <f t="shared" si="182"/>
        <v>0</v>
      </c>
      <c r="L247" s="476">
        <f t="shared" si="183"/>
        <v>0</v>
      </c>
      <c r="M247" s="477" t="str">
        <f t="shared" si="184"/>
        <v>-</v>
      </c>
      <c r="N247" s="478">
        <f t="shared" ref="N247:N260" si="190">+O247-C247</f>
        <v>0</v>
      </c>
      <c r="O247" s="476">
        <f t="shared" si="185"/>
        <v>0</v>
      </c>
      <c r="P247" s="479" t="str">
        <f t="shared" ref="P247:P260" si="191">IFERROR(N247/O247,"-")</f>
        <v>-</v>
      </c>
      <c r="Q247" s="476" t="str">
        <f t="shared" si="186"/>
        <v>-</v>
      </c>
      <c r="R247" s="476">
        <f t="shared" si="187"/>
        <v>0</v>
      </c>
      <c r="S247" s="480" t="str">
        <f t="shared" si="188"/>
        <v>-</v>
      </c>
      <c r="T247" s="481" t="str">
        <f t="shared" si="189"/>
        <v>-</v>
      </c>
    </row>
    <row r="248" spans="1:20" ht="23.4" x14ac:dyDescent="0.3">
      <c r="A248" s="252" t="s">
        <v>110</v>
      </c>
      <c r="B248" s="249" t="s">
        <v>231</v>
      </c>
      <c r="C248" s="474">
        <f t="shared" si="180"/>
        <v>0</v>
      </c>
      <c r="D248" s="250"/>
      <c r="E248" s="251"/>
      <c r="F248" s="611">
        <v>110000</v>
      </c>
      <c r="G248" s="476">
        <f t="shared" si="181"/>
        <v>0</v>
      </c>
      <c r="H248" s="254"/>
      <c r="I248" s="617"/>
      <c r="J248" s="620"/>
      <c r="K248" s="474">
        <f t="shared" si="182"/>
        <v>0</v>
      </c>
      <c r="L248" s="476">
        <f t="shared" si="183"/>
        <v>0</v>
      </c>
      <c r="M248" s="477" t="str">
        <f t="shared" si="184"/>
        <v>-</v>
      </c>
      <c r="N248" s="478">
        <f t="shared" si="190"/>
        <v>0</v>
      </c>
      <c r="O248" s="476">
        <f t="shared" si="185"/>
        <v>0</v>
      </c>
      <c r="P248" s="479" t="str">
        <f t="shared" si="191"/>
        <v>-</v>
      </c>
      <c r="Q248" s="476" t="str">
        <f t="shared" si="186"/>
        <v>-</v>
      </c>
      <c r="R248" s="476">
        <f t="shared" si="187"/>
        <v>0</v>
      </c>
      <c r="S248" s="480" t="str">
        <f t="shared" si="188"/>
        <v>-</v>
      </c>
      <c r="T248" s="481" t="str">
        <f t="shared" si="189"/>
        <v>-</v>
      </c>
    </row>
    <row r="249" spans="1:20" ht="23.4" x14ac:dyDescent="0.3">
      <c r="A249" s="248" t="s">
        <v>110</v>
      </c>
      <c r="B249" s="249" t="s">
        <v>230</v>
      </c>
      <c r="C249" s="474">
        <f t="shared" si="180"/>
        <v>0</v>
      </c>
      <c r="D249" s="250"/>
      <c r="E249" s="251"/>
      <c r="F249" s="611">
        <v>50000</v>
      </c>
      <c r="G249" s="476">
        <f t="shared" si="181"/>
        <v>0</v>
      </c>
      <c r="H249" s="254"/>
      <c r="I249" s="617"/>
      <c r="J249" s="620"/>
      <c r="K249" s="474">
        <f t="shared" si="182"/>
        <v>0</v>
      </c>
      <c r="L249" s="476">
        <f t="shared" si="183"/>
        <v>0</v>
      </c>
      <c r="M249" s="477" t="str">
        <f t="shared" si="184"/>
        <v>-</v>
      </c>
      <c r="N249" s="478">
        <f t="shared" si="190"/>
        <v>0</v>
      </c>
      <c r="O249" s="476">
        <f t="shared" si="185"/>
        <v>0</v>
      </c>
      <c r="P249" s="479" t="str">
        <f t="shared" si="191"/>
        <v>-</v>
      </c>
      <c r="Q249" s="476" t="str">
        <f t="shared" si="186"/>
        <v>-</v>
      </c>
      <c r="R249" s="476">
        <f t="shared" si="187"/>
        <v>0</v>
      </c>
      <c r="S249" s="480" t="str">
        <f t="shared" si="188"/>
        <v>-</v>
      </c>
      <c r="T249" s="481" t="str">
        <f t="shared" si="189"/>
        <v>-</v>
      </c>
    </row>
    <row r="250" spans="1:20" ht="23.4" x14ac:dyDescent="0.3">
      <c r="A250" s="248">
        <v>5</v>
      </c>
      <c r="B250" s="249" t="s">
        <v>22</v>
      </c>
      <c r="C250" s="474">
        <f t="shared" si="180"/>
        <v>0</v>
      </c>
      <c r="D250" s="250"/>
      <c r="E250" s="251"/>
      <c r="F250" s="611">
        <v>80000</v>
      </c>
      <c r="G250" s="476">
        <f t="shared" si="181"/>
        <v>0</v>
      </c>
      <c r="H250" s="475"/>
      <c r="I250" s="621"/>
      <c r="J250" s="620"/>
      <c r="K250" s="474">
        <f>+L250-E250</f>
        <v>0</v>
      </c>
      <c r="L250" s="476">
        <f t="shared" si="183"/>
        <v>0</v>
      </c>
      <c r="M250" s="477" t="str">
        <f>IFERROR(K250/L250,"-")</f>
        <v>-</v>
      </c>
      <c r="N250" s="478">
        <f t="shared" si="190"/>
        <v>0</v>
      </c>
      <c r="O250" s="476">
        <f t="shared" si="185"/>
        <v>0</v>
      </c>
      <c r="P250" s="479" t="str">
        <f t="shared" si="191"/>
        <v>-</v>
      </c>
      <c r="Q250" s="476" t="str">
        <f t="shared" si="186"/>
        <v>-</v>
      </c>
      <c r="R250" s="476">
        <f t="shared" si="187"/>
        <v>0</v>
      </c>
      <c r="S250" s="480" t="str">
        <f t="shared" si="188"/>
        <v>-</v>
      </c>
      <c r="T250" s="481" t="str">
        <f t="shared" si="189"/>
        <v>-</v>
      </c>
    </row>
    <row r="251" spans="1:20" ht="23.4" x14ac:dyDescent="0.3">
      <c r="A251" s="248" t="s">
        <v>110</v>
      </c>
      <c r="B251" s="249" t="s">
        <v>23</v>
      </c>
      <c r="C251" s="474">
        <f t="shared" si="180"/>
        <v>200</v>
      </c>
      <c r="D251" s="250">
        <v>30</v>
      </c>
      <c r="E251" s="251">
        <v>170</v>
      </c>
      <c r="F251" s="611">
        <v>14000</v>
      </c>
      <c r="G251" s="476">
        <f t="shared" si="181"/>
        <v>7875</v>
      </c>
      <c r="H251" s="254">
        <v>7875</v>
      </c>
      <c r="I251" s="617"/>
      <c r="J251" s="620">
        <v>480</v>
      </c>
      <c r="K251" s="474">
        <f t="shared" ref="K251:K260" si="192">+L251-E251</f>
        <v>280</v>
      </c>
      <c r="L251" s="476">
        <f t="shared" si="183"/>
        <v>450</v>
      </c>
      <c r="M251" s="477">
        <f t="shared" ref="M251:M260" si="193">IFERROR(K251/L251,"-")</f>
        <v>0.62222222222222223</v>
      </c>
      <c r="N251" s="478">
        <f t="shared" si="190"/>
        <v>80</v>
      </c>
      <c r="O251" s="476">
        <f t="shared" si="185"/>
        <v>280</v>
      </c>
      <c r="P251" s="479">
        <f t="shared" si="191"/>
        <v>0.2857142857142857</v>
      </c>
      <c r="Q251" s="476">
        <f t="shared" si="186"/>
        <v>80</v>
      </c>
      <c r="R251" s="476">
        <f t="shared" si="187"/>
        <v>80</v>
      </c>
      <c r="S251" s="480">
        <f t="shared" si="188"/>
        <v>1</v>
      </c>
      <c r="T251" s="481">
        <f t="shared" si="189"/>
        <v>0.17777777777777778</v>
      </c>
    </row>
    <row r="252" spans="1:20" ht="24" thickBot="1" x14ac:dyDescent="0.35">
      <c r="A252" s="248" t="s">
        <v>110</v>
      </c>
      <c r="B252" s="253" t="s">
        <v>226</v>
      </c>
      <c r="C252" s="482">
        <f t="shared" si="180"/>
        <v>795</v>
      </c>
      <c r="D252" s="250">
        <v>60</v>
      </c>
      <c r="E252" s="251">
        <v>735</v>
      </c>
      <c r="F252" s="611">
        <v>4500</v>
      </c>
      <c r="G252" s="476">
        <f>+H252+I252</f>
        <v>4801</v>
      </c>
      <c r="H252" s="259">
        <v>4677</v>
      </c>
      <c r="I252" s="618">
        <v>124</v>
      </c>
      <c r="J252" s="620">
        <v>960</v>
      </c>
      <c r="K252" s="482">
        <f t="shared" si="192"/>
        <v>165</v>
      </c>
      <c r="L252" s="250">
        <f t="shared" si="183"/>
        <v>900</v>
      </c>
      <c r="M252" s="483">
        <f t="shared" si="193"/>
        <v>0.18333333333333332</v>
      </c>
      <c r="N252" s="484">
        <f t="shared" si="190"/>
        <v>-630</v>
      </c>
      <c r="O252" s="250">
        <f t="shared" si="185"/>
        <v>165</v>
      </c>
      <c r="P252" s="485">
        <f t="shared" si="191"/>
        <v>-3.8181818181818183</v>
      </c>
      <c r="Q252" s="250">
        <f t="shared" si="186"/>
        <v>-654.79483440949798</v>
      </c>
      <c r="R252" s="250">
        <f t="shared" si="187"/>
        <v>-630</v>
      </c>
      <c r="S252" s="486">
        <f t="shared" si="188"/>
        <v>1.0393568800150761</v>
      </c>
      <c r="T252" s="487">
        <f t="shared" si="189"/>
        <v>-0.72754981601055324</v>
      </c>
    </row>
    <row r="253" spans="1:20" ht="24" thickBot="1" x14ac:dyDescent="0.35">
      <c r="A253" s="255" t="s">
        <v>110</v>
      </c>
      <c r="B253" s="256" t="s">
        <v>227</v>
      </c>
      <c r="C253" s="488">
        <f t="shared" si="180"/>
        <v>270</v>
      </c>
      <c r="D253" s="257">
        <v>60</v>
      </c>
      <c r="E253" s="258">
        <v>210</v>
      </c>
      <c r="F253" s="615">
        <v>5000</v>
      </c>
      <c r="G253" s="498">
        <f t="shared" ref="G253:G260" si="194">+H253+I253</f>
        <v>28380</v>
      </c>
      <c r="H253" s="259">
        <v>28322</v>
      </c>
      <c r="I253" s="618">
        <v>58</v>
      </c>
      <c r="J253" s="623">
        <v>960</v>
      </c>
      <c r="K253" s="488">
        <f t="shared" si="192"/>
        <v>690</v>
      </c>
      <c r="L253" s="257">
        <f t="shared" si="183"/>
        <v>900</v>
      </c>
      <c r="M253" s="489">
        <f t="shared" si="193"/>
        <v>0.76666666666666672</v>
      </c>
      <c r="N253" s="490">
        <f t="shared" si="190"/>
        <v>420</v>
      </c>
      <c r="O253" s="257">
        <f t="shared" si="185"/>
        <v>690</v>
      </c>
      <c r="P253" s="491">
        <f t="shared" si="191"/>
        <v>0.60869565217391308</v>
      </c>
      <c r="Q253" s="257">
        <f t="shared" si="186"/>
        <v>418.0380549682875</v>
      </c>
      <c r="R253" s="257">
        <f t="shared" si="187"/>
        <v>420</v>
      </c>
      <c r="S253" s="492">
        <f t="shared" si="188"/>
        <v>0.99532870230544646</v>
      </c>
      <c r="T253" s="493">
        <f t="shared" si="189"/>
        <v>0.46448672774254174</v>
      </c>
    </row>
    <row r="254" spans="1:20" ht="23.4" x14ac:dyDescent="0.3">
      <c r="A254" s="252" t="s">
        <v>108</v>
      </c>
      <c r="B254" s="260" t="s">
        <v>29</v>
      </c>
      <c r="C254" s="474">
        <f t="shared" si="180"/>
        <v>430</v>
      </c>
      <c r="D254" s="250">
        <v>90</v>
      </c>
      <c r="E254" s="251">
        <v>340</v>
      </c>
      <c r="F254" s="475">
        <v>160000</v>
      </c>
      <c r="G254" s="476">
        <f t="shared" si="194"/>
        <v>177606</v>
      </c>
      <c r="H254" s="475">
        <v>175032</v>
      </c>
      <c r="I254" s="621">
        <v>2574</v>
      </c>
      <c r="J254" s="756">
        <v>1380</v>
      </c>
      <c r="K254" s="474">
        <f t="shared" si="192"/>
        <v>950</v>
      </c>
      <c r="L254" s="476">
        <f t="shared" si="183"/>
        <v>1290</v>
      </c>
      <c r="M254" s="477">
        <f t="shared" si="193"/>
        <v>0.73643410852713176</v>
      </c>
      <c r="N254" s="478">
        <f t="shared" si="190"/>
        <v>520</v>
      </c>
      <c r="O254" s="476">
        <f t="shared" si="185"/>
        <v>950</v>
      </c>
      <c r="P254" s="479">
        <f t="shared" si="191"/>
        <v>0.54736842105263162</v>
      </c>
      <c r="Q254" s="476">
        <f t="shared" si="186"/>
        <v>500</v>
      </c>
      <c r="R254" s="476">
        <f t="shared" si="187"/>
        <v>520</v>
      </c>
      <c r="S254" s="494">
        <f t="shared" si="188"/>
        <v>0.96153846153846156</v>
      </c>
      <c r="T254" s="495">
        <f t="shared" si="189"/>
        <v>0.38759689922480622</v>
      </c>
    </row>
    <row r="255" spans="1:20" ht="22.5" customHeight="1" x14ac:dyDescent="0.3">
      <c r="A255" s="248" t="s">
        <v>108</v>
      </c>
      <c r="B255" s="260" t="s">
        <v>31</v>
      </c>
      <c r="C255" s="474">
        <f t="shared" si="180"/>
        <v>0</v>
      </c>
      <c r="D255" s="769"/>
      <c r="E255" s="251"/>
      <c r="F255" s="475">
        <v>50000</v>
      </c>
      <c r="G255" s="476">
        <f t="shared" si="194"/>
        <v>0</v>
      </c>
      <c r="H255" s="475"/>
      <c r="I255" s="621"/>
      <c r="J255" s="620"/>
      <c r="K255" s="474">
        <f t="shared" si="192"/>
        <v>0</v>
      </c>
      <c r="L255" s="476">
        <f t="shared" si="183"/>
        <v>0</v>
      </c>
      <c r="M255" s="477" t="str">
        <f t="shared" si="193"/>
        <v>-</v>
      </c>
      <c r="N255" s="478">
        <f t="shared" si="190"/>
        <v>0</v>
      </c>
      <c r="O255" s="476">
        <f t="shared" si="185"/>
        <v>0</v>
      </c>
      <c r="P255" s="479" t="str">
        <f t="shared" si="191"/>
        <v>-</v>
      </c>
      <c r="Q255" s="476" t="str">
        <f t="shared" si="186"/>
        <v>-</v>
      </c>
      <c r="R255" s="476">
        <f t="shared" si="187"/>
        <v>0</v>
      </c>
      <c r="S255" s="494" t="str">
        <f t="shared" si="188"/>
        <v>-</v>
      </c>
      <c r="T255" s="495" t="str">
        <f t="shared" si="189"/>
        <v>-</v>
      </c>
    </row>
    <row r="256" spans="1:20" ht="24" thickBot="1" x14ac:dyDescent="0.35">
      <c r="A256" s="255" t="s">
        <v>108</v>
      </c>
      <c r="B256" s="261" t="s">
        <v>32</v>
      </c>
      <c r="C256" s="496">
        <f t="shared" si="180"/>
        <v>0</v>
      </c>
      <c r="D256" s="257"/>
      <c r="E256" s="258"/>
      <c r="F256" s="497">
        <v>110000</v>
      </c>
      <c r="G256" s="498">
        <f t="shared" si="194"/>
        <v>0</v>
      </c>
      <c r="H256" s="497"/>
      <c r="I256" s="622"/>
      <c r="J256" s="623"/>
      <c r="K256" s="496">
        <f t="shared" si="192"/>
        <v>0</v>
      </c>
      <c r="L256" s="498">
        <f t="shared" si="183"/>
        <v>0</v>
      </c>
      <c r="M256" s="499" t="str">
        <f t="shared" si="193"/>
        <v>-</v>
      </c>
      <c r="N256" s="500">
        <f t="shared" si="190"/>
        <v>0</v>
      </c>
      <c r="O256" s="498">
        <f t="shared" si="185"/>
        <v>0</v>
      </c>
      <c r="P256" s="501" t="str">
        <f t="shared" si="191"/>
        <v>-</v>
      </c>
      <c r="Q256" s="498" t="str">
        <f t="shared" si="186"/>
        <v>-</v>
      </c>
      <c r="R256" s="498">
        <f t="shared" si="187"/>
        <v>0</v>
      </c>
      <c r="S256" s="502" t="str">
        <f t="shared" si="188"/>
        <v>-</v>
      </c>
      <c r="T256" s="503" t="str">
        <f t="shared" si="189"/>
        <v>-</v>
      </c>
    </row>
    <row r="257" spans="1:20" ht="23.4" x14ac:dyDescent="0.3">
      <c r="A257" s="248" t="s">
        <v>109</v>
      </c>
      <c r="B257" s="249" t="s">
        <v>233</v>
      </c>
      <c r="C257" s="474">
        <f t="shared" si="180"/>
        <v>480</v>
      </c>
      <c r="D257" s="250">
        <v>30</v>
      </c>
      <c r="E257" s="251">
        <v>450</v>
      </c>
      <c r="F257" s="475">
        <v>6500</v>
      </c>
      <c r="G257" s="476">
        <f t="shared" si="194"/>
        <v>0</v>
      </c>
      <c r="H257" s="475"/>
      <c r="I257" s="621"/>
      <c r="J257" s="620">
        <v>480</v>
      </c>
      <c r="K257" s="474">
        <f t="shared" si="192"/>
        <v>0</v>
      </c>
      <c r="L257" s="476">
        <f t="shared" si="183"/>
        <v>450</v>
      </c>
      <c r="M257" s="477">
        <f t="shared" si="193"/>
        <v>0</v>
      </c>
      <c r="N257" s="478">
        <f t="shared" si="190"/>
        <v>-480</v>
      </c>
      <c r="O257" s="476">
        <f t="shared" si="185"/>
        <v>0</v>
      </c>
      <c r="P257" s="479" t="str">
        <f t="shared" si="191"/>
        <v>-</v>
      </c>
      <c r="Q257" s="476" t="str">
        <f t="shared" si="186"/>
        <v>-</v>
      </c>
      <c r="R257" s="476">
        <f t="shared" si="187"/>
        <v>-480</v>
      </c>
      <c r="S257" s="494" t="str">
        <f t="shared" si="188"/>
        <v>-</v>
      </c>
      <c r="T257" s="495" t="str">
        <f t="shared" si="189"/>
        <v>-</v>
      </c>
    </row>
    <row r="258" spans="1:20" ht="23.4" x14ac:dyDescent="0.3">
      <c r="A258" s="252" t="s">
        <v>109</v>
      </c>
      <c r="B258" s="249" t="s">
        <v>40</v>
      </c>
      <c r="C258" s="474">
        <f t="shared" si="180"/>
        <v>0</v>
      </c>
      <c r="D258" s="250"/>
      <c r="E258" s="251"/>
      <c r="F258" s="475">
        <v>2800</v>
      </c>
      <c r="G258" s="476">
        <f t="shared" si="194"/>
        <v>0</v>
      </c>
      <c r="H258" s="475"/>
      <c r="I258" s="621"/>
      <c r="J258" s="620">
        <v>480</v>
      </c>
      <c r="K258" s="474">
        <f t="shared" si="192"/>
        <v>480</v>
      </c>
      <c r="L258" s="476">
        <f t="shared" si="183"/>
        <v>480</v>
      </c>
      <c r="M258" s="477">
        <f t="shared" si="193"/>
        <v>1</v>
      </c>
      <c r="N258" s="478">
        <f t="shared" si="190"/>
        <v>480</v>
      </c>
      <c r="O258" s="476">
        <f t="shared" si="185"/>
        <v>480</v>
      </c>
      <c r="P258" s="479">
        <f t="shared" si="191"/>
        <v>1</v>
      </c>
      <c r="Q258" s="476" t="str">
        <f t="shared" si="186"/>
        <v>-</v>
      </c>
      <c r="R258" s="476">
        <f t="shared" si="187"/>
        <v>480</v>
      </c>
      <c r="S258" s="494" t="str">
        <f t="shared" si="188"/>
        <v>-</v>
      </c>
      <c r="T258" s="495" t="str">
        <f t="shared" si="189"/>
        <v>-</v>
      </c>
    </row>
    <row r="259" spans="1:20" ht="23.4" x14ac:dyDescent="0.3">
      <c r="A259" s="248" t="s">
        <v>109</v>
      </c>
      <c r="B259" s="249" t="s">
        <v>42</v>
      </c>
      <c r="C259" s="474">
        <f t="shared" si="180"/>
        <v>150</v>
      </c>
      <c r="D259" s="250">
        <v>30</v>
      </c>
      <c r="E259" s="251">
        <v>120</v>
      </c>
      <c r="F259" s="475">
        <v>25000</v>
      </c>
      <c r="G259" s="476">
        <f t="shared" si="194"/>
        <v>15850</v>
      </c>
      <c r="H259" s="475">
        <v>15480</v>
      </c>
      <c r="I259" s="621">
        <v>370</v>
      </c>
      <c r="J259" s="620">
        <v>480</v>
      </c>
      <c r="K259" s="474">
        <f t="shared" si="192"/>
        <v>330</v>
      </c>
      <c r="L259" s="476">
        <f t="shared" si="183"/>
        <v>450</v>
      </c>
      <c r="M259" s="477">
        <f t="shared" si="193"/>
        <v>0.73333333333333328</v>
      </c>
      <c r="N259" s="478">
        <f t="shared" si="190"/>
        <v>180</v>
      </c>
      <c r="O259" s="476">
        <f t="shared" si="185"/>
        <v>330</v>
      </c>
      <c r="P259" s="479">
        <f t="shared" si="191"/>
        <v>0.54545454545454541</v>
      </c>
      <c r="Q259" s="476">
        <f t="shared" si="186"/>
        <v>168.794952681388</v>
      </c>
      <c r="R259" s="476">
        <f t="shared" si="187"/>
        <v>180</v>
      </c>
      <c r="S259" s="494">
        <f t="shared" si="188"/>
        <v>0.93774973711882226</v>
      </c>
      <c r="T259" s="495">
        <f t="shared" si="189"/>
        <v>0.37509989484752887</v>
      </c>
    </row>
    <row r="260" spans="1:20" ht="47.4" thickBot="1" x14ac:dyDescent="0.35">
      <c r="A260" s="625" t="s">
        <v>109</v>
      </c>
      <c r="B260" s="261" t="s">
        <v>232</v>
      </c>
      <c r="C260" s="626">
        <f t="shared" si="180"/>
        <v>270</v>
      </c>
      <c r="D260" s="627">
        <v>30</v>
      </c>
      <c r="E260" s="628">
        <v>240</v>
      </c>
      <c r="F260" s="629">
        <v>25000</v>
      </c>
      <c r="G260" s="630">
        <f t="shared" si="194"/>
        <v>6054</v>
      </c>
      <c r="H260" s="629">
        <v>5760</v>
      </c>
      <c r="I260" s="631">
        <v>294</v>
      </c>
      <c r="J260" s="624">
        <v>480</v>
      </c>
      <c r="K260" s="626">
        <f t="shared" si="192"/>
        <v>210</v>
      </c>
      <c r="L260" s="630">
        <f t="shared" si="183"/>
        <v>450</v>
      </c>
      <c r="M260" s="632">
        <f t="shared" si="193"/>
        <v>0.46666666666666667</v>
      </c>
      <c r="N260" s="633">
        <f t="shared" si="190"/>
        <v>-60</v>
      </c>
      <c r="O260" s="630">
        <f t="shared" si="185"/>
        <v>210</v>
      </c>
      <c r="P260" s="634">
        <f t="shared" si="191"/>
        <v>-0.2857142857142857</v>
      </c>
      <c r="Q260" s="630">
        <f t="shared" si="186"/>
        <v>-83.310208126858299</v>
      </c>
      <c r="R260" s="630">
        <f t="shared" si="187"/>
        <v>-60</v>
      </c>
      <c r="S260" s="635">
        <f t="shared" si="188"/>
        <v>1.3885034687809716</v>
      </c>
      <c r="T260" s="636">
        <f t="shared" si="189"/>
        <v>-0.18513379583746289</v>
      </c>
    </row>
    <row r="261" spans="1:20" ht="22.5" customHeight="1" x14ac:dyDescent="0.3">
      <c r="A261" s="1043" t="s">
        <v>1</v>
      </c>
      <c r="B261" s="1043" t="s">
        <v>2</v>
      </c>
      <c r="C261" s="1000" t="s">
        <v>221</v>
      </c>
      <c r="D261" s="1001"/>
      <c r="E261" s="1002"/>
      <c r="F261" s="1000" t="s">
        <v>504</v>
      </c>
      <c r="G261" s="1001"/>
      <c r="H261" s="1001"/>
      <c r="I261" s="1002"/>
      <c r="J261" s="1043" t="s">
        <v>218</v>
      </c>
      <c r="K261" s="1000" t="s">
        <v>206</v>
      </c>
      <c r="L261" s="1001"/>
      <c r="M261" s="1002"/>
      <c r="N261" s="1000" t="s">
        <v>207</v>
      </c>
      <c r="O261" s="1001"/>
      <c r="P261" s="1002"/>
      <c r="Q261" s="1000" t="s">
        <v>208</v>
      </c>
      <c r="R261" s="1001"/>
      <c r="S261" s="1002"/>
      <c r="T261" s="1107" t="s">
        <v>205</v>
      </c>
    </row>
    <row r="262" spans="1:20" ht="87.6" thickBot="1" x14ac:dyDescent="0.35">
      <c r="A262" s="1045"/>
      <c r="B262" s="1045"/>
      <c r="C262" s="235" t="s">
        <v>222</v>
      </c>
      <c r="D262" s="236" t="s">
        <v>219</v>
      </c>
      <c r="E262" s="237" t="s">
        <v>220</v>
      </c>
      <c r="F262" s="238" t="s">
        <v>361</v>
      </c>
      <c r="G262" s="236" t="s">
        <v>215</v>
      </c>
      <c r="H262" s="239" t="s">
        <v>216</v>
      </c>
      <c r="I262" s="240" t="s">
        <v>217</v>
      </c>
      <c r="J262" s="1045"/>
      <c r="K262" s="235" t="s">
        <v>209</v>
      </c>
      <c r="L262" s="239" t="s">
        <v>210</v>
      </c>
      <c r="M262" s="241" t="s">
        <v>223</v>
      </c>
      <c r="N262" s="242" t="s">
        <v>211</v>
      </c>
      <c r="O262" s="239" t="s">
        <v>212</v>
      </c>
      <c r="P262" s="241" t="s">
        <v>224</v>
      </c>
      <c r="Q262" s="235" t="s">
        <v>213</v>
      </c>
      <c r="R262" s="239" t="s">
        <v>214</v>
      </c>
      <c r="S262" s="243" t="s">
        <v>225</v>
      </c>
      <c r="T262" s="1108"/>
    </row>
    <row r="263" spans="1:20" ht="25.5" customHeight="1" x14ac:dyDescent="0.3">
      <c r="A263" s="244" t="s">
        <v>110</v>
      </c>
      <c r="B263" s="245" t="s">
        <v>16</v>
      </c>
      <c r="C263" s="467">
        <f>+D263+E263</f>
        <v>0</v>
      </c>
      <c r="D263" s="246"/>
      <c r="E263" s="247"/>
      <c r="F263" s="610">
        <v>15000</v>
      </c>
      <c r="G263" s="468">
        <f>+H263+I263</f>
        <v>0</v>
      </c>
      <c r="H263" s="614"/>
      <c r="I263" s="616"/>
      <c r="J263" s="619"/>
      <c r="K263" s="467">
        <f>+L263-E263</f>
        <v>0</v>
      </c>
      <c r="L263" s="468">
        <f>+J263-D263</f>
        <v>0</v>
      </c>
      <c r="M263" s="469" t="str">
        <f>IFERROR(K263/L263,"-")</f>
        <v>-</v>
      </c>
      <c r="N263" s="470">
        <f>+O263-C263</f>
        <v>0</v>
      </c>
      <c r="O263" s="468">
        <f>+K263</f>
        <v>0</v>
      </c>
      <c r="P263" s="471" t="str">
        <f>IFERROR(N263/O263,"-")</f>
        <v>-</v>
      </c>
      <c r="Q263" s="468" t="str">
        <f>IFERROR(N263-(J263-(J263*H263/G263)),"-")</f>
        <v>-</v>
      </c>
      <c r="R263" s="468">
        <f>+N263</f>
        <v>0</v>
      </c>
      <c r="S263" s="472" t="str">
        <f>IFERROR(Q263/R263,"-")</f>
        <v>-</v>
      </c>
      <c r="T263" s="473" t="str">
        <f>IFERROR(M263*P263*S263,"-")</f>
        <v>-</v>
      </c>
    </row>
    <row r="264" spans="1:20" ht="23.4" x14ac:dyDescent="0.3">
      <c r="A264" s="248" t="s">
        <v>110</v>
      </c>
      <c r="B264" s="249" t="s">
        <v>229</v>
      </c>
      <c r="C264" s="474">
        <f t="shared" ref="C264:C278" si="195">+D264+E264</f>
        <v>0</v>
      </c>
      <c r="D264" s="250"/>
      <c r="E264" s="251"/>
      <c r="F264" s="611">
        <v>200000</v>
      </c>
      <c r="G264" s="476">
        <f t="shared" ref="G264:G269" si="196">+H264+I264</f>
        <v>0</v>
      </c>
      <c r="H264" s="254"/>
      <c r="I264" s="617"/>
      <c r="J264" s="620"/>
      <c r="K264" s="474">
        <f t="shared" ref="K264:K267" si="197">+L264-E264</f>
        <v>0</v>
      </c>
      <c r="L264" s="476">
        <f t="shared" ref="L264:L278" si="198">+J264-D264</f>
        <v>0</v>
      </c>
      <c r="M264" s="477" t="str">
        <f t="shared" ref="M264:M267" si="199">IFERROR(K264/L264,"-")</f>
        <v>-</v>
      </c>
      <c r="N264" s="478">
        <f>+O264-C264</f>
        <v>0</v>
      </c>
      <c r="O264" s="476">
        <f t="shared" ref="O264:O278" si="200">+K264</f>
        <v>0</v>
      </c>
      <c r="P264" s="479" t="str">
        <f>IFERROR(N264/O264,"-")</f>
        <v>-</v>
      </c>
      <c r="Q264" s="476" t="str">
        <f t="shared" ref="Q264:Q278" si="201">IFERROR(N264-(J264-(J264*H264/G264)),"-")</f>
        <v>-</v>
      </c>
      <c r="R264" s="476">
        <f t="shared" ref="R264:R278" si="202">+N264</f>
        <v>0</v>
      </c>
      <c r="S264" s="480" t="str">
        <f t="shared" ref="S264:S278" si="203">IFERROR(Q264/R264,"-")</f>
        <v>-</v>
      </c>
      <c r="T264" s="481" t="str">
        <f t="shared" ref="T264:T278" si="204">IFERROR(M264*P264*S264,"-")</f>
        <v>-</v>
      </c>
    </row>
    <row r="265" spans="1:20" ht="23.4" x14ac:dyDescent="0.3">
      <c r="A265" s="248" t="s">
        <v>110</v>
      </c>
      <c r="B265" s="249" t="s">
        <v>228</v>
      </c>
      <c r="C265" s="474">
        <f t="shared" si="195"/>
        <v>0</v>
      </c>
      <c r="D265" s="250"/>
      <c r="E265" s="251"/>
      <c r="F265" s="611">
        <v>80000</v>
      </c>
      <c r="G265" s="476">
        <f t="shared" si="196"/>
        <v>0</v>
      </c>
      <c r="H265" s="254"/>
      <c r="I265" s="617"/>
      <c r="J265" s="620"/>
      <c r="K265" s="474">
        <f t="shared" si="197"/>
        <v>0</v>
      </c>
      <c r="L265" s="476">
        <f t="shared" si="198"/>
        <v>0</v>
      </c>
      <c r="M265" s="477" t="str">
        <f t="shared" si="199"/>
        <v>-</v>
      </c>
      <c r="N265" s="478">
        <f t="shared" ref="N265:N278" si="205">+O265-C265</f>
        <v>0</v>
      </c>
      <c r="O265" s="476">
        <f t="shared" si="200"/>
        <v>0</v>
      </c>
      <c r="P265" s="479" t="str">
        <f t="shared" ref="P265:P278" si="206">IFERROR(N265/O265,"-")</f>
        <v>-</v>
      </c>
      <c r="Q265" s="476" t="str">
        <f t="shared" si="201"/>
        <v>-</v>
      </c>
      <c r="R265" s="476">
        <f t="shared" si="202"/>
        <v>0</v>
      </c>
      <c r="S265" s="480" t="str">
        <f t="shared" si="203"/>
        <v>-</v>
      </c>
      <c r="T265" s="481" t="str">
        <f t="shared" si="204"/>
        <v>-</v>
      </c>
    </row>
    <row r="266" spans="1:20" ht="23.4" x14ac:dyDescent="0.3">
      <c r="A266" s="252" t="s">
        <v>110</v>
      </c>
      <c r="B266" s="249" t="s">
        <v>231</v>
      </c>
      <c r="C266" s="474">
        <f t="shared" si="195"/>
        <v>0</v>
      </c>
      <c r="D266" s="250"/>
      <c r="E266" s="251"/>
      <c r="F266" s="611">
        <v>110000</v>
      </c>
      <c r="G266" s="476">
        <f t="shared" si="196"/>
        <v>0</v>
      </c>
      <c r="H266" s="254"/>
      <c r="I266" s="617"/>
      <c r="J266" s="620"/>
      <c r="K266" s="474">
        <f t="shared" si="197"/>
        <v>0</v>
      </c>
      <c r="L266" s="476">
        <f t="shared" si="198"/>
        <v>0</v>
      </c>
      <c r="M266" s="477" t="str">
        <f t="shared" si="199"/>
        <v>-</v>
      </c>
      <c r="N266" s="478">
        <f t="shared" si="205"/>
        <v>0</v>
      </c>
      <c r="O266" s="476">
        <f t="shared" si="200"/>
        <v>0</v>
      </c>
      <c r="P266" s="479" t="str">
        <f t="shared" si="206"/>
        <v>-</v>
      </c>
      <c r="Q266" s="476" t="str">
        <f t="shared" si="201"/>
        <v>-</v>
      </c>
      <c r="R266" s="476">
        <f t="shared" si="202"/>
        <v>0</v>
      </c>
      <c r="S266" s="480" t="str">
        <f t="shared" si="203"/>
        <v>-</v>
      </c>
      <c r="T266" s="481" t="str">
        <f t="shared" si="204"/>
        <v>-</v>
      </c>
    </row>
    <row r="267" spans="1:20" ht="23.4" x14ac:dyDescent="0.3">
      <c r="A267" s="248" t="s">
        <v>110</v>
      </c>
      <c r="B267" s="249" t="s">
        <v>230</v>
      </c>
      <c r="C267" s="474">
        <f t="shared" si="195"/>
        <v>0</v>
      </c>
      <c r="D267" s="250"/>
      <c r="E267" s="251"/>
      <c r="F267" s="611">
        <v>50000</v>
      </c>
      <c r="G267" s="476">
        <f t="shared" si="196"/>
        <v>0</v>
      </c>
      <c r="H267" s="254"/>
      <c r="I267" s="617"/>
      <c r="J267" s="620"/>
      <c r="K267" s="474">
        <f t="shared" si="197"/>
        <v>0</v>
      </c>
      <c r="L267" s="476">
        <f t="shared" si="198"/>
        <v>0</v>
      </c>
      <c r="M267" s="477" t="str">
        <f t="shared" si="199"/>
        <v>-</v>
      </c>
      <c r="N267" s="478">
        <f t="shared" si="205"/>
        <v>0</v>
      </c>
      <c r="O267" s="476">
        <f t="shared" si="200"/>
        <v>0</v>
      </c>
      <c r="P267" s="479" t="str">
        <f t="shared" si="206"/>
        <v>-</v>
      </c>
      <c r="Q267" s="476" t="str">
        <f t="shared" si="201"/>
        <v>-</v>
      </c>
      <c r="R267" s="476">
        <f t="shared" si="202"/>
        <v>0</v>
      </c>
      <c r="S267" s="480" t="str">
        <f t="shared" si="203"/>
        <v>-</v>
      </c>
      <c r="T267" s="481" t="str">
        <f t="shared" si="204"/>
        <v>-</v>
      </c>
    </row>
    <row r="268" spans="1:20" ht="23.4" x14ac:dyDescent="0.3">
      <c r="A268" s="248">
        <v>5</v>
      </c>
      <c r="B268" s="249" t="s">
        <v>22</v>
      </c>
      <c r="C268" s="474">
        <f t="shared" si="195"/>
        <v>0</v>
      </c>
      <c r="D268" s="250"/>
      <c r="E268" s="251"/>
      <c r="F268" s="611">
        <v>80000</v>
      </c>
      <c r="G268" s="476">
        <f t="shared" si="196"/>
        <v>0</v>
      </c>
      <c r="H268" s="475"/>
      <c r="I268" s="621"/>
      <c r="J268" s="620"/>
      <c r="K268" s="474">
        <f>+L268-E268</f>
        <v>0</v>
      </c>
      <c r="L268" s="476">
        <f t="shared" si="198"/>
        <v>0</v>
      </c>
      <c r="M268" s="477" t="str">
        <f>IFERROR(K268/L268,"-")</f>
        <v>-</v>
      </c>
      <c r="N268" s="478">
        <f t="shared" si="205"/>
        <v>0</v>
      </c>
      <c r="O268" s="476">
        <f t="shared" si="200"/>
        <v>0</v>
      </c>
      <c r="P268" s="479" t="str">
        <f t="shared" si="206"/>
        <v>-</v>
      </c>
      <c r="Q268" s="476" t="str">
        <f t="shared" si="201"/>
        <v>-</v>
      </c>
      <c r="R268" s="476">
        <f t="shared" si="202"/>
        <v>0</v>
      </c>
      <c r="S268" s="480" t="str">
        <f t="shared" si="203"/>
        <v>-</v>
      </c>
      <c r="T268" s="481" t="str">
        <f t="shared" si="204"/>
        <v>-</v>
      </c>
    </row>
    <row r="269" spans="1:20" ht="23.4" x14ac:dyDescent="0.3">
      <c r="A269" s="248" t="s">
        <v>110</v>
      </c>
      <c r="B269" s="249" t="s">
        <v>23</v>
      </c>
      <c r="C269" s="474">
        <f t="shared" si="195"/>
        <v>0</v>
      </c>
      <c r="D269" s="250"/>
      <c r="E269" s="251"/>
      <c r="F269" s="611">
        <v>14000</v>
      </c>
      <c r="G269" s="476">
        <f t="shared" si="196"/>
        <v>0</v>
      </c>
      <c r="H269" s="254"/>
      <c r="I269" s="617"/>
      <c r="J269" s="620"/>
      <c r="K269" s="474">
        <f t="shared" ref="K269:K278" si="207">+L269-E269</f>
        <v>0</v>
      </c>
      <c r="L269" s="476">
        <f t="shared" si="198"/>
        <v>0</v>
      </c>
      <c r="M269" s="477" t="str">
        <f t="shared" ref="M269:M278" si="208">IFERROR(K269/L269,"-")</f>
        <v>-</v>
      </c>
      <c r="N269" s="478">
        <f t="shared" si="205"/>
        <v>0</v>
      </c>
      <c r="O269" s="476">
        <f t="shared" si="200"/>
        <v>0</v>
      </c>
      <c r="P269" s="479" t="str">
        <f t="shared" si="206"/>
        <v>-</v>
      </c>
      <c r="Q269" s="476" t="str">
        <f t="shared" si="201"/>
        <v>-</v>
      </c>
      <c r="R269" s="476">
        <f t="shared" si="202"/>
        <v>0</v>
      </c>
      <c r="S269" s="480" t="str">
        <f t="shared" si="203"/>
        <v>-</v>
      </c>
      <c r="T269" s="481" t="str">
        <f t="shared" si="204"/>
        <v>-</v>
      </c>
    </row>
    <row r="270" spans="1:20" ht="24" thickBot="1" x14ac:dyDescent="0.35">
      <c r="A270" s="248" t="s">
        <v>110</v>
      </c>
      <c r="B270" s="253" t="s">
        <v>226</v>
      </c>
      <c r="C270" s="482">
        <f t="shared" si="195"/>
        <v>0</v>
      </c>
      <c r="D270" s="250"/>
      <c r="E270" s="251"/>
      <c r="F270" s="611">
        <v>4500</v>
      </c>
      <c r="G270" s="476">
        <f>+H270+I270</f>
        <v>0</v>
      </c>
      <c r="H270" s="259"/>
      <c r="I270" s="618"/>
      <c r="J270" s="620"/>
      <c r="K270" s="482">
        <f t="shared" si="207"/>
        <v>0</v>
      </c>
      <c r="L270" s="250">
        <f t="shared" si="198"/>
        <v>0</v>
      </c>
      <c r="M270" s="483" t="str">
        <f t="shared" si="208"/>
        <v>-</v>
      </c>
      <c r="N270" s="484">
        <f t="shared" si="205"/>
        <v>0</v>
      </c>
      <c r="O270" s="250">
        <f t="shared" si="200"/>
        <v>0</v>
      </c>
      <c r="P270" s="485" t="str">
        <f t="shared" si="206"/>
        <v>-</v>
      </c>
      <c r="Q270" s="250" t="str">
        <f t="shared" si="201"/>
        <v>-</v>
      </c>
      <c r="R270" s="250">
        <f t="shared" si="202"/>
        <v>0</v>
      </c>
      <c r="S270" s="486" t="str">
        <f t="shared" si="203"/>
        <v>-</v>
      </c>
      <c r="T270" s="487" t="str">
        <f t="shared" si="204"/>
        <v>-</v>
      </c>
    </row>
    <row r="271" spans="1:20" ht="24" thickBot="1" x14ac:dyDescent="0.35">
      <c r="A271" s="255" t="s">
        <v>110</v>
      </c>
      <c r="B271" s="256" t="s">
        <v>227</v>
      </c>
      <c r="C271" s="488">
        <f t="shared" si="195"/>
        <v>0</v>
      </c>
      <c r="D271" s="257"/>
      <c r="E271" s="258"/>
      <c r="F271" s="615">
        <v>5000</v>
      </c>
      <c r="G271" s="498">
        <f t="shared" ref="G271:G278" si="209">+H271+I271</f>
        <v>0</v>
      </c>
      <c r="H271" s="259"/>
      <c r="I271" s="618"/>
      <c r="J271" s="623"/>
      <c r="K271" s="488">
        <f t="shared" si="207"/>
        <v>0</v>
      </c>
      <c r="L271" s="257">
        <f t="shared" si="198"/>
        <v>0</v>
      </c>
      <c r="M271" s="489" t="str">
        <f t="shared" si="208"/>
        <v>-</v>
      </c>
      <c r="N271" s="490">
        <f t="shared" si="205"/>
        <v>0</v>
      </c>
      <c r="O271" s="257">
        <f t="shared" si="200"/>
        <v>0</v>
      </c>
      <c r="P271" s="491" t="str">
        <f t="shared" si="206"/>
        <v>-</v>
      </c>
      <c r="Q271" s="257" t="str">
        <f t="shared" si="201"/>
        <v>-</v>
      </c>
      <c r="R271" s="257">
        <f t="shared" si="202"/>
        <v>0</v>
      </c>
      <c r="S271" s="492" t="str">
        <f t="shared" si="203"/>
        <v>-</v>
      </c>
      <c r="T271" s="493" t="str">
        <f t="shared" si="204"/>
        <v>-</v>
      </c>
    </row>
    <row r="272" spans="1:20" ht="23.4" x14ac:dyDescent="0.3">
      <c r="A272" s="252" t="s">
        <v>108</v>
      </c>
      <c r="B272" s="260" t="s">
        <v>29</v>
      </c>
      <c r="C272" s="474">
        <f t="shared" si="195"/>
        <v>600</v>
      </c>
      <c r="D272" s="250">
        <v>90</v>
      </c>
      <c r="E272" s="251">
        <v>510</v>
      </c>
      <c r="F272" s="475">
        <v>160000</v>
      </c>
      <c r="G272" s="476">
        <f t="shared" si="209"/>
        <v>138115</v>
      </c>
      <c r="H272" s="475">
        <v>135252</v>
      </c>
      <c r="I272" s="621">
        <v>2863</v>
      </c>
      <c r="J272" s="756">
        <v>1380</v>
      </c>
      <c r="K272" s="474">
        <f t="shared" si="207"/>
        <v>780</v>
      </c>
      <c r="L272" s="476">
        <f t="shared" si="198"/>
        <v>1290</v>
      </c>
      <c r="M272" s="477">
        <f t="shared" si="208"/>
        <v>0.60465116279069764</v>
      </c>
      <c r="N272" s="478">
        <f t="shared" si="205"/>
        <v>180</v>
      </c>
      <c r="O272" s="476">
        <f t="shared" si="200"/>
        <v>780</v>
      </c>
      <c r="P272" s="479">
        <f t="shared" si="206"/>
        <v>0.23076923076923078</v>
      </c>
      <c r="Q272" s="476">
        <f t="shared" si="201"/>
        <v>151.3938384679434</v>
      </c>
      <c r="R272" s="476">
        <f t="shared" si="202"/>
        <v>180</v>
      </c>
      <c r="S272" s="494">
        <f t="shared" si="203"/>
        <v>0.84107688037746331</v>
      </c>
      <c r="T272" s="495">
        <f t="shared" si="204"/>
        <v>0.11735956470383209</v>
      </c>
    </row>
    <row r="273" spans="1:20" ht="22.5" customHeight="1" x14ac:dyDescent="0.3">
      <c r="A273" s="248" t="s">
        <v>108</v>
      </c>
      <c r="B273" s="260" t="s">
        <v>31</v>
      </c>
      <c r="C273" s="474">
        <f t="shared" si="195"/>
        <v>0</v>
      </c>
      <c r="D273" s="769"/>
      <c r="E273" s="251"/>
      <c r="F273" s="475">
        <v>50000</v>
      </c>
      <c r="G273" s="476">
        <f t="shared" si="209"/>
        <v>0</v>
      </c>
      <c r="H273" s="475"/>
      <c r="I273" s="621"/>
      <c r="J273" s="620"/>
      <c r="K273" s="474">
        <f t="shared" si="207"/>
        <v>0</v>
      </c>
      <c r="L273" s="476">
        <f t="shared" si="198"/>
        <v>0</v>
      </c>
      <c r="M273" s="477" t="str">
        <f t="shared" si="208"/>
        <v>-</v>
      </c>
      <c r="N273" s="478">
        <f t="shared" si="205"/>
        <v>0</v>
      </c>
      <c r="O273" s="476">
        <f t="shared" si="200"/>
        <v>0</v>
      </c>
      <c r="P273" s="479" t="str">
        <f t="shared" si="206"/>
        <v>-</v>
      </c>
      <c r="Q273" s="476" t="str">
        <f t="shared" si="201"/>
        <v>-</v>
      </c>
      <c r="R273" s="476">
        <f t="shared" si="202"/>
        <v>0</v>
      </c>
      <c r="S273" s="494" t="str">
        <f t="shared" si="203"/>
        <v>-</v>
      </c>
      <c r="T273" s="495" t="str">
        <f t="shared" si="204"/>
        <v>-</v>
      </c>
    </row>
    <row r="274" spans="1:20" ht="24" thickBot="1" x14ac:dyDescent="0.35">
      <c r="A274" s="255" t="s">
        <v>108</v>
      </c>
      <c r="B274" s="261" t="s">
        <v>32</v>
      </c>
      <c r="C274" s="496">
        <f t="shared" si="195"/>
        <v>0</v>
      </c>
      <c r="D274" s="257"/>
      <c r="E274" s="258"/>
      <c r="F274" s="497">
        <v>110000</v>
      </c>
      <c r="G274" s="498">
        <f t="shared" si="209"/>
        <v>0</v>
      </c>
      <c r="H274" s="497"/>
      <c r="I274" s="622"/>
      <c r="J274" s="623"/>
      <c r="K274" s="496">
        <f t="shared" si="207"/>
        <v>0</v>
      </c>
      <c r="L274" s="498">
        <f t="shared" si="198"/>
        <v>0</v>
      </c>
      <c r="M274" s="499" t="str">
        <f t="shared" si="208"/>
        <v>-</v>
      </c>
      <c r="N274" s="500">
        <f t="shared" si="205"/>
        <v>0</v>
      </c>
      <c r="O274" s="498">
        <f t="shared" si="200"/>
        <v>0</v>
      </c>
      <c r="P274" s="501" t="str">
        <f t="shared" si="206"/>
        <v>-</v>
      </c>
      <c r="Q274" s="498" t="str">
        <f t="shared" si="201"/>
        <v>-</v>
      </c>
      <c r="R274" s="498">
        <f t="shared" si="202"/>
        <v>0</v>
      </c>
      <c r="S274" s="502" t="str">
        <f t="shared" si="203"/>
        <v>-</v>
      </c>
      <c r="T274" s="503" t="str">
        <f t="shared" si="204"/>
        <v>-</v>
      </c>
    </row>
    <row r="275" spans="1:20" ht="23.4" x14ac:dyDescent="0.3">
      <c r="A275" s="248" t="s">
        <v>109</v>
      </c>
      <c r="B275" s="249" t="s">
        <v>233</v>
      </c>
      <c r="C275" s="474">
        <f t="shared" si="195"/>
        <v>450</v>
      </c>
      <c r="D275" s="250">
        <v>30</v>
      </c>
      <c r="E275" s="251">
        <v>420</v>
      </c>
      <c r="F275" s="475">
        <v>6500</v>
      </c>
      <c r="G275" s="476">
        <f t="shared" si="209"/>
        <v>2500</v>
      </c>
      <c r="H275" s="475">
        <v>2440</v>
      </c>
      <c r="I275" s="621">
        <v>60</v>
      </c>
      <c r="J275" s="620">
        <v>480</v>
      </c>
      <c r="K275" s="474">
        <f t="shared" si="207"/>
        <v>30</v>
      </c>
      <c r="L275" s="476">
        <f t="shared" si="198"/>
        <v>450</v>
      </c>
      <c r="M275" s="477">
        <f t="shared" si="208"/>
        <v>6.6666666666666666E-2</v>
      </c>
      <c r="N275" s="478">
        <f t="shared" si="205"/>
        <v>-420</v>
      </c>
      <c r="O275" s="476">
        <f t="shared" si="200"/>
        <v>30</v>
      </c>
      <c r="P275" s="479">
        <f t="shared" si="206"/>
        <v>-14</v>
      </c>
      <c r="Q275" s="476">
        <f t="shared" si="201"/>
        <v>-431.52</v>
      </c>
      <c r="R275" s="476">
        <f t="shared" si="202"/>
        <v>-420</v>
      </c>
      <c r="S275" s="494">
        <f t="shared" si="203"/>
        <v>1.0274285714285714</v>
      </c>
      <c r="T275" s="495">
        <f t="shared" si="204"/>
        <v>-0.9589333333333333</v>
      </c>
    </row>
    <row r="276" spans="1:20" ht="23.4" x14ac:dyDescent="0.3">
      <c r="A276" s="252" t="s">
        <v>109</v>
      </c>
      <c r="B276" s="249" t="s">
        <v>40</v>
      </c>
      <c r="C276" s="474">
        <f t="shared" si="195"/>
        <v>0</v>
      </c>
      <c r="D276" s="250"/>
      <c r="E276" s="251"/>
      <c r="F276" s="475">
        <v>2800</v>
      </c>
      <c r="G276" s="476">
        <f t="shared" si="209"/>
        <v>0</v>
      </c>
      <c r="H276" s="475"/>
      <c r="I276" s="621"/>
      <c r="J276" s="620">
        <v>480</v>
      </c>
      <c r="K276" s="474">
        <f t="shared" si="207"/>
        <v>480</v>
      </c>
      <c r="L276" s="476">
        <f t="shared" si="198"/>
        <v>480</v>
      </c>
      <c r="M276" s="477">
        <f t="shared" si="208"/>
        <v>1</v>
      </c>
      <c r="N276" s="478">
        <f t="shared" si="205"/>
        <v>480</v>
      </c>
      <c r="O276" s="476">
        <f t="shared" si="200"/>
        <v>480</v>
      </c>
      <c r="P276" s="479">
        <f t="shared" si="206"/>
        <v>1</v>
      </c>
      <c r="Q276" s="476" t="str">
        <f t="shared" si="201"/>
        <v>-</v>
      </c>
      <c r="R276" s="476">
        <f t="shared" si="202"/>
        <v>480</v>
      </c>
      <c r="S276" s="494" t="str">
        <f t="shared" si="203"/>
        <v>-</v>
      </c>
      <c r="T276" s="495" t="str">
        <f t="shared" si="204"/>
        <v>-</v>
      </c>
    </row>
    <row r="277" spans="1:20" ht="23.4" x14ac:dyDescent="0.3">
      <c r="A277" s="248" t="s">
        <v>109</v>
      </c>
      <c r="B277" s="249" t="s">
        <v>42</v>
      </c>
      <c r="C277" s="474">
        <f t="shared" si="195"/>
        <v>30</v>
      </c>
      <c r="D277" s="250">
        <v>30</v>
      </c>
      <c r="E277" s="251"/>
      <c r="F277" s="475">
        <v>25000</v>
      </c>
      <c r="G277" s="476">
        <f t="shared" si="209"/>
        <v>23801</v>
      </c>
      <c r="H277" s="475">
        <v>23520</v>
      </c>
      <c r="I277" s="621">
        <v>281</v>
      </c>
      <c r="J277" s="620">
        <v>480</v>
      </c>
      <c r="K277" s="474">
        <f t="shared" si="207"/>
        <v>450</v>
      </c>
      <c r="L277" s="476">
        <f t="shared" si="198"/>
        <v>450</v>
      </c>
      <c r="M277" s="477">
        <f t="shared" si="208"/>
        <v>1</v>
      </c>
      <c r="N277" s="478">
        <f t="shared" si="205"/>
        <v>420</v>
      </c>
      <c r="O277" s="476">
        <f t="shared" si="200"/>
        <v>450</v>
      </c>
      <c r="P277" s="479">
        <f t="shared" si="206"/>
        <v>0.93333333333333335</v>
      </c>
      <c r="Q277" s="476">
        <f t="shared" si="201"/>
        <v>414.33301121801605</v>
      </c>
      <c r="R277" s="476">
        <f t="shared" si="202"/>
        <v>420</v>
      </c>
      <c r="S277" s="494">
        <f t="shared" si="203"/>
        <v>0.98650716956670492</v>
      </c>
      <c r="T277" s="495">
        <f t="shared" si="204"/>
        <v>0.92074002492892459</v>
      </c>
    </row>
    <row r="278" spans="1:20" ht="47.4" thickBot="1" x14ac:dyDescent="0.35">
      <c r="A278" s="625" t="s">
        <v>109</v>
      </c>
      <c r="B278" s="261" t="s">
        <v>232</v>
      </c>
      <c r="C278" s="626">
        <f t="shared" si="195"/>
        <v>30</v>
      </c>
      <c r="D278" s="627">
        <v>30</v>
      </c>
      <c r="E278" s="628"/>
      <c r="F278" s="629">
        <v>25000</v>
      </c>
      <c r="G278" s="630">
        <f t="shared" si="209"/>
        <v>14948</v>
      </c>
      <c r="H278" s="629">
        <v>14400</v>
      </c>
      <c r="I278" s="631">
        <v>548</v>
      </c>
      <c r="J278" s="624">
        <v>480</v>
      </c>
      <c r="K278" s="626">
        <f t="shared" si="207"/>
        <v>450</v>
      </c>
      <c r="L278" s="630">
        <f t="shared" si="198"/>
        <v>450</v>
      </c>
      <c r="M278" s="632">
        <f t="shared" si="208"/>
        <v>1</v>
      </c>
      <c r="N278" s="633">
        <f t="shared" si="205"/>
        <v>420</v>
      </c>
      <c r="O278" s="630">
        <f t="shared" si="200"/>
        <v>450</v>
      </c>
      <c r="P278" s="634">
        <f t="shared" si="206"/>
        <v>0.93333333333333335</v>
      </c>
      <c r="Q278" s="630">
        <f t="shared" si="201"/>
        <v>402.40299705646243</v>
      </c>
      <c r="R278" s="630">
        <f t="shared" si="202"/>
        <v>420</v>
      </c>
      <c r="S278" s="635">
        <f t="shared" si="203"/>
        <v>0.95810237394395814</v>
      </c>
      <c r="T278" s="636">
        <f t="shared" si="204"/>
        <v>0.89422888234769426</v>
      </c>
    </row>
    <row r="279" spans="1:20" ht="22.5" customHeight="1" x14ac:dyDescent="0.3">
      <c r="A279" s="1043" t="s">
        <v>1</v>
      </c>
      <c r="B279" s="1043" t="s">
        <v>2</v>
      </c>
      <c r="C279" s="1000" t="s">
        <v>221</v>
      </c>
      <c r="D279" s="1001"/>
      <c r="E279" s="1002"/>
      <c r="F279" s="1000" t="s">
        <v>468</v>
      </c>
      <c r="G279" s="1001"/>
      <c r="H279" s="1001"/>
      <c r="I279" s="1002"/>
      <c r="J279" s="1043" t="s">
        <v>218</v>
      </c>
      <c r="K279" s="1000" t="s">
        <v>206</v>
      </c>
      <c r="L279" s="1001"/>
      <c r="M279" s="1002"/>
      <c r="N279" s="1000" t="s">
        <v>207</v>
      </c>
      <c r="O279" s="1001"/>
      <c r="P279" s="1002"/>
      <c r="Q279" s="1000" t="s">
        <v>208</v>
      </c>
      <c r="R279" s="1001"/>
      <c r="S279" s="1002"/>
      <c r="T279" s="1107" t="s">
        <v>205</v>
      </c>
    </row>
    <row r="280" spans="1:20" ht="87.6" thickBot="1" x14ac:dyDescent="0.35">
      <c r="A280" s="1045"/>
      <c r="B280" s="1045"/>
      <c r="C280" s="235" t="s">
        <v>222</v>
      </c>
      <c r="D280" s="236" t="s">
        <v>219</v>
      </c>
      <c r="E280" s="237" t="s">
        <v>220</v>
      </c>
      <c r="F280" s="238" t="s">
        <v>361</v>
      </c>
      <c r="G280" s="236" t="s">
        <v>215</v>
      </c>
      <c r="H280" s="239" t="s">
        <v>216</v>
      </c>
      <c r="I280" s="240" t="s">
        <v>217</v>
      </c>
      <c r="J280" s="1045"/>
      <c r="K280" s="235" t="s">
        <v>209</v>
      </c>
      <c r="L280" s="239" t="s">
        <v>210</v>
      </c>
      <c r="M280" s="241" t="s">
        <v>223</v>
      </c>
      <c r="N280" s="242" t="s">
        <v>211</v>
      </c>
      <c r="O280" s="239" t="s">
        <v>212</v>
      </c>
      <c r="P280" s="241" t="s">
        <v>224</v>
      </c>
      <c r="Q280" s="235" t="s">
        <v>213</v>
      </c>
      <c r="R280" s="239" t="s">
        <v>214</v>
      </c>
      <c r="S280" s="243" t="s">
        <v>225</v>
      </c>
      <c r="T280" s="1108"/>
    </row>
    <row r="281" spans="1:20" ht="25.5" customHeight="1" x14ac:dyDescent="0.3">
      <c r="A281" s="244" t="s">
        <v>110</v>
      </c>
      <c r="B281" s="245" t="s">
        <v>16</v>
      </c>
      <c r="C281" s="467">
        <f>+D281+E281</f>
        <v>0</v>
      </c>
      <c r="D281" s="246"/>
      <c r="E281" s="247"/>
      <c r="F281" s="610">
        <v>15000</v>
      </c>
      <c r="G281" s="468">
        <f>+H281+I281</f>
        <v>0</v>
      </c>
      <c r="H281" s="614"/>
      <c r="I281" s="616"/>
      <c r="J281" s="619"/>
      <c r="K281" s="467">
        <f>+L281-E281</f>
        <v>0</v>
      </c>
      <c r="L281" s="468">
        <f>+J281-D281</f>
        <v>0</v>
      </c>
      <c r="M281" s="469" t="str">
        <f>IFERROR(K281/L281,"-")</f>
        <v>-</v>
      </c>
      <c r="N281" s="470">
        <f>+O281-C281</f>
        <v>0</v>
      </c>
      <c r="O281" s="468">
        <f>+K281</f>
        <v>0</v>
      </c>
      <c r="P281" s="471" t="str">
        <f>IFERROR(N281/O281,"-")</f>
        <v>-</v>
      </c>
      <c r="Q281" s="468" t="str">
        <f>IFERROR(N281-(J281-(J281*H281/G281)),"-")</f>
        <v>-</v>
      </c>
      <c r="R281" s="468">
        <f>+N281</f>
        <v>0</v>
      </c>
      <c r="S281" s="472" t="str">
        <f>IFERROR(Q281/R281,"-")</f>
        <v>-</v>
      </c>
      <c r="T281" s="473" t="str">
        <f>IFERROR(M281*P281*S281,"-")</f>
        <v>-</v>
      </c>
    </row>
    <row r="282" spans="1:20" ht="23.4" x14ac:dyDescent="0.3">
      <c r="A282" s="248" t="s">
        <v>110</v>
      </c>
      <c r="B282" s="249" t="s">
        <v>229</v>
      </c>
      <c r="C282" s="474">
        <f t="shared" ref="C282:C296" si="210">+D282+E282</f>
        <v>0</v>
      </c>
      <c r="D282" s="250"/>
      <c r="E282" s="251"/>
      <c r="F282" s="611">
        <v>200000</v>
      </c>
      <c r="G282" s="476">
        <f t="shared" ref="G282:G287" si="211">+H282+I282</f>
        <v>0</v>
      </c>
      <c r="H282" s="254"/>
      <c r="I282" s="617"/>
      <c r="J282" s="620"/>
      <c r="K282" s="474">
        <f t="shared" ref="K282:K285" si="212">+L282-E282</f>
        <v>0</v>
      </c>
      <c r="L282" s="476">
        <f t="shared" ref="L282:L296" si="213">+J282-D282</f>
        <v>0</v>
      </c>
      <c r="M282" s="477" t="str">
        <f t="shared" ref="M282:M285" si="214">IFERROR(K282/L282,"-")</f>
        <v>-</v>
      </c>
      <c r="N282" s="478">
        <f t="shared" ref="N282:N296" si="215">+O282-C282</f>
        <v>0</v>
      </c>
      <c r="O282" s="476">
        <f t="shared" ref="O282:O296" si="216">+K282</f>
        <v>0</v>
      </c>
      <c r="P282" s="479" t="str">
        <f>IFERROR(N282/O282,"-")</f>
        <v>-</v>
      </c>
      <c r="Q282" s="476" t="str">
        <f t="shared" ref="Q282:Q296" si="217">IFERROR(N282-(J282-(J282*H282/G282)),"-")</f>
        <v>-</v>
      </c>
      <c r="R282" s="476">
        <f t="shared" ref="R282:R296" si="218">+N282</f>
        <v>0</v>
      </c>
      <c r="S282" s="480" t="str">
        <f t="shared" ref="S282:S296" si="219">IFERROR(Q282/R282,"-")</f>
        <v>-</v>
      </c>
      <c r="T282" s="481" t="str">
        <f t="shared" ref="T282:T296" si="220">IFERROR(M282*P282*S282,"-")</f>
        <v>-</v>
      </c>
    </row>
    <row r="283" spans="1:20" ht="23.4" x14ac:dyDescent="0.3">
      <c r="A283" s="248" t="s">
        <v>110</v>
      </c>
      <c r="B283" s="249" t="s">
        <v>228</v>
      </c>
      <c r="C283" s="474">
        <f t="shared" si="210"/>
        <v>0</v>
      </c>
      <c r="D283" s="250"/>
      <c r="E283" s="251"/>
      <c r="F283" s="611">
        <v>80000</v>
      </c>
      <c r="G283" s="476">
        <f t="shared" si="211"/>
        <v>0</v>
      </c>
      <c r="H283" s="254"/>
      <c r="I283" s="617"/>
      <c r="J283" s="620"/>
      <c r="K283" s="474">
        <f t="shared" si="212"/>
        <v>0</v>
      </c>
      <c r="L283" s="476">
        <f t="shared" si="213"/>
        <v>0</v>
      </c>
      <c r="M283" s="477" t="str">
        <f t="shared" si="214"/>
        <v>-</v>
      </c>
      <c r="N283" s="478">
        <f t="shared" si="215"/>
        <v>0</v>
      </c>
      <c r="O283" s="476">
        <f t="shared" si="216"/>
        <v>0</v>
      </c>
      <c r="P283" s="479" t="str">
        <f t="shared" ref="P283:P296" si="221">IFERROR(N283/O283,"-")</f>
        <v>-</v>
      </c>
      <c r="Q283" s="476" t="str">
        <f t="shared" si="217"/>
        <v>-</v>
      </c>
      <c r="R283" s="476">
        <f t="shared" si="218"/>
        <v>0</v>
      </c>
      <c r="S283" s="480" t="str">
        <f t="shared" si="219"/>
        <v>-</v>
      </c>
      <c r="T283" s="481" t="str">
        <f t="shared" si="220"/>
        <v>-</v>
      </c>
    </row>
    <row r="284" spans="1:20" ht="23.4" x14ac:dyDescent="0.3">
      <c r="A284" s="252" t="s">
        <v>110</v>
      </c>
      <c r="B284" s="249" t="s">
        <v>231</v>
      </c>
      <c r="C284" s="474">
        <f t="shared" si="210"/>
        <v>0</v>
      </c>
      <c r="D284" s="250"/>
      <c r="E284" s="251"/>
      <c r="F284" s="611">
        <v>110000</v>
      </c>
      <c r="G284" s="476">
        <f t="shared" si="211"/>
        <v>0</v>
      </c>
      <c r="H284" s="254"/>
      <c r="I284" s="617"/>
      <c r="J284" s="620"/>
      <c r="K284" s="474">
        <f t="shared" si="212"/>
        <v>0</v>
      </c>
      <c r="L284" s="476">
        <f t="shared" si="213"/>
        <v>0</v>
      </c>
      <c r="M284" s="477" t="str">
        <f t="shared" si="214"/>
        <v>-</v>
      </c>
      <c r="N284" s="478">
        <f t="shared" si="215"/>
        <v>0</v>
      </c>
      <c r="O284" s="476">
        <f t="shared" si="216"/>
        <v>0</v>
      </c>
      <c r="P284" s="479" t="str">
        <f t="shared" si="221"/>
        <v>-</v>
      </c>
      <c r="Q284" s="476" t="str">
        <f t="shared" si="217"/>
        <v>-</v>
      </c>
      <c r="R284" s="476">
        <f t="shared" si="218"/>
        <v>0</v>
      </c>
      <c r="S284" s="480" t="str">
        <f t="shared" si="219"/>
        <v>-</v>
      </c>
      <c r="T284" s="481" t="str">
        <f t="shared" si="220"/>
        <v>-</v>
      </c>
    </row>
    <row r="285" spans="1:20" ht="23.4" x14ac:dyDescent="0.3">
      <c r="A285" s="248" t="s">
        <v>110</v>
      </c>
      <c r="B285" s="249" t="s">
        <v>230</v>
      </c>
      <c r="C285" s="474">
        <f t="shared" si="210"/>
        <v>0</v>
      </c>
      <c r="D285" s="250"/>
      <c r="E285" s="251"/>
      <c r="F285" s="611">
        <v>50000</v>
      </c>
      <c r="G285" s="476">
        <f t="shared" si="211"/>
        <v>0</v>
      </c>
      <c r="H285" s="254"/>
      <c r="I285" s="617"/>
      <c r="J285" s="620"/>
      <c r="K285" s="474">
        <f t="shared" si="212"/>
        <v>0</v>
      </c>
      <c r="L285" s="476">
        <f t="shared" si="213"/>
        <v>0</v>
      </c>
      <c r="M285" s="477" t="str">
        <f t="shared" si="214"/>
        <v>-</v>
      </c>
      <c r="N285" s="478">
        <f t="shared" si="215"/>
        <v>0</v>
      </c>
      <c r="O285" s="476">
        <f t="shared" si="216"/>
        <v>0</v>
      </c>
      <c r="P285" s="479" t="str">
        <f t="shared" si="221"/>
        <v>-</v>
      </c>
      <c r="Q285" s="476" t="str">
        <f t="shared" si="217"/>
        <v>-</v>
      </c>
      <c r="R285" s="476">
        <f t="shared" si="218"/>
        <v>0</v>
      </c>
      <c r="S285" s="480" t="str">
        <f t="shared" si="219"/>
        <v>-</v>
      </c>
      <c r="T285" s="481" t="str">
        <f t="shared" si="220"/>
        <v>-</v>
      </c>
    </row>
    <row r="286" spans="1:20" ht="23.4" x14ac:dyDescent="0.3">
      <c r="A286" s="248">
        <v>5</v>
      </c>
      <c r="B286" s="249" t="s">
        <v>22</v>
      </c>
      <c r="C286" s="474">
        <f t="shared" si="210"/>
        <v>0</v>
      </c>
      <c r="D286" s="250"/>
      <c r="E286" s="251"/>
      <c r="F286" s="611">
        <v>80000</v>
      </c>
      <c r="G286" s="476">
        <f t="shared" si="211"/>
        <v>0</v>
      </c>
      <c r="H286" s="475"/>
      <c r="I286" s="621"/>
      <c r="J286" s="620"/>
      <c r="K286" s="474">
        <f>+L286-E286</f>
        <v>0</v>
      </c>
      <c r="L286" s="476">
        <f t="shared" si="213"/>
        <v>0</v>
      </c>
      <c r="M286" s="477" t="str">
        <f>IFERROR(K286/L286,"-")</f>
        <v>-</v>
      </c>
      <c r="N286" s="478">
        <f t="shared" si="215"/>
        <v>0</v>
      </c>
      <c r="O286" s="476">
        <f t="shared" si="216"/>
        <v>0</v>
      </c>
      <c r="P286" s="479" t="str">
        <f t="shared" si="221"/>
        <v>-</v>
      </c>
      <c r="Q286" s="476" t="str">
        <f t="shared" si="217"/>
        <v>-</v>
      </c>
      <c r="R286" s="476">
        <f t="shared" si="218"/>
        <v>0</v>
      </c>
      <c r="S286" s="480" t="str">
        <f t="shared" si="219"/>
        <v>-</v>
      </c>
      <c r="T286" s="481" t="str">
        <f t="shared" si="220"/>
        <v>-</v>
      </c>
    </row>
    <row r="287" spans="1:20" ht="23.4" x14ac:dyDescent="0.3">
      <c r="A287" s="248" t="s">
        <v>110</v>
      </c>
      <c r="B287" s="249" t="s">
        <v>23</v>
      </c>
      <c r="C287" s="474">
        <f t="shared" si="210"/>
        <v>0</v>
      </c>
      <c r="D287" s="250"/>
      <c r="E287" s="251"/>
      <c r="F287" s="611">
        <v>14000</v>
      </c>
      <c r="G287" s="476">
        <f t="shared" si="211"/>
        <v>0</v>
      </c>
      <c r="H287" s="254"/>
      <c r="I287" s="617"/>
      <c r="J287" s="620"/>
      <c r="K287" s="474">
        <f t="shared" ref="K287:K296" si="222">+L287-E287</f>
        <v>0</v>
      </c>
      <c r="L287" s="476">
        <f t="shared" si="213"/>
        <v>0</v>
      </c>
      <c r="M287" s="477" t="str">
        <f t="shared" ref="M287:M296" si="223">IFERROR(K287/L287,"-")</f>
        <v>-</v>
      </c>
      <c r="N287" s="478">
        <f t="shared" si="215"/>
        <v>0</v>
      </c>
      <c r="O287" s="476">
        <f t="shared" si="216"/>
        <v>0</v>
      </c>
      <c r="P287" s="479" t="str">
        <f t="shared" si="221"/>
        <v>-</v>
      </c>
      <c r="Q287" s="476" t="str">
        <f t="shared" si="217"/>
        <v>-</v>
      </c>
      <c r="R287" s="476">
        <f t="shared" si="218"/>
        <v>0</v>
      </c>
      <c r="S287" s="480" t="str">
        <f t="shared" si="219"/>
        <v>-</v>
      </c>
      <c r="T287" s="481" t="str">
        <f t="shared" si="220"/>
        <v>-</v>
      </c>
    </row>
    <row r="288" spans="1:20" ht="24" thickBot="1" x14ac:dyDescent="0.35">
      <c r="A288" s="248" t="s">
        <v>110</v>
      </c>
      <c r="B288" s="253" t="s">
        <v>226</v>
      </c>
      <c r="C288" s="482">
        <f t="shared" si="210"/>
        <v>0</v>
      </c>
      <c r="D288" s="250"/>
      <c r="E288" s="251"/>
      <c r="F288" s="611">
        <v>4500</v>
      </c>
      <c r="G288" s="476">
        <f>+H288+I288</f>
        <v>0</v>
      </c>
      <c r="H288" s="259"/>
      <c r="I288" s="618"/>
      <c r="J288" s="620"/>
      <c r="K288" s="482">
        <f t="shared" si="222"/>
        <v>0</v>
      </c>
      <c r="L288" s="250">
        <f t="shared" si="213"/>
        <v>0</v>
      </c>
      <c r="M288" s="483" t="str">
        <f t="shared" si="223"/>
        <v>-</v>
      </c>
      <c r="N288" s="484">
        <f t="shared" si="215"/>
        <v>0</v>
      </c>
      <c r="O288" s="250">
        <f t="shared" si="216"/>
        <v>0</v>
      </c>
      <c r="P288" s="485" t="str">
        <f t="shared" si="221"/>
        <v>-</v>
      </c>
      <c r="Q288" s="250" t="str">
        <f t="shared" si="217"/>
        <v>-</v>
      </c>
      <c r="R288" s="250">
        <f t="shared" si="218"/>
        <v>0</v>
      </c>
      <c r="S288" s="486" t="str">
        <f t="shared" si="219"/>
        <v>-</v>
      </c>
      <c r="T288" s="487" t="str">
        <f t="shared" si="220"/>
        <v>-</v>
      </c>
    </row>
    <row r="289" spans="1:20" ht="24" thickBot="1" x14ac:dyDescent="0.35">
      <c r="A289" s="255" t="s">
        <v>110</v>
      </c>
      <c r="B289" s="256" t="s">
        <v>227</v>
      </c>
      <c r="C289" s="488">
        <f t="shared" si="210"/>
        <v>0</v>
      </c>
      <c r="D289" s="257"/>
      <c r="E289" s="258"/>
      <c r="F289" s="615">
        <v>5000</v>
      </c>
      <c r="G289" s="498">
        <f t="shared" ref="G289:G296" si="224">+H289+I289</f>
        <v>0</v>
      </c>
      <c r="H289" s="259"/>
      <c r="I289" s="618"/>
      <c r="J289" s="623"/>
      <c r="K289" s="488">
        <f t="shared" si="222"/>
        <v>0</v>
      </c>
      <c r="L289" s="257">
        <f t="shared" si="213"/>
        <v>0</v>
      </c>
      <c r="M289" s="489" t="str">
        <f t="shared" si="223"/>
        <v>-</v>
      </c>
      <c r="N289" s="490">
        <f t="shared" si="215"/>
        <v>0</v>
      </c>
      <c r="O289" s="257">
        <f t="shared" si="216"/>
        <v>0</v>
      </c>
      <c r="P289" s="491" t="str">
        <f t="shared" si="221"/>
        <v>-</v>
      </c>
      <c r="Q289" s="257" t="str">
        <f t="shared" si="217"/>
        <v>-</v>
      </c>
      <c r="R289" s="257">
        <f t="shared" si="218"/>
        <v>0</v>
      </c>
      <c r="S289" s="492" t="str">
        <f t="shared" si="219"/>
        <v>-</v>
      </c>
      <c r="T289" s="493" t="str">
        <f t="shared" si="220"/>
        <v>-</v>
      </c>
    </row>
    <row r="290" spans="1:20" ht="23.4" x14ac:dyDescent="0.3">
      <c r="A290" s="252" t="s">
        <v>108</v>
      </c>
      <c r="B290" s="260" t="s">
        <v>29</v>
      </c>
      <c r="C290" s="474">
        <f t="shared" si="210"/>
        <v>260</v>
      </c>
      <c r="D290" s="250">
        <f>30+30</f>
        <v>60</v>
      </c>
      <c r="E290" s="251">
        <f>75+125</f>
        <v>200</v>
      </c>
      <c r="F290" s="475">
        <v>240000</v>
      </c>
      <c r="G290" s="476">
        <f t="shared" si="224"/>
        <v>218874</v>
      </c>
      <c r="H290" s="475">
        <f>154836+59670</f>
        <v>214506</v>
      </c>
      <c r="I290" s="621">
        <f>3084+1284</f>
        <v>4368</v>
      </c>
      <c r="J290" s="756">
        <f>1080+420</f>
        <v>1500</v>
      </c>
      <c r="K290" s="474">
        <f t="shared" si="222"/>
        <v>1240</v>
      </c>
      <c r="L290" s="476">
        <f t="shared" si="213"/>
        <v>1440</v>
      </c>
      <c r="M290" s="477">
        <f t="shared" si="223"/>
        <v>0.86111111111111116</v>
      </c>
      <c r="N290" s="478">
        <f t="shared" si="215"/>
        <v>980</v>
      </c>
      <c r="O290" s="476">
        <f t="shared" si="216"/>
        <v>1240</v>
      </c>
      <c r="P290" s="479">
        <f t="shared" si="221"/>
        <v>0.79032258064516125</v>
      </c>
      <c r="Q290" s="476">
        <f t="shared" si="217"/>
        <v>950.06496888620859</v>
      </c>
      <c r="R290" s="476">
        <f t="shared" si="218"/>
        <v>980</v>
      </c>
      <c r="S290" s="494">
        <f t="shared" si="219"/>
        <v>0.96945404988388628</v>
      </c>
      <c r="T290" s="495">
        <f t="shared" si="220"/>
        <v>0.65976733950431155</v>
      </c>
    </row>
    <row r="291" spans="1:20" ht="22.5" customHeight="1" x14ac:dyDescent="0.3">
      <c r="A291" s="248" t="s">
        <v>108</v>
      </c>
      <c r="B291" s="260" t="s">
        <v>31</v>
      </c>
      <c r="C291" s="474">
        <f t="shared" si="210"/>
        <v>65</v>
      </c>
      <c r="D291" s="769">
        <f>30+20</f>
        <v>50</v>
      </c>
      <c r="E291" s="251">
        <v>15</v>
      </c>
      <c r="F291" s="475">
        <v>50000</v>
      </c>
      <c r="G291" s="476">
        <f t="shared" si="224"/>
        <v>72596</v>
      </c>
      <c r="H291" s="475">
        <f>26208+44928</f>
        <v>71136</v>
      </c>
      <c r="I291" s="621">
        <f>672+788</f>
        <v>1460</v>
      </c>
      <c r="J291" s="620">
        <f>300+450</f>
        <v>750</v>
      </c>
      <c r="K291" s="474">
        <f t="shared" si="222"/>
        <v>685</v>
      </c>
      <c r="L291" s="476">
        <f t="shared" si="213"/>
        <v>700</v>
      </c>
      <c r="M291" s="477">
        <f t="shared" si="223"/>
        <v>0.97857142857142854</v>
      </c>
      <c r="N291" s="478">
        <f t="shared" si="215"/>
        <v>620</v>
      </c>
      <c r="O291" s="476">
        <f t="shared" si="216"/>
        <v>685</v>
      </c>
      <c r="P291" s="479">
        <f t="shared" si="221"/>
        <v>0.9051094890510949</v>
      </c>
      <c r="Q291" s="476">
        <f t="shared" si="217"/>
        <v>604.91652432640922</v>
      </c>
      <c r="R291" s="476">
        <f t="shared" si="218"/>
        <v>620</v>
      </c>
      <c r="S291" s="494">
        <f t="shared" si="219"/>
        <v>0.97567181342969234</v>
      </c>
      <c r="T291" s="495">
        <f t="shared" si="220"/>
        <v>0.86416646332344171</v>
      </c>
    </row>
    <row r="292" spans="1:20" ht="24" thickBot="1" x14ac:dyDescent="0.35">
      <c r="A292" s="255" t="s">
        <v>108</v>
      </c>
      <c r="B292" s="261" t="s">
        <v>32</v>
      </c>
      <c r="C292" s="496">
        <f t="shared" si="210"/>
        <v>0</v>
      </c>
      <c r="D292" s="257"/>
      <c r="E292" s="258"/>
      <c r="F292" s="497">
        <v>110000</v>
      </c>
      <c r="G292" s="498">
        <f t="shared" si="224"/>
        <v>0</v>
      </c>
      <c r="H292" s="497"/>
      <c r="I292" s="622"/>
      <c r="J292" s="623"/>
      <c r="K292" s="496">
        <f t="shared" si="222"/>
        <v>0</v>
      </c>
      <c r="L292" s="498">
        <f t="shared" si="213"/>
        <v>0</v>
      </c>
      <c r="M292" s="499" t="str">
        <f t="shared" si="223"/>
        <v>-</v>
      </c>
      <c r="N292" s="500">
        <f t="shared" si="215"/>
        <v>0</v>
      </c>
      <c r="O292" s="498">
        <f t="shared" si="216"/>
        <v>0</v>
      </c>
      <c r="P292" s="501" t="str">
        <f t="shared" si="221"/>
        <v>-</v>
      </c>
      <c r="Q292" s="498" t="str">
        <f t="shared" si="217"/>
        <v>-</v>
      </c>
      <c r="R292" s="498">
        <f t="shared" si="218"/>
        <v>0</v>
      </c>
      <c r="S292" s="502" t="str">
        <f t="shared" si="219"/>
        <v>-</v>
      </c>
      <c r="T292" s="503" t="str">
        <f t="shared" si="220"/>
        <v>-</v>
      </c>
    </row>
    <row r="293" spans="1:20" ht="23.4" x14ac:dyDescent="0.3">
      <c r="A293" s="248" t="s">
        <v>109</v>
      </c>
      <c r="B293" s="249" t="s">
        <v>233</v>
      </c>
      <c r="C293" s="474">
        <f t="shared" si="210"/>
        <v>390</v>
      </c>
      <c r="D293" s="250">
        <f>30+30</f>
        <v>60</v>
      </c>
      <c r="E293" s="251">
        <f>180+150</f>
        <v>330</v>
      </c>
      <c r="F293" s="475">
        <v>6500</v>
      </c>
      <c r="G293" s="476">
        <f t="shared" si="224"/>
        <v>5277</v>
      </c>
      <c r="H293" s="475">
        <f>3200+1920</f>
        <v>5120</v>
      </c>
      <c r="I293" s="621">
        <f>111+46</f>
        <v>157</v>
      </c>
      <c r="J293" s="620">
        <f>480+480</f>
        <v>960</v>
      </c>
      <c r="K293" s="474">
        <f t="shared" si="222"/>
        <v>570</v>
      </c>
      <c r="L293" s="476">
        <f t="shared" si="213"/>
        <v>900</v>
      </c>
      <c r="M293" s="477">
        <f t="shared" si="223"/>
        <v>0.6333333333333333</v>
      </c>
      <c r="N293" s="478">
        <f t="shared" si="215"/>
        <v>180</v>
      </c>
      <c r="O293" s="476">
        <f t="shared" si="216"/>
        <v>570</v>
      </c>
      <c r="P293" s="479">
        <f t="shared" si="221"/>
        <v>0.31578947368421051</v>
      </c>
      <c r="Q293" s="476">
        <f t="shared" si="217"/>
        <v>151.43831722569644</v>
      </c>
      <c r="R293" s="476">
        <f t="shared" si="218"/>
        <v>180</v>
      </c>
      <c r="S293" s="494">
        <f t="shared" si="219"/>
        <v>0.84132398458720248</v>
      </c>
      <c r="T293" s="495">
        <f t="shared" si="220"/>
        <v>0.16826479691744048</v>
      </c>
    </row>
    <row r="294" spans="1:20" ht="23.4" x14ac:dyDescent="0.3">
      <c r="A294" s="252" t="s">
        <v>109</v>
      </c>
      <c r="B294" s="249" t="s">
        <v>40</v>
      </c>
      <c r="C294" s="474">
        <f t="shared" si="210"/>
        <v>0</v>
      </c>
      <c r="D294" s="250"/>
      <c r="E294" s="251"/>
      <c r="F294" s="475">
        <v>2800</v>
      </c>
      <c r="G294" s="476">
        <f t="shared" si="224"/>
        <v>0</v>
      </c>
      <c r="H294" s="475"/>
      <c r="I294" s="621"/>
      <c r="J294" s="620">
        <f>480+480</f>
        <v>960</v>
      </c>
      <c r="K294" s="474">
        <f t="shared" si="222"/>
        <v>960</v>
      </c>
      <c r="L294" s="476">
        <f t="shared" si="213"/>
        <v>960</v>
      </c>
      <c r="M294" s="477">
        <f t="shared" si="223"/>
        <v>1</v>
      </c>
      <c r="N294" s="478">
        <f t="shared" si="215"/>
        <v>960</v>
      </c>
      <c r="O294" s="476">
        <f t="shared" si="216"/>
        <v>960</v>
      </c>
      <c r="P294" s="479">
        <f t="shared" si="221"/>
        <v>1</v>
      </c>
      <c r="Q294" s="476" t="str">
        <f t="shared" si="217"/>
        <v>-</v>
      </c>
      <c r="R294" s="476">
        <f t="shared" si="218"/>
        <v>960</v>
      </c>
      <c r="S294" s="494" t="str">
        <f t="shared" si="219"/>
        <v>-</v>
      </c>
      <c r="T294" s="495" t="str">
        <f t="shared" si="220"/>
        <v>-</v>
      </c>
    </row>
    <row r="295" spans="1:20" ht="23.4" x14ac:dyDescent="0.3">
      <c r="A295" s="248" t="s">
        <v>109</v>
      </c>
      <c r="B295" s="249" t="s">
        <v>42</v>
      </c>
      <c r="C295" s="474">
        <f t="shared" si="210"/>
        <v>30</v>
      </c>
      <c r="D295" s="250">
        <v>30</v>
      </c>
      <c r="E295" s="251"/>
      <c r="F295" s="475">
        <v>25000</v>
      </c>
      <c r="G295" s="476">
        <f t="shared" si="224"/>
        <v>20510</v>
      </c>
      <c r="H295" s="475">
        <v>20352</v>
      </c>
      <c r="I295" s="621">
        <v>158</v>
      </c>
      <c r="J295" s="620">
        <v>480</v>
      </c>
      <c r="K295" s="474">
        <f t="shared" si="222"/>
        <v>450</v>
      </c>
      <c r="L295" s="476">
        <f t="shared" si="213"/>
        <v>450</v>
      </c>
      <c r="M295" s="477">
        <f t="shared" si="223"/>
        <v>1</v>
      </c>
      <c r="N295" s="478">
        <f t="shared" si="215"/>
        <v>420</v>
      </c>
      <c r="O295" s="476">
        <f t="shared" si="216"/>
        <v>450</v>
      </c>
      <c r="P295" s="479">
        <f t="shared" si="221"/>
        <v>0.93333333333333335</v>
      </c>
      <c r="Q295" s="476">
        <f t="shared" si="217"/>
        <v>416.30229156509017</v>
      </c>
      <c r="R295" s="476">
        <f t="shared" si="218"/>
        <v>420</v>
      </c>
      <c r="S295" s="494">
        <f t="shared" si="219"/>
        <v>0.99119593229783376</v>
      </c>
      <c r="T295" s="495">
        <f t="shared" si="220"/>
        <v>0.92511620347797818</v>
      </c>
    </row>
    <row r="296" spans="1:20" ht="47.4" thickBot="1" x14ac:dyDescent="0.35">
      <c r="A296" s="625" t="s">
        <v>109</v>
      </c>
      <c r="B296" s="261" t="s">
        <v>232</v>
      </c>
      <c r="C296" s="626">
        <f t="shared" si="210"/>
        <v>30</v>
      </c>
      <c r="D296" s="627">
        <v>30</v>
      </c>
      <c r="E296" s="628"/>
      <c r="F296" s="629">
        <v>25000</v>
      </c>
      <c r="G296" s="630">
        <f t="shared" si="224"/>
        <v>20354</v>
      </c>
      <c r="H296" s="629">
        <v>20160</v>
      </c>
      <c r="I296" s="631">
        <v>194</v>
      </c>
      <c r="J296" s="624">
        <v>480</v>
      </c>
      <c r="K296" s="626">
        <f t="shared" si="222"/>
        <v>450</v>
      </c>
      <c r="L296" s="630">
        <f t="shared" si="213"/>
        <v>450</v>
      </c>
      <c r="M296" s="632">
        <f t="shared" si="223"/>
        <v>1</v>
      </c>
      <c r="N296" s="633">
        <f t="shared" si="215"/>
        <v>420</v>
      </c>
      <c r="O296" s="630">
        <f t="shared" si="216"/>
        <v>450</v>
      </c>
      <c r="P296" s="634">
        <f t="shared" si="221"/>
        <v>0.93333333333333335</v>
      </c>
      <c r="Q296" s="630">
        <f t="shared" si="217"/>
        <v>415.42497789132358</v>
      </c>
      <c r="R296" s="630">
        <f t="shared" si="218"/>
        <v>420</v>
      </c>
      <c r="S296" s="635">
        <f t="shared" si="219"/>
        <v>0.98910709021743715</v>
      </c>
      <c r="T296" s="636">
        <f t="shared" si="220"/>
        <v>0.92316661753627471</v>
      </c>
    </row>
    <row r="297" spans="1:20" ht="22.5" customHeight="1" x14ac:dyDescent="0.3">
      <c r="A297" s="1043" t="s">
        <v>1</v>
      </c>
      <c r="B297" s="1043" t="s">
        <v>2</v>
      </c>
      <c r="C297" s="1000" t="s">
        <v>221</v>
      </c>
      <c r="D297" s="1001"/>
      <c r="E297" s="1002"/>
      <c r="F297" s="1000" t="s">
        <v>459</v>
      </c>
      <c r="G297" s="1001"/>
      <c r="H297" s="1001"/>
      <c r="I297" s="1002"/>
      <c r="J297" s="1043" t="s">
        <v>218</v>
      </c>
      <c r="K297" s="1000" t="s">
        <v>206</v>
      </c>
      <c r="L297" s="1001"/>
      <c r="M297" s="1002"/>
      <c r="N297" s="1000" t="s">
        <v>207</v>
      </c>
      <c r="O297" s="1001"/>
      <c r="P297" s="1002"/>
      <c r="Q297" s="1000" t="s">
        <v>208</v>
      </c>
      <c r="R297" s="1001"/>
      <c r="S297" s="1002"/>
      <c r="T297" s="1107" t="s">
        <v>205</v>
      </c>
    </row>
    <row r="298" spans="1:20" ht="87.6" thickBot="1" x14ac:dyDescent="0.35">
      <c r="A298" s="1045"/>
      <c r="B298" s="1045"/>
      <c r="C298" s="235" t="s">
        <v>222</v>
      </c>
      <c r="D298" s="236" t="s">
        <v>219</v>
      </c>
      <c r="E298" s="237" t="s">
        <v>220</v>
      </c>
      <c r="F298" s="238" t="s">
        <v>361</v>
      </c>
      <c r="G298" s="236" t="s">
        <v>215</v>
      </c>
      <c r="H298" s="239" t="s">
        <v>216</v>
      </c>
      <c r="I298" s="240" t="s">
        <v>217</v>
      </c>
      <c r="J298" s="1045"/>
      <c r="K298" s="235" t="s">
        <v>209</v>
      </c>
      <c r="L298" s="239" t="s">
        <v>210</v>
      </c>
      <c r="M298" s="241" t="s">
        <v>223</v>
      </c>
      <c r="N298" s="242" t="s">
        <v>211</v>
      </c>
      <c r="O298" s="239" t="s">
        <v>212</v>
      </c>
      <c r="P298" s="241" t="s">
        <v>224</v>
      </c>
      <c r="Q298" s="235" t="s">
        <v>213</v>
      </c>
      <c r="R298" s="239" t="s">
        <v>214</v>
      </c>
      <c r="S298" s="243" t="s">
        <v>225</v>
      </c>
      <c r="T298" s="1108"/>
    </row>
    <row r="299" spans="1:20" ht="25.5" customHeight="1" x14ac:dyDescent="0.3">
      <c r="A299" s="244" t="s">
        <v>110</v>
      </c>
      <c r="B299" s="245" t="s">
        <v>16</v>
      </c>
      <c r="C299" s="467">
        <f>+D299+E299</f>
        <v>75</v>
      </c>
      <c r="D299" s="246">
        <v>30</v>
      </c>
      <c r="E299" s="247">
        <v>45</v>
      </c>
      <c r="F299" s="610">
        <v>15000</v>
      </c>
      <c r="G299" s="468">
        <f>+H299+I299</f>
        <v>15744</v>
      </c>
      <c r="H299" s="614">
        <v>15634</v>
      </c>
      <c r="I299" s="616">
        <v>110</v>
      </c>
      <c r="J299" s="619">
        <v>480</v>
      </c>
      <c r="K299" s="467">
        <f>+L299-E299</f>
        <v>405</v>
      </c>
      <c r="L299" s="468">
        <f>+J299-D299</f>
        <v>450</v>
      </c>
      <c r="M299" s="469">
        <f>IFERROR(K299/L299,"-")</f>
        <v>0.9</v>
      </c>
      <c r="N299" s="470">
        <f>+O299-C299</f>
        <v>330</v>
      </c>
      <c r="O299" s="468">
        <f>+K299</f>
        <v>405</v>
      </c>
      <c r="P299" s="471">
        <f>IFERROR(N299/O299,"-")</f>
        <v>0.81481481481481477</v>
      </c>
      <c r="Q299" s="468">
        <f>IFERROR(N299-(J299-(J299*H299/G299)),"-")</f>
        <v>326.64634146341461</v>
      </c>
      <c r="R299" s="468">
        <f>+N299</f>
        <v>330</v>
      </c>
      <c r="S299" s="472">
        <f>IFERROR(Q299/R299,"-")</f>
        <v>0.98983739837398366</v>
      </c>
      <c r="T299" s="473">
        <f>IFERROR(M299*P299*S299,"-")</f>
        <v>0.72588075880758796</v>
      </c>
    </row>
    <row r="300" spans="1:20" ht="23.4" x14ac:dyDescent="0.3">
      <c r="A300" s="248" t="s">
        <v>110</v>
      </c>
      <c r="B300" s="249" t="s">
        <v>229</v>
      </c>
      <c r="C300" s="474">
        <f t="shared" ref="C300:C314" si="225">+D300+E300</f>
        <v>390</v>
      </c>
      <c r="D300" s="250">
        <f>30+30</f>
        <v>60</v>
      </c>
      <c r="E300" s="251">
        <f>270+60</f>
        <v>330</v>
      </c>
      <c r="F300" s="611">
        <v>200000</v>
      </c>
      <c r="G300" s="476">
        <f t="shared" ref="G300:G305" si="226">+H300+I300</f>
        <v>85994</v>
      </c>
      <c r="H300" s="254">
        <f>24480+61200</f>
        <v>85680</v>
      </c>
      <c r="I300" s="617">
        <f>155+159</f>
        <v>314</v>
      </c>
      <c r="J300" s="620">
        <v>960</v>
      </c>
      <c r="K300" s="474">
        <f t="shared" ref="K300:K303" si="227">+L300-E300</f>
        <v>570</v>
      </c>
      <c r="L300" s="476">
        <f t="shared" ref="L300:L314" si="228">+J300-D300</f>
        <v>900</v>
      </c>
      <c r="M300" s="477">
        <f t="shared" ref="M300:M303" si="229">IFERROR(K300/L300,"-")</f>
        <v>0.6333333333333333</v>
      </c>
      <c r="N300" s="478">
        <f t="shared" ref="N300:N314" si="230">+O300-C300</f>
        <v>180</v>
      </c>
      <c r="O300" s="476">
        <f t="shared" ref="O300:O314" si="231">+K300</f>
        <v>570</v>
      </c>
      <c r="P300" s="479">
        <f>IFERROR(N300/O300,"-")</f>
        <v>0.31578947368421051</v>
      </c>
      <c r="Q300" s="476">
        <f t="shared" ref="Q300:Q314" si="232">IFERROR(N300-(J300-(J300*H300/G300)),"-")</f>
        <v>176.49463916087166</v>
      </c>
      <c r="R300" s="476">
        <f t="shared" ref="R300:R314" si="233">+N300</f>
        <v>180</v>
      </c>
      <c r="S300" s="480">
        <f t="shared" ref="S300:S314" si="234">IFERROR(Q300/R300,"-")</f>
        <v>0.98052577311595368</v>
      </c>
      <c r="T300" s="481">
        <f t="shared" ref="T300:T314" si="235">IFERROR(M300*P300*S300,"-")</f>
        <v>0.19610515462319072</v>
      </c>
    </row>
    <row r="301" spans="1:20" ht="23.4" x14ac:dyDescent="0.3">
      <c r="A301" s="248" t="s">
        <v>110</v>
      </c>
      <c r="B301" s="249" t="s">
        <v>228</v>
      </c>
      <c r="C301" s="474">
        <f t="shared" si="225"/>
        <v>0</v>
      </c>
      <c r="D301" s="250"/>
      <c r="E301" s="251"/>
      <c r="F301" s="611">
        <v>80000</v>
      </c>
      <c r="G301" s="476">
        <f t="shared" si="226"/>
        <v>0</v>
      </c>
      <c r="H301" s="254"/>
      <c r="I301" s="617"/>
      <c r="J301" s="620"/>
      <c r="K301" s="474">
        <f t="shared" si="227"/>
        <v>0</v>
      </c>
      <c r="L301" s="476">
        <f t="shared" si="228"/>
        <v>0</v>
      </c>
      <c r="M301" s="477" t="str">
        <f t="shared" si="229"/>
        <v>-</v>
      </c>
      <c r="N301" s="478">
        <f t="shared" si="230"/>
        <v>0</v>
      </c>
      <c r="O301" s="476">
        <f t="shared" si="231"/>
        <v>0</v>
      </c>
      <c r="P301" s="479" t="str">
        <f t="shared" ref="P301:P314" si="236">IFERROR(N301/O301,"-")</f>
        <v>-</v>
      </c>
      <c r="Q301" s="476" t="str">
        <f t="shared" si="232"/>
        <v>-</v>
      </c>
      <c r="R301" s="476">
        <f t="shared" si="233"/>
        <v>0</v>
      </c>
      <c r="S301" s="480" t="str">
        <f t="shared" si="234"/>
        <v>-</v>
      </c>
      <c r="T301" s="481" t="str">
        <f t="shared" si="235"/>
        <v>-</v>
      </c>
    </row>
    <row r="302" spans="1:20" ht="23.4" x14ac:dyDescent="0.3">
      <c r="A302" s="252" t="s">
        <v>110</v>
      </c>
      <c r="B302" s="249" t="s">
        <v>231</v>
      </c>
      <c r="C302" s="474">
        <f t="shared" si="225"/>
        <v>0</v>
      </c>
      <c r="D302" s="250"/>
      <c r="E302" s="251"/>
      <c r="F302" s="611">
        <v>110000</v>
      </c>
      <c r="G302" s="476">
        <f t="shared" si="226"/>
        <v>0</v>
      </c>
      <c r="H302" s="254"/>
      <c r="I302" s="617"/>
      <c r="J302" s="620"/>
      <c r="K302" s="474">
        <f t="shared" si="227"/>
        <v>0</v>
      </c>
      <c r="L302" s="476">
        <f t="shared" si="228"/>
        <v>0</v>
      </c>
      <c r="M302" s="477" t="str">
        <f t="shared" si="229"/>
        <v>-</v>
      </c>
      <c r="N302" s="478">
        <f t="shared" si="230"/>
        <v>0</v>
      </c>
      <c r="O302" s="476">
        <f t="shared" si="231"/>
        <v>0</v>
      </c>
      <c r="P302" s="479" t="str">
        <f t="shared" si="236"/>
        <v>-</v>
      </c>
      <c r="Q302" s="476" t="str">
        <f t="shared" si="232"/>
        <v>-</v>
      </c>
      <c r="R302" s="476">
        <f t="shared" si="233"/>
        <v>0</v>
      </c>
      <c r="S302" s="480" t="str">
        <f t="shared" si="234"/>
        <v>-</v>
      </c>
      <c r="T302" s="481" t="str">
        <f t="shared" si="235"/>
        <v>-</v>
      </c>
    </row>
    <row r="303" spans="1:20" ht="23.4" x14ac:dyDescent="0.3">
      <c r="A303" s="248" t="s">
        <v>110</v>
      </c>
      <c r="B303" s="249" t="s">
        <v>230</v>
      </c>
      <c r="C303" s="474">
        <f t="shared" si="225"/>
        <v>0</v>
      </c>
      <c r="D303" s="250"/>
      <c r="E303" s="251"/>
      <c r="F303" s="611">
        <v>50000</v>
      </c>
      <c r="G303" s="476">
        <f t="shared" si="226"/>
        <v>0</v>
      </c>
      <c r="H303" s="254"/>
      <c r="I303" s="617"/>
      <c r="J303" s="620"/>
      <c r="K303" s="474">
        <f t="shared" si="227"/>
        <v>0</v>
      </c>
      <c r="L303" s="476">
        <f t="shared" si="228"/>
        <v>0</v>
      </c>
      <c r="M303" s="477" t="str">
        <f t="shared" si="229"/>
        <v>-</v>
      </c>
      <c r="N303" s="478">
        <f t="shared" si="230"/>
        <v>0</v>
      </c>
      <c r="O303" s="476">
        <f t="shared" si="231"/>
        <v>0</v>
      </c>
      <c r="P303" s="479" t="str">
        <f t="shared" si="236"/>
        <v>-</v>
      </c>
      <c r="Q303" s="476" t="str">
        <f t="shared" si="232"/>
        <v>-</v>
      </c>
      <c r="R303" s="476">
        <f t="shared" si="233"/>
        <v>0</v>
      </c>
      <c r="S303" s="480" t="str">
        <f t="shared" si="234"/>
        <v>-</v>
      </c>
      <c r="T303" s="481" t="str">
        <f t="shared" si="235"/>
        <v>-</v>
      </c>
    </row>
    <row r="304" spans="1:20" ht="23.4" x14ac:dyDescent="0.3">
      <c r="A304" s="248">
        <v>5</v>
      </c>
      <c r="B304" s="249" t="s">
        <v>22</v>
      </c>
      <c r="C304" s="474">
        <f t="shared" si="225"/>
        <v>0</v>
      </c>
      <c r="D304" s="250"/>
      <c r="E304" s="251"/>
      <c r="F304" s="611">
        <v>80000</v>
      </c>
      <c r="G304" s="476">
        <f t="shared" si="226"/>
        <v>0</v>
      </c>
      <c r="H304" s="475"/>
      <c r="I304" s="621"/>
      <c r="J304" s="620"/>
      <c r="K304" s="474">
        <f>+L304-E304</f>
        <v>0</v>
      </c>
      <c r="L304" s="476">
        <f t="shared" si="228"/>
        <v>0</v>
      </c>
      <c r="M304" s="477" t="str">
        <f>IFERROR(K304/L304,"-")</f>
        <v>-</v>
      </c>
      <c r="N304" s="478">
        <f t="shared" si="230"/>
        <v>0</v>
      </c>
      <c r="O304" s="476">
        <f t="shared" si="231"/>
        <v>0</v>
      </c>
      <c r="P304" s="479" t="str">
        <f t="shared" si="236"/>
        <v>-</v>
      </c>
      <c r="Q304" s="476" t="str">
        <f t="shared" si="232"/>
        <v>-</v>
      </c>
      <c r="R304" s="476">
        <f t="shared" si="233"/>
        <v>0</v>
      </c>
      <c r="S304" s="480" t="str">
        <f t="shared" si="234"/>
        <v>-</v>
      </c>
      <c r="T304" s="481" t="str">
        <f t="shared" si="235"/>
        <v>-</v>
      </c>
    </row>
    <row r="305" spans="1:20" ht="23.4" x14ac:dyDescent="0.3">
      <c r="A305" s="248" t="s">
        <v>110</v>
      </c>
      <c r="B305" s="249" t="s">
        <v>23</v>
      </c>
      <c r="C305" s="474">
        <f t="shared" si="225"/>
        <v>30</v>
      </c>
      <c r="D305" s="250">
        <v>30</v>
      </c>
      <c r="E305" s="251"/>
      <c r="F305" s="611">
        <v>14000</v>
      </c>
      <c r="G305" s="476">
        <f t="shared" si="226"/>
        <v>16063</v>
      </c>
      <c r="H305" s="254">
        <f>4240+11750</f>
        <v>15990</v>
      </c>
      <c r="I305" s="617">
        <v>73</v>
      </c>
      <c r="J305" s="620">
        <v>480</v>
      </c>
      <c r="K305" s="474">
        <f t="shared" ref="K305:K314" si="237">+L305-E305</f>
        <v>450</v>
      </c>
      <c r="L305" s="476">
        <f t="shared" si="228"/>
        <v>450</v>
      </c>
      <c r="M305" s="477">
        <f t="shared" ref="M305:M314" si="238">IFERROR(K305/L305,"-")</f>
        <v>1</v>
      </c>
      <c r="N305" s="478">
        <f t="shared" si="230"/>
        <v>420</v>
      </c>
      <c r="O305" s="476">
        <f t="shared" si="231"/>
        <v>450</v>
      </c>
      <c r="P305" s="479">
        <f t="shared" si="236"/>
        <v>0.93333333333333335</v>
      </c>
      <c r="Q305" s="476">
        <f t="shared" si="232"/>
        <v>417.81858930461311</v>
      </c>
      <c r="R305" s="476">
        <f t="shared" si="233"/>
        <v>420</v>
      </c>
      <c r="S305" s="480">
        <f t="shared" si="234"/>
        <v>0.99480616501098362</v>
      </c>
      <c r="T305" s="481">
        <f t="shared" si="235"/>
        <v>0.92848575401025135</v>
      </c>
    </row>
    <row r="306" spans="1:20" ht="24" thickBot="1" x14ac:dyDescent="0.35">
      <c r="A306" s="248" t="s">
        <v>110</v>
      </c>
      <c r="B306" s="253" t="s">
        <v>226</v>
      </c>
      <c r="C306" s="482">
        <f t="shared" si="225"/>
        <v>640</v>
      </c>
      <c r="D306" s="250">
        <f>30+30+30+60+20+20+40+90+90+15+105+45+10+45+10</f>
        <v>640</v>
      </c>
      <c r="E306" s="251"/>
      <c r="F306" s="611">
        <v>4500</v>
      </c>
      <c r="G306" s="476">
        <f>+H306+I306</f>
        <v>36685</v>
      </c>
      <c r="H306" s="259">
        <f>21598+14812</f>
        <v>36410</v>
      </c>
      <c r="I306" s="618">
        <f>73+202</f>
        <v>275</v>
      </c>
      <c r="J306" s="620">
        <v>960</v>
      </c>
      <c r="K306" s="482">
        <f t="shared" si="237"/>
        <v>320</v>
      </c>
      <c r="L306" s="250">
        <f t="shared" si="228"/>
        <v>320</v>
      </c>
      <c r="M306" s="483">
        <f t="shared" si="238"/>
        <v>1</v>
      </c>
      <c r="N306" s="484">
        <f t="shared" si="230"/>
        <v>-320</v>
      </c>
      <c r="O306" s="250">
        <f t="shared" si="231"/>
        <v>320</v>
      </c>
      <c r="P306" s="485">
        <f t="shared" si="236"/>
        <v>-1</v>
      </c>
      <c r="Q306" s="250">
        <f t="shared" si="232"/>
        <v>-327.1964017991005</v>
      </c>
      <c r="R306" s="250">
        <f t="shared" si="233"/>
        <v>-320</v>
      </c>
      <c r="S306" s="486">
        <f t="shared" si="234"/>
        <v>1.0224887556221891</v>
      </c>
      <c r="T306" s="487">
        <f t="shared" si="235"/>
        <v>-1.0224887556221891</v>
      </c>
    </row>
    <row r="307" spans="1:20" ht="24" thickBot="1" x14ac:dyDescent="0.35">
      <c r="A307" s="255" t="s">
        <v>110</v>
      </c>
      <c r="B307" s="256" t="s">
        <v>227</v>
      </c>
      <c r="C307" s="488">
        <f t="shared" si="225"/>
        <v>325</v>
      </c>
      <c r="D307" s="257">
        <f>30+30+60+20+90+80+15</f>
        <v>325</v>
      </c>
      <c r="E307" s="258"/>
      <c r="F307" s="615">
        <v>5000</v>
      </c>
      <c r="G307" s="498">
        <f t="shared" ref="G307:G314" si="239">+H307+I307</f>
        <v>40807</v>
      </c>
      <c r="H307" s="259">
        <f>30949+9790</f>
        <v>40739</v>
      </c>
      <c r="I307" s="618">
        <f>15+53</f>
        <v>68</v>
      </c>
      <c r="J307" s="623">
        <v>1440</v>
      </c>
      <c r="K307" s="488">
        <f t="shared" si="237"/>
        <v>1115</v>
      </c>
      <c r="L307" s="257">
        <f t="shared" si="228"/>
        <v>1115</v>
      </c>
      <c r="M307" s="489">
        <f t="shared" si="238"/>
        <v>1</v>
      </c>
      <c r="N307" s="490">
        <f t="shared" si="230"/>
        <v>790</v>
      </c>
      <c r="O307" s="257">
        <f t="shared" si="231"/>
        <v>1115</v>
      </c>
      <c r="P307" s="491">
        <f t="shared" si="236"/>
        <v>0.70852017937219736</v>
      </c>
      <c r="Q307" s="257">
        <f t="shared" si="232"/>
        <v>787.60041169407214</v>
      </c>
      <c r="R307" s="257">
        <f t="shared" si="233"/>
        <v>790</v>
      </c>
      <c r="S307" s="492">
        <f t="shared" si="234"/>
        <v>0.9969625464481926</v>
      </c>
      <c r="T307" s="493">
        <f t="shared" si="235"/>
        <v>0.706368082236836</v>
      </c>
    </row>
    <row r="308" spans="1:20" ht="23.4" x14ac:dyDescent="0.3">
      <c r="A308" s="252" t="s">
        <v>108</v>
      </c>
      <c r="B308" s="260" t="s">
        <v>29</v>
      </c>
      <c r="C308" s="474">
        <f t="shared" si="225"/>
        <v>405</v>
      </c>
      <c r="D308" s="250">
        <f>30+30+30+30+30</f>
        <v>150</v>
      </c>
      <c r="E308" s="251">
        <f>120+45+60+30</f>
        <v>255</v>
      </c>
      <c r="F308" s="475">
        <v>240000</v>
      </c>
      <c r="G308" s="476">
        <f t="shared" si="239"/>
        <v>192407</v>
      </c>
      <c r="H308" s="475">
        <f>27846+83538+79560</f>
        <v>190944</v>
      </c>
      <c r="I308" s="621">
        <f>587+476+400</f>
        <v>1463</v>
      </c>
      <c r="J308" s="756">
        <v>1440</v>
      </c>
      <c r="K308" s="474">
        <f t="shared" si="237"/>
        <v>1035</v>
      </c>
      <c r="L308" s="476">
        <f t="shared" si="228"/>
        <v>1290</v>
      </c>
      <c r="M308" s="477">
        <f t="shared" si="238"/>
        <v>0.80232558139534882</v>
      </c>
      <c r="N308" s="478">
        <f t="shared" si="230"/>
        <v>630</v>
      </c>
      <c r="O308" s="476">
        <f t="shared" si="231"/>
        <v>1035</v>
      </c>
      <c r="P308" s="479">
        <f t="shared" si="236"/>
        <v>0.60869565217391308</v>
      </c>
      <c r="Q308" s="476">
        <f t="shared" si="232"/>
        <v>619.05071021324579</v>
      </c>
      <c r="R308" s="476">
        <f t="shared" si="233"/>
        <v>630</v>
      </c>
      <c r="S308" s="494">
        <f t="shared" si="234"/>
        <v>0.98262017494165999</v>
      </c>
      <c r="T308" s="495">
        <f t="shared" si="235"/>
        <v>0.47988427148313628</v>
      </c>
    </row>
    <row r="309" spans="1:20" ht="22.5" customHeight="1" x14ac:dyDescent="0.3">
      <c r="A309" s="248" t="s">
        <v>108</v>
      </c>
      <c r="B309" s="260" t="s">
        <v>31</v>
      </c>
      <c r="C309" s="474">
        <f t="shared" si="225"/>
        <v>0</v>
      </c>
      <c r="D309" s="769"/>
      <c r="E309" s="251"/>
      <c r="F309" s="475">
        <v>50000</v>
      </c>
      <c r="G309" s="476">
        <f t="shared" si="239"/>
        <v>0</v>
      </c>
      <c r="H309" s="475"/>
      <c r="I309" s="621"/>
      <c r="J309" s="620"/>
      <c r="K309" s="474">
        <f t="shared" si="237"/>
        <v>0</v>
      </c>
      <c r="L309" s="476">
        <f t="shared" si="228"/>
        <v>0</v>
      </c>
      <c r="M309" s="477" t="str">
        <f t="shared" si="238"/>
        <v>-</v>
      </c>
      <c r="N309" s="478">
        <f t="shared" si="230"/>
        <v>0</v>
      </c>
      <c r="O309" s="476">
        <f t="shared" si="231"/>
        <v>0</v>
      </c>
      <c r="P309" s="479" t="str">
        <f t="shared" si="236"/>
        <v>-</v>
      </c>
      <c r="Q309" s="476" t="str">
        <f t="shared" si="232"/>
        <v>-</v>
      </c>
      <c r="R309" s="476">
        <f t="shared" si="233"/>
        <v>0</v>
      </c>
      <c r="S309" s="494" t="str">
        <f t="shared" si="234"/>
        <v>-</v>
      </c>
      <c r="T309" s="495" t="str">
        <f t="shared" si="235"/>
        <v>-</v>
      </c>
    </row>
    <row r="310" spans="1:20" ht="24" thickBot="1" x14ac:dyDescent="0.35">
      <c r="A310" s="255" t="s">
        <v>108</v>
      </c>
      <c r="B310" s="261" t="s">
        <v>32</v>
      </c>
      <c r="C310" s="496">
        <f t="shared" si="225"/>
        <v>0</v>
      </c>
      <c r="D310" s="257"/>
      <c r="E310" s="258"/>
      <c r="F310" s="497">
        <v>110000</v>
      </c>
      <c r="G310" s="498">
        <f t="shared" si="239"/>
        <v>0</v>
      </c>
      <c r="H310" s="497"/>
      <c r="I310" s="622"/>
      <c r="J310" s="623"/>
      <c r="K310" s="496">
        <f t="shared" si="237"/>
        <v>0</v>
      </c>
      <c r="L310" s="498">
        <f t="shared" si="228"/>
        <v>0</v>
      </c>
      <c r="M310" s="499" t="str">
        <f t="shared" si="238"/>
        <v>-</v>
      </c>
      <c r="N310" s="500">
        <f t="shared" si="230"/>
        <v>0</v>
      </c>
      <c r="O310" s="498">
        <f t="shared" si="231"/>
        <v>0</v>
      </c>
      <c r="P310" s="501" t="str">
        <f t="shared" si="236"/>
        <v>-</v>
      </c>
      <c r="Q310" s="498" t="str">
        <f t="shared" si="232"/>
        <v>-</v>
      </c>
      <c r="R310" s="498">
        <f t="shared" si="233"/>
        <v>0</v>
      </c>
      <c r="S310" s="502" t="str">
        <f t="shared" si="234"/>
        <v>-</v>
      </c>
      <c r="T310" s="503" t="str">
        <f t="shared" si="235"/>
        <v>-</v>
      </c>
    </row>
    <row r="311" spans="1:20" ht="23.4" x14ac:dyDescent="0.3">
      <c r="A311" s="248" t="s">
        <v>109</v>
      </c>
      <c r="B311" s="249" t="s">
        <v>233</v>
      </c>
      <c r="C311" s="474">
        <f t="shared" si="225"/>
        <v>150</v>
      </c>
      <c r="D311" s="250">
        <v>30</v>
      </c>
      <c r="E311" s="251">
        <v>120</v>
      </c>
      <c r="F311" s="475">
        <v>6500</v>
      </c>
      <c r="G311" s="476">
        <f t="shared" si="239"/>
        <v>3906</v>
      </c>
      <c r="H311" s="475">
        <v>3840</v>
      </c>
      <c r="I311" s="621">
        <v>66</v>
      </c>
      <c r="J311" s="620">
        <v>480</v>
      </c>
      <c r="K311" s="474">
        <f t="shared" si="237"/>
        <v>330</v>
      </c>
      <c r="L311" s="476">
        <f t="shared" si="228"/>
        <v>450</v>
      </c>
      <c r="M311" s="477">
        <f t="shared" si="238"/>
        <v>0.73333333333333328</v>
      </c>
      <c r="N311" s="478">
        <f t="shared" si="230"/>
        <v>180</v>
      </c>
      <c r="O311" s="476">
        <f t="shared" si="231"/>
        <v>330</v>
      </c>
      <c r="P311" s="479">
        <f t="shared" si="236"/>
        <v>0.54545454545454541</v>
      </c>
      <c r="Q311" s="476">
        <f t="shared" si="232"/>
        <v>171.88940092165899</v>
      </c>
      <c r="R311" s="476">
        <f t="shared" si="233"/>
        <v>180</v>
      </c>
      <c r="S311" s="494">
        <f t="shared" si="234"/>
        <v>0.95494111623143885</v>
      </c>
      <c r="T311" s="495">
        <f t="shared" si="235"/>
        <v>0.38197644649257551</v>
      </c>
    </row>
    <row r="312" spans="1:20" ht="23.4" x14ac:dyDescent="0.3">
      <c r="A312" s="252" t="s">
        <v>109</v>
      </c>
      <c r="B312" s="249" t="s">
        <v>40</v>
      </c>
      <c r="C312" s="474">
        <f t="shared" si="225"/>
        <v>0</v>
      </c>
      <c r="D312" s="250"/>
      <c r="E312" s="251"/>
      <c r="F312" s="475">
        <v>2800</v>
      </c>
      <c r="G312" s="476">
        <f t="shared" si="239"/>
        <v>0</v>
      </c>
      <c r="H312" s="475"/>
      <c r="I312" s="621"/>
      <c r="J312" s="620">
        <v>480</v>
      </c>
      <c r="K312" s="474">
        <f t="shared" si="237"/>
        <v>480</v>
      </c>
      <c r="L312" s="476">
        <f t="shared" si="228"/>
        <v>480</v>
      </c>
      <c r="M312" s="477">
        <f t="shared" si="238"/>
        <v>1</v>
      </c>
      <c r="N312" s="478">
        <f t="shared" si="230"/>
        <v>480</v>
      </c>
      <c r="O312" s="476">
        <f t="shared" si="231"/>
        <v>480</v>
      </c>
      <c r="P312" s="479">
        <f t="shared" si="236"/>
        <v>1</v>
      </c>
      <c r="Q312" s="476" t="str">
        <f t="shared" si="232"/>
        <v>-</v>
      </c>
      <c r="R312" s="476">
        <f t="shared" si="233"/>
        <v>480</v>
      </c>
      <c r="S312" s="494" t="str">
        <f t="shared" si="234"/>
        <v>-</v>
      </c>
      <c r="T312" s="495" t="str">
        <f t="shared" si="235"/>
        <v>-</v>
      </c>
    </row>
    <row r="313" spans="1:20" ht="23.4" x14ac:dyDescent="0.3">
      <c r="A313" s="248" t="s">
        <v>109</v>
      </c>
      <c r="B313" s="249" t="s">
        <v>42</v>
      </c>
      <c r="C313" s="474">
        <f t="shared" si="225"/>
        <v>30</v>
      </c>
      <c r="D313" s="250">
        <v>30</v>
      </c>
      <c r="E313" s="251"/>
      <c r="F313" s="475">
        <v>25000</v>
      </c>
      <c r="G313" s="476">
        <f t="shared" si="239"/>
        <v>19396</v>
      </c>
      <c r="H313" s="475">
        <v>19116</v>
      </c>
      <c r="I313" s="621">
        <v>280</v>
      </c>
      <c r="J313" s="620">
        <v>480</v>
      </c>
      <c r="K313" s="474">
        <f t="shared" si="237"/>
        <v>450</v>
      </c>
      <c r="L313" s="476">
        <f t="shared" si="228"/>
        <v>450</v>
      </c>
      <c r="M313" s="477">
        <f t="shared" si="238"/>
        <v>1</v>
      </c>
      <c r="N313" s="478">
        <f t="shared" si="230"/>
        <v>420</v>
      </c>
      <c r="O313" s="476">
        <f t="shared" si="231"/>
        <v>450</v>
      </c>
      <c r="P313" s="479">
        <f t="shared" si="236"/>
        <v>0.93333333333333335</v>
      </c>
      <c r="Q313" s="476">
        <f t="shared" si="232"/>
        <v>413.0707362342751</v>
      </c>
      <c r="R313" s="476">
        <f t="shared" si="233"/>
        <v>420</v>
      </c>
      <c r="S313" s="494">
        <f t="shared" si="234"/>
        <v>0.9835017529387502</v>
      </c>
      <c r="T313" s="495">
        <f t="shared" si="235"/>
        <v>0.91793496940950015</v>
      </c>
    </row>
    <row r="314" spans="1:20" ht="47.4" thickBot="1" x14ac:dyDescent="0.35">
      <c r="A314" s="625" t="s">
        <v>109</v>
      </c>
      <c r="B314" s="261" t="s">
        <v>232</v>
      </c>
      <c r="C314" s="626">
        <f t="shared" si="225"/>
        <v>270</v>
      </c>
      <c r="D314" s="627">
        <v>30</v>
      </c>
      <c r="E314" s="628">
        <v>240</v>
      </c>
      <c r="F314" s="629">
        <v>25000</v>
      </c>
      <c r="G314" s="630">
        <f t="shared" si="239"/>
        <v>6013</v>
      </c>
      <c r="H314" s="629">
        <v>5760</v>
      </c>
      <c r="I314" s="631">
        <v>253</v>
      </c>
      <c r="J314" s="624">
        <v>480</v>
      </c>
      <c r="K314" s="626">
        <f t="shared" si="237"/>
        <v>210</v>
      </c>
      <c r="L314" s="630">
        <f t="shared" si="228"/>
        <v>450</v>
      </c>
      <c r="M314" s="632">
        <f t="shared" si="238"/>
        <v>0.46666666666666667</v>
      </c>
      <c r="N314" s="633">
        <f t="shared" si="230"/>
        <v>-60</v>
      </c>
      <c r="O314" s="630">
        <f t="shared" si="231"/>
        <v>210</v>
      </c>
      <c r="P314" s="634">
        <f t="shared" si="236"/>
        <v>-0.2857142857142857</v>
      </c>
      <c r="Q314" s="630">
        <f t="shared" si="232"/>
        <v>-80.196241476800253</v>
      </c>
      <c r="R314" s="630">
        <f t="shared" si="233"/>
        <v>-60</v>
      </c>
      <c r="S314" s="635">
        <f t="shared" si="234"/>
        <v>1.3366040246133375</v>
      </c>
      <c r="T314" s="636">
        <f t="shared" si="235"/>
        <v>-0.17821386994844499</v>
      </c>
    </row>
    <row r="315" spans="1:20" ht="22.5" customHeight="1" x14ac:dyDescent="0.3">
      <c r="A315" s="1043" t="s">
        <v>1</v>
      </c>
      <c r="B315" s="1043" t="s">
        <v>2</v>
      </c>
      <c r="C315" s="1000" t="s">
        <v>221</v>
      </c>
      <c r="D315" s="1001"/>
      <c r="E315" s="1002"/>
      <c r="F315" s="1000" t="s">
        <v>471</v>
      </c>
      <c r="G315" s="1001"/>
      <c r="H315" s="1001"/>
      <c r="I315" s="1002"/>
      <c r="J315" s="1043" t="s">
        <v>218</v>
      </c>
      <c r="K315" s="1000" t="s">
        <v>206</v>
      </c>
      <c r="L315" s="1001"/>
      <c r="M315" s="1002"/>
      <c r="N315" s="1000" t="s">
        <v>207</v>
      </c>
      <c r="O315" s="1001"/>
      <c r="P315" s="1002"/>
      <c r="Q315" s="1000" t="s">
        <v>208</v>
      </c>
      <c r="R315" s="1001"/>
      <c r="S315" s="1002"/>
      <c r="T315" s="1107" t="s">
        <v>205</v>
      </c>
    </row>
    <row r="316" spans="1:20" ht="87.6" thickBot="1" x14ac:dyDescent="0.35">
      <c r="A316" s="1045"/>
      <c r="B316" s="1045"/>
      <c r="C316" s="235" t="s">
        <v>222</v>
      </c>
      <c r="D316" s="236" t="s">
        <v>219</v>
      </c>
      <c r="E316" s="237" t="s">
        <v>220</v>
      </c>
      <c r="F316" s="238" t="s">
        <v>361</v>
      </c>
      <c r="G316" s="236" t="s">
        <v>215</v>
      </c>
      <c r="H316" s="239" t="s">
        <v>216</v>
      </c>
      <c r="I316" s="240" t="s">
        <v>217</v>
      </c>
      <c r="J316" s="1045"/>
      <c r="K316" s="235" t="s">
        <v>209</v>
      </c>
      <c r="L316" s="239" t="s">
        <v>210</v>
      </c>
      <c r="M316" s="241" t="s">
        <v>223</v>
      </c>
      <c r="N316" s="242" t="s">
        <v>211</v>
      </c>
      <c r="O316" s="239" t="s">
        <v>212</v>
      </c>
      <c r="P316" s="241" t="s">
        <v>224</v>
      </c>
      <c r="Q316" s="235" t="s">
        <v>213</v>
      </c>
      <c r="R316" s="239" t="s">
        <v>214</v>
      </c>
      <c r="S316" s="243" t="s">
        <v>225</v>
      </c>
      <c r="T316" s="1108"/>
    </row>
    <row r="317" spans="1:20" ht="25.5" customHeight="1" x14ac:dyDescent="0.3">
      <c r="A317" s="244" t="s">
        <v>110</v>
      </c>
      <c r="B317" s="245" t="s">
        <v>16</v>
      </c>
      <c r="C317" s="467">
        <f>+D317+E317</f>
        <v>0</v>
      </c>
      <c r="D317" s="246"/>
      <c r="E317" s="247"/>
      <c r="F317" s="610">
        <v>15000</v>
      </c>
      <c r="G317" s="468">
        <f>+H317+I317</f>
        <v>0</v>
      </c>
      <c r="H317" s="614"/>
      <c r="I317" s="616"/>
      <c r="J317" s="619"/>
      <c r="K317" s="467">
        <f>+L317-E317</f>
        <v>0</v>
      </c>
      <c r="L317" s="468">
        <f>+J317-D317</f>
        <v>0</v>
      </c>
      <c r="M317" s="469" t="str">
        <f>IFERROR(K317/L317,"-")</f>
        <v>-</v>
      </c>
      <c r="N317" s="470">
        <f>+O317-C317</f>
        <v>0</v>
      </c>
      <c r="O317" s="468">
        <f>+K317</f>
        <v>0</v>
      </c>
      <c r="P317" s="471" t="str">
        <f>IFERROR(N317/O317,"-")</f>
        <v>-</v>
      </c>
      <c r="Q317" s="468" t="str">
        <f>IFERROR(N317-(J317-(J317*H317/G317)),"-")</f>
        <v>-</v>
      </c>
      <c r="R317" s="468">
        <f>+N317</f>
        <v>0</v>
      </c>
      <c r="S317" s="472" t="str">
        <f>IFERROR(Q317/R317,"-")</f>
        <v>-</v>
      </c>
      <c r="T317" s="473" t="str">
        <f>IFERROR(M317*P317*S317,"-")</f>
        <v>-</v>
      </c>
    </row>
    <row r="318" spans="1:20" ht="23.4" x14ac:dyDescent="0.3">
      <c r="A318" s="248" t="s">
        <v>110</v>
      </c>
      <c r="B318" s="249" t="s">
        <v>229</v>
      </c>
      <c r="C318" s="474">
        <f t="shared" ref="C318:C332" si="240">+D318+E318</f>
        <v>270</v>
      </c>
      <c r="D318" s="250">
        <f>30+30</f>
        <v>60</v>
      </c>
      <c r="E318" s="251">
        <v>210</v>
      </c>
      <c r="F318" s="611">
        <v>200000</v>
      </c>
      <c r="G318" s="476">
        <f t="shared" ref="G318:G323" si="241">+H318+I318</f>
        <v>119561</v>
      </c>
      <c r="H318" s="254">
        <f>30600+88663</f>
        <v>119263</v>
      </c>
      <c r="I318" s="617">
        <f>155+143</f>
        <v>298</v>
      </c>
      <c r="J318" s="620">
        <v>960</v>
      </c>
      <c r="K318" s="474">
        <f t="shared" ref="K318:K321" si="242">+L318-E318</f>
        <v>690</v>
      </c>
      <c r="L318" s="476">
        <f t="shared" ref="L318:L332" si="243">+J318-D318</f>
        <v>900</v>
      </c>
      <c r="M318" s="477">
        <f t="shared" ref="M318:M321" si="244">IFERROR(K318/L318,"-")</f>
        <v>0.76666666666666672</v>
      </c>
      <c r="N318" s="478">
        <f>+O318-C318</f>
        <v>420</v>
      </c>
      <c r="O318" s="476">
        <f t="shared" ref="O318:O332" si="245">+K318</f>
        <v>690</v>
      </c>
      <c r="P318" s="479">
        <f>IFERROR(N318/O318,"-")</f>
        <v>0.60869565217391308</v>
      </c>
      <c r="Q318" s="476">
        <f t="shared" ref="Q318:Q332" si="246">IFERROR(N318-(J318-(J318*H318/G318)),"-")</f>
        <v>417.60724651014959</v>
      </c>
      <c r="R318" s="476">
        <f t="shared" ref="R318:R332" si="247">+N318</f>
        <v>420</v>
      </c>
      <c r="S318" s="480">
        <f t="shared" ref="S318:S332" si="248">IFERROR(Q318/R318,"-")</f>
        <v>0.99430296788130856</v>
      </c>
      <c r="T318" s="481">
        <f t="shared" ref="T318:T332" si="249">IFERROR(M318*P318*S318,"-")</f>
        <v>0.46400805167794407</v>
      </c>
    </row>
    <row r="319" spans="1:20" ht="23.4" x14ac:dyDescent="0.3">
      <c r="A319" s="248" t="s">
        <v>110</v>
      </c>
      <c r="B319" s="249" t="s">
        <v>228</v>
      </c>
      <c r="C319" s="474">
        <f t="shared" si="240"/>
        <v>0</v>
      </c>
      <c r="D319" s="250"/>
      <c r="E319" s="251"/>
      <c r="F319" s="611">
        <v>80000</v>
      </c>
      <c r="G319" s="476">
        <f t="shared" si="241"/>
        <v>0</v>
      </c>
      <c r="H319" s="254"/>
      <c r="I319" s="617"/>
      <c r="J319" s="620"/>
      <c r="K319" s="474">
        <f t="shared" si="242"/>
        <v>0</v>
      </c>
      <c r="L319" s="476">
        <f t="shared" si="243"/>
        <v>0</v>
      </c>
      <c r="M319" s="477" t="str">
        <f t="shared" si="244"/>
        <v>-</v>
      </c>
      <c r="N319" s="478">
        <f t="shared" ref="N319:N332" si="250">+O319-C319</f>
        <v>0</v>
      </c>
      <c r="O319" s="476">
        <f t="shared" si="245"/>
        <v>0</v>
      </c>
      <c r="P319" s="479" t="str">
        <f t="shared" ref="P319:P332" si="251">IFERROR(N319/O319,"-")</f>
        <v>-</v>
      </c>
      <c r="Q319" s="476" t="str">
        <f t="shared" si="246"/>
        <v>-</v>
      </c>
      <c r="R319" s="476">
        <f t="shared" si="247"/>
        <v>0</v>
      </c>
      <c r="S319" s="480" t="str">
        <f t="shared" si="248"/>
        <v>-</v>
      </c>
      <c r="T319" s="481" t="str">
        <f t="shared" si="249"/>
        <v>-</v>
      </c>
    </row>
    <row r="320" spans="1:20" ht="23.4" x14ac:dyDescent="0.3">
      <c r="A320" s="252" t="s">
        <v>110</v>
      </c>
      <c r="B320" s="249" t="s">
        <v>231</v>
      </c>
      <c r="C320" s="474">
        <f t="shared" si="240"/>
        <v>0</v>
      </c>
      <c r="D320" s="250"/>
      <c r="E320" s="251"/>
      <c r="F320" s="611">
        <v>110000</v>
      </c>
      <c r="G320" s="476">
        <f t="shared" si="241"/>
        <v>0</v>
      </c>
      <c r="H320" s="254"/>
      <c r="I320" s="617"/>
      <c r="J320" s="620"/>
      <c r="K320" s="474">
        <f t="shared" si="242"/>
        <v>0</v>
      </c>
      <c r="L320" s="476">
        <f t="shared" si="243"/>
        <v>0</v>
      </c>
      <c r="M320" s="477" t="str">
        <f t="shared" si="244"/>
        <v>-</v>
      </c>
      <c r="N320" s="478">
        <f t="shared" si="250"/>
        <v>0</v>
      </c>
      <c r="O320" s="476">
        <f t="shared" si="245"/>
        <v>0</v>
      </c>
      <c r="P320" s="479" t="str">
        <f t="shared" si="251"/>
        <v>-</v>
      </c>
      <c r="Q320" s="476" t="str">
        <f t="shared" si="246"/>
        <v>-</v>
      </c>
      <c r="R320" s="476">
        <f t="shared" si="247"/>
        <v>0</v>
      </c>
      <c r="S320" s="480" t="str">
        <f t="shared" si="248"/>
        <v>-</v>
      </c>
      <c r="T320" s="481" t="str">
        <f t="shared" si="249"/>
        <v>-</v>
      </c>
    </row>
    <row r="321" spans="1:20" ht="23.4" x14ac:dyDescent="0.3">
      <c r="A321" s="248" t="s">
        <v>110</v>
      </c>
      <c r="B321" s="249" t="s">
        <v>230</v>
      </c>
      <c r="C321" s="474">
        <f t="shared" si="240"/>
        <v>0</v>
      </c>
      <c r="D321" s="250"/>
      <c r="E321" s="251"/>
      <c r="F321" s="611">
        <v>50000</v>
      </c>
      <c r="G321" s="476">
        <f t="shared" si="241"/>
        <v>0</v>
      </c>
      <c r="H321" s="254"/>
      <c r="I321" s="617"/>
      <c r="J321" s="620"/>
      <c r="K321" s="474">
        <f t="shared" si="242"/>
        <v>0</v>
      </c>
      <c r="L321" s="476">
        <f t="shared" si="243"/>
        <v>0</v>
      </c>
      <c r="M321" s="477" t="str">
        <f t="shared" si="244"/>
        <v>-</v>
      </c>
      <c r="N321" s="478">
        <f t="shared" si="250"/>
        <v>0</v>
      </c>
      <c r="O321" s="476">
        <f t="shared" si="245"/>
        <v>0</v>
      </c>
      <c r="P321" s="479" t="str">
        <f t="shared" si="251"/>
        <v>-</v>
      </c>
      <c r="Q321" s="476" t="str">
        <f t="shared" si="246"/>
        <v>-</v>
      </c>
      <c r="R321" s="476">
        <f t="shared" si="247"/>
        <v>0</v>
      </c>
      <c r="S321" s="480" t="str">
        <f t="shared" si="248"/>
        <v>-</v>
      </c>
      <c r="T321" s="481" t="str">
        <f t="shared" si="249"/>
        <v>-</v>
      </c>
    </row>
    <row r="322" spans="1:20" ht="23.4" x14ac:dyDescent="0.3">
      <c r="A322" s="248">
        <v>5</v>
      </c>
      <c r="B322" s="249" t="s">
        <v>22</v>
      </c>
      <c r="C322" s="474">
        <f t="shared" si="240"/>
        <v>0</v>
      </c>
      <c r="D322" s="250"/>
      <c r="E322" s="251"/>
      <c r="F322" s="611">
        <v>80000</v>
      </c>
      <c r="G322" s="476">
        <f t="shared" si="241"/>
        <v>0</v>
      </c>
      <c r="H322" s="475"/>
      <c r="I322" s="621"/>
      <c r="J322" s="620"/>
      <c r="K322" s="474">
        <f>+L322-E322</f>
        <v>0</v>
      </c>
      <c r="L322" s="476">
        <f t="shared" si="243"/>
        <v>0</v>
      </c>
      <c r="M322" s="477" t="str">
        <f>IFERROR(K322/L322,"-")</f>
        <v>-</v>
      </c>
      <c r="N322" s="478">
        <f t="shared" si="250"/>
        <v>0</v>
      </c>
      <c r="O322" s="476">
        <f t="shared" si="245"/>
        <v>0</v>
      </c>
      <c r="P322" s="479" t="str">
        <f t="shared" si="251"/>
        <v>-</v>
      </c>
      <c r="Q322" s="476" t="str">
        <f t="shared" si="246"/>
        <v>-</v>
      </c>
      <c r="R322" s="476">
        <f t="shared" si="247"/>
        <v>0</v>
      </c>
      <c r="S322" s="480" t="str">
        <f t="shared" si="248"/>
        <v>-</v>
      </c>
      <c r="T322" s="481" t="str">
        <f t="shared" si="249"/>
        <v>-</v>
      </c>
    </row>
    <row r="323" spans="1:20" ht="23.4" x14ac:dyDescent="0.3">
      <c r="A323" s="248" t="s">
        <v>110</v>
      </c>
      <c r="B323" s="249" t="s">
        <v>23</v>
      </c>
      <c r="C323" s="474">
        <f t="shared" si="240"/>
        <v>0</v>
      </c>
      <c r="D323" s="250"/>
      <c r="E323" s="251"/>
      <c r="F323" s="611">
        <v>14000</v>
      </c>
      <c r="G323" s="476">
        <f t="shared" si="241"/>
        <v>12311</v>
      </c>
      <c r="H323" s="254">
        <f>2625+9625</f>
        <v>12250</v>
      </c>
      <c r="I323" s="617">
        <f>41+20</f>
        <v>61</v>
      </c>
      <c r="J323" s="620">
        <v>480</v>
      </c>
      <c r="K323" s="474">
        <f t="shared" ref="K323:K332" si="252">+L323-E323</f>
        <v>480</v>
      </c>
      <c r="L323" s="476">
        <f t="shared" si="243"/>
        <v>480</v>
      </c>
      <c r="M323" s="477">
        <f t="shared" ref="M323:M332" si="253">IFERROR(K323/L323,"-")</f>
        <v>1</v>
      </c>
      <c r="N323" s="478">
        <f t="shared" si="250"/>
        <v>480</v>
      </c>
      <c r="O323" s="476">
        <f t="shared" si="245"/>
        <v>480</v>
      </c>
      <c r="P323" s="479">
        <f t="shared" si="251"/>
        <v>1</v>
      </c>
      <c r="Q323" s="476">
        <f t="shared" si="246"/>
        <v>477.62163918446919</v>
      </c>
      <c r="R323" s="476">
        <f t="shared" si="247"/>
        <v>480</v>
      </c>
      <c r="S323" s="480">
        <f t="shared" si="248"/>
        <v>0.99504508163431082</v>
      </c>
      <c r="T323" s="481">
        <f t="shared" si="249"/>
        <v>0.99504508163431082</v>
      </c>
    </row>
    <row r="324" spans="1:20" ht="24" thickBot="1" x14ac:dyDescent="0.35">
      <c r="A324" s="248" t="s">
        <v>110</v>
      </c>
      <c r="B324" s="253" t="s">
        <v>226</v>
      </c>
      <c r="C324" s="482">
        <f t="shared" si="240"/>
        <v>325</v>
      </c>
      <c r="D324" s="250">
        <f>30+30+60+40+45</f>
        <v>205</v>
      </c>
      <c r="E324" s="251">
        <v>120</v>
      </c>
      <c r="F324" s="611">
        <v>4500</v>
      </c>
      <c r="G324" s="476">
        <f>+H324+I324</f>
        <v>37506</v>
      </c>
      <c r="H324" s="259">
        <v>37338</v>
      </c>
      <c r="I324" s="618">
        <v>168</v>
      </c>
      <c r="J324" s="620">
        <v>960</v>
      </c>
      <c r="K324" s="482">
        <f t="shared" si="252"/>
        <v>635</v>
      </c>
      <c r="L324" s="250">
        <f t="shared" si="243"/>
        <v>755</v>
      </c>
      <c r="M324" s="483">
        <f t="shared" si="253"/>
        <v>0.84105960264900659</v>
      </c>
      <c r="N324" s="484">
        <f t="shared" si="250"/>
        <v>310</v>
      </c>
      <c r="O324" s="250">
        <f t="shared" si="245"/>
        <v>635</v>
      </c>
      <c r="P324" s="485">
        <f t="shared" si="251"/>
        <v>0.48818897637795278</v>
      </c>
      <c r="Q324" s="250">
        <f t="shared" si="246"/>
        <v>305.69988801791715</v>
      </c>
      <c r="R324" s="250">
        <f t="shared" si="247"/>
        <v>310</v>
      </c>
      <c r="S324" s="486">
        <f t="shared" si="248"/>
        <v>0.98612867102553914</v>
      </c>
      <c r="T324" s="487">
        <f t="shared" si="249"/>
        <v>0.40490051393101606</v>
      </c>
    </row>
    <row r="325" spans="1:20" ht="24" thickBot="1" x14ac:dyDescent="0.35">
      <c r="A325" s="255" t="s">
        <v>110</v>
      </c>
      <c r="B325" s="256" t="s">
        <v>227</v>
      </c>
      <c r="C325" s="488">
        <f t="shared" si="240"/>
        <v>390</v>
      </c>
      <c r="D325" s="257">
        <f>30+30+60+120+30+60</f>
        <v>330</v>
      </c>
      <c r="E325" s="258">
        <v>60</v>
      </c>
      <c r="F325" s="615">
        <v>5000</v>
      </c>
      <c r="G325" s="498">
        <f t="shared" ref="G325:G332" si="254">+H325+I325</f>
        <v>21876</v>
      </c>
      <c r="H325" s="259">
        <v>21855</v>
      </c>
      <c r="I325" s="618">
        <v>21</v>
      </c>
      <c r="J325" s="623">
        <v>960</v>
      </c>
      <c r="K325" s="488">
        <f t="shared" si="252"/>
        <v>570</v>
      </c>
      <c r="L325" s="257">
        <f t="shared" si="243"/>
        <v>630</v>
      </c>
      <c r="M325" s="489">
        <f t="shared" si="253"/>
        <v>0.90476190476190477</v>
      </c>
      <c r="N325" s="490">
        <f t="shared" si="250"/>
        <v>180</v>
      </c>
      <c r="O325" s="257">
        <f t="shared" si="245"/>
        <v>570</v>
      </c>
      <c r="P325" s="491">
        <f t="shared" si="251"/>
        <v>0.31578947368421051</v>
      </c>
      <c r="Q325" s="257">
        <f t="shared" si="246"/>
        <v>179.07844212835982</v>
      </c>
      <c r="R325" s="257">
        <f t="shared" si="247"/>
        <v>180</v>
      </c>
      <c r="S325" s="492">
        <f t="shared" si="248"/>
        <v>0.99488023404644343</v>
      </c>
      <c r="T325" s="493">
        <f t="shared" si="249"/>
        <v>0.28425149544184097</v>
      </c>
    </row>
    <row r="326" spans="1:20" ht="23.4" x14ac:dyDescent="0.3">
      <c r="A326" s="252" t="s">
        <v>108</v>
      </c>
      <c r="B326" s="260" t="s">
        <v>29</v>
      </c>
      <c r="C326" s="474">
        <f t="shared" si="240"/>
        <v>420</v>
      </c>
      <c r="D326" s="250">
        <v>30</v>
      </c>
      <c r="E326" s="251">
        <v>390</v>
      </c>
      <c r="F326" s="475">
        <v>160000</v>
      </c>
      <c r="G326" s="476">
        <f t="shared" si="254"/>
        <v>85024</v>
      </c>
      <c r="H326" s="475">
        <v>83538</v>
      </c>
      <c r="I326" s="621">
        <v>1486</v>
      </c>
      <c r="J326" s="756">
        <v>900</v>
      </c>
      <c r="K326" s="474">
        <f t="shared" si="252"/>
        <v>480</v>
      </c>
      <c r="L326" s="476">
        <f t="shared" si="243"/>
        <v>870</v>
      </c>
      <c r="M326" s="477">
        <f t="shared" si="253"/>
        <v>0.55172413793103448</v>
      </c>
      <c r="N326" s="478">
        <f t="shared" si="250"/>
        <v>60</v>
      </c>
      <c r="O326" s="476">
        <f t="shared" si="245"/>
        <v>480</v>
      </c>
      <c r="P326" s="479">
        <f t="shared" si="251"/>
        <v>0.125</v>
      </c>
      <c r="Q326" s="476">
        <f t="shared" si="246"/>
        <v>44.270323673315715</v>
      </c>
      <c r="R326" s="476">
        <f t="shared" si="247"/>
        <v>60</v>
      </c>
      <c r="S326" s="494">
        <f t="shared" si="248"/>
        <v>0.73783872788859528</v>
      </c>
      <c r="T326" s="495">
        <f t="shared" si="249"/>
        <v>5.0885429509558294E-2</v>
      </c>
    </row>
    <row r="327" spans="1:20" ht="22.5" customHeight="1" x14ac:dyDescent="0.3">
      <c r="A327" s="248" t="s">
        <v>108</v>
      </c>
      <c r="B327" s="260" t="s">
        <v>31</v>
      </c>
      <c r="C327" s="474">
        <f t="shared" si="240"/>
        <v>165</v>
      </c>
      <c r="D327" s="769">
        <v>60</v>
      </c>
      <c r="E327" s="251">
        <v>105</v>
      </c>
      <c r="F327" s="475">
        <v>50000</v>
      </c>
      <c r="G327" s="476">
        <f t="shared" si="254"/>
        <v>32447</v>
      </c>
      <c r="H327" s="475">
        <v>31824</v>
      </c>
      <c r="I327" s="621">
        <v>623</v>
      </c>
      <c r="J327" s="620">
        <v>480</v>
      </c>
      <c r="K327" s="474">
        <f t="shared" si="252"/>
        <v>315</v>
      </c>
      <c r="L327" s="476">
        <f t="shared" si="243"/>
        <v>420</v>
      </c>
      <c r="M327" s="477">
        <f t="shared" si="253"/>
        <v>0.75</v>
      </c>
      <c r="N327" s="478">
        <f t="shared" si="250"/>
        <v>150</v>
      </c>
      <c r="O327" s="476">
        <f t="shared" si="245"/>
        <v>315</v>
      </c>
      <c r="P327" s="479">
        <f t="shared" si="251"/>
        <v>0.47619047619047616</v>
      </c>
      <c r="Q327" s="476">
        <f t="shared" si="246"/>
        <v>140.78373963694639</v>
      </c>
      <c r="R327" s="476">
        <f t="shared" si="247"/>
        <v>150</v>
      </c>
      <c r="S327" s="494">
        <f t="shared" si="248"/>
        <v>0.93855826424630928</v>
      </c>
      <c r="T327" s="495">
        <f t="shared" si="249"/>
        <v>0.33519938008796757</v>
      </c>
    </row>
    <row r="328" spans="1:20" ht="24" thickBot="1" x14ac:dyDescent="0.35">
      <c r="A328" s="255" t="s">
        <v>108</v>
      </c>
      <c r="B328" s="261" t="s">
        <v>32</v>
      </c>
      <c r="C328" s="496">
        <f t="shared" si="240"/>
        <v>0</v>
      </c>
      <c r="D328" s="257"/>
      <c r="E328" s="258"/>
      <c r="F328" s="497">
        <v>110000</v>
      </c>
      <c r="G328" s="498">
        <f t="shared" si="254"/>
        <v>0</v>
      </c>
      <c r="H328" s="497"/>
      <c r="I328" s="622"/>
      <c r="J328" s="623"/>
      <c r="K328" s="496">
        <f t="shared" si="252"/>
        <v>0</v>
      </c>
      <c r="L328" s="498">
        <f t="shared" si="243"/>
        <v>0</v>
      </c>
      <c r="M328" s="499" t="str">
        <f t="shared" si="253"/>
        <v>-</v>
      </c>
      <c r="N328" s="500">
        <f t="shared" si="250"/>
        <v>0</v>
      </c>
      <c r="O328" s="498">
        <f t="shared" si="245"/>
        <v>0</v>
      </c>
      <c r="P328" s="501" t="str">
        <f t="shared" si="251"/>
        <v>-</v>
      </c>
      <c r="Q328" s="498" t="str">
        <f t="shared" si="246"/>
        <v>-</v>
      </c>
      <c r="R328" s="498">
        <f t="shared" si="247"/>
        <v>0</v>
      </c>
      <c r="S328" s="502" t="str">
        <f t="shared" si="248"/>
        <v>-</v>
      </c>
      <c r="T328" s="503" t="str">
        <f t="shared" si="249"/>
        <v>-</v>
      </c>
    </row>
    <row r="329" spans="1:20" ht="23.4" x14ac:dyDescent="0.3">
      <c r="A329" s="248" t="s">
        <v>109</v>
      </c>
      <c r="B329" s="249" t="s">
        <v>233</v>
      </c>
      <c r="C329" s="474">
        <f t="shared" si="240"/>
        <v>450</v>
      </c>
      <c r="D329" s="250">
        <v>30</v>
      </c>
      <c r="E329" s="251">
        <v>420</v>
      </c>
      <c r="F329" s="475">
        <v>6500</v>
      </c>
      <c r="G329" s="476">
        <f t="shared" si="254"/>
        <v>320</v>
      </c>
      <c r="H329" s="475">
        <v>320</v>
      </c>
      <c r="I329" s="621"/>
      <c r="J329" s="620">
        <v>480</v>
      </c>
      <c r="K329" s="474">
        <f t="shared" si="252"/>
        <v>30</v>
      </c>
      <c r="L329" s="476">
        <f t="shared" si="243"/>
        <v>450</v>
      </c>
      <c r="M329" s="477">
        <f t="shared" si="253"/>
        <v>6.6666666666666666E-2</v>
      </c>
      <c r="N329" s="478">
        <f t="shared" si="250"/>
        <v>-420</v>
      </c>
      <c r="O329" s="476">
        <f t="shared" si="245"/>
        <v>30</v>
      </c>
      <c r="P329" s="479">
        <f t="shared" si="251"/>
        <v>-14</v>
      </c>
      <c r="Q329" s="476">
        <f t="shared" si="246"/>
        <v>-420</v>
      </c>
      <c r="R329" s="476">
        <f t="shared" si="247"/>
        <v>-420</v>
      </c>
      <c r="S329" s="494">
        <f t="shared" si="248"/>
        <v>1</v>
      </c>
      <c r="T329" s="495">
        <f t="shared" si="249"/>
        <v>-0.93333333333333335</v>
      </c>
    </row>
    <row r="330" spans="1:20" ht="23.4" x14ac:dyDescent="0.3">
      <c r="A330" s="252" t="s">
        <v>109</v>
      </c>
      <c r="B330" s="249" t="s">
        <v>40</v>
      </c>
      <c r="C330" s="474">
        <f t="shared" si="240"/>
        <v>0</v>
      </c>
      <c r="D330" s="250"/>
      <c r="E330" s="251"/>
      <c r="F330" s="475">
        <v>2800</v>
      </c>
      <c r="G330" s="476">
        <f t="shared" si="254"/>
        <v>0</v>
      </c>
      <c r="H330" s="475"/>
      <c r="I330" s="621"/>
      <c r="J330" s="620">
        <v>480</v>
      </c>
      <c r="K330" s="474">
        <f t="shared" si="252"/>
        <v>480</v>
      </c>
      <c r="L330" s="476">
        <f t="shared" si="243"/>
        <v>480</v>
      </c>
      <c r="M330" s="477">
        <f t="shared" si="253"/>
        <v>1</v>
      </c>
      <c r="N330" s="478">
        <f t="shared" si="250"/>
        <v>480</v>
      </c>
      <c r="O330" s="476">
        <f t="shared" si="245"/>
        <v>480</v>
      </c>
      <c r="P330" s="479">
        <f t="shared" si="251"/>
        <v>1</v>
      </c>
      <c r="Q330" s="476" t="str">
        <f t="shared" si="246"/>
        <v>-</v>
      </c>
      <c r="R330" s="476">
        <f t="shared" si="247"/>
        <v>480</v>
      </c>
      <c r="S330" s="494" t="str">
        <f t="shared" si="248"/>
        <v>-</v>
      </c>
      <c r="T330" s="495" t="str">
        <f t="shared" si="249"/>
        <v>-</v>
      </c>
    </row>
    <row r="331" spans="1:20" ht="23.4" x14ac:dyDescent="0.3">
      <c r="A331" s="248" t="s">
        <v>109</v>
      </c>
      <c r="B331" s="249" t="s">
        <v>42</v>
      </c>
      <c r="C331" s="474">
        <f t="shared" si="240"/>
        <v>30</v>
      </c>
      <c r="D331" s="250">
        <v>30</v>
      </c>
      <c r="E331" s="251"/>
      <c r="F331" s="475">
        <v>25000</v>
      </c>
      <c r="G331" s="476">
        <f t="shared" si="254"/>
        <v>22940</v>
      </c>
      <c r="H331" s="475">
        <v>22704</v>
      </c>
      <c r="I331" s="621">
        <v>236</v>
      </c>
      <c r="J331" s="620">
        <v>480</v>
      </c>
      <c r="K331" s="474">
        <f t="shared" si="252"/>
        <v>450</v>
      </c>
      <c r="L331" s="476">
        <f t="shared" si="243"/>
        <v>450</v>
      </c>
      <c r="M331" s="477">
        <f t="shared" si="253"/>
        <v>1</v>
      </c>
      <c r="N331" s="478">
        <f t="shared" si="250"/>
        <v>420</v>
      </c>
      <c r="O331" s="476">
        <f t="shared" si="245"/>
        <v>450</v>
      </c>
      <c r="P331" s="479">
        <f t="shared" si="251"/>
        <v>0.93333333333333335</v>
      </c>
      <c r="Q331" s="476">
        <f t="shared" si="246"/>
        <v>415.06190061028769</v>
      </c>
      <c r="R331" s="476">
        <f t="shared" si="247"/>
        <v>420</v>
      </c>
      <c r="S331" s="494">
        <f t="shared" si="248"/>
        <v>0.98824262050068501</v>
      </c>
      <c r="T331" s="495">
        <f t="shared" si="249"/>
        <v>0.92235977913397271</v>
      </c>
    </row>
    <row r="332" spans="1:20" ht="47.4" thickBot="1" x14ac:dyDescent="0.35">
      <c r="A332" s="625" t="s">
        <v>109</v>
      </c>
      <c r="B332" s="261" t="s">
        <v>232</v>
      </c>
      <c r="C332" s="626">
        <f t="shared" si="240"/>
        <v>30</v>
      </c>
      <c r="D332" s="627">
        <v>30</v>
      </c>
      <c r="E332" s="628"/>
      <c r="F332" s="629">
        <v>25000</v>
      </c>
      <c r="G332" s="630">
        <f t="shared" si="254"/>
        <v>19856</v>
      </c>
      <c r="H332" s="629">
        <v>19536</v>
      </c>
      <c r="I332" s="631">
        <v>320</v>
      </c>
      <c r="J332" s="624">
        <v>480</v>
      </c>
      <c r="K332" s="626">
        <f t="shared" si="252"/>
        <v>450</v>
      </c>
      <c r="L332" s="630">
        <f t="shared" si="243"/>
        <v>450</v>
      </c>
      <c r="M332" s="632">
        <f t="shared" si="253"/>
        <v>1</v>
      </c>
      <c r="N332" s="633">
        <f t="shared" si="250"/>
        <v>420</v>
      </c>
      <c r="O332" s="630">
        <f t="shared" si="245"/>
        <v>450</v>
      </c>
      <c r="P332" s="634">
        <f t="shared" si="251"/>
        <v>0.93333333333333335</v>
      </c>
      <c r="Q332" s="630">
        <f t="shared" si="246"/>
        <v>412.26430298146659</v>
      </c>
      <c r="R332" s="630">
        <f t="shared" si="247"/>
        <v>420</v>
      </c>
      <c r="S332" s="635">
        <f t="shared" si="248"/>
        <v>0.98158167376539662</v>
      </c>
      <c r="T332" s="636">
        <f t="shared" si="249"/>
        <v>0.91614289551437023</v>
      </c>
    </row>
    <row r="333" spans="1:20" ht="22.5" customHeight="1" x14ac:dyDescent="0.3">
      <c r="A333" s="1043" t="s">
        <v>1</v>
      </c>
      <c r="B333" s="1043" t="s">
        <v>2</v>
      </c>
      <c r="C333" s="1000" t="s">
        <v>221</v>
      </c>
      <c r="D333" s="1001"/>
      <c r="E333" s="1002"/>
      <c r="F333" s="1000" t="s">
        <v>468</v>
      </c>
      <c r="G333" s="1001"/>
      <c r="H333" s="1001"/>
      <c r="I333" s="1002"/>
      <c r="J333" s="1043" t="s">
        <v>218</v>
      </c>
      <c r="K333" s="1000" t="s">
        <v>206</v>
      </c>
      <c r="L333" s="1001"/>
      <c r="M333" s="1002"/>
      <c r="N333" s="1000" t="s">
        <v>207</v>
      </c>
      <c r="O333" s="1001"/>
      <c r="P333" s="1002"/>
      <c r="Q333" s="1000" t="s">
        <v>208</v>
      </c>
      <c r="R333" s="1001"/>
      <c r="S333" s="1002"/>
      <c r="T333" s="1107" t="s">
        <v>205</v>
      </c>
    </row>
    <row r="334" spans="1:20" ht="87.6" thickBot="1" x14ac:dyDescent="0.35">
      <c r="A334" s="1045"/>
      <c r="B334" s="1045"/>
      <c r="C334" s="235" t="s">
        <v>222</v>
      </c>
      <c r="D334" s="236" t="s">
        <v>219</v>
      </c>
      <c r="E334" s="237" t="s">
        <v>220</v>
      </c>
      <c r="F334" s="238" t="s">
        <v>361</v>
      </c>
      <c r="G334" s="236" t="s">
        <v>215</v>
      </c>
      <c r="H334" s="239" t="s">
        <v>216</v>
      </c>
      <c r="I334" s="240" t="s">
        <v>217</v>
      </c>
      <c r="J334" s="1045"/>
      <c r="K334" s="235" t="s">
        <v>209</v>
      </c>
      <c r="L334" s="239" t="s">
        <v>210</v>
      </c>
      <c r="M334" s="241" t="s">
        <v>223</v>
      </c>
      <c r="N334" s="242" t="s">
        <v>211</v>
      </c>
      <c r="O334" s="239" t="s">
        <v>212</v>
      </c>
      <c r="P334" s="241" t="s">
        <v>224</v>
      </c>
      <c r="Q334" s="235" t="s">
        <v>213</v>
      </c>
      <c r="R334" s="239" t="s">
        <v>214</v>
      </c>
      <c r="S334" s="243" t="s">
        <v>225</v>
      </c>
      <c r="T334" s="1108"/>
    </row>
    <row r="335" spans="1:20" ht="25.5" customHeight="1" x14ac:dyDescent="0.3">
      <c r="A335" s="244" t="s">
        <v>110</v>
      </c>
      <c r="B335" s="245" t="s">
        <v>16</v>
      </c>
      <c r="C335" s="467">
        <f>+D335+E335</f>
        <v>0</v>
      </c>
      <c r="D335" s="246"/>
      <c r="E335" s="247"/>
      <c r="F335" s="610">
        <v>15000</v>
      </c>
      <c r="G335" s="468">
        <f>+H335+I335</f>
        <v>0</v>
      </c>
      <c r="H335" s="614"/>
      <c r="I335" s="616"/>
      <c r="J335" s="619"/>
      <c r="K335" s="467">
        <f>+L335-E335</f>
        <v>0</v>
      </c>
      <c r="L335" s="468">
        <f>+J335-D335</f>
        <v>0</v>
      </c>
      <c r="M335" s="469" t="str">
        <f>IFERROR(K335/L335,"-")</f>
        <v>-</v>
      </c>
      <c r="N335" s="470">
        <f>+O335-C335</f>
        <v>0</v>
      </c>
      <c r="O335" s="468">
        <f>+K335</f>
        <v>0</v>
      </c>
      <c r="P335" s="471" t="str">
        <f>IFERROR(N335/O335,"-")</f>
        <v>-</v>
      </c>
      <c r="Q335" s="468" t="str">
        <f>IFERROR(N335-(J335-(J335*H335/G335)),"-")</f>
        <v>-</v>
      </c>
      <c r="R335" s="468">
        <f>+N335</f>
        <v>0</v>
      </c>
      <c r="S335" s="472" t="str">
        <f>IFERROR(Q335/R335,"-")</f>
        <v>-</v>
      </c>
      <c r="T335" s="473" t="str">
        <f>IFERROR(M335*P335*S335,"-")</f>
        <v>-</v>
      </c>
    </row>
    <row r="336" spans="1:20" ht="23.4" x14ac:dyDescent="0.3">
      <c r="A336" s="248" t="s">
        <v>110</v>
      </c>
      <c r="B336" s="249" t="s">
        <v>229</v>
      </c>
      <c r="C336" s="474">
        <f t="shared" ref="C336:C350" si="255">+D336+E336</f>
        <v>0</v>
      </c>
      <c r="D336" s="250"/>
      <c r="E336" s="251"/>
      <c r="F336" s="611">
        <v>200000</v>
      </c>
      <c r="G336" s="476">
        <f t="shared" ref="G336:G341" si="256">+H336+I336</f>
        <v>0</v>
      </c>
      <c r="H336" s="254"/>
      <c r="I336" s="617"/>
      <c r="J336" s="620"/>
      <c r="K336" s="474">
        <f t="shared" ref="K336:K339" si="257">+L336-E336</f>
        <v>0</v>
      </c>
      <c r="L336" s="476">
        <f t="shared" ref="L336:L350" si="258">+J336-D336</f>
        <v>0</v>
      </c>
      <c r="M336" s="477" t="str">
        <f t="shared" ref="M336:M339" si="259">IFERROR(K336/L336,"-")</f>
        <v>-</v>
      </c>
      <c r="N336" s="478">
        <f t="shared" ref="N336:N350" si="260">+O336-C336</f>
        <v>0</v>
      </c>
      <c r="O336" s="476">
        <f t="shared" ref="O336:O350" si="261">+K336</f>
        <v>0</v>
      </c>
      <c r="P336" s="479" t="str">
        <f>IFERROR(N336/O336,"-")</f>
        <v>-</v>
      </c>
      <c r="Q336" s="476" t="str">
        <f t="shared" ref="Q336:Q350" si="262">IFERROR(N336-(J336-(J336*H336/G336)),"-")</f>
        <v>-</v>
      </c>
      <c r="R336" s="476">
        <f t="shared" ref="R336:R350" si="263">+N336</f>
        <v>0</v>
      </c>
      <c r="S336" s="480" t="str">
        <f t="shared" ref="S336:S350" si="264">IFERROR(Q336/R336,"-")</f>
        <v>-</v>
      </c>
      <c r="T336" s="481" t="str">
        <f t="shared" ref="T336:T350" si="265">IFERROR(M336*P336*S336,"-")</f>
        <v>-</v>
      </c>
    </row>
    <row r="337" spans="1:20" ht="23.4" x14ac:dyDescent="0.3">
      <c r="A337" s="248" t="s">
        <v>110</v>
      </c>
      <c r="B337" s="249" t="s">
        <v>228</v>
      </c>
      <c r="C337" s="474">
        <f t="shared" si="255"/>
        <v>0</v>
      </c>
      <c r="D337" s="250"/>
      <c r="E337" s="251"/>
      <c r="F337" s="611">
        <v>80000</v>
      </c>
      <c r="G337" s="476">
        <f t="shared" si="256"/>
        <v>0</v>
      </c>
      <c r="H337" s="254"/>
      <c r="I337" s="617"/>
      <c r="J337" s="620"/>
      <c r="K337" s="474">
        <f t="shared" si="257"/>
        <v>0</v>
      </c>
      <c r="L337" s="476">
        <f t="shared" si="258"/>
        <v>0</v>
      </c>
      <c r="M337" s="477" t="str">
        <f t="shared" si="259"/>
        <v>-</v>
      </c>
      <c r="N337" s="478">
        <f t="shared" si="260"/>
        <v>0</v>
      </c>
      <c r="O337" s="476">
        <f t="shared" si="261"/>
        <v>0</v>
      </c>
      <c r="P337" s="479" t="str">
        <f t="shared" ref="P337:P350" si="266">IFERROR(N337/O337,"-")</f>
        <v>-</v>
      </c>
      <c r="Q337" s="476" t="str">
        <f t="shared" si="262"/>
        <v>-</v>
      </c>
      <c r="R337" s="476">
        <f t="shared" si="263"/>
        <v>0</v>
      </c>
      <c r="S337" s="480" t="str">
        <f t="shared" si="264"/>
        <v>-</v>
      </c>
      <c r="T337" s="481" t="str">
        <f t="shared" si="265"/>
        <v>-</v>
      </c>
    </row>
    <row r="338" spans="1:20" ht="23.4" x14ac:dyDescent="0.3">
      <c r="A338" s="252" t="s">
        <v>110</v>
      </c>
      <c r="B338" s="249" t="s">
        <v>231</v>
      </c>
      <c r="C338" s="474">
        <f t="shared" si="255"/>
        <v>0</v>
      </c>
      <c r="D338" s="250"/>
      <c r="E338" s="251"/>
      <c r="F338" s="611">
        <v>110000</v>
      </c>
      <c r="G338" s="476">
        <f t="shared" si="256"/>
        <v>0</v>
      </c>
      <c r="H338" s="254"/>
      <c r="I338" s="617"/>
      <c r="J338" s="620"/>
      <c r="K338" s="474">
        <f t="shared" si="257"/>
        <v>0</v>
      </c>
      <c r="L338" s="476">
        <f t="shared" si="258"/>
        <v>0</v>
      </c>
      <c r="M338" s="477" t="str">
        <f t="shared" si="259"/>
        <v>-</v>
      </c>
      <c r="N338" s="478">
        <f t="shared" si="260"/>
        <v>0</v>
      </c>
      <c r="O338" s="476">
        <f t="shared" si="261"/>
        <v>0</v>
      </c>
      <c r="P338" s="479" t="str">
        <f t="shared" si="266"/>
        <v>-</v>
      </c>
      <c r="Q338" s="476" t="str">
        <f t="shared" si="262"/>
        <v>-</v>
      </c>
      <c r="R338" s="476">
        <f t="shared" si="263"/>
        <v>0</v>
      </c>
      <c r="S338" s="480" t="str">
        <f t="shared" si="264"/>
        <v>-</v>
      </c>
      <c r="T338" s="481" t="str">
        <f t="shared" si="265"/>
        <v>-</v>
      </c>
    </row>
    <row r="339" spans="1:20" ht="23.4" x14ac:dyDescent="0.3">
      <c r="A339" s="248" t="s">
        <v>110</v>
      </c>
      <c r="B339" s="249" t="s">
        <v>230</v>
      </c>
      <c r="C339" s="474">
        <f t="shared" si="255"/>
        <v>0</v>
      </c>
      <c r="D339" s="250"/>
      <c r="E339" s="251"/>
      <c r="F339" s="611">
        <v>50000</v>
      </c>
      <c r="G339" s="476">
        <f t="shared" si="256"/>
        <v>0</v>
      </c>
      <c r="H339" s="254"/>
      <c r="I339" s="617"/>
      <c r="J339" s="620"/>
      <c r="K339" s="474">
        <f t="shared" si="257"/>
        <v>0</v>
      </c>
      <c r="L339" s="476">
        <f t="shared" si="258"/>
        <v>0</v>
      </c>
      <c r="M339" s="477" t="str">
        <f t="shared" si="259"/>
        <v>-</v>
      </c>
      <c r="N339" s="478">
        <f t="shared" si="260"/>
        <v>0</v>
      </c>
      <c r="O339" s="476">
        <f t="shared" si="261"/>
        <v>0</v>
      </c>
      <c r="P339" s="479" t="str">
        <f t="shared" si="266"/>
        <v>-</v>
      </c>
      <c r="Q339" s="476" t="str">
        <f t="shared" si="262"/>
        <v>-</v>
      </c>
      <c r="R339" s="476">
        <f t="shared" si="263"/>
        <v>0</v>
      </c>
      <c r="S339" s="480" t="str">
        <f t="shared" si="264"/>
        <v>-</v>
      </c>
      <c r="T339" s="481" t="str">
        <f t="shared" si="265"/>
        <v>-</v>
      </c>
    </row>
    <row r="340" spans="1:20" ht="23.4" x14ac:dyDescent="0.3">
      <c r="A340" s="248">
        <v>5</v>
      </c>
      <c r="B340" s="249" t="s">
        <v>22</v>
      </c>
      <c r="C340" s="474">
        <f t="shared" si="255"/>
        <v>0</v>
      </c>
      <c r="D340" s="250"/>
      <c r="E340" s="251"/>
      <c r="F340" s="611">
        <v>80000</v>
      </c>
      <c r="G340" s="476">
        <f t="shared" si="256"/>
        <v>0</v>
      </c>
      <c r="H340" s="475"/>
      <c r="I340" s="621"/>
      <c r="J340" s="620"/>
      <c r="K340" s="474">
        <f>+L340-E340</f>
        <v>0</v>
      </c>
      <c r="L340" s="476">
        <f t="shared" si="258"/>
        <v>0</v>
      </c>
      <c r="M340" s="477" t="str">
        <f>IFERROR(K340/L340,"-")</f>
        <v>-</v>
      </c>
      <c r="N340" s="478">
        <f t="shared" si="260"/>
        <v>0</v>
      </c>
      <c r="O340" s="476">
        <f t="shared" si="261"/>
        <v>0</v>
      </c>
      <c r="P340" s="479" t="str">
        <f t="shared" si="266"/>
        <v>-</v>
      </c>
      <c r="Q340" s="476" t="str">
        <f t="shared" si="262"/>
        <v>-</v>
      </c>
      <c r="R340" s="476">
        <f t="shared" si="263"/>
        <v>0</v>
      </c>
      <c r="S340" s="480" t="str">
        <f t="shared" si="264"/>
        <v>-</v>
      </c>
      <c r="T340" s="481" t="str">
        <f t="shared" si="265"/>
        <v>-</v>
      </c>
    </row>
    <row r="341" spans="1:20" ht="23.4" x14ac:dyDescent="0.3">
      <c r="A341" s="248" t="s">
        <v>110</v>
      </c>
      <c r="B341" s="249" t="s">
        <v>23</v>
      </c>
      <c r="C341" s="474">
        <f t="shared" si="255"/>
        <v>0</v>
      </c>
      <c r="D341" s="250"/>
      <c r="E341" s="251"/>
      <c r="F341" s="611">
        <v>14000</v>
      </c>
      <c r="G341" s="476">
        <f t="shared" si="256"/>
        <v>0</v>
      </c>
      <c r="H341" s="254"/>
      <c r="I341" s="617"/>
      <c r="J341" s="620"/>
      <c r="K341" s="474">
        <f t="shared" ref="K341:K350" si="267">+L341-E341</f>
        <v>0</v>
      </c>
      <c r="L341" s="476">
        <f t="shared" si="258"/>
        <v>0</v>
      </c>
      <c r="M341" s="477" t="str">
        <f t="shared" ref="M341:M350" si="268">IFERROR(K341/L341,"-")</f>
        <v>-</v>
      </c>
      <c r="N341" s="478">
        <f t="shared" si="260"/>
        <v>0</v>
      </c>
      <c r="O341" s="476">
        <f t="shared" si="261"/>
        <v>0</v>
      </c>
      <c r="P341" s="479" t="str">
        <f t="shared" si="266"/>
        <v>-</v>
      </c>
      <c r="Q341" s="476" t="str">
        <f t="shared" si="262"/>
        <v>-</v>
      </c>
      <c r="R341" s="476">
        <f t="shared" si="263"/>
        <v>0</v>
      </c>
      <c r="S341" s="480" t="str">
        <f t="shared" si="264"/>
        <v>-</v>
      </c>
      <c r="T341" s="481" t="str">
        <f t="shared" si="265"/>
        <v>-</v>
      </c>
    </row>
    <row r="342" spans="1:20" ht="24" thickBot="1" x14ac:dyDescent="0.35">
      <c r="A342" s="248" t="s">
        <v>110</v>
      </c>
      <c r="B342" s="253" t="s">
        <v>226</v>
      </c>
      <c r="C342" s="482">
        <f t="shared" si="255"/>
        <v>0</v>
      </c>
      <c r="D342" s="250"/>
      <c r="E342" s="251"/>
      <c r="F342" s="611">
        <v>4500</v>
      </c>
      <c r="G342" s="476">
        <f>+H342+I342</f>
        <v>0</v>
      </c>
      <c r="H342" s="259"/>
      <c r="I342" s="618"/>
      <c r="J342" s="620"/>
      <c r="K342" s="482">
        <f t="shared" si="267"/>
        <v>0</v>
      </c>
      <c r="L342" s="250">
        <f t="shared" si="258"/>
        <v>0</v>
      </c>
      <c r="M342" s="483" t="str">
        <f t="shared" si="268"/>
        <v>-</v>
      </c>
      <c r="N342" s="484">
        <f t="shared" si="260"/>
        <v>0</v>
      </c>
      <c r="O342" s="250">
        <f t="shared" si="261"/>
        <v>0</v>
      </c>
      <c r="P342" s="485" t="str">
        <f t="shared" si="266"/>
        <v>-</v>
      </c>
      <c r="Q342" s="250" t="str">
        <f t="shared" si="262"/>
        <v>-</v>
      </c>
      <c r="R342" s="250">
        <f t="shared" si="263"/>
        <v>0</v>
      </c>
      <c r="S342" s="486" t="str">
        <f t="shared" si="264"/>
        <v>-</v>
      </c>
      <c r="T342" s="487" t="str">
        <f t="shared" si="265"/>
        <v>-</v>
      </c>
    </row>
    <row r="343" spans="1:20" ht="24" thickBot="1" x14ac:dyDescent="0.35">
      <c r="A343" s="255" t="s">
        <v>110</v>
      </c>
      <c r="B343" s="256" t="s">
        <v>227</v>
      </c>
      <c r="C343" s="488">
        <f t="shared" si="255"/>
        <v>0</v>
      </c>
      <c r="D343" s="257"/>
      <c r="E343" s="258"/>
      <c r="F343" s="615">
        <v>5000</v>
      </c>
      <c r="G343" s="498">
        <f t="shared" ref="G343:G350" si="269">+H343+I343</f>
        <v>0</v>
      </c>
      <c r="H343" s="259"/>
      <c r="I343" s="618"/>
      <c r="J343" s="623"/>
      <c r="K343" s="488">
        <f t="shared" si="267"/>
        <v>0</v>
      </c>
      <c r="L343" s="257">
        <f t="shared" si="258"/>
        <v>0</v>
      </c>
      <c r="M343" s="489" t="str">
        <f t="shared" si="268"/>
        <v>-</v>
      </c>
      <c r="N343" s="490">
        <f t="shared" si="260"/>
        <v>0</v>
      </c>
      <c r="O343" s="257">
        <f t="shared" si="261"/>
        <v>0</v>
      </c>
      <c r="P343" s="491" t="str">
        <f t="shared" si="266"/>
        <v>-</v>
      </c>
      <c r="Q343" s="257" t="str">
        <f t="shared" si="262"/>
        <v>-</v>
      </c>
      <c r="R343" s="257">
        <f t="shared" si="263"/>
        <v>0</v>
      </c>
      <c r="S343" s="492" t="str">
        <f t="shared" si="264"/>
        <v>-</v>
      </c>
      <c r="T343" s="493" t="str">
        <f t="shared" si="265"/>
        <v>-</v>
      </c>
    </row>
    <row r="344" spans="1:20" ht="23.4" x14ac:dyDescent="0.3">
      <c r="A344" s="252" t="s">
        <v>108</v>
      </c>
      <c r="B344" s="260" t="s">
        <v>29</v>
      </c>
      <c r="C344" s="474">
        <f t="shared" si="255"/>
        <v>260</v>
      </c>
      <c r="D344" s="250">
        <f>30+30</f>
        <v>60</v>
      </c>
      <c r="E344" s="251">
        <f>75+125</f>
        <v>200</v>
      </c>
      <c r="F344" s="475">
        <v>240000</v>
      </c>
      <c r="G344" s="476">
        <f t="shared" si="269"/>
        <v>218874</v>
      </c>
      <c r="H344" s="475">
        <f>154836+59670</f>
        <v>214506</v>
      </c>
      <c r="I344" s="621">
        <f>3084+1284</f>
        <v>4368</v>
      </c>
      <c r="J344" s="756">
        <f>1080+420</f>
        <v>1500</v>
      </c>
      <c r="K344" s="474">
        <f t="shared" si="267"/>
        <v>1240</v>
      </c>
      <c r="L344" s="476">
        <f t="shared" si="258"/>
        <v>1440</v>
      </c>
      <c r="M344" s="477">
        <f t="shared" si="268"/>
        <v>0.86111111111111116</v>
      </c>
      <c r="N344" s="478">
        <f t="shared" si="260"/>
        <v>980</v>
      </c>
      <c r="O344" s="476">
        <f t="shared" si="261"/>
        <v>1240</v>
      </c>
      <c r="P344" s="479">
        <f t="shared" si="266"/>
        <v>0.79032258064516125</v>
      </c>
      <c r="Q344" s="476">
        <f t="shared" si="262"/>
        <v>950.06496888620859</v>
      </c>
      <c r="R344" s="476">
        <f t="shared" si="263"/>
        <v>980</v>
      </c>
      <c r="S344" s="494">
        <f t="shared" si="264"/>
        <v>0.96945404988388628</v>
      </c>
      <c r="T344" s="495">
        <f t="shared" si="265"/>
        <v>0.65976733950431155</v>
      </c>
    </row>
    <row r="345" spans="1:20" ht="22.5" customHeight="1" x14ac:dyDescent="0.3">
      <c r="A345" s="248" t="s">
        <v>108</v>
      </c>
      <c r="B345" s="260" t="s">
        <v>31</v>
      </c>
      <c r="C345" s="474">
        <f t="shared" si="255"/>
        <v>65</v>
      </c>
      <c r="D345" s="769">
        <f>30+20</f>
        <v>50</v>
      </c>
      <c r="E345" s="251">
        <v>15</v>
      </c>
      <c r="F345" s="475">
        <v>50000</v>
      </c>
      <c r="G345" s="476">
        <f t="shared" si="269"/>
        <v>72596</v>
      </c>
      <c r="H345" s="475">
        <f>26208+44928</f>
        <v>71136</v>
      </c>
      <c r="I345" s="621">
        <f>672+788</f>
        <v>1460</v>
      </c>
      <c r="J345" s="620">
        <f>300+450</f>
        <v>750</v>
      </c>
      <c r="K345" s="474">
        <f t="shared" si="267"/>
        <v>685</v>
      </c>
      <c r="L345" s="476">
        <f t="shared" si="258"/>
        <v>700</v>
      </c>
      <c r="M345" s="477">
        <f t="shared" si="268"/>
        <v>0.97857142857142854</v>
      </c>
      <c r="N345" s="478">
        <f t="shared" si="260"/>
        <v>620</v>
      </c>
      <c r="O345" s="476">
        <f t="shared" si="261"/>
        <v>685</v>
      </c>
      <c r="P345" s="479">
        <f t="shared" si="266"/>
        <v>0.9051094890510949</v>
      </c>
      <c r="Q345" s="476">
        <f t="shared" si="262"/>
        <v>604.91652432640922</v>
      </c>
      <c r="R345" s="476">
        <f t="shared" si="263"/>
        <v>620</v>
      </c>
      <c r="S345" s="494">
        <f t="shared" si="264"/>
        <v>0.97567181342969234</v>
      </c>
      <c r="T345" s="495">
        <f t="shared" si="265"/>
        <v>0.86416646332344171</v>
      </c>
    </row>
    <row r="346" spans="1:20" ht="24" thickBot="1" x14ac:dyDescent="0.35">
      <c r="A346" s="255" t="s">
        <v>108</v>
      </c>
      <c r="B346" s="261" t="s">
        <v>32</v>
      </c>
      <c r="C346" s="496">
        <f t="shared" si="255"/>
        <v>0</v>
      </c>
      <c r="D346" s="257"/>
      <c r="E346" s="258"/>
      <c r="F346" s="497">
        <v>110000</v>
      </c>
      <c r="G346" s="498">
        <f t="shared" si="269"/>
        <v>0</v>
      </c>
      <c r="H346" s="497"/>
      <c r="I346" s="622"/>
      <c r="J346" s="623"/>
      <c r="K346" s="496">
        <f t="shared" si="267"/>
        <v>0</v>
      </c>
      <c r="L346" s="498">
        <f t="shared" si="258"/>
        <v>0</v>
      </c>
      <c r="M346" s="499" t="str">
        <f t="shared" si="268"/>
        <v>-</v>
      </c>
      <c r="N346" s="500">
        <f t="shared" si="260"/>
        <v>0</v>
      </c>
      <c r="O346" s="498">
        <f t="shared" si="261"/>
        <v>0</v>
      </c>
      <c r="P346" s="501" t="str">
        <f t="shared" si="266"/>
        <v>-</v>
      </c>
      <c r="Q346" s="498" t="str">
        <f t="shared" si="262"/>
        <v>-</v>
      </c>
      <c r="R346" s="498">
        <f t="shared" si="263"/>
        <v>0</v>
      </c>
      <c r="S346" s="502" t="str">
        <f t="shared" si="264"/>
        <v>-</v>
      </c>
      <c r="T346" s="503" t="str">
        <f t="shared" si="265"/>
        <v>-</v>
      </c>
    </row>
    <row r="347" spans="1:20" ht="23.4" x14ac:dyDescent="0.3">
      <c r="A347" s="248" t="s">
        <v>109</v>
      </c>
      <c r="B347" s="249" t="s">
        <v>233</v>
      </c>
      <c r="C347" s="474">
        <f t="shared" si="255"/>
        <v>390</v>
      </c>
      <c r="D347" s="250">
        <f>30+30</f>
        <v>60</v>
      </c>
      <c r="E347" s="251">
        <f>180+150</f>
        <v>330</v>
      </c>
      <c r="F347" s="475">
        <v>6500</v>
      </c>
      <c r="G347" s="476">
        <f t="shared" si="269"/>
        <v>5277</v>
      </c>
      <c r="H347" s="475">
        <f>3200+1920</f>
        <v>5120</v>
      </c>
      <c r="I347" s="621">
        <f>111+46</f>
        <v>157</v>
      </c>
      <c r="J347" s="620">
        <f>480+480</f>
        <v>960</v>
      </c>
      <c r="K347" s="474">
        <f t="shared" si="267"/>
        <v>570</v>
      </c>
      <c r="L347" s="476">
        <f t="shared" si="258"/>
        <v>900</v>
      </c>
      <c r="M347" s="477">
        <f t="shared" si="268"/>
        <v>0.6333333333333333</v>
      </c>
      <c r="N347" s="478">
        <f t="shared" si="260"/>
        <v>180</v>
      </c>
      <c r="O347" s="476">
        <f t="shared" si="261"/>
        <v>570</v>
      </c>
      <c r="P347" s="479">
        <f t="shared" si="266"/>
        <v>0.31578947368421051</v>
      </c>
      <c r="Q347" s="476">
        <f t="shared" si="262"/>
        <v>151.43831722569644</v>
      </c>
      <c r="R347" s="476">
        <f t="shared" si="263"/>
        <v>180</v>
      </c>
      <c r="S347" s="494">
        <f t="shared" si="264"/>
        <v>0.84132398458720248</v>
      </c>
      <c r="T347" s="495">
        <f t="shared" si="265"/>
        <v>0.16826479691744048</v>
      </c>
    </row>
    <row r="348" spans="1:20" ht="23.4" x14ac:dyDescent="0.3">
      <c r="A348" s="252" t="s">
        <v>109</v>
      </c>
      <c r="B348" s="249" t="s">
        <v>40</v>
      </c>
      <c r="C348" s="474">
        <f t="shared" si="255"/>
        <v>0</v>
      </c>
      <c r="D348" s="250"/>
      <c r="E348" s="251"/>
      <c r="F348" s="475">
        <v>2800</v>
      </c>
      <c r="G348" s="476">
        <f t="shared" si="269"/>
        <v>0</v>
      </c>
      <c r="H348" s="475"/>
      <c r="I348" s="621"/>
      <c r="J348" s="620">
        <f>480+480</f>
        <v>960</v>
      </c>
      <c r="K348" s="474">
        <f t="shared" si="267"/>
        <v>960</v>
      </c>
      <c r="L348" s="476">
        <f t="shared" si="258"/>
        <v>960</v>
      </c>
      <c r="M348" s="477">
        <f t="shared" si="268"/>
        <v>1</v>
      </c>
      <c r="N348" s="478">
        <f t="shared" si="260"/>
        <v>960</v>
      </c>
      <c r="O348" s="476">
        <f t="shared" si="261"/>
        <v>960</v>
      </c>
      <c r="P348" s="479">
        <f t="shared" si="266"/>
        <v>1</v>
      </c>
      <c r="Q348" s="476" t="str">
        <f t="shared" si="262"/>
        <v>-</v>
      </c>
      <c r="R348" s="476">
        <f t="shared" si="263"/>
        <v>960</v>
      </c>
      <c r="S348" s="494" t="str">
        <f t="shared" si="264"/>
        <v>-</v>
      </c>
      <c r="T348" s="495" t="str">
        <f t="shared" si="265"/>
        <v>-</v>
      </c>
    </row>
    <row r="349" spans="1:20" ht="23.4" x14ac:dyDescent="0.3">
      <c r="A349" s="248" t="s">
        <v>109</v>
      </c>
      <c r="B349" s="249" t="s">
        <v>42</v>
      </c>
      <c r="C349" s="474">
        <f t="shared" si="255"/>
        <v>30</v>
      </c>
      <c r="D349" s="250">
        <v>30</v>
      </c>
      <c r="E349" s="251"/>
      <c r="F349" s="475">
        <v>25000</v>
      </c>
      <c r="G349" s="476">
        <f t="shared" si="269"/>
        <v>20510</v>
      </c>
      <c r="H349" s="475">
        <v>20352</v>
      </c>
      <c r="I349" s="621">
        <v>158</v>
      </c>
      <c r="J349" s="620">
        <v>480</v>
      </c>
      <c r="K349" s="474">
        <f t="shared" si="267"/>
        <v>450</v>
      </c>
      <c r="L349" s="476">
        <f t="shared" si="258"/>
        <v>450</v>
      </c>
      <c r="M349" s="477">
        <f t="shared" si="268"/>
        <v>1</v>
      </c>
      <c r="N349" s="478">
        <f t="shared" si="260"/>
        <v>420</v>
      </c>
      <c r="O349" s="476">
        <f t="shared" si="261"/>
        <v>450</v>
      </c>
      <c r="P349" s="479">
        <f t="shared" si="266"/>
        <v>0.93333333333333335</v>
      </c>
      <c r="Q349" s="476">
        <f t="shared" si="262"/>
        <v>416.30229156509017</v>
      </c>
      <c r="R349" s="476">
        <f t="shared" si="263"/>
        <v>420</v>
      </c>
      <c r="S349" s="494">
        <f t="shared" si="264"/>
        <v>0.99119593229783376</v>
      </c>
      <c r="T349" s="495">
        <f t="shared" si="265"/>
        <v>0.92511620347797818</v>
      </c>
    </row>
    <row r="350" spans="1:20" ht="47.4" thickBot="1" x14ac:dyDescent="0.35">
      <c r="A350" s="625" t="s">
        <v>109</v>
      </c>
      <c r="B350" s="261" t="s">
        <v>232</v>
      </c>
      <c r="C350" s="626">
        <f t="shared" si="255"/>
        <v>30</v>
      </c>
      <c r="D350" s="627">
        <v>30</v>
      </c>
      <c r="E350" s="628"/>
      <c r="F350" s="629">
        <v>25000</v>
      </c>
      <c r="G350" s="630">
        <f t="shared" si="269"/>
        <v>20354</v>
      </c>
      <c r="H350" s="629">
        <v>20160</v>
      </c>
      <c r="I350" s="631">
        <v>194</v>
      </c>
      <c r="J350" s="624">
        <v>480</v>
      </c>
      <c r="K350" s="626">
        <f t="shared" si="267"/>
        <v>450</v>
      </c>
      <c r="L350" s="630">
        <f t="shared" si="258"/>
        <v>450</v>
      </c>
      <c r="M350" s="632">
        <f t="shared" si="268"/>
        <v>1</v>
      </c>
      <c r="N350" s="633">
        <f t="shared" si="260"/>
        <v>420</v>
      </c>
      <c r="O350" s="630">
        <f t="shared" si="261"/>
        <v>450</v>
      </c>
      <c r="P350" s="634">
        <f t="shared" si="266"/>
        <v>0.93333333333333335</v>
      </c>
      <c r="Q350" s="630">
        <f t="shared" si="262"/>
        <v>415.42497789132358</v>
      </c>
      <c r="R350" s="630">
        <f t="shared" si="263"/>
        <v>420</v>
      </c>
      <c r="S350" s="635">
        <f t="shared" si="264"/>
        <v>0.98910709021743715</v>
      </c>
      <c r="T350" s="636">
        <f t="shared" si="265"/>
        <v>0.92316661753627471</v>
      </c>
    </row>
    <row r="351" spans="1:20" ht="22.5" customHeight="1" x14ac:dyDescent="0.3">
      <c r="A351" s="1043" t="s">
        <v>1</v>
      </c>
      <c r="B351" s="1043" t="s">
        <v>2</v>
      </c>
      <c r="C351" s="1000" t="s">
        <v>221</v>
      </c>
      <c r="D351" s="1001"/>
      <c r="E351" s="1002"/>
      <c r="F351" s="1000" t="s">
        <v>459</v>
      </c>
      <c r="G351" s="1001"/>
      <c r="H351" s="1001"/>
      <c r="I351" s="1002"/>
      <c r="J351" s="1043" t="s">
        <v>218</v>
      </c>
      <c r="K351" s="1000" t="s">
        <v>206</v>
      </c>
      <c r="L351" s="1001"/>
      <c r="M351" s="1002"/>
      <c r="N351" s="1000" t="s">
        <v>207</v>
      </c>
      <c r="O351" s="1001"/>
      <c r="P351" s="1002"/>
      <c r="Q351" s="1000" t="s">
        <v>208</v>
      </c>
      <c r="R351" s="1001"/>
      <c r="S351" s="1002"/>
      <c r="T351" s="1107" t="s">
        <v>205</v>
      </c>
    </row>
    <row r="352" spans="1:20" ht="87.6" thickBot="1" x14ac:dyDescent="0.35">
      <c r="A352" s="1045"/>
      <c r="B352" s="1045"/>
      <c r="C352" s="235" t="s">
        <v>222</v>
      </c>
      <c r="D352" s="236" t="s">
        <v>219</v>
      </c>
      <c r="E352" s="237" t="s">
        <v>220</v>
      </c>
      <c r="F352" s="238" t="s">
        <v>361</v>
      </c>
      <c r="G352" s="236" t="s">
        <v>215</v>
      </c>
      <c r="H352" s="239" t="s">
        <v>216</v>
      </c>
      <c r="I352" s="240" t="s">
        <v>217</v>
      </c>
      <c r="J352" s="1045"/>
      <c r="K352" s="235" t="s">
        <v>209</v>
      </c>
      <c r="L352" s="239" t="s">
        <v>210</v>
      </c>
      <c r="M352" s="241" t="s">
        <v>223</v>
      </c>
      <c r="N352" s="242" t="s">
        <v>211</v>
      </c>
      <c r="O352" s="239" t="s">
        <v>212</v>
      </c>
      <c r="P352" s="241" t="s">
        <v>224</v>
      </c>
      <c r="Q352" s="235" t="s">
        <v>213</v>
      </c>
      <c r="R352" s="239" t="s">
        <v>214</v>
      </c>
      <c r="S352" s="243" t="s">
        <v>225</v>
      </c>
      <c r="T352" s="1108"/>
    </row>
    <row r="353" spans="1:20" ht="25.5" customHeight="1" x14ac:dyDescent="0.3">
      <c r="A353" s="244" t="s">
        <v>110</v>
      </c>
      <c r="B353" s="245" t="s">
        <v>16</v>
      </c>
      <c r="C353" s="467">
        <f>+D353+E353</f>
        <v>75</v>
      </c>
      <c r="D353" s="246">
        <v>30</v>
      </c>
      <c r="E353" s="247">
        <v>45</v>
      </c>
      <c r="F353" s="610">
        <v>15000</v>
      </c>
      <c r="G353" s="468">
        <f>+H353+I353</f>
        <v>15744</v>
      </c>
      <c r="H353" s="614">
        <v>15634</v>
      </c>
      <c r="I353" s="616">
        <v>110</v>
      </c>
      <c r="J353" s="619">
        <v>480</v>
      </c>
      <c r="K353" s="467">
        <f>+L353-E353</f>
        <v>405</v>
      </c>
      <c r="L353" s="468">
        <f>+J353-D353</f>
        <v>450</v>
      </c>
      <c r="M353" s="469">
        <f>IFERROR(K353/L353,"-")</f>
        <v>0.9</v>
      </c>
      <c r="N353" s="470">
        <f>+O353-C353</f>
        <v>330</v>
      </c>
      <c r="O353" s="468">
        <f>+K353</f>
        <v>405</v>
      </c>
      <c r="P353" s="471">
        <f>IFERROR(N353/O353,"-")</f>
        <v>0.81481481481481477</v>
      </c>
      <c r="Q353" s="468">
        <f>IFERROR(N353-(J353-(J353*H353/G353)),"-")</f>
        <v>326.64634146341461</v>
      </c>
      <c r="R353" s="468">
        <f>+N353</f>
        <v>330</v>
      </c>
      <c r="S353" s="472">
        <f>IFERROR(Q353/R353,"-")</f>
        <v>0.98983739837398366</v>
      </c>
      <c r="T353" s="473">
        <f>IFERROR(M353*P353*S353,"-")</f>
        <v>0.72588075880758796</v>
      </c>
    </row>
    <row r="354" spans="1:20" ht="23.4" x14ac:dyDescent="0.3">
      <c r="A354" s="248" t="s">
        <v>110</v>
      </c>
      <c r="B354" s="249" t="s">
        <v>229</v>
      </c>
      <c r="C354" s="474">
        <f t="shared" ref="C354:C368" si="270">+D354+E354</f>
        <v>390</v>
      </c>
      <c r="D354" s="250">
        <f>30+30</f>
        <v>60</v>
      </c>
      <c r="E354" s="251">
        <f>270+60</f>
        <v>330</v>
      </c>
      <c r="F354" s="611">
        <v>200000</v>
      </c>
      <c r="G354" s="476">
        <f t="shared" ref="G354:G359" si="271">+H354+I354</f>
        <v>85994</v>
      </c>
      <c r="H354" s="254">
        <f>24480+61200</f>
        <v>85680</v>
      </c>
      <c r="I354" s="617">
        <f>155+159</f>
        <v>314</v>
      </c>
      <c r="J354" s="620">
        <v>960</v>
      </c>
      <c r="K354" s="474">
        <f t="shared" ref="K354:K357" si="272">+L354-E354</f>
        <v>570</v>
      </c>
      <c r="L354" s="476">
        <f t="shared" ref="L354:L368" si="273">+J354-D354</f>
        <v>900</v>
      </c>
      <c r="M354" s="477">
        <f t="shared" ref="M354:M357" si="274">IFERROR(K354/L354,"-")</f>
        <v>0.6333333333333333</v>
      </c>
      <c r="N354" s="478">
        <f t="shared" ref="N354:N368" si="275">+O354-C354</f>
        <v>180</v>
      </c>
      <c r="O354" s="476">
        <f t="shared" ref="O354:O368" si="276">+K354</f>
        <v>570</v>
      </c>
      <c r="P354" s="479">
        <f>IFERROR(N354/O354,"-")</f>
        <v>0.31578947368421051</v>
      </c>
      <c r="Q354" s="476">
        <f t="shared" ref="Q354:Q368" si="277">IFERROR(N354-(J354-(J354*H354/G354)),"-")</f>
        <v>176.49463916087166</v>
      </c>
      <c r="R354" s="476">
        <f t="shared" ref="R354:R368" si="278">+N354</f>
        <v>180</v>
      </c>
      <c r="S354" s="480">
        <f t="shared" ref="S354:S368" si="279">IFERROR(Q354/R354,"-")</f>
        <v>0.98052577311595368</v>
      </c>
      <c r="T354" s="481">
        <f t="shared" ref="T354:T368" si="280">IFERROR(M354*P354*S354,"-")</f>
        <v>0.19610515462319072</v>
      </c>
    </row>
    <row r="355" spans="1:20" ht="23.4" x14ac:dyDescent="0.3">
      <c r="A355" s="248" t="s">
        <v>110</v>
      </c>
      <c r="B355" s="249" t="s">
        <v>228</v>
      </c>
      <c r="C355" s="474">
        <f t="shared" si="270"/>
        <v>0</v>
      </c>
      <c r="D355" s="250"/>
      <c r="E355" s="251"/>
      <c r="F355" s="611">
        <v>80000</v>
      </c>
      <c r="G355" s="476">
        <f t="shared" si="271"/>
        <v>0</v>
      </c>
      <c r="H355" s="254"/>
      <c r="I355" s="617"/>
      <c r="J355" s="620"/>
      <c r="K355" s="474">
        <f t="shared" si="272"/>
        <v>0</v>
      </c>
      <c r="L355" s="476">
        <f t="shared" si="273"/>
        <v>0</v>
      </c>
      <c r="M355" s="477" t="str">
        <f t="shared" si="274"/>
        <v>-</v>
      </c>
      <c r="N355" s="478">
        <f t="shared" si="275"/>
        <v>0</v>
      </c>
      <c r="O355" s="476">
        <f t="shared" si="276"/>
        <v>0</v>
      </c>
      <c r="P355" s="479" t="str">
        <f t="shared" ref="P355:P368" si="281">IFERROR(N355/O355,"-")</f>
        <v>-</v>
      </c>
      <c r="Q355" s="476" t="str">
        <f t="shared" si="277"/>
        <v>-</v>
      </c>
      <c r="R355" s="476">
        <f t="shared" si="278"/>
        <v>0</v>
      </c>
      <c r="S355" s="480" t="str">
        <f t="shared" si="279"/>
        <v>-</v>
      </c>
      <c r="T355" s="481" t="str">
        <f t="shared" si="280"/>
        <v>-</v>
      </c>
    </row>
    <row r="356" spans="1:20" ht="23.4" x14ac:dyDescent="0.3">
      <c r="A356" s="252" t="s">
        <v>110</v>
      </c>
      <c r="B356" s="249" t="s">
        <v>231</v>
      </c>
      <c r="C356" s="474">
        <f t="shared" si="270"/>
        <v>0</v>
      </c>
      <c r="D356" s="250"/>
      <c r="E356" s="251"/>
      <c r="F356" s="611">
        <v>110000</v>
      </c>
      <c r="G356" s="476">
        <f t="shared" si="271"/>
        <v>0</v>
      </c>
      <c r="H356" s="254"/>
      <c r="I356" s="617"/>
      <c r="J356" s="620"/>
      <c r="K356" s="474">
        <f t="shared" si="272"/>
        <v>0</v>
      </c>
      <c r="L356" s="476">
        <f t="shared" si="273"/>
        <v>0</v>
      </c>
      <c r="M356" s="477" t="str">
        <f t="shared" si="274"/>
        <v>-</v>
      </c>
      <c r="N356" s="478">
        <f t="shared" si="275"/>
        <v>0</v>
      </c>
      <c r="O356" s="476">
        <f t="shared" si="276"/>
        <v>0</v>
      </c>
      <c r="P356" s="479" t="str">
        <f t="shared" si="281"/>
        <v>-</v>
      </c>
      <c r="Q356" s="476" t="str">
        <f t="shared" si="277"/>
        <v>-</v>
      </c>
      <c r="R356" s="476">
        <f t="shared" si="278"/>
        <v>0</v>
      </c>
      <c r="S356" s="480" t="str">
        <f t="shared" si="279"/>
        <v>-</v>
      </c>
      <c r="T356" s="481" t="str">
        <f t="shared" si="280"/>
        <v>-</v>
      </c>
    </row>
    <row r="357" spans="1:20" ht="23.4" x14ac:dyDescent="0.3">
      <c r="A357" s="248" t="s">
        <v>110</v>
      </c>
      <c r="B357" s="249" t="s">
        <v>230</v>
      </c>
      <c r="C357" s="474">
        <f t="shared" si="270"/>
        <v>0</v>
      </c>
      <c r="D357" s="250"/>
      <c r="E357" s="251"/>
      <c r="F357" s="611">
        <v>50000</v>
      </c>
      <c r="G357" s="476">
        <f t="shared" si="271"/>
        <v>0</v>
      </c>
      <c r="H357" s="254"/>
      <c r="I357" s="617"/>
      <c r="J357" s="620"/>
      <c r="K357" s="474">
        <f t="shared" si="272"/>
        <v>0</v>
      </c>
      <c r="L357" s="476">
        <f t="shared" si="273"/>
        <v>0</v>
      </c>
      <c r="M357" s="477" t="str">
        <f t="shared" si="274"/>
        <v>-</v>
      </c>
      <c r="N357" s="478">
        <f t="shared" si="275"/>
        <v>0</v>
      </c>
      <c r="O357" s="476">
        <f t="shared" si="276"/>
        <v>0</v>
      </c>
      <c r="P357" s="479" t="str">
        <f t="shared" si="281"/>
        <v>-</v>
      </c>
      <c r="Q357" s="476" t="str">
        <f t="shared" si="277"/>
        <v>-</v>
      </c>
      <c r="R357" s="476">
        <f t="shared" si="278"/>
        <v>0</v>
      </c>
      <c r="S357" s="480" t="str">
        <f t="shared" si="279"/>
        <v>-</v>
      </c>
      <c r="T357" s="481" t="str">
        <f t="shared" si="280"/>
        <v>-</v>
      </c>
    </row>
    <row r="358" spans="1:20" ht="23.4" x14ac:dyDescent="0.3">
      <c r="A358" s="248">
        <v>5</v>
      </c>
      <c r="B358" s="249" t="s">
        <v>22</v>
      </c>
      <c r="C358" s="474">
        <f t="shared" si="270"/>
        <v>0</v>
      </c>
      <c r="D358" s="250"/>
      <c r="E358" s="251"/>
      <c r="F358" s="611">
        <v>80000</v>
      </c>
      <c r="G358" s="476">
        <f t="shared" si="271"/>
        <v>0</v>
      </c>
      <c r="H358" s="475"/>
      <c r="I358" s="621"/>
      <c r="J358" s="620"/>
      <c r="K358" s="474">
        <f>+L358-E358</f>
        <v>0</v>
      </c>
      <c r="L358" s="476">
        <f t="shared" si="273"/>
        <v>0</v>
      </c>
      <c r="M358" s="477" t="str">
        <f>IFERROR(K358/L358,"-")</f>
        <v>-</v>
      </c>
      <c r="N358" s="478">
        <f t="shared" si="275"/>
        <v>0</v>
      </c>
      <c r="O358" s="476">
        <f t="shared" si="276"/>
        <v>0</v>
      </c>
      <c r="P358" s="479" t="str">
        <f t="shared" si="281"/>
        <v>-</v>
      </c>
      <c r="Q358" s="476" t="str">
        <f t="shared" si="277"/>
        <v>-</v>
      </c>
      <c r="R358" s="476">
        <f t="shared" si="278"/>
        <v>0</v>
      </c>
      <c r="S358" s="480" t="str">
        <f t="shared" si="279"/>
        <v>-</v>
      </c>
      <c r="T358" s="481" t="str">
        <f t="shared" si="280"/>
        <v>-</v>
      </c>
    </row>
    <row r="359" spans="1:20" ht="23.4" x14ac:dyDescent="0.3">
      <c r="A359" s="248" t="s">
        <v>110</v>
      </c>
      <c r="B359" s="249" t="s">
        <v>23</v>
      </c>
      <c r="C359" s="474">
        <f t="shared" si="270"/>
        <v>30</v>
      </c>
      <c r="D359" s="250">
        <v>30</v>
      </c>
      <c r="E359" s="251"/>
      <c r="F359" s="611">
        <v>14000</v>
      </c>
      <c r="G359" s="476">
        <f t="shared" si="271"/>
        <v>16063</v>
      </c>
      <c r="H359" s="254">
        <f>4240+11750</f>
        <v>15990</v>
      </c>
      <c r="I359" s="617">
        <v>73</v>
      </c>
      <c r="J359" s="620">
        <v>480</v>
      </c>
      <c r="K359" s="474">
        <f t="shared" ref="K359:K368" si="282">+L359-E359</f>
        <v>450</v>
      </c>
      <c r="L359" s="476">
        <f t="shared" si="273"/>
        <v>450</v>
      </c>
      <c r="M359" s="477">
        <f t="shared" ref="M359:M368" si="283">IFERROR(K359/L359,"-")</f>
        <v>1</v>
      </c>
      <c r="N359" s="478">
        <f t="shared" si="275"/>
        <v>420</v>
      </c>
      <c r="O359" s="476">
        <f t="shared" si="276"/>
        <v>450</v>
      </c>
      <c r="P359" s="479">
        <f t="shared" si="281"/>
        <v>0.93333333333333335</v>
      </c>
      <c r="Q359" s="476">
        <f t="shared" si="277"/>
        <v>417.81858930461311</v>
      </c>
      <c r="R359" s="476">
        <f t="shared" si="278"/>
        <v>420</v>
      </c>
      <c r="S359" s="480">
        <f t="shared" si="279"/>
        <v>0.99480616501098362</v>
      </c>
      <c r="T359" s="481">
        <f t="shared" si="280"/>
        <v>0.92848575401025135</v>
      </c>
    </row>
    <row r="360" spans="1:20" ht="24" thickBot="1" x14ac:dyDescent="0.35">
      <c r="A360" s="248" t="s">
        <v>110</v>
      </c>
      <c r="B360" s="253" t="s">
        <v>226</v>
      </c>
      <c r="C360" s="482">
        <f t="shared" si="270"/>
        <v>640</v>
      </c>
      <c r="D360" s="250">
        <f>30+30+30+60+20+20+40+90+90+15+105+45+10+45+10</f>
        <v>640</v>
      </c>
      <c r="E360" s="251"/>
      <c r="F360" s="611">
        <v>4500</v>
      </c>
      <c r="G360" s="476">
        <f>+H360+I360</f>
        <v>36685</v>
      </c>
      <c r="H360" s="259">
        <f>21598+14812</f>
        <v>36410</v>
      </c>
      <c r="I360" s="618">
        <f>73+202</f>
        <v>275</v>
      </c>
      <c r="J360" s="620">
        <v>960</v>
      </c>
      <c r="K360" s="482">
        <f t="shared" si="282"/>
        <v>320</v>
      </c>
      <c r="L360" s="250">
        <f t="shared" si="273"/>
        <v>320</v>
      </c>
      <c r="M360" s="483">
        <f t="shared" si="283"/>
        <v>1</v>
      </c>
      <c r="N360" s="484">
        <f t="shared" si="275"/>
        <v>-320</v>
      </c>
      <c r="O360" s="250">
        <f t="shared" si="276"/>
        <v>320</v>
      </c>
      <c r="P360" s="485">
        <f t="shared" si="281"/>
        <v>-1</v>
      </c>
      <c r="Q360" s="250">
        <f t="shared" si="277"/>
        <v>-327.1964017991005</v>
      </c>
      <c r="R360" s="250">
        <f t="shared" si="278"/>
        <v>-320</v>
      </c>
      <c r="S360" s="486">
        <f t="shared" si="279"/>
        <v>1.0224887556221891</v>
      </c>
      <c r="T360" s="487">
        <f t="shared" si="280"/>
        <v>-1.0224887556221891</v>
      </c>
    </row>
    <row r="361" spans="1:20" ht="24" thickBot="1" x14ac:dyDescent="0.35">
      <c r="A361" s="255" t="s">
        <v>110</v>
      </c>
      <c r="B361" s="256" t="s">
        <v>227</v>
      </c>
      <c r="C361" s="488">
        <f t="shared" si="270"/>
        <v>325</v>
      </c>
      <c r="D361" s="257">
        <f>30+30+60+20+90+80+15</f>
        <v>325</v>
      </c>
      <c r="E361" s="258"/>
      <c r="F361" s="615">
        <v>5000</v>
      </c>
      <c r="G361" s="498">
        <f t="shared" ref="G361:G368" si="284">+H361+I361</f>
        <v>40807</v>
      </c>
      <c r="H361" s="259">
        <f>30949+9790</f>
        <v>40739</v>
      </c>
      <c r="I361" s="618">
        <f>15+53</f>
        <v>68</v>
      </c>
      <c r="J361" s="623">
        <v>1440</v>
      </c>
      <c r="K361" s="488">
        <f t="shared" si="282"/>
        <v>1115</v>
      </c>
      <c r="L361" s="257">
        <f t="shared" si="273"/>
        <v>1115</v>
      </c>
      <c r="M361" s="489">
        <f t="shared" si="283"/>
        <v>1</v>
      </c>
      <c r="N361" s="490">
        <f t="shared" si="275"/>
        <v>790</v>
      </c>
      <c r="O361" s="257">
        <f t="shared" si="276"/>
        <v>1115</v>
      </c>
      <c r="P361" s="491">
        <f t="shared" si="281"/>
        <v>0.70852017937219736</v>
      </c>
      <c r="Q361" s="257">
        <f t="shared" si="277"/>
        <v>787.60041169407214</v>
      </c>
      <c r="R361" s="257">
        <f t="shared" si="278"/>
        <v>790</v>
      </c>
      <c r="S361" s="492">
        <f t="shared" si="279"/>
        <v>0.9969625464481926</v>
      </c>
      <c r="T361" s="493">
        <f t="shared" si="280"/>
        <v>0.706368082236836</v>
      </c>
    </row>
    <row r="362" spans="1:20" ht="23.4" x14ac:dyDescent="0.3">
      <c r="A362" s="252" t="s">
        <v>108</v>
      </c>
      <c r="B362" s="260" t="s">
        <v>29</v>
      </c>
      <c r="C362" s="474">
        <f t="shared" si="270"/>
        <v>405</v>
      </c>
      <c r="D362" s="250">
        <f>30+30+30+30+30</f>
        <v>150</v>
      </c>
      <c r="E362" s="251">
        <f>120+45+60+30</f>
        <v>255</v>
      </c>
      <c r="F362" s="475">
        <v>240000</v>
      </c>
      <c r="G362" s="476">
        <f t="shared" si="284"/>
        <v>192407</v>
      </c>
      <c r="H362" s="475">
        <f>27846+83538+79560</f>
        <v>190944</v>
      </c>
      <c r="I362" s="621">
        <f>587+476+400</f>
        <v>1463</v>
      </c>
      <c r="J362" s="756">
        <v>1440</v>
      </c>
      <c r="K362" s="474">
        <f t="shared" si="282"/>
        <v>1035</v>
      </c>
      <c r="L362" s="476">
        <f t="shared" si="273"/>
        <v>1290</v>
      </c>
      <c r="M362" s="477">
        <f t="shared" si="283"/>
        <v>0.80232558139534882</v>
      </c>
      <c r="N362" s="478">
        <f t="shared" si="275"/>
        <v>630</v>
      </c>
      <c r="O362" s="476">
        <f t="shared" si="276"/>
        <v>1035</v>
      </c>
      <c r="P362" s="479">
        <f t="shared" si="281"/>
        <v>0.60869565217391308</v>
      </c>
      <c r="Q362" s="476">
        <f t="shared" si="277"/>
        <v>619.05071021324579</v>
      </c>
      <c r="R362" s="476">
        <f t="shared" si="278"/>
        <v>630</v>
      </c>
      <c r="S362" s="494">
        <f t="shared" si="279"/>
        <v>0.98262017494165999</v>
      </c>
      <c r="T362" s="495">
        <f t="shared" si="280"/>
        <v>0.47988427148313628</v>
      </c>
    </row>
    <row r="363" spans="1:20" ht="22.5" customHeight="1" x14ac:dyDescent="0.3">
      <c r="A363" s="248" t="s">
        <v>108</v>
      </c>
      <c r="B363" s="260" t="s">
        <v>31</v>
      </c>
      <c r="C363" s="474">
        <f t="shared" si="270"/>
        <v>0</v>
      </c>
      <c r="D363" s="769"/>
      <c r="E363" s="251"/>
      <c r="F363" s="475">
        <v>50000</v>
      </c>
      <c r="G363" s="476">
        <f t="shared" si="284"/>
        <v>0</v>
      </c>
      <c r="H363" s="475"/>
      <c r="I363" s="621"/>
      <c r="J363" s="620"/>
      <c r="K363" s="474">
        <f t="shared" si="282"/>
        <v>0</v>
      </c>
      <c r="L363" s="476">
        <f t="shared" si="273"/>
        <v>0</v>
      </c>
      <c r="M363" s="477" t="str">
        <f t="shared" si="283"/>
        <v>-</v>
      </c>
      <c r="N363" s="478">
        <f t="shared" si="275"/>
        <v>0</v>
      </c>
      <c r="O363" s="476">
        <f t="shared" si="276"/>
        <v>0</v>
      </c>
      <c r="P363" s="479" t="str">
        <f t="shared" si="281"/>
        <v>-</v>
      </c>
      <c r="Q363" s="476" t="str">
        <f t="shared" si="277"/>
        <v>-</v>
      </c>
      <c r="R363" s="476">
        <f t="shared" si="278"/>
        <v>0</v>
      </c>
      <c r="S363" s="494" t="str">
        <f t="shared" si="279"/>
        <v>-</v>
      </c>
      <c r="T363" s="495" t="str">
        <f t="shared" si="280"/>
        <v>-</v>
      </c>
    </row>
    <row r="364" spans="1:20" ht="24" thickBot="1" x14ac:dyDescent="0.35">
      <c r="A364" s="255" t="s">
        <v>108</v>
      </c>
      <c r="B364" s="261" t="s">
        <v>32</v>
      </c>
      <c r="C364" s="496">
        <f t="shared" si="270"/>
        <v>0</v>
      </c>
      <c r="D364" s="257"/>
      <c r="E364" s="258"/>
      <c r="F364" s="497">
        <v>110000</v>
      </c>
      <c r="G364" s="498">
        <f t="shared" si="284"/>
        <v>0</v>
      </c>
      <c r="H364" s="497"/>
      <c r="I364" s="622"/>
      <c r="J364" s="623"/>
      <c r="K364" s="496">
        <f t="shared" si="282"/>
        <v>0</v>
      </c>
      <c r="L364" s="498">
        <f t="shared" si="273"/>
        <v>0</v>
      </c>
      <c r="M364" s="499" t="str">
        <f t="shared" si="283"/>
        <v>-</v>
      </c>
      <c r="N364" s="500">
        <f t="shared" si="275"/>
        <v>0</v>
      </c>
      <c r="O364" s="498">
        <f t="shared" si="276"/>
        <v>0</v>
      </c>
      <c r="P364" s="501" t="str">
        <f t="shared" si="281"/>
        <v>-</v>
      </c>
      <c r="Q364" s="498" t="str">
        <f t="shared" si="277"/>
        <v>-</v>
      </c>
      <c r="R364" s="498">
        <f t="shared" si="278"/>
        <v>0</v>
      </c>
      <c r="S364" s="502" t="str">
        <f t="shared" si="279"/>
        <v>-</v>
      </c>
      <c r="T364" s="503" t="str">
        <f t="shared" si="280"/>
        <v>-</v>
      </c>
    </row>
    <row r="365" spans="1:20" ht="23.4" x14ac:dyDescent="0.3">
      <c r="A365" s="248" t="s">
        <v>109</v>
      </c>
      <c r="B365" s="249" t="s">
        <v>233</v>
      </c>
      <c r="C365" s="474">
        <f t="shared" si="270"/>
        <v>150</v>
      </c>
      <c r="D365" s="250">
        <v>30</v>
      </c>
      <c r="E365" s="251">
        <v>120</v>
      </c>
      <c r="F365" s="475">
        <v>6500</v>
      </c>
      <c r="G365" s="476">
        <f t="shared" si="284"/>
        <v>3906</v>
      </c>
      <c r="H365" s="475">
        <v>3840</v>
      </c>
      <c r="I365" s="621">
        <v>66</v>
      </c>
      <c r="J365" s="620">
        <v>480</v>
      </c>
      <c r="K365" s="474">
        <f t="shared" si="282"/>
        <v>330</v>
      </c>
      <c r="L365" s="476">
        <f t="shared" si="273"/>
        <v>450</v>
      </c>
      <c r="M365" s="477">
        <f t="shared" si="283"/>
        <v>0.73333333333333328</v>
      </c>
      <c r="N365" s="478">
        <f t="shared" si="275"/>
        <v>180</v>
      </c>
      <c r="O365" s="476">
        <f t="shared" si="276"/>
        <v>330</v>
      </c>
      <c r="P365" s="479">
        <f t="shared" si="281"/>
        <v>0.54545454545454541</v>
      </c>
      <c r="Q365" s="476">
        <f t="shared" si="277"/>
        <v>171.88940092165899</v>
      </c>
      <c r="R365" s="476">
        <f t="shared" si="278"/>
        <v>180</v>
      </c>
      <c r="S365" s="494">
        <f t="shared" si="279"/>
        <v>0.95494111623143885</v>
      </c>
      <c r="T365" s="495">
        <f t="shared" si="280"/>
        <v>0.38197644649257551</v>
      </c>
    </row>
    <row r="366" spans="1:20" ht="23.4" x14ac:dyDescent="0.3">
      <c r="A366" s="252" t="s">
        <v>109</v>
      </c>
      <c r="B366" s="249" t="s">
        <v>40</v>
      </c>
      <c r="C366" s="474">
        <f t="shared" si="270"/>
        <v>0</v>
      </c>
      <c r="D366" s="250"/>
      <c r="E366" s="251"/>
      <c r="F366" s="475">
        <v>2800</v>
      </c>
      <c r="G366" s="476">
        <f t="shared" si="284"/>
        <v>0</v>
      </c>
      <c r="H366" s="475"/>
      <c r="I366" s="621"/>
      <c r="J366" s="620">
        <v>480</v>
      </c>
      <c r="K366" s="474">
        <f t="shared" si="282"/>
        <v>480</v>
      </c>
      <c r="L366" s="476">
        <f t="shared" si="273"/>
        <v>480</v>
      </c>
      <c r="M366" s="477">
        <f t="shared" si="283"/>
        <v>1</v>
      </c>
      <c r="N366" s="478">
        <f t="shared" si="275"/>
        <v>480</v>
      </c>
      <c r="O366" s="476">
        <f t="shared" si="276"/>
        <v>480</v>
      </c>
      <c r="P366" s="479">
        <f t="shared" si="281"/>
        <v>1</v>
      </c>
      <c r="Q366" s="476" t="str">
        <f t="shared" si="277"/>
        <v>-</v>
      </c>
      <c r="R366" s="476">
        <f t="shared" si="278"/>
        <v>480</v>
      </c>
      <c r="S366" s="494" t="str">
        <f t="shared" si="279"/>
        <v>-</v>
      </c>
      <c r="T366" s="495" t="str">
        <f t="shared" si="280"/>
        <v>-</v>
      </c>
    </row>
    <row r="367" spans="1:20" ht="23.4" x14ac:dyDescent="0.3">
      <c r="A367" s="248" t="s">
        <v>109</v>
      </c>
      <c r="B367" s="249" t="s">
        <v>42</v>
      </c>
      <c r="C367" s="474">
        <f t="shared" si="270"/>
        <v>30</v>
      </c>
      <c r="D367" s="250">
        <v>30</v>
      </c>
      <c r="E367" s="251"/>
      <c r="F367" s="475">
        <v>25000</v>
      </c>
      <c r="G367" s="476">
        <f t="shared" si="284"/>
        <v>19396</v>
      </c>
      <c r="H367" s="475">
        <v>19116</v>
      </c>
      <c r="I367" s="621">
        <v>280</v>
      </c>
      <c r="J367" s="620">
        <v>480</v>
      </c>
      <c r="K367" s="474">
        <f t="shared" si="282"/>
        <v>450</v>
      </c>
      <c r="L367" s="476">
        <f t="shared" si="273"/>
        <v>450</v>
      </c>
      <c r="M367" s="477">
        <f t="shared" si="283"/>
        <v>1</v>
      </c>
      <c r="N367" s="478">
        <f t="shared" si="275"/>
        <v>420</v>
      </c>
      <c r="O367" s="476">
        <f t="shared" si="276"/>
        <v>450</v>
      </c>
      <c r="P367" s="479">
        <f t="shared" si="281"/>
        <v>0.93333333333333335</v>
      </c>
      <c r="Q367" s="476">
        <f t="shared" si="277"/>
        <v>413.0707362342751</v>
      </c>
      <c r="R367" s="476">
        <f t="shared" si="278"/>
        <v>420</v>
      </c>
      <c r="S367" s="494">
        <f t="shared" si="279"/>
        <v>0.9835017529387502</v>
      </c>
      <c r="T367" s="495">
        <f t="shared" si="280"/>
        <v>0.91793496940950015</v>
      </c>
    </row>
    <row r="368" spans="1:20" ht="47.4" thickBot="1" x14ac:dyDescent="0.35">
      <c r="A368" s="625" t="s">
        <v>109</v>
      </c>
      <c r="B368" s="261" t="s">
        <v>232</v>
      </c>
      <c r="C368" s="626">
        <f t="shared" si="270"/>
        <v>270</v>
      </c>
      <c r="D368" s="627">
        <v>30</v>
      </c>
      <c r="E368" s="628">
        <v>240</v>
      </c>
      <c r="F368" s="629">
        <v>25000</v>
      </c>
      <c r="G368" s="630">
        <f t="shared" si="284"/>
        <v>6013</v>
      </c>
      <c r="H368" s="629">
        <v>5760</v>
      </c>
      <c r="I368" s="631">
        <v>253</v>
      </c>
      <c r="J368" s="624">
        <v>480</v>
      </c>
      <c r="K368" s="626">
        <f t="shared" si="282"/>
        <v>210</v>
      </c>
      <c r="L368" s="630">
        <f t="shared" si="273"/>
        <v>450</v>
      </c>
      <c r="M368" s="632">
        <f t="shared" si="283"/>
        <v>0.46666666666666667</v>
      </c>
      <c r="N368" s="633">
        <f t="shared" si="275"/>
        <v>-60</v>
      </c>
      <c r="O368" s="630">
        <f t="shared" si="276"/>
        <v>210</v>
      </c>
      <c r="P368" s="634">
        <f t="shared" si="281"/>
        <v>-0.2857142857142857</v>
      </c>
      <c r="Q368" s="630">
        <f t="shared" si="277"/>
        <v>-80.196241476800253</v>
      </c>
      <c r="R368" s="630">
        <f t="shared" si="278"/>
        <v>-60</v>
      </c>
      <c r="S368" s="635">
        <f t="shared" si="279"/>
        <v>1.3366040246133375</v>
      </c>
      <c r="T368" s="636">
        <f t="shared" si="280"/>
        <v>-0.17821386994844499</v>
      </c>
    </row>
    <row r="369" spans="1:20" ht="22.5" customHeight="1" x14ac:dyDescent="0.3">
      <c r="A369" s="1043" t="s">
        <v>1</v>
      </c>
      <c r="B369" s="1043" t="s">
        <v>2</v>
      </c>
      <c r="C369" s="1000" t="s">
        <v>221</v>
      </c>
      <c r="D369" s="1001"/>
      <c r="E369" s="1002"/>
      <c r="F369" s="1000" t="s">
        <v>449</v>
      </c>
      <c r="G369" s="1001"/>
      <c r="H369" s="1001"/>
      <c r="I369" s="1002"/>
      <c r="J369" s="1043" t="s">
        <v>218</v>
      </c>
      <c r="K369" s="1000" t="s">
        <v>206</v>
      </c>
      <c r="L369" s="1001"/>
      <c r="M369" s="1002"/>
      <c r="N369" s="1000" t="s">
        <v>207</v>
      </c>
      <c r="O369" s="1001"/>
      <c r="P369" s="1002"/>
      <c r="Q369" s="1000" t="s">
        <v>208</v>
      </c>
      <c r="R369" s="1001"/>
      <c r="S369" s="1002"/>
      <c r="T369" s="1107" t="s">
        <v>205</v>
      </c>
    </row>
    <row r="370" spans="1:20" ht="87.6" thickBot="1" x14ac:dyDescent="0.35">
      <c r="A370" s="1045"/>
      <c r="B370" s="1045"/>
      <c r="C370" s="235" t="s">
        <v>222</v>
      </c>
      <c r="D370" s="236" t="s">
        <v>219</v>
      </c>
      <c r="E370" s="237" t="s">
        <v>220</v>
      </c>
      <c r="F370" s="238" t="s">
        <v>361</v>
      </c>
      <c r="G370" s="236" t="s">
        <v>215</v>
      </c>
      <c r="H370" s="239" t="s">
        <v>216</v>
      </c>
      <c r="I370" s="240" t="s">
        <v>217</v>
      </c>
      <c r="J370" s="1045"/>
      <c r="K370" s="235" t="s">
        <v>209</v>
      </c>
      <c r="L370" s="239" t="s">
        <v>210</v>
      </c>
      <c r="M370" s="241" t="s">
        <v>223</v>
      </c>
      <c r="N370" s="242" t="s">
        <v>211</v>
      </c>
      <c r="O370" s="239" t="s">
        <v>212</v>
      </c>
      <c r="P370" s="241" t="s">
        <v>224</v>
      </c>
      <c r="Q370" s="235" t="s">
        <v>213</v>
      </c>
      <c r="R370" s="239" t="s">
        <v>214</v>
      </c>
      <c r="S370" s="243" t="s">
        <v>225</v>
      </c>
      <c r="T370" s="1108"/>
    </row>
    <row r="371" spans="1:20" ht="25.5" customHeight="1" x14ac:dyDescent="0.3">
      <c r="A371" s="244" t="s">
        <v>110</v>
      </c>
      <c r="B371" s="245" t="s">
        <v>16</v>
      </c>
      <c r="C371" s="467">
        <f>+D371+E371</f>
        <v>120</v>
      </c>
      <c r="D371" s="246">
        <v>30</v>
      </c>
      <c r="E371" s="247">
        <f>60+30</f>
        <v>90</v>
      </c>
      <c r="F371" s="610">
        <v>15000</v>
      </c>
      <c r="G371" s="468">
        <f>+H371+I371</f>
        <v>13943</v>
      </c>
      <c r="H371" s="614">
        <v>13760</v>
      </c>
      <c r="I371" s="616">
        <v>183</v>
      </c>
      <c r="J371" s="619">
        <v>480</v>
      </c>
      <c r="K371" s="467">
        <f>+L371-E371</f>
        <v>360</v>
      </c>
      <c r="L371" s="468">
        <f>+J371-D371</f>
        <v>450</v>
      </c>
      <c r="M371" s="469">
        <f>IFERROR(K371/L371,"-")</f>
        <v>0.8</v>
      </c>
      <c r="N371" s="470">
        <f>+O371-C371</f>
        <v>240</v>
      </c>
      <c r="O371" s="468">
        <f>+K371</f>
        <v>360</v>
      </c>
      <c r="P371" s="471">
        <f>IFERROR(N371/O371,"-")</f>
        <v>0.66666666666666663</v>
      </c>
      <c r="Q371" s="468">
        <f>IFERROR(N371-(J371-(J371*H371/G371)),"-")</f>
        <v>233.70006454851898</v>
      </c>
      <c r="R371" s="468">
        <f>+N371</f>
        <v>240</v>
      </c>
      <c r="S371" s="472">
        <f>IFERROR(Q371/R371,"-")</f>
        <v>0.97375026895216243</v>
      </c>
      <c r="T371" s="473">
        <f>IFERROR(M371*P371*S371,"-")</f>
        <v>0.5193334767744866</v>
      </c>
    </row>
    <row r="372" spans="1:20" ht="23.4" x14ac:dyDescent="0.3">
      <c r="A372" s="248" t="s">
        <v>110</v>
      </c>
      <c r="B372" s="249" t="s">
        <v>229</v>
      </c>
      <c r="C372" s="474">
        <f t="shared" ref="C372:C386" si="285">+D372+E372</f>
        <v>205</v>
      </c>
      <c r="D372" s="250">
        <f>30+30</f>
        <v>60</v>
      </c>
      <c r="E372" s="251">
        <f>60+30+35+20</f>
        <v>145</v>
      </c>
      <c r="F372" s="611">
        <v>200000</v>
      </c>
      <c r="G372" s="476">
        <f t="shared" ref="G372:G377" si="286">+H372+I372</f>
        <v>147170</v>
      </c>
      <c r="H372" s="254">
        <f>79560+67320</f>
        <v>146880</v>
      </c>
      <c r="I372" s="617">
        <f>172+118</f>
        <v>290</v>
      </c>
      <c r="J372" s="620">
        <v>960</v>
      </c>
      <c r="K372" s="474">
        <f t="shared" ref="K372:K375" si="287">+L372-E372</f>
        <v>755</v>
      </c>
      <c r="L372" s="476">
        <f t="shared" ref="L372:L386" si="288">+J372-D372</f>
        <v>900</v>
      </c>
      <c r="M372" s="477">
        <f t="shared" ref="M372:M375" si="289">IFERROR(K372/L372,"-")</f>
        <v>0.83888888888888891</v>
      </c>
      <c r="N372" s="478">
        <f t="shared" ref="N372:N386" si="290">+O372-C372</f>
        <v>550</v>
      </c>
      <c r="O372" s="476">
        <f t="shared" ref="O372:O386" si="291">+K372</f>
        <v>755</v>
      </c>
      <c r="P372" s="479">
        <f>IFERROR(N372/O372,"-")</f>
        <v>0.72847682119205293</v>
      </c>
      <c r="Q372" s="476">
        <f t="shared" ref="Q372:Q386" si="292">IFERROR(N372-(J372-(J372*H372/G372)),"-")</f>
        <v>548.10831011755113</v>
      </c>
      <c r="R372" s="476">
        <f t="shared" ref="R372:R386" si="293">+N372</f>
        <v>550</v>
      </c>
      <c r="S372" s="480">
        <f t="shared" ref="S372:S386" si="294">IFERROR(Q372/R372,"-")</f>
        <v>0.99656056385009295</v>
      </c>
      <c r="T372" s="481">
        <f t="shared" ref="T372:T386" si="295">IFERROR(M372*P372*S372,"-")</f>
        <v>0.60900923346394564</v>
      </c>
    </row>
    <row r="373" spans="1:20" ht="23.4" x14ac:dyDescent="0.3">
      <c r="A373" s="248" t="s">
        <v>110</v>
      </c>
      <c r="B373" s="249" t="s">
        <v>228</v>
      </c>
      <c r="C373" s="474">
        <f t="shared" si="285"/>
        <v>0</v>
      </c>
      <c r="D373" s="250"/>
      <c r="E373" s="251"/>
      <c r="F373" s="611">
        <v>80000</v>
      </c>
      <c r="G373" s="476">
        <f t="shared" si="286"/>
        <v>0</v>
      </c>
      <c r="H373" s="254"/>
      <c r="I373" s="617"/>
      <c r="J373" s="620"/>
      <c r="K373" s="474">
        <f t="shared" si="287"/>
        <v>0</v>
      </c>
      <c r="L373" s="476">
        <f t="shared" si="288"/>
        <v>0</v>
      </c>
      <c r="M373" s="477" t="str">
        <f t="shared" si="289"/>
        <v>-</v>
      </c>
      <c r="N373" s="478">
        <f t="shared" si="290"/>
        <v>0</v>
      </c>
      <c r="O373" s="476">
        <f t="shared" si="291"/>
        <v>0</v>
      </c>
      <c r="P373" s="479" t="str">
        <f t="shared" ref="P373:P386" si="296">IFERROR(N373/O373,"-")</f>
        <v>-</v>
      </c>
      <c r="Q373" s="476" t="str">
        <f t="shared" si="292"/>
        <v>-</v>
      </c>
      <c r="R373" s="476">
        <f t="shared" si="293"/>
        <v>0</v>
      </c>
      <c r="S373" s="480" t="str">
        <f t="shared" si="294"/>
        <v>-</v>
      </c>
      <c r="T373" s="481" t="str">
        <f t="shared" si="295"/>
        <v>-</v>
      </c>
    </row>
    <row r="374" spans="1:20" ht="23.4" x14ac:dyDescent="0.3">
      <c r="A374" s="252" t="s">
        <v>110</v>
      </c>
      <c r="B374" s="249" t="s">
        <v>231</v>
      </c>
      <c r="C374" s="474">
        <f t="shared" si="285"/>
        <v>0</v>
      </c>
      <c r="D374" s="250"/>
      <c r="E374" s="251"/>
      <c r="F374" s="611">
        <v>110000</v>
      </c>
      <c r="G374" s="476">
        <f t="shared" si="286"/>
        <v>0</v>
      </c>
      <c r="H374" s="254"/>
      <c r="I374" s="617"/>
      <c r="J374" s="620"/>
      <c r="K374" s="474">
        <f t="shared" si="287"/>
        <v>0</v>
      </c>
      <c r="L374" s="476">
        <f t="shared" si="288"/>
        <v>0</v>
      </c>
      <c r="M374" s="477" t="str">
        <f t="shared" si="289"/>
        <v>-</v>
      </c>
      <c r="N374" s="478">
        <f t="shared" si="290"/>
        <v>0</v>
      </c>
      <c r="O374" s="476">
        <f t="shared" si="291"/>
        <v>0</v>
      </c>
      <c r="P374" s="479" t="str">
        <f t="shared" si="296"/>
        <v>-</v>
      </c>
      <c r="Q374" s="476" t="str">
        <f t="shared" si="292"/>
        <v>-</v>
      </c>
      <c r="R374" s="476">
        <f t="shared" si="293"/>
        <v>0</v>
      </c>
      <c r="S374" s="480" t="str">
        <f t="shared" si="294"/>
        <v>-</v>
      </c>
      <c r="T374" s="481" t="str">
        <f t="shared" si="295"/>
        <v>-</v>
      </c>
    </row>
    <row r="375" spans="1:20" ht="23.4" x14ac:dyDescent="0.3">
      <c r="A375" s="248" t="s">
        <v>110</v>
      </c>
      <c r="B375" s="249" t="s">
        <v>230</v>
      </c>
      <c r="C375" s="474">
        <f t="shared" si="285"/>
        <v>0</v>
      </c>
      <c r="D375" s="250"/>
      <c r="E375" s="251"/>
      <c r="F375" s="611">
        <v>50000</v>
      </c>
      <c r="G375" s="476">
        <f t="shared" si="286"/>
        <v>0</v>
      </c>
      <c r="H375" s="254"/>
      <c r="I375" s="617"/>
      <c r="J375" s="620"/>
      <c r="K375" s="474">
        <f t="shared" si="287"/>
        <v>0</v>
      </c>
      <c r="L375" s="476">
        <f t="shared" si="288"/>
        <v>0</v>
      </c>
      <c r="M375" s="477" t="str">
        <f t="shared" si="289"/>
        <v>-</v>
      </c>
      <c r="N375" s="478">
        <f t="shared" si="290"/>
        <v>0</v>
      </c>
      <c r="O375" s="476">
        <f t="shared" si="291"/>
        <v>0</v>
      </c>
      <c r="P375" s="479" t="str">
        <f t="shared" si="296"/>
        <v>-</v>
      </c>
      <c r="Q375" s="476" t="str">
        <f t="shared" si="292"/>
        <v>-</v>
      </c>
      <c r="R375" s="476">
        <f t="shared" si="293"/>
        <v>0</v>
      </c>
      <c r="S375" s="480" t="str">
        <f t="shared" si="294"/>
        <v>-</v>
      </c>
      <c r="T375" s="481" t="str">
        <f t="shared" si="295"/>
        <v>-</v>
      </c>
    </row>
    <row r="376" spans="1:20" ht="23.4" x14ac:dyDescent="0.3">
      <c r="A376" s="248">
        <v>5</v>
      </c>
      <c r="B376" s="249" t="s">
        <v>22</v>
      </c>
      <c r="C376" s="474">
        <f t="shared" si="285"/>
        <v>390</v>
      </c>
      <c r="D376" s="250">
        <v>30</v>
      </c>
      <c r="E376" s="251">
        <v>360</v>
      </c>
      <c r="F376" s="611">
        <v>80000</v>
      </c>
      <c r="G376" s="476">
        <f t="shared" si="286"/>
        <v>15883</v>
      </c>
      <c r="H376" s="475">
        <v>15840</v>
      </c>
      <c r="I376" s="621">
        <v>43</v>
      </c>
      <c r="J376" s="620">
        <v>480</v>
      </c>
      <c r="K376" s="474">
        <f>+L376-E376</f>
        <v>90</v>
      </c>
      <c r="L376" s="476">
        <f t="shared" si="288"/>
        <v>450</v>
      </c>
      <c r="M376" s="477">
        <f>IFERROR(K376/L376,"-")</f>
        <v>0.2</v>
      </c>
      <c r="N376" s="478">
        <f t="shared" si="290"/>
        <v>-300</v>
      </c>
      <c r="O376" s="476">
        <f t="shared" si="291"/>
        <v>90</v>
      </c>
      <c r="P376" s="479">
        <f t="shared" si="296"/>
        <v>-3.3333333333333335</v>
      </c>
      <c r="Q376" s="476">
        <f t="shared" si="292"/>
        <v>-301.29950261285649</v>
      </c>
      <c r="R376" s="476">
        <f t="shared" si="293"/>
        <v>-300</v>
      </c>
      <c r="S376" s="480">
        <f t="shared" si="294"/>
        <v>1.0043316753761884</v>
      </c>
      <c r="T376" s="481">
        <f t="shared" si="295"/>
        <v>-0.6695544502507923</v>
      </c>
    </row>
    <row r="377" spans="1:20" ht="23.4" x14ac:dyDescent="0.3">
      <c r="A377" s="248" t="s">
        <v>110</v>
      </c>
      <c r="B377" s="249" t="s">
        <v>23</v>
      </c>
      <c r="C377" s="474">
        <f t="shared" si="285"/>
        <v>60</v>
      </c>
      <c r="D377" s="250">
        <v>30</v>
      </c>
      <c r="E377" s="251">
        <v>30</v>
      </c>
      <c r="F377" s="611">
        <v>14000</v>
      </c>
      <c r="G377" s="476">
        <f t="shared" si="286"/>
        <v>14026</v>
      </c>
      <c r="H377" s="254">
        <v>14000</v>
      </c>
      <c r="I377" s="617">
        <v>26</v>
      </c>
      <c r="J377" s="620">
        <v>480</v>
      </c>
      <c r="K377" s="474">
        <f t="shared" ref="K377:K386" si="297">+L377-E377</f>
        <v>420</v>
      </c>
      <c r="L377" s="476">
        <f t="shared" si="288"/>
        <v>450</v>
      </c>
      <c r="M377" s="477">
        <f t="shared" ref="M377:M386" si="298">IFERROR(K377/L377,"-")</f>
        <v>0.93333333333333335</v>
      </c>
      <c r="N377" s="478">
        <f t="shared" si="290"/>
        <v>360</v>
      </c>
      <c r="O377" s="476">
        <f t="shared" si="291"/>
        <v>420</v>
      </c>
      <c r="P377" s="479">
        <f t="shared" si="296"/>
        <v>0.8571428571428571</v>
      </c>
      <c r="Q377" s="476">
        <f t="shared" si="292"/>
        <v>359.1102238699558</v>
      </c>
      <c r="R377" s="476">
        <f t="shared" si="293"/>
        <v>360</v>
      </c>
      <c r="S377" s="480">
        <f t="shared" si="294"/>
        <v>0.99752839963876616</v>
      </c>
      <c r="T377" s="481">
        <f t="shared" si="295"/>
        <v>0.79802271971101291</v>
      </c>
    </row>
    <row r="378" spans="1:20" ht="24" thickBot="1" x14ac:dyDescent="0.35">
      <c r="A378" s="248" t="s">
        <v>110</v>
      </c>
      <c r="B378" s="253" t="s">
        <v>226</v>
      </c>
      <c r="C378" s="482">
        <f t="shared" si="285"/>
        <v>705</v>
      </c>
      <c r="D378" s="250">
        <f>30+30+30+60+20+20+30+105+150+35+195</f>
        <v>705</v>
      </c>
      <c r="E378" s="251"/>
      <c r="F378" s="611">
        <v>4500</v>
      </c>
      <c r="G378" s="476">
        <f>+H378+I378</f>
        <v>35730</v>
      </c>
      <c r="H378" s="259">
        <f>35070+297</f>
        <v>35367</v>
      </c>
      <c r="I378" s="618">
        <v>363</v>
      </c>
      <c r="J378" s="620">
        <v>1440</v>
      </c>
      <c r="K378" s="482">
        <f t="shared" si="297"/>
        <v>735</v>
      </c>
      <c r="L378" s="250">
        <f t="shared" si="288"/>
        <v>735</v>
      </c>
      <c r="M378" s="483">
        <f t="shared" si="298"/>
        <v>1</v>
      </c>
      <c r="N378" s="484">
        <f t="shared" si="290"/>
        <v>30</v>
      </c>
      <c r="O378" s="250">
        <f t="shared" si="291"/>
        <v>735</v>
      </c>
      <c r="P378" s="485">
        <f t="shared" si="296"/>
        <v>4.0816326530612242E-2</v>
      </c>
      <c r="Q378" s="250">
        <f t="shared" si="292"/>
        <v>15.370277078085564</v>
      </c>
      <c r="R378" s="250">
        <f t="shared" si="293"/>
        <v>30</v>
      </c>
      <c r="S378" s="486">
        <f t="shared" si="294"/>
        <v>0.51234256926951882</v>
      </c>
      <c r="T378" s="487">
        <f t="shared" si="295"/>
        <v>2.0911941602837502E-2</v>
      </c>
    </row>
    <row r="379" spans="1:20" ht="24" thickBot="1" x14ac:dyDescent="0.35">
      <c r="A379" s="255" t="s">
        <v>110</v>
      </c>
      <c r="B379" s="256" t="s">
        <v>227</v>
      </c>
      <c r="C379" s="488">
        <f t="shared" si="285"/>
        <v>640</v>
      </c>
      <c r="D379" s="257">
        <f>30+30+20+120+20</f>
        <v>220</v>
      </c>
      <c r="E379" s="258">
        <v>420</v>
      </c>
      <c r="F379" s="615">
        <v>5000</v>
      </c>
      <c r="G379" s="498">
        <f t="shared" ref="G379:G386" si="299">+H379+I379</f>
        <v>17665</v>
      </c>
      <c r="H379" s="259">
        <f>12257+5370</f>
        <v>17627</v>
      </c>
      <c r="I379" s="618">
        <f>14+24</f>
        <v>38</v>
      </c>
      <c r="J379" s="623">
        <v>960</v>
      </c>
      <c r="K379" s="488">
        <f t="shared" si="297"/>
        <v>320</v>
      </c>
      <c r="L379" s="257">
        <f t="shared" si="288"/>
        <v>740</v>
      </c>
      <c r="M379" s="489">
        <f t="shared" si="298"/>
        <v>0.43243243243243246</v>
      </c>
      <c r="N379" s="490">
        <f t="shared" si="290"/>
        <v>-320</v>
      </c>
      <c r="O379" s="257">
        <f t="shared" si="291"/>
        <v>320</v>
      </c>
      <c r="P379" s="491">
        <f t="shared" si="296"/>
        <v>-1</v>
      </c>
      <c r="Q379" s="257">
        <f t="shared" si="292"/>
        <v>-322.06510048117752</v>
      </c>
      <c r="R379" s="257">
        <f t="shared" si="293"/>
        <v>-320</v>
      </c>
      <c r="S379" s="492">
        <f t="shared" si="294"/>
        <v>1.0064534390036797</v>
      </c>
      <c r="T379" s="493">
        <f t="shared" si="295"/>
        <v>-0.43522310875834797</v>
      </c>
    </row>
    <row r="380" spans="1:20" ht="23.4" x14ac:dyDescent="0.3">
      <c r="A380" s="252" t="s">
        <v>108</v>
      </c>
      <c r="B380" s="260" t="s">
        <v>29</v>
      </c>
      <c r="C380" s="474">
        <f t="shared" si="285"/>
        <v>340</v>
      </c>
      <c r="D380" s="250">
        <f>30+30+30</f>
        <v>90</v>
      </c>
      <c r="E380" s="251">
        <v>250</v>
      </c>
      <c r="F380" s="475">
        <v>240000</v>
      </c>
      <c r="G380" s="476">
        <f t="shared" si="299"/>
        <v>187133</v>
      </c>
      <c r="H380" s="475">
        <f>31824+151164</f>
        <v>182988</v>
      </c>
      <c r="I380" s="621">
        <f>2319+1826</f>
        <v>4145</v>
      </c>
      <c r="J380" s="756">
        <v>1440</v>
      </c>
      <c r="K380" s="474">
        <f t="shared" si="297"/>
        <v>1100</v>
      </c>
      <c r="L380" s="476">
        <f t="shared" si="288"/>
        <v>1350</v>
      </c>
      <c r="M380" s="477">
        <f t="shared" si="298"/>
        <v>0.81481481481481477</v>
      </c>
      <c r="N380" s="478">
        <f t="shared" si="290"/>
        <v>760</v>
      </c>
      <c r="O380" s="476">
        <f t="shared" si="291"/>
        <v>1100</v>
      </c>
      <c r="P380" s="479">
        <f t="shared" si="296"/>
        <v>0.69090909090909092</v>
      </c>
      <c r="Q380" s="476">
        <f t="shared" si="292"/>
        <v>728.1039688349997</v>
      </c>
      <c r="R380" s="476">
        <f t="shared" si="293"/>
        <v>760</v>
      </c>
      <c r="S380" s="494">
        <f t="shared" si="294"/>
        <v>0.9580315379407891</v>
      </c>
      <c r="T380" s="495">
        <f t="shared" si="295"/>
        <v>0.53933627321111088</v>
      </c>
    </row>
    <row r="381" spans="1:20" ht="22.5" customHeight="1" x14ac:dyDescent="0.3">
      <c r="A381" s="248" t="s">
        <v>108</v>
      </c>
      <c r="B381" s="260" t="s">
        <v>31</v>
      </c>
      <c r="C381" s="474">
        <f t="shared" si="285"/>
        <v>0</v>
      </c>
      <c r="D381" s="769"/>
      <c r="E381" s="251"/>
      <c r="F381" s="475">
        <v>50000</v>
      </c>
      <c r="G381" s="476">
        <f t="shared" si="299"/>
        <v>0</v>
      </c>
      <c r="H381" s="475"/>
      <c r="I381" s="621"/>
      <c r="J381" s="620"/>
      <c r="K381" s="474">
        <f t="shared" si="297"/>
        <v>0</v>
      </c>
      <c r="L381" s="476">
        <f t="shared" si="288"/>
        <v>0</v>
      </c>
      <c r="M381" s="477" t="str">
        <f t="shared" si="298"/>
        <v>-</v>
      </c>
      <c r="N381" s="478">
        <f t="shared" si="290"/>
        <v>0</v>
      </c>
      <c r="O381" s="476">
        <f t="shared" si="291"/>
        <v>0</v>
      </c>
      <c r="P381" s="479" t="str">
        <f t="shared" si="296"/>
        <v>-</v>
      </c>
      <c r="Q381" s="476" t="str">
        <f t="shared" si="292"/>
        <v>-</v>
      </c>
      <c r="R381" s="476">
        <f t="shared" si="293"/>
        <v>0</v>
      </c>
      <c r="S381" s="494" t="str">
        <f t="shared" si="294"/>
        <v>-</v>
      </c>
      <c r="T381" s="495" t="str">
        <f t="shared" si="295"/>
        <v>-</v>
      </c>
    </row>
    <row r="382" spans="1:20" ht="24" thickBot="1" x14ac:dyDescent="0.35">
      <c r="A382" s="255" t="s">
        <v>108</v>
      </c>
      <c r="B382" s="261" t="s">
        <v>32</v>
      </c>
      <c r="C382" s="496">
        <f t="shared" si="285"/>
        <v>0</v>
      </c>
      <c r="D382" s="257"/>
      <c r="E382" s="258"/>
      <c r="F382" s="497">
        <v>110000</v>
      </c>
      <c r="G382" s="498">
        <f t="shared" si="299"/>
        <v>0</v>
      </c>
      <c r="H382" s="497"/>
      <c r="I382" s="622"/>
      <c r="J382" s="623"/>
      <c r="K382" s="496">
        <f t="shared" si="297"/>
        <v>0</v>
      </c>
      <c r="L382" s="498">
        <f t="shared" si="288"/>
        <v>0</v>
      </c>
      <c r="M382" s="499" t="str">
        <f t="shared" si="298"/>
        <v>-</v>
      </c>
      <c r="N382" s="500">
        <f t="shared" si="290"/>
        <v>0</v>
      </c>
      <c r="O382" s="498">
        <f t="shared" si="291"/>
        <v>0</v>
      </c>
      <c r="P382" s="501" t="str">
        <f t="shared" si="296"/>
        <v>-</v>
      </c>
      <c r="Q382" s="498" t="str">
        <f t="shared" si="292"/>
        <v>-</v>
      </c>
      <c r="R382" s="498">
        <f t="shared" si="293"/>
        <v>0</v>
      </c>
      <c r="S382" s="502" t="str">
        <f t="shared" si="294"/>
        <v>-</v>
      </c>
      <c r="T382" s="503" t="str">
        <f t="shared" si="295"/>
        <v>-</v>
      </c>
    </row>
    <row r="383" spans="1:20" ht="23.4" x14ac:dyDescent="0.3">
      <c r="A383" s="248" t="s">
        <v>109</v>
      </c>
      <c r="B383" s="249" t="s">
        <v>233</v>
      </c>
      <c r="C383" s="474">
        <f t="shared" si="285"/>
        <v>0</v>
      </c>
      <c r="D383" s="250"/>
      <c r="E383" s="251"/>
      <c r="F383" s="475">
        <v>6500</v>
      </c>
      <c r="G383" s="476">
        <f t="shared" si="299"/>
        <v>0</v>
      </c>
      <c r="H383" s="475"/>
      <c r="I383" s="621"/>
      <c r="J383" s="620"/>
      <c r="K383" s="474">
        <f t="shared" si="297"/>
        <v>0</v>
      </c>
      <c r="L383" s="476">
        <f t="shared" si="288"/>
        <v>0</v>
      </c>
      <c r="M383" s="477" t="str">
        <f t="shared" si="298"/>
        <v>-</v>
      </c>
      <c r="N383" s="478">
        <f t="shared" si="290"/>
        <v>0</v>
      </c>
      <c r="O383" s="476">
        <f t="shared" si="291"/>
        <v>0</v>
      </c>
      <c r="P383" s="479" t="str">
        <f t="shared" si="296"/>
        <v>-</v>
      </c>
      <c r="Q383" s="476" t="str">
        <f t="shared" si="292"/>
        <v>-</v>
      </c>
      <c r="R383" s="476">
        <f t="shared" si="293"/>
        <v>0</v>
      </c>
      <c r="S383" s="494" t="str">
        <f t="shared" si="294"/>
        <v>-</v>
      </c>
      <c r="T383" s="495" t="str">
        <f t="shared" si="295"/>
        <v>-</v>
      </c>
    </row>
    <row r="384" spans="1:20" ht="23.4" x14ac:dyDescent="0.3">
      <c r="A384" s="252" t="s">
        <v>109</v>
      </c>
      <c r="B384" s="249" t="s">
        <v>40</v>
      </c>
      <c r="C384" s="474">
        <f t="shared" si="285"/>
        <v>0</v>
      </c>
      <c r="D384" s="250"/>
      <c r="E384" s="251"/>
      <c r="F384" s="475">
        <v>2800</v>
      </c>
      <c r="G384" s="476">
        <f t="shared" si="299"/>
        <v>0</v>
      </c>
      <c r="H384" s="475"/>
      <c r="I384" s="621"/>
      <c r="J384" s="620"/>
      <c r="K384" s="474">
        <f t="shared" si="297"/>
        <v>0</v>
      </c>
      <c r="L384" s="476">
        <f t="shared" si="288"/>
        <v>0</v>
      </c>
      <c r="M384" s="477" t="str">
        <f t="shared" si="298"/>
        <v>-</v>
      </c>
      <c r="N384" s="478">
        <f t="shared" si="290"/>
        <v>0</v>
      </c>
      <c r="O384" s="476">
        <f t="shared" si="291"/>
        <v>0</v>
      </c>
      <c r="P384" s="479" t="str">
        <f t="shared" si="296"/>
        <v>-</v>
      </c>
      <c r="Q384" s="476" t="str">
        <f t="shared" si="292"/>
        <v>-</v>
      </c>
      <c r="R384" s="476">
        <f t="shared" si="293"/>
        <v>0</v>
      </c>
      <c r="S384" s="494" t="str">
        <f t="shared" si="294"/>
        <v>-</v>
      </c>
      <c r="T384" s="495" t="str">
        <f t="shared" si="295"/>
        <v>-</v>
      </c>
    </row>
    <row r="385" spans="1:20" ht="23.4" x14ac:dyDescent="0.3">
      <c r="A385" s="248" t="s">
        <v>109</v>
      </c>
      <c r="B385" s="249" t="s">
        <v>42</v>
      </c>
      <c r="C385" s="474">
        <f t="shared" si="285"/>
        <v>0</v>
      </c>
      <c r="D385" s="250"/>
      <c r="E385" s="251"/>
      <c r="F385" s="475">
        <v>25000</v>
      </c>
      <c r="G385" s="476">
        <f t="shared" si="299"/>
        <v>0</v>
      </c>
      <c r="H385" s="475"/>
      <c r="I385" s="621"/>
      <c r="J385" s="620"/>
      <c r="K385" s="474">
        <f t="shared" si="297"/>
        <v>0</v>
      </c>
      <c r="L385" s="476">
        <f t="shared" si="288"/>
        <v>0</v>
      </c>
      <c r="M385" s="477" t="str">
        <f t="shared" si="298"/>
        <v>-</v>
      </c>
      <c r="N385" s="478">
        <f t="shared" si="290"/>
        <v>0</v>
      </c>
      <c r="O385" s="476">
        <f t="shared" si="291"/>
        <v>0</v>
      </c>
      <c r="P385" s="479" t="str">
        <f t="shared" si="296"/>
        <v>-</v>
      </c>
      <c r="Q385" s="476" t="str">
        <f t="shared" si="292"/>
        <v>-</v>
      </c>
      <c r="R385" s="476">
        <f t="shared" si="293"/>
        <v>0</v>
      </c>
      <c r="S385" s="494" t="str">
        <f t="shared" si="294"/>
        <v>-</v>
      </c>
      <c r="T385" s="495" t="str">
        <f t="shared" si="295"/>
        <v>-</v>
      </c>
    </row>
    <row r="386" spans="1:20" ht="47.4" thickBot="1" x14ac:dyDescent="0.35">
      <c r="A386" s="625" t="s">
        <v>109</v>
      </c>
      <c r="B386" s="261" t="s">
        <v>232</v>
      </c>
      <c r="C386" s="626">
        <f t="shared" si="285"/>
        <v>0</v>
      </c>
      <c r="D386" s="627"/>
      <c r="E386" s="628"/>
      <c r="F386" s="629">
        <v>25000</v>
      </c>
      <c r="G386" s="630">
        <f t="shared" si="299"/>
        <v>0</v>
      </c>
      <c r="H386" s="629"/>
      <c r="I386" s="631"/>
      <c r="J386" s="624"/>
      <c r="K386" s="626">
        <f t="shared" si="297"/>
        <v>0</v>
      </c>
      <c r="L386" s="630">
        <f t="shared" si="288"/>
        <v>0</v>
      </c>
      <c r="M386" s="632" t="str">
        <f t="shared" si="298"/>
        <v>-</v>
      </c>
      <c r="N386" s="633">
        <f t="shared" si="290"/>
        <v>0</v>
      </c>
      <c r="O386" s="630">
        <f t="shared" si="291"/>
        <v>0</v>
      </c>
      <c r="P386" s="634" t="str">
        <f t="shared" si="296"/>
        <v>-</v>
      </c>
      <c r="Q386" s="630" t="str">
        <f t="shared" si="292"/>
        <v>-</v>
      </c>
      <c r="R386" s="630">
        <f t="shared" si="293"/>
        <v>0</v>
      </c>
      <c r="S386" s="635" t="str">
        <f t="shared" si="294"/>
        <v>-</v>
      </c>
      <c r="T386" s="636" t="str">
        <f t="shared" si="295"/>
        <v>-</v>
      </c>
    </row>
    <row r="387" spans="1:20" ht="22.5" customHeight="1" x14ac:dyDescent="0.3">
      <c r="A387" s="1043" t="s">
        <v>1</v>
      </c>
      <c r="B387" s="1043" t="s">
        <v>2</v>
      </c>
      <c r="C387" s="1000" t="s">
        <v>221</v>
      </c>
      <c r="D387" s="1001"/>
      <c r="E387" s="1002"/>
      <c r="F387" s="1000" t="s">
        <v>432</v>
      </c>
      <c r="G387" s="1001"/>
      <c r="H387" s="1001"/>
      <c r="I387" s="1002"/>
      <c r="J387" s="1043" t="s">
        <v>218</v>
      </c>
      <c r="K387" s="1000" t="s">
        <v>206</v>
      </c>
      <c r="L387" s="1001"/>
      <c r="M387" s="1002"/>
      <c r="N387" s="1000" t="s">
        <v>207</v>
      </c>
      <c r="O387" s="1001"/>
      <c r="P387" s="1002"/>
      <c r="Q387" s="1000" t="s">
        <v>208</v>
      </c>
      <c r="R387" s="1001"/>
      <c r="S387" s="1002"/>
      <c r="T387" s="1107" t="s">
        <v>205</v>
      </c>
    </row>
    <row r="388" spans="1:20" ht="87.6" thickBot="1" x14ac:dyDescent="0.35">
      <c r="A388" s="1045"/>
      <c r="B388" s="1045"/>
      <c r="C388" s="235" t="s">
        <v>222</v>
      </c>
      <c r="D388" s="236" t="s">
        <v>219</v>
      </c>
      <c r="E388" s="237" t="s">
        <v>220</v>
      </c>
      <c r="F388" s="238" t="s">
        <v>361</v>
      </c>
      <c r="G388" s="236" t="s">
        <v>215</v>
      </c>
      <c r="H388" s="239" t="s">
        <v>216</v>
      </c>
      <c r="I388" s="240" t="s">
        <v>217</v>
      </c>
      <c r="J388" s="1045"/>
      <c r="K388" s="235" t="s">
        <v>209</v>
      </c>
      <c r="L388" s="239" t="s">
        <v>210</v>
      </c>
      <c r="M388" s="241" t="s">
        <v>223</v>
      </c>
      <c r="N388" s="242" t="s">
        <v>211</v>
      </c>
      <c r="O388" s="239" t="s">
        <v>212</v>
      </c>
      <c r="P388" s="241" t="s">
        <v>224</v>
      </c>
      <c r="Q388" s="235" t="s">
        <v>213</v>
      </c>
      <c r="R388" s="239" t="s">
        <v>214</v>
      </c>
      <c r="S388" s="243" t="s">
        <v>225</v>
      </c>
      <c r="T388" s="1108"/>
    </row>
    <row r="389" spans="1:20" ht="25.5" customHeight="1" x14ac:dyDescent="0.3">
      <c r="A389" s="244" t="s">
        <v>110</v>
      </c>
      <c r="B389" s="245" t="s">
        <v>16</v>
      </c>
      <c r="C389" s="467">
        <f>+D389+E389</f>
        <v>90</v>
      </c>
      <c r="D389" s="246">
        <v>30</v>
      </c>
      <c r="E389" s="247">
        <v>60</v>
      </c>
      <c r="F389" s="610">
        <v>15000</v>
      </c>
      <c r="G389" s="468">
        <f>+H389+I389</f>
        <v>15571</v>
      </c>
      <c r="H389" s="614">
        <v>15360</v>
      </c>
      <c r="I389" s="616">
        <v>211</v>
      </c>
      <c r="J389" s="619">
        <v>480</v>
      </c>
      <c r="K389" s="467">
        <f>+L389-E389</f>
        <v>390</v>
      </c>
      <c r="L389" s="468">
        <f>+J389-D389</f>
        <v>450</v>
      </c>
      <c r="M389" s="469">
        <f>IFERROR(K389/L389,"-")</f>
        <v>0.8666666666666667</v>
      </c>
      <c r="N389" s="470">
        <f>+O389-C389</f>
        <v>300</v>
      </c>
      <c r="O389" s="468">
        <f>+K389</f>
        <v>390</v>
      </c>
      <c r="P389" s="471">
        <f>IFERROR(N389/O389,"-")</f>
        <v>0.76923076923076927</v>
      </c>
      <c r="Q389" s="468">
        <f>IFERROR(N389-(J389-(J389*H389/G389)),"-")</f>
        <v>293.49560079635222</v>
      </c>
      <c r="R389" s="468">
        <f>+N389</f>
        <v>300</v>
      </c>
      <c r="S389" s="472">
        <f>IFERROR(Q389/R389,"-")</f>
        <v>0.97831866932117406</v>
      </c>
      <c r="T389" s="473">
        <f>IFERROR(M389*P389*S389,"-")</f>
        <v>0.65221244621411611</v>
      </c>
    </row>
    <row r="390" spans="1:20" ht="23.4" x14ac:dyDescent="0.3">
      <c r="A390" s="248" t="s">
        <v>110</v>
      </c>
      <c r="B390" s="249" t="s">
        <v>229</v>
      </c>
      <c r="C390" s="474">
        <f t="shared" ref="C390:C404" si="300">+D390+E390</f>
        <v>510</v>
      </c>
      <c r="D390" s="250">
        <v>60</v>
      </c>
      <c r="E390" s="251">
        <f>270+180</f>
        <v>450</v>
      </c>
      <c r="F390" s="611">
        <v>200000</v>
      </c>
      <c r="G390" s="476">
        <f t="shared" ref="G390:G395" si="301">+H390+I390</f>
        <v>98060</v>
      </c>
      <c r="H390" s="254">
        <v>97920</v>
      </c>
      <c r="I390" s="617">
        <v>140</v>
      </c>
      <c r="J390" s="620">
        <v>960</v>
      </c>
      <c r="K390" s="474">
        <f t="shared" ref="K390:K393" si="302">+L390-E390</f>
        <v>450</v>
      </c>
      <c r="L390" s="476">
        <f t="shared" ref="L390:L404" si="303">+J390-D390</f>
        <v>900</v>
      </c>
      <c r="M390" s="477">
        <f t="shared" ref="M390:M393" si="304">IFERROR(K390/L390,"-")</f>
        <v>0.5</v>
      </c>
      <c r="N390" s="478">
        <f t="shared" ref="N390:N404" si="305">+O390-C390</f>
        <v>-60</v>
      </c>
      <c r="O390" s="476">
        <f t="shared" ref="O390:O404" si="306">+K390</f>
        <v>450</v>
      </c>
      <c r="P390" s="479">
        <f>IFERROR(N390/O390,"-")</f>
        <v>-0.13333333333333333</v>
      </c>
      <c r="Q390" s="476">
        <f t="shared" ref="Q390:Q404" si="307">IFERROR(N390-(J390-(J390*H390/G390)),"-")</f>
        <v>-61.370589435039733</v>
      </c>
      <c r="R390" s="476">
        <f t="shared" ref="R390:R404" si="308">+N390</f>
        <v>-60</v>
      </c>
      <c r="S390" s="480">
        <f t="shared" ref="S390:S404" si="309">IFERROR(Q390/R390,"-")</f>
        <v>1.0228431572506622</v>
      </c>
      <c r="T390" s="481">
        <f t="shared" ref="T390:T404" si="310">IFERROR(M390*P390*S390,"-")</f>
        <v>-6.8189543816710815E-2</v>
      </c>
    </row>
    <row r="391" spans="1:20" ht="23.4" x14ac:dyDescent="0.3">
      <c r="A391" s="248" t="s">
        <v>110</v>
      </c>
      <c r="B391" s="249" t="s">
        <v>228</v>
      </c>
      <c r="C391" s="474">
        <f t="shared" si="300"/>
        <v>0</v>
      </c>
      <c r="D391" s="250"/>
      <c r="E391" s="251"/>
      <c r="F391" s="611">
        <v>80000</v>
      </c>
      <c r="G391" s="476">
        <f t="shared" si="301"/>
        <v>0</v>
      </c>
      <c r="H391" s="254"/>
      <c r="I391" s="617"/>
      <c r="J391" s="620"/>
      <c r="K391" s="474">
        <f t="shared" si="302"/>
        <v>0</v>
      </c>
      <c r="L391" s="476">
        <f t="shared" si="303"/>
        <v>0</v>
      </c>
      <c r="M391" s="477" t="str">
        <f t="shared" si="304"/>
        <v>-</v>
      </c>
      <c r="N391" s="478">
        <f t="shared" si="305"/>
        <v>0</v>
      </c>
      <c r="O391" s="476">
        <f t="shared" si="306"/>
        <v>0</v>
      </c>
      <c r="P391" s="479" t="str">
        <f t="shared" ref="P391:P404" si="311">IFERROR(N391/O391,"-")</f>
        <v>-</v>
      </c>
      <c r="Q391" s="476" t="str">
        <f t="shared" si="307"/>
        <v>-</v>
      </c>
      <c r="R391" s="476">
        <f t="shared" si="308"/>
        <v>0</v>
      </c>
      <c r="S391" s="480" t="str">
        <f t="shared" si="309"/>
        <v>-</v>
      </c>
      <c r="T391" s="481" t="str">
        <f t="shared" si="310"/>
        <v>-</v>
      </c>
    </row>
    <row r="392" spans="1:20" ht="23.4" x14ac:dyDescent="0.3">
      <c r="A392" s="252" t="s">
        <v>110</v>
      </c>
      <c r="B392" s="249" t="s">
        <v>231</v>
      </c>
      <c r="C392" s="474">
        <f t="shared" si="300"/>
        <v>0</v>
      </c>
      <c r="D392" s="250"/>
      <c r="E392" s="251"/>
      <c r="F392" s="611">
        <v>110000</v>
      </c>
      <c r="G392" s="476">
        <f t="shared" si="301"/>
        <v>0</v>
      </c>
      <c r="H392" s="254"/>
      <c r="I392" s="617"/>
      <c r="J392" s="620"/>
      <c r="K392" s="474">
        <f t="shared" si="302"/>
        <v>0</v>
      </c>
      <c r="L392" s="476">
        <f t="shared" si="303"/>
        <v>0</v>
      </c>
      <c r="M392" s="477" t="str">
        <f t="shared" si="304"/>
        <v>-</v>
      </c>
      <c r="N392" s="478">
        <f t="shared" si="305"/>
        <v>0</v>
      </c>
      <c r="O392" s="476">
        <f t="shared" si="306"/>
        <v>0</v>
      </c>
      <c r="P392" s="479" t="str">
        <f t="shared" si="311"/>
        <v>-</v>
      </c>
      <c r="Q392" s="476" t="str">
        <f t="shared" si="307"/>
        <v>-</v>
      </c>
      <c r="R392" s="476">
        <f t="shared" si="308"/>
        <v>0</v>
      </c>
      <c r="S392" s="480" t="str">
        <f t="shared" si="309"/>
        <v>-</v>
      </c>
      <c r="T392" s="481" t="str">
        <f t="shared" si="310"/>
        <v>-</v>
      </c>
    </row>
    <row r="393" spans="1:20" ht="23.4" x14ac:dyDescent="0.3">
      <c r="A393" s="248" t="s">
        <v>110</v>
      </c>
      <c r="B393" s="249" t="s">
        <v>230</v>
      </c>
      <c r="C393" s="474">
        <f t="shared" si="300"/>
        <v>0</v>
      </c>
      <c r="D393" s="250"/>
      <c r="E393" s="251"/>
      <c r="F393" s="611">
        <v>50000</v>
      </c>
      <c r="G393" s="476">
        <f t="shared" si="301"/>
        <v>0</v>
      </c>
      <c r="H393" s="254"/>
      <c r="I393" s="617"/>
      <c r="J393" s="620"/>
      <c r="K393" s="474">
        <f t="shared" si="302"/>
        <v>0</v>
      </c>
      <c r="L393" s="476">
        <f t="shared" si="303"/>
        <v>0</v>
      </c>
      <c r="M393" s="477" t="str">
        <f t="shared" si="304"/>
        <v>-</v>
      </c>
      <c r="N393" s="478">
        <f t="shared" si="305"/>
        <v>0</v>
      </c>
      <c r="O393" s="476">
        <f t="shared" si="306"/>
        <v>0</v>
      </c>
      <c r="P393" s="479" t="str">
        <f t="shared" si="311"/>
        <v>-</v>
      </c>
      <c r="Q393" s="476" t="str">
        <f t="shared" si="307"/>
        <v>-</v>
      </c>
      <c r="R393" s="476">
        <f t="shared" si="308"/>
        <v>0</v>
      </c>
      <c r="S393" s="480" t="str">
        <f t="shared" si="309"/>
        <v>-</v>
      </c>
      <c r="T393" s="481" t="str">
        <f t="shared" si="310"/>
        <v>-</v>
      </c>
    </row>
    <row r="394" spans="1:20" ht="23.4" x14ac:dyDescent="0.3">
      <c r="A394" s="248">
        <v>5</v>
      </c>
      <c r="B394" s="249" t="s">
        <v>22</v>
      </c>
      <c r="C394" s="474">
        <f t="shared" si="300"/>
        <v>0</v>
      </c>
      <c r="D394" s="250"/>
      <c r="E394" s="251"/>
      <c r="F394" s="611">
        <v>80000</v>
      </c>
      <c r="G394" s="476">
        <f t="shared" si="301"/>
        <v>83225</v>
      </c>
      <c r="H394" s="475">
        <v>83160</v>
      </c>
      <c r="I394" s="621">
        <v>65</v>
      </c>
      <c r="J394" s="620">
        <v>480</v>
      </c>
      <c r="K394" s="474">
        <f>+L394-E394</f>
        <v>480</v>
      </c>
      <c r="L394" s="476">
        <f t="shared" si="303"/>
        <v>480</v>
      </c>
      <c r="M394" s="477">
        <f>IFERROR(K394/L394,"-")</f>
        <v>1</v>
      </c>
      <c r="N394" s="478">
        <f t="shared" si="305"/>
        <v>480</v>
      </c>
      <c r="O394" s="476">
        <f t="shared" si="306"/>
        <v>480</v>
      </c>
      <c r="P394" s="479">
        <f t="shared" si="311"/>
        <v>1</v>
      </c>
      <c r="Q394" s="476">
        <f t="shared" si="307"/>
        <v>479.62511264644036</v>
      </c>
      <c r="R394" s="476">
        <f t="shared" si="308"/>
        <v>480</v>
      </c>
      <c r="S394" s="480">
        <f t="shared" si="309"/>
        <v>0.99921898468008408</v>
      </c>
      <c r="T394" s="481">
        <f t="shared" si="310"/>
        <v>0.99921898468008408</v>
      </c>
    </row>
    <row r="395" spans="1:20" ht="23.4" x14ac:dyDescent="0.3">
      <c r="A395" s="248" t="s">
        <v>110</v>
      </c>
      <c r="B395" s="249" t="s">
        <v>23</v>
      </c>
      <c r="C395" s="474">
        <f t="shared" si="300"/>
        <v>0</v>
      </c>
      <c r="D395" s="250"/>
      <c r="E395" s="251"/>
      <c r="F395" s="611">
        <v>14000</v>
      </c>
      <c r="G395" s="476">
        <f t="shared" si="301"/>
        <v>0</v>
      </c>
      <c r="H395" s="254"/>
      <c r="I395" s="617"/>
      <c r="J395" s="620"/>
      <c r="K395" s="474">
        <f t="shared" ref="K395:K404" si="312">+L395-E395</f>
        <v>0</v>
      </c>
      <c r="L395" s="476">
        <f t="shared" si="303"/>
        <v>0</v>
      </c>
      <c r="M395" s="477" t="str">
        <f t="shared" ref="M395:M404" si="313">IFERROR(K395/L395,"-")</f>
        <v>-</v>
      </c>
      <c r="N395" s="478">
        <f t="shared" si="305"/>
        <v>0</v>
      </c>
      <c r="O395" s="476">
        <f t="shared" si="306"/>
        <v>0</v>
      </c>
      <c r="P395" s="479" t="str">
        <f t="shared" si="311"/>
        <v>-</v>
      </c>
      <c r="Q395" s="476" t="str">
        <f t="shared" si="307"/>
        <v>-</v>
      </c>
      <c r="R395" s="476">
        <f t="shared" si="308"/>
        <v>0</v>
      </c>
      <c r="S395" s="480" t="str">
        <f t="shared" si="309"/>
        <v>-</v>
      </c>
      <c r="T395" s="481" t="str">
        <f t="shared" si="310"/>
        <v>-</v>
      </c>
    </row>
    <row r="396" spans="1:20" ht="23.4" x14ac:dyDescent="0.3">
      <c r="A396" s="248" t="s">
        <v>110</v>
      </c>
      <c r="B396" s="253" t="s">
        <v>226</v>
      </c>
      <c r="C396" s="482">
        <f t="shared" si="300"/>
        <v>320</v>
      </c>
      <c r="D396" s="250">
        <f>30+30+30+60+20+20+10+45+10+20+45</f>
        <v>320</v>
      </c>
      <c r="E396" s="251"/>
      <c r="F396" s="611">
        <v>4500</v>
      </c>
      <c r="G396" s="476">
        <f>+H396+I396</f>
        <v>37313</v>
      </c>
      <c r="H396" s="254">
        <f>5589+8015+2713+8748+4961+7105</f>
        <v>37131</v>
      </c>
      <c r="I396" s="319">
        <f>34+30+19+27+13+59</f>
        <v>182</v>
      </c>
      <c r="J396" s="620">
        <v>1440</v>
      </c>
      <c r="K396" s="482">
        <f t="shared" si="312"/>
        <v>1120</v>
      </c>
      <c r="L396" s="250">
        <f t="shared" si="303"/>
        <v>1120</v>
      </c>
      <c r="M396" s="483">
        <f t="shared" si="313"/>
        <v>1</v>
      </c>
      <c r="N396" s="484">
        <f t="shared" si="305"/>
        <v>800</v>
      </c>
      <c r="O396" s="250">
        <f t="shared" si="306"/>
        <v>1120</v>
      </c>
      <c r="P396" s="485">
        <f t="shared" si="311"/>
        <v>0.7142857142857143</v>
      </c>
      <c r="Q396" s="250">
        <f t="shared" si="307"/>
        <v>792.97617452362442</v>
      </c>
      <c r="R396" s="250">
        <f t="shared" si="308"/>
        <v>800</v>
      </c>
      <c r="S396" s="486">
        <f t="shared" si="309"/>
        <v>0.99122021815453054</v>
      </c>
      <c r="T396" s="487">
        <f t="shared" si="310"/>
        <v>0.70801444153895043</v>
      </c>
    </row>
    <row r="397" spans="1:20" ht="24" thickBot="1" x14ac:dyDescent="0.35">
      <c r="A397" s="255" t="s">
        <v>110</v>
      </c>
      <c r="B397" s="256" t="s">
        <v>227</v>
      </c>
      <c r="C397" s="488">
        <f t="shared" si="300"/>
        <v>290</v>
      </c>
      <c r="D397" s="257">
        <f>30+30+60+20+30</f>
        <v>170</v>
      </c>
      <c r="E397" s="258">
        <v>120</v>
      </c>
      <c r="F397" s="615">
        <v>5000</v>
      </c>
      <c r="G397" s="498">
        <f t="shared" ref="G397:G404" si="314">+H397+I397</f>
        <v>31291</v>
      </c>
      <c r="H397" s="259">
        <f>24286+1540+5432</f>
        <v>31258</v>
      </c>
      <c r="I397" s="618">
        <f>9+4+20</f>
        <v>33</v>
      </c>
      <c r="J397" s="623">
        <v>960</v>
      </c>
      <c r="K397" s="488">
        <f t="shared" si="312"/>
        <v>670</v>
      </c>
      <c r="L397" s="257">
        <f t="shared" si="303"/>
        <v>790</v>
      </c>
      <c r="M397" s="489">
        <f t="shared" si="313"/>
        <v>0.84810126582278478</v>
      </c>
      <c r="N397" s="490">
        <f t="shared" si="305"/>
        <v>380</v>
      </c>
      <c r="O397" s="257">
        <f t="shared" si="306"/>
        <v>670</v>
      </c>
      <c r="P397" s="491">
        <f t="shared" si="311"/>
        <v>0.56716417910447758</v>
      </c>
      <c r="Q397" s="257">
        <f t="shared" si="307"/>
        <v>378.98756831037679</v>
      </c>
      <c r="R397" s="257">
        <f t="shared" si="308"/>
        <v>380</v>
      </c>
      <c r="S397" s="492">
        <f t="shared" si="309"/>
        <v>0.99733570607993893</v>
      </c>
      <c r="T397" s="493">
        <f t="shared" si="310"/>
        <v>0.47973109912705919</v>
      </c>
    </row>
    <row r="398" spans="1:20" ht="23.4" x14ac:dyDescent="0.3">
      <c r="A398" s="252" t="s">
        <v>108</v>
      </c>
      <c r="B398" s="260" t="s">
        <v>29</v>
      </c>
      <c r="C398" s="474">
        <f t="shared" si="300"/>
        <v>90</v>
      </c>
      <c r="D398" s="250">
        <f>30+30+30</f>
        <v>90</v>
      </c>
      <c r="E398" s="251"/>
      <c r="F398" s="475">
        <v>160000</v>
      </c>
      <c r="G398" s="476">
        <f t="shared" si="314"/>
        <v>158352</v>
      </c>
      <c r="H398" s="475">
        <f>27846+51714+71604+3978</f>
        <v>155142</v>
      </c>
      <c r="I398" s="621">
        <f>1200+1020+990</f>
        <v>3210</v>
      </c>
      <c r="J398" s="756">
        <v>960</v>
      </c>
      <c r="K398" s="474">
        <f t="shared" si="312"/>
        <v>870</v>
      </c>
      <c r="L398" s="476">
        <f t="shared" si="303"/>
        <v>870</v>
      </c>
      <c r="M398" s="477">
        <f t="shared" si="313"/>
        <v>1</v>
      </c>
      <c r="N398" s="478">
        <f t="shared" si="305"/>
        <v>780</v>
      </c>
      <c r="O398" s="476">
        <f t="shared" si="306"/>
        <v>870</v>
      </c>
      <c r="P398" s="479">
        <f t="shared" si="311"/>
        <v>0.89655172413793105</v>
      </c>
      <c r="Q398" s="476">
        <f t="shared" si="307"/>
        <v>760.53955744164898</v>
      </c>
      <c r="R398" s="476">
        <f t="shared" si="308"/>
        <v>780</v>
      </c>
      <c r="S398" s="494">
        <f t="shared" si="309"/>
        <v>0.97505071466878079</v>
      </c>
      <c r="T398" s="495">
        <f t="shared" si="310"/>
        <v>0.87418339935821732</v>
      </c>
    </row>
    <row r="399" spans="1:20" ht="22.5" customHeight="1" x14ac:dyDescent="0.3">
      <c r="A399" s="248" t="s">
        <v>108</v>
      </c>
      <c r="B399" s="260" t="s">
        <v>31</v>
      </c>
      <c r="C399" s="474">
        <f t="shared" si="300"/>
        <v>145</v>
      </c>
      <c r="D399" s="701">
        <f>30+30</f>
        <v>60</v>
      </c>
      <c r="E399" s="251">
        <f>40+15+30</f>
        <v>85</v>
      </c>
      <c r="F399" s="475">
        <v>50000</v>
      </c>
      <c r="G399" s="476">
        <f t="shared" si="314"/>
        <v>36666</v>
      </c>
      <c r="H399" s="475">
        <f>28080+7488</f>
        <v>35568</v>
      </c>
      <c r="I399" s="621">
        <f>820+278</f>
        <v>1098</v>
      </c>
      <c r="J399" s="620">
        <v>480</v>
      </c>
      <c r="K399" s="474">
        <f t="shared" si="312"/>
        <v>335</v>
      </c>
      <c r="L399" s="476">
        <f t="shared" si="303"/>
        <v>420</v>
      </c>
      <c r="M399" s="477">
        <f t="shared" si="313"/>
        <v>0.79761904761904767</v>
      </c>
      <c r="N399" s="478">
        <f t="shared" si="305"/>
        <v>190</v>
      </c>
      <c r="O399" s="476">
        <f t="shared" si="306"/>
        <v>335</v>
      </c>
      <c r="P399" s="479">
        <f t="shared" si="311"/>
        <v>0.56716417910447758</v>
      </c>
      <c r="Q399" s="476">
        <f t="shared" si="307"/>
        <v>175.62592047128129</v>
      </c>
      <c r="R399" s="476">
        <f t="shared" si="308"/>
        <v>190</v>
      </c>
      <c r="S399" s="494">
        <f t="shared" si="309"/>
        <v>0.92434694984884891</v>
      </c>
      <c r="T399" s="495">
        <f t="shared" si="310"/>
        <v>0.41815695350305071</v>
      </c>
    </row>
    <row r="400" spans="1:20" ht="24" thickBot="1" x14ac:dyDescent="0.35">
      <c r="A400" s="255" t="s">
        <v>108</v>
      </c>
      <c r="B400" s="261" t="s">
        <v>32</v>
      </c>
      <c r="C400" s="496">
        <f t="shared" si="300"/>
        <v>0</v>
      </c>
      <c r="D400" s="257"/>
      <c r="E400" s="258"/>
      <c r="F400" s="497">
        <v>110000</v>
      </c>
      <c r="G400" s="498">
        <f t="shared" si="314"/>
        <v>0</v>
      </c>
      <c r="H400" s="497"/>
      <c r="I400" s="622"/>
      <c r="J400" s="623"/>
      <c r="K400" s="496">
        <f t="shared" si="312"/>
        <v>0</v>
      </c>
      <c r="L400" s="498">
        <f t="shared" si="303"/>
        <v>0</v>
      </c>
      <c r="M400" s="499" t="str">
        <f t="shared" si="313"/>
        <v>-</v>
      </c>
      <c r="N400" s="500">
        <f t="shared" si="305"/>
        <v>0</v>
      </c>
      <c r="O400" s="498">
        <f t="shared" si="306"/>
        <v>0</v>
      </c>
      <c r="P400" s="501" t="str">
        <f t="shared" si="311"/>
        <v>-</v>
      </c>
      <c r="Q400" s="498" t="str">
        <f t="shared" si="307"/>
        <v>-</v>
      </c>
      <c r="R400" s="498">
        <f t="shared" si="308"/>
        <v>0</v>
      </c>
      <c r="S400" s="502" t="str">
        <f t="shared" si="309"/>
        <v>-</v>
      </c>
      <c r="T400" s="503" t="str">
        <f t="shared" si="310"/>
        <v>-</v>
      </c>
    </row>
    <row r="401" spans="1:20" ht="23.4" x14ac:dyDescent="0.3">
      <c r="A401" s="248" t="s">
        <v>109</v>
      </c>
      <c r="B401" s="249" t="s">
        <v>233</v>
      </c>
      <c r="C401" s="474">
        <f t="shared" si="300"/>
        <v>0</v>
      </c>
      <c r="D401" s="250"/>
      <c r="E401" s="251"/>
      <c r="F401" s="475">
        <v>6500</v>
      </c>
      <c r="G401" s="476">
        <f t="shared" si="314"/>
        <v>0</v>
      </c>
      <c r="H401" s="475"/>
      <c r="I401" s="621"/>
      <c r="J401" s="620"/>
      <c r="K401" s="474">
        <f t="shared" si="312"/>
        <v>0</v>
      </c>
      <c r="L401" s="476">
        <f t="shared" si="303"/>
        <v>0</v>
      </c>
      <c r="M401" s="477" t="str">
        <f t="shared" si="313"/>
        <v>-</v>
      </c>
      <c r="N401" s="478">
        <f t="shared" si="305"/>
        <v>0</v>
      </c>
      <c r="O401" s="476">
        <f t="shared" si="306"/>
        <v>0</v>
      </c>
      <c r="P401" s="479" t="str">
        <f t="shared" si="311"/>
        <v>-</v>
      </c>
      <c r="Q401" s="476" t="str">
        <f t="shared" si="307"/>
        <v>-</v>
      </c>
      <c r="R401" s="476">
        <f t="shared" si="308"/>
        <v>0</v>
      </c>
      <c r="S401" s="494" t="str">
        <f t="shared" si="309"/>
        <v>-</v>
      </c>
      <c r="T401" s="495" t="str">
        <f t="shared" si="310"/>
        <v>-</v>
      </c>
    </row>
    <row r="402" spans="1:20" ht="23.4" x14ac:dyDescent="0.3">
      <c r="A402" s="252" t="s">
        <v>109</v>
      </c>
      <c r="B402" s="249" t="s">
        <v>40</v>
      </c>
      <c r="C402" s="474">
        <f t="shared" si="300"/>
        <v>0</v>
      </c>
      <c r="D402" s="250"/>
      <c r="E402" s="251"/>
      <c r="F402" s="475">
        <v>2800</v>
      </c>
      <c r="G402" s="476">
        <f t="shared" si="314"/>
        <v>0</v>
      </c>
      <c r="H402" s="475"/>
      <c r="I402" s="621"/>
      <c r="J402" s="620"/>
      <c r="K402" s="474">
        <f t="shared" si="312"/>
        <v>0</v>
      </c>
      <c r="L402" s="476">
        <f t="shared" si="303"/>
        <v>0</v>
      </c>
      <c r="M402" s="477" t="str">
        <f t="shared" si="313"/>
        <v>-</v>
      </c>
      <c r="N402" s="478">
        <f t="shared" si="305"/>
        <v>0</v>
      </c>
      <c r="O402" s="476">
        <f t="shared" si="306"/>
        <v>0</v>
      </c>
      <c r="P402" s="479" t="str">
        <f t="shared" si="311"/>
        <v>-</v>
      </c>
      <c r="Q402" s="476" t="str">
        <f t="shared" si="307"/>
        <v>-</v>
      </c>
      <c r="R402" s="476">
        <f t="shared" si="308"/>
        <v>0</v>
      </c>
      <c r="S402" s="494" t="str">
        <f t="shared" si="309"/>
        <v>-</v>
      </c>
      <c r="T402" s="495" t="str">
        <f t="shared" si="310"/>
        <v>-</v>
      </c>
    </row>
    <row r="403" spans="1:20" ht="23.4" x14ac:dyDescent="0.3">
      <c r="A403" s="248" t="s">
        <v>109</v>
      </c>
      <c r="B403" s="249" t="s">
        <v>42</v>
      </c>
      <c r="C403" s="474">
        <f t="shared" si="300"/>
        <v>0</v>
      </c>
      <c r="D403" s="250"/>
      <c r="E403" s="251"/>
      <c r="F403" s="475">
        <v>25000</v>
      </c>
      <c r="G403" s="476">
        <f t="shared" si="314"/>
        <v>0</v>
      </c>
      <c r="H403" s="475"/>
      <c r="I403" s="621"/>
      <c r="J403" s="620"/>
      <c r="K403" s="474">
        <f t="shared" si="312"/>
        <v>0</v>
      </c>
      <c r="L403" s="476">
        <f t="shared" si="303"/>
        <v>0</v>
      </c>
      <c r="M403" s="477" t="str">
        <f t="shared" si="313"/>
        <v>-</v>
      </c>
      <c r="N403" s="478">
        <f t="shared" si="305"/>
        <v>0</v>
      </c>
      <c r="O403" s="476">
        <f t="shared" si="306"/>
        <v>0</v>
      </c>
      <c r="P403" s="479" t="str">
        <f t="shared" si="311"/>
        <v>-</v>
      </c>
      <c r="Q403" s="476" t="str">
        <f t="shared" si="307"/>
        <v>-</v>
      </c>
      <c r="R403" s="476">
        <f t="shared" si="308"/>
        <v>0</v>
      </c>
      <c r="S403" s="494" t="str">
        <f t="shared" si="309"/>
        <v>-</v>
      </c>
      <c r="T403" s="495" t="str">
        <f t="shared" si="310"/>
        <v>-</v>
      </c>
    </row>
    <row r="404" spans="1:20" ht="47.4" thickBot="1" x14ac:dyDescent="0.35">
      <c r="A404" s="625" t="s">
        <v>109</v>
      </c>
      <c r="B404" s="261" t="s">
        <v>232</v>
      </c>
      <c r="C404" s="626">
        <f t="shared" si="300"/>
        <v>0</v>
      </c>
      <c r="D404" s="627"/>
      <c r="E404" s="628"/>
      <c r="F404" s="629">
        <v>25000</v>
      </c>
      <c r="G404" s="630">
        <f t="shared" si="314"/>
        <v>0</v>
      </c>
      <c r="H404" s="629"/>
      <c r="I404" s="631"/>
      <c r="J404" s="624"/>
      <c r="K404" s="626">
        <f t="shared" si="312"/>
        <v>0</v>
      </c>
      <c r="L404" s="630">
        <f t="shared" si="303"/>
        <v>0</v>
      </c>
      <c r="M404" s="632" t="str">
        <f t="shared" si="313"/>
        <v>-</v>
      </c>
      <c r="N404" s="633">
        <f t="shared" si="305"/>
        <v>0</v>
      </c>
      <c r="O404" s="630">
        <f t="shared" si="306"/>
        <v>0</v>
      </c>
      <c r="P404" s="634" t="str">
        <f t="shared" si="311"/>
        <v>-</v>
      </c>
      <c r="Q404" s="630" t="str">
        <f t="shared" si="307"/>
        <v>-</v>
      </c>
      <c r="R404" s="630">
        <f t="shared" si="308"/>
        <v>0</v>
      </c>
      <c r="S404" s="635" t="str">
        <f t="shared" si="309"/>
        <v>-</v>
      </c>
      <c r="T404" s="636" t="str">
        <f t="shared" si="310"/>
        <v>-</v>
      </c>
    </row>
    <row r="405" spans="1:20" ht="22.5" customHeight="1" x14ac:dyDescent="0.3">
      <c r="A405" s="1043" t="s">
        <v>1</v>
      </c>
      <c r="B405" s="1043" t="s">
        <v>2</v>
      </c>
      <c r="C405" s="1000" t="s">
        <v>221</v>
      </c>
      <c r="D405" s="1001"/>
      <c r="E405" s="1002"/>
      <c r="F405" s="1000" t="s">
        <v>444</v>
      </c>
      <c r="G405" s="1001"/>
      <c r="H405" s="1001"/>
      <c r="I405" s="1002"/>
      <c r="J405" s="1043" t="s">
        <v>218</v>
      </c>
      <c r="K405" s="1000" t="s">
        <v>206</v>
      </c>
      <c r="L405" s="1001"/>
      <c r="M405" s="1002"/>
      <c r="N405" s="1000" t="s">
        <v>207</v>
      </c>
      <c r="O405" s="1001"/>
      <c r="P405" s="1002"/>
      <c r="Q405" s="1000" t="s">
        <v>208</v>
      </c>
      <c r="R405" s="1001"/>
      <c r="S405" s="1002"/>
      <c r="T405" s="1107" t="s">
        <v>205</v>
      </c>
    </row>
    <row r="406" spans="1:20" ht="87.6" thickBot="1" x14ac:dyDescent="0.35">
      <c r="A406" s="1045"/>
      <c r="B406" s="1045"/>
      <c r="C406" s="235" t="s">
        <v>222</v>
      </c>
      <c r="D406" s="236" t="s">
        <v>219</v>
      </c>
      <c r="E406" s="237" t="s">
        <v>220</v>
      </c>
      <c r="F406" s="238" t="s">
        <v>361</v>
      </c>
      <c r="G406" s="236" t="s">
        <v>215</v>
      </c>
      <c r="H406" s="239" t="s">
        <v>216</v>
      </c>
      <c r="I406" s="240" t="s">
        <v>217</v>
      </c>
      <c r="J406" s="1045"/>
      <c r="K406" s="235" t="s">
        <v>209</v>
      </c>
      <c r="L406" s="239" t="s">
        <v>210</v>
      </c>
      <c r="M406" s="241" t="s">
        <v>223</v>
      </c>
      <c r="N406" s="242" t="s">
        <v>211</v>
      </c>
      <c r="O406" s="239" t="s">
        <v>212</v>
      </c>
      <c r="P406" s="241" t="s">
        <v>224</v>
      </c>
      <c r="Q406" s="235" t="s">
        <v>213</v>
      </c>
      <c r="R406" s="239" t="s">
        <v>214</v>
      </c>
      <c r="S406" s="243" t="s">
        <v>225</v>
      </c>
      <c r="T406" s="1108"/>
    </row>
    <row r="407" spans="1:20" ht="25.5" customHeight="1" x14ac:dyDescent="0.3">
      <c r="A407" s="244" t="s">
        <v>110</v>
      </c>
      <c r="B407" s="245" t="s">
        <v>16</v>
      </c>
      <c r="C407" s="467">
        <f>+D407+E407</f>
        <v>150</v>
      </c>
      <c r="D407" s="246">
        <v>30</v>
      </c>
      <c r="E407" s="247">
        <f>30+30+60</f>
        <v>120</v>
      </c>
      <c r="F407" s="610">
        <v>15000</v>
      </c>
      <c r="G407" s="468">
        <f>+H407+I407</f>
        <v>11074</v>
      </c>
      <c r="H407" s="614">
        <f>686+10240</f>
        <v>10926</v>
      </c>
      <c r="I407" s="616">
        <v>148</v>
      </c>
      <c r="J407" s="619">
        <v>480</v>
      </c>
      <c r="K407" s="467">
        <f>+L407-E407</f>
        <v>330</v>
      </c>
      <c r="L407" s="468">
        <f>+J407-D407</f>
        <v>450</v>
      </c>
      <c r="M407" s="469">
        <f>IFERROR(K407/L407,"-")</f>
        <v>0.73333333333333328</v>
      </c>
      <c r="N407" s="470">
        <f>+O407-C407</f>
        <v>180</v>
      </c>
      <c r="O407" s="468">
        <f>+K407</f>
        <v>330</v>
      </c>
      <c r="P407" s="471">
        <f>IFERROR(N407/O407,"-")</f>
        <v>0.54545454545454541</v>
      </c>
      <c r="Q407" s="468">
        <f>IFERROR(N407-(J407-(J407*H407/G407)),"-")</f>
        <v>173.58497381253386</v>
      </c>
      <c r="R407" s="468">
        <f>+N407</f>
        <v>180</v>
      </c>
      <c r="S407" s="472">
        <f>IFERROR(Q407/R407,"-")</f>
        <v>0.96436096562518814</v>
      </c>
      <c r="T407" s="473">
        <f>IFERROR(M407*P407*S407,"-")</f>
        <v>0.38574438625007523</v>
      </c>
    </row>
    <row r="408" spans="1:20" ht="23.4" x14ac:dyDescent="0.3">
      <c r="A408" s="248" t="s">
        <v>110</v>
      </c>
      <c r="B408" s="249" t="s">
        <v>229</v>
      </c>
      <c r="C408" s="474">
        <f t="shared" ref="C408:C422" si="315">+D408+E408</f>
        <v>165</v>
      </c>
      <c r="D408" s="250">
        <f>30+30</f>
        <v>60</v>
      </c>
      <c r="E408" s="251">
        <f>60+45</f>
        <v>105</v>
      </c>
      <c r="F408" s="611">
        <v>200000</v>
      </c>
      <c r="G408" s="476">
        <f t="shared" ref="G408:G413" si="316">+H408+I408</f>
        <v>158406</v>
      </c>
      <c r="H408" s="254">
        <f>59976+12240+85680</f>
        <v>157896</v>
      </c>
      <c r="I408" s="617">
        <f>218+116+176</f>
        <v>510</v>
      </c>
      <c r="J408" s="620">
        <v>960</v>
      </c>
      <c r="K408" s="474">
        <f t="shared" ref="K408:K411" si="317">+L408-E408</f>
        <v>795</v>
      </c>
      <c r="L408" s="476">
        <f t="shared" ref="L408:L422" si="318">+J408-D408</f>
        <v>900</v>
      </c>
      <c r="M408" s="477">
        <f t="shared" ref="M408:M411" si="319">IFERROR(K408/L408,"-")</f>
        <v>0.8833333333333333</v>
      </c>
      <c r="N408" s="478">
        <f t="shared" ref="N408:N422" si="320">+O408-C408</f>
        <v>630</v>
      </c>
      <c r="O408" s="476">
        <f t="shared" ref="O408:O422" si="321">+K408</f>
        <v>795</v>
      </c>
      <c r="P408" s="479">
        <f>IFERROR(N408/O408,"-")</f>
        <v>0.79245283018867929</v>
      </c>
      <c r="Q408" s="476">
        <f t="shared" ref="Q408:Q422" si="322">IFERROR(N408-(J408-(J408*H408/G408)),"-")</f>
        <v>626.90920798454601</v>
      </c>
      <c r="R408" s="476">
        <f t="shared" ref="R408:R422" si="323">+N408</f>
        <v>630</v>
      </c>
      <c r="S408" s="480">
        <f t="shared" ref="S408:S422" si="324">IFERROR(Q408/R408,"-")</f>
        <v>0.99509398092785084</v>
      </c>
      <c r="T408" s="481">
        <f t="shared" ref="T408:T422" si="325">IFERROR(M408*P408*S408,"-")</f>
        <v>0.69656578664949564</v>
      </c>
    </row>
    <row r="409" spans="1:20" ht="23.4" x14ac:dyDescent="0.3">
      <c r="A409" s="248" t="s">
        <v>110</v>
      </c>
      <c r="B409" s="249" t="s">
        <v>228</v>
      </c>
      <c r="C409" s="474">
        <f t="shared" si="315"/>
        <v>0</v>
      </c>
      <c r="D409" s="250"/>
      <c r="E409" s="251"/>
      <c r="F409" s="611">
        <v>80000</v>
      </c>
      <c r="G409" s="476">
        <f t="shared" si="316"/>
        <v>0</v>
      </c>
      <c r="H409" s="254"/>
      <c r="I409" s="617"/>
      <c r="J409" s="620"/>
      <c r="K409" s="474">
        <f t="shared" si="317"/>
        <v>0</v>
      </c>
      <c r="L409" s="476">
        <f t="shared" si="318"/>
        <v>0</v>
      </c>
      <c r="M409" s="477" t="str">
        <f t="shared" si="319"/>
        <v>-</v>
      </c>
      <c r="N409" s="478">
        <f t="shared" si="320"/>
        <v>0</v>
      </c>
      <c r="O409" s="476">
        <f t="shared" si="321"/>
        <v>0</v>
      </c>
      <c r="P409" s="479" t="str">
        <f t="shared" ref="P409:P422" si="326">IFERROR(N409/O409,"-")</f>
        <v>-</v>
      </c>
      <c r="Q409" s="476" t="str">
        <f t="shared" si="322"/>
        <v>-</v>
      </c>
      <c r="R409" s="476">
        <f t="shared" si="323"/>
        <v>0</v>
      </c>
      <c r="S409" s="480" t="str">
        <f t="shared" si="324"/>
        <v>-</v>
      </c>
      <c r="T409" s="481" t="str">
        <f t="shared" si="325"/>
        <v>-</v>
      </c>
    </row>
    <row r="410" spans="1:20" ht="23.4" x14ac:dyDescent="0.3">
      <c r="A410" s="252" t="s">
        <v>110</v>
      </c>
      <c r="B410" s="249" t="s">
        <v>231</v>
      </c>
      <c r="C410" s="474">
        <f t="shared" si="315"/>
        <v>0</v>
      </c>
      <c r="D410" s="250"/>
      <c r="E410" s="251"/>
      <c r="F410" s="611">
        <v>110000</v>
      </c>
      <c r="G410" s="476">
        <f t="shared" si="316"/>
        <v>0</v>
      </c>
      <c r="H410" s="254"/>
      <c r="I410" s="617"/>
      <c r="J410" s="620"/>
      <c r="K410" s="474">
        <f t="shared" si="317"/>
        <v>0</v>
      </c>
      <c r="L410" s="476">
        <f t="shared" si="318"/>
        <v>0</v>
      </c>
      <c r="M410" s="477" t="str">
        <f t="shared" si="319"/>
        <v>-</v>
      </c>
      <c r="N410" s="478">
        <f t="shared" si="320"/>
        <v>0</v>
      </c>
      <c r="O410" s="476">
        <f t="shared" si="321"/>
        <v>0</v>
      </c>
      <c r="P410" s="479" t="str">
        <f t="shared" si="326"/>
        <v>-</v>
      </c>
      <c r="Q410" s="476" t="str">
        <f t="shared" si="322"/>
        <v>-</v>
      </c>
      <c r="R410" s="476">
        <f t="shared" si="323"/>
        <v>0</v>
      </c>
      <c r="S410" s="480" t="str">
        <f t="shared" si="324"/>
        <v>-</v>
      </c>
      <c r="T410" s="481" t="str">
        <f t="shared" si="325"/>
        <v>-</v>
      </c>
    </row>
    <row r="411" spans="1:20" ht="23.4" x14ac:dyDescent="0.3">
      <c r="A411" s="248" t="s">
        <v>110</v>
      </c>
      <c r="B411" s="249" t="s">
        <v>230</v>
      </c>
      <c r="C411" s="474">
        <f t="shared" si="315"/>
        <v>0</v>
      </c>
      <c r="D411" s="250"/>
      <c r="E411" s="251"/>
      <c r="F411" s="611">
        <v>50000</v>
      </c>
      <c r="G411" s="476">
        <f t="shared" si="316"/>
        <v>0</v>
      </c>
      <c r="H411" s="254"/>
      <c r="I411" s="617"/>
      <c r="J411" s="620"/>
      <c r="K411" s="474">
        <f t="shared" si="317"/>
        <v>0</v>
      </c>
      <c r="L411" s="476">
        <f t="shared" si="318"/>
        <v>0</v>
      </c>
      <c r="M411" s="477" t="str">
        <f t="shared" si="319"/>
        <v>-</v>
      </c>
      <c r="N411" s="478">
        <f t="shared" si="320"/>
        <v>0</v>
      </c>
      <c r="O411" s="476">
        <f t="shared" si="321"/>
        <v>0</v>
      </c>
      <c r="P411" s="479" t="str">
        <f t="shared" si="326"/>
        <v>-</v>
      </c>
      <c r="Q411" s="476" t="str">
        <f t="shared" si="322"/>
        <v>-</v>
      </c>
      <c r="R411" s="476">
        <f t="shared" si="323"/>
        <v>0</v>
      </c>
      <c r="S411" s="480" t="str">
        <f t="shared" si="324"/>
        <v>-</v>
      </c>
      <c r="T411" s="481" t="str">
        <f t="shared" si="325"/>
        <v>-</v>
      </c>
    </row>
    <row r="412" spans="1:20" ht="23.4" x14ac:dyDescent="0.3">
      <c r="A412" s="248">
        <v>5</v>
      </c>
      <c r="B412" s="249" t="s">
        <v>22</v>
      </c>
      <c r="C412" s="474">
        <f t="shared" si="315"/>
        <v>300</v>
      </c>
      <c r="D412" s="250">
        <v>30</v>
      </c>
      <c r="E412" s="251">
        <f>240+30</f>
        <v>270</v>
      </c>
      <c r="F412" s="611">
        <v>80000</v>
      </c>
      <c r="G412" s="476">
        <f t="shared" si="316"/>
        <v>29766</v>
      </c>
      <c r="H412" s="475">
        <v>29700</v>
      </c>
      <c r="I412" s="621">
        <v>66</v>
      </c>
      <c r="J412" s="620">
        <v>480</v>
      </c>
      <c r="K412" s="474">
        <f>+L412-E412</f>
        <v>180</v>
      </c>
      <c r="L412" s="476">
        <f t="shared" si="318"/>
        <v>450</v>
      </c>
      <c r="M412" s="477">
        <f>IFERROR(K412/L412,"-")</f>
        <v>0.4</v>
      </c>
      <c r="N412" s="478">
        <f t="shared" si="320"/>
        <v>-120</v>
      </c>
      <c r="O412" s="476">
        <f t="shared" si="321"/>
        <v>180</v>
      </c>
      <c r="P412" s="479">
        <f t="shared" si="326"/>
        <v>-0.66666666666666663</v>
      </c>
      <c r="Q412" s="476">
        <f t="shared" si="322"/>
        <v>-121.06430155210643</v>
      </c>
      <c r="R412" s="476">
        <f t="shared" si="323"/>
        <v>-120</v>
      </c>
      <c r="S412" s="480">
        <f t="shared" si="324"/>
        <v>1.0088691796008868</v>
      </c>
      <c r="T412" s="481">
        <f t="shared" si="325"/>
        <v>-0.26903178122690313</v>
      </c>
    </row>
    <row r="413" spans="1:20" ht="23.4" x14ac:dyDescent="0.3">
      <c r="A413" s="248" t="s">
        <v>110</v>
      </c>
      <c r="B413" s="249" t="s">
        <v>23</v>
      </c>
      <c r="C413" s="474">
        <f t="shared" si="315"/>
        <v>210</v>
      </c>
      <c r="D413" s="250">
        <v>30</v>
      </c>
      <c r="E413" s="251">
        <f>60+120</f>
        <v>180</v>
      </c>
      <c r="F413" s="611">
        <v>14000</v>
      </c>
      <c r="G413" s="476">
        <f t="shared" si="316"/>
        <v>5270</v>
      </c>
      <c r="H413" s="254">
        <v>5250</v>
      </c>
      <c r="I413" s="617">
        <v>20</v>
      </c>
      <c r="J413" s="620">
        <v>480</v>
      </c>
      <c r="K413" s="474">
        <f t="shared" ref="K413:K422" si="327">+L413-E413</f>
        <v>270</v>
      </c>
      <c r="L413" s="476">
        <f t="shared" si="318"/>
        <v>450</v>
      </c>
      <c r="M413" s="477">
        <f t="shared" ref="M413:M422" si="328">IFERROR(K413/L413,"-")</f>
        <v>0.6</v>
      </c>
      <c r="N413" s="478">
        <f t="shared" si="320"/>
        <v>60</v>
      </c>
      <c r="O413" s="476">
        <f t="shared" si="321"/>
        <v>270</v>
      </c>
      <c r="P413" s="479">
        <f t="shared" si="326"/>
        <v>0.22222222222222221</v>
      </c>
      <c r="Q413" s="476">
        <f t="shared" si="322"/>
        <v>58.178368121442134</v>
      </c>
      <c r="R413" s="476">
        <f t="shared" si="323"/>
        <v>60</v>
      </c>
      <c r="S413" s="480">
        <f t="shared" si="324"/>
        <v>0.96963946869070228</v>
      </c>
      <c r="T413" s="481">
        <f t="shared" si="325"/>
        <v>0.12928526249209363</v>
      </c>
    </row>
    <row r="414" spans="1:20" ht="24" thickBot="1" x14ac:dyDescent="0.35">
      <c r="A414" s="248" t="s">
        <v>110</v>
      </c>
      <c r="B414" s="253" t="s">
        <v>226</v>
      </c>
      <c r="C414" s="482">
        <f t="shared" si="315"/>
        <v>685</v>
      </c>
      <c r="D414" s="250">
        <f>30+30+30+60+20+20+60+150+30+105+60+90</f>
        <v>685</v>
      </c>
      <c r="E414" s="251"/>
      <c r="F414" s="611">
        <v>4500</v>
      </c>
      <c r="G414" s="476">
        <f>+H414+I414</f>
        <v>25675</v>
      </c>
      <c r="H414" s="259">
        <f>1280+2476+1429+2644+1448+5541+767+2942+212+3132+3643</f>
        <v>25514</v>
      </c>
      <c r="I414" s="618">
        <f>25+31+11+10+30+22+10+3+16+3</f>
        <v>161</v>
      </c>
      <c r="J414" s="620">
        <v>1440</v>
      </c>
      <c r="K414" s="482">
        <f t="shared" si="327"/>
        <v>755</v>
      </c>
      <c r="L414" s="250">
        <f t="shared" si="318"/>
        <v>755</v>
      </c>
      <c r="M414" s="483">
        <f t="shared" si="328"/>
        <v>1</v>
      </c>
      <c r="N414" s="484">
        <f t="shared" si="320"/>
        <v>70</v>
      </c>
      <c r="O414" s="250">
        <f t="shared" si="321"/>
        <v>755</v>
      </c>
      <c r="P414" s="485">
        <f t="shared" si="326"/>
        <v>9.2715231788079472E-2</v>
      </c>
      <c r="Q414" s="250">
        <f t="shared" si="322"/>
        <v>60.97020447906516</v>
      </c>
      <c r="R414" s="250">
        <f t="shared" si="323"/>
        <v>70</v>
      </c>
      <c r="S414" s="486">
        <f t="shared" si="324"/>
        <v>0.87100292112950228</v>
      </c>
      <c r="T414" s="487">
        <f t="shared" si="325"/>
        <v>8.0755237720616102E-2</v>
      </c>
    </row>
    <row r="415" spans="1:20" ht="24" thickBot="1" x14ac:dyDescent="0.35">
      <c r="A415" s="255" t="s">
        <v>110</v>
      </c>
      <c r="B415" s="256" t="s">
        <v>227</v>
      </c>
      <c r="C415" s="488">
        <f t="shared" si="315"/>
        <v>290</v>
      </c>
      <c r="D415" s="257">
        <f>30+30+60+20+120+30</f>
        <v>290</v>
      </c>
      <c r="E415" s="258"/>
      <c r="F415" s="615">
        <v>5000</v>
      </c>
      <c r="G415" s="498">
        <f t="shared" ref="G415:G422" si="329">+H415+I415</f>
        <v>37346</v>
      </c>
      <c r="H415" s="259">
        <f>1598+17396+12643+5656</f>
        <v>37293</v>
      </c>
      <c r="I415" s="618">
        <f>4+13+28+8</f>
        <v>53</v>
      </c>
      <c r="J415" s="623">
        <v>960</v>
      </c>
      <c r="K415" s="488">
        <f t="shared" si="327"/>
        <v>670</v>
      </c>
      <c r="L415" s="257">
        <f t="shared" si="318"/>
        <v>670</v>
      </c>
      <c r="M415" s="489">
        <f t="shared" si="328"/>
        <v>1</v>
      </c>
      <c r="N415" s="490">
        <f t="shared" si="320"/>
        <v>380</v>
      </c>
      <c r="O415" s="257">
        <f t="shared" si="321"/>
        <v>670</v>
      </c>
      <c r="P415" s="491">
        <f t="shared" si="326"/>
        <v>0.56716417910447758</v>
      </c>
      <c r="Q415" s="257">
        <f t="shared" si="322"/>
        <v>378.63760509827023</v>
      </c>
      <c r="R415" s="257">
        <f t="shared" si="323"/>
        <v>380</v>
      </c>
      <c r="S415" s="492">
        <f t="shared" si="324"/>
        <v>0.99641475025860582</v>
      </c>
      <c r="T415" s="493">
        <f t="shared" si="325"/>
        <v>0.56513075387801526</v>
      </c>
    </row>
    <row r="416" spans="1:20" ht="23.4" x14ac:dyDescent="0.3">
      <c r="A416" s="252" t="s">
        <v>108</v>
      </c>
      <c r="B416" s="260" t="s">
        <v>29</v>
      </c>
      <c r="C416" s="474">
        <f t="shared" si="315"/>
        <v>90</v>
      </c>
      <c r="D416" s="250">
        <f>30+30+30</f>
        <v>90</v>
      </c>
      <c r="E416" s="251"/>
      <c r="F416" s="475">
        <v>160000</v>
      </c>
      <c r="G416" s="476">
        <f t="shared" si="329"/>
        <v>200276</v>
      </c>
      <c r="H416" s="475">
        <v>198900</v>
      </c>
      <c r="I416" s="621">
        <v>1376</v>
      </c>
      <c r="J416" s="756">
        <v>960</v>
      </c>
      <c r="K416" s="474">
        <f t="shared" si="327"/>
        <v>870</v>
      </c>
      <c r="L416" s="476">
        <f t="shared" si="318"/>
        <v>870</v>
      </c>
      <c r="M416" s="477">
        <f t="shared" si="328"/>
        <v>1</v>
      </c>
      <c r="N416" s="478">
        <f t="shared" si="320"/>
        <v>780</v>
      </c>
      <c r="O416" s="476">
        <f t="shared" si="321"/>
        <v>870</v>
      </c>
      <c r="P416" s="479">
        <f t="shared" si="326"/>
        <v>0.89655172413793105</v>
      </c>
      <c r="Q416" s="476">
        <f t="shared" si="322"/>
        <v>773.40430206315284</v>
      </c>
      <c r="R416" s="476">
        <f t="shared" si="323"/>
        <v>780</v>
      </c>
      <c r="S416" s="494">
        <f t="shared" si="324"/>
        <v>0.99154397700404207</v>
      </c>
      <c r="T416" s="495">
        <f t="shared" si="325"/>
        <v>0.88897046214155495</v>
      </c>
    </row>
    <row r="417" spans="1:20" ht="22.5" customHeight="1" x14ac:dyDescent="0.3">
      <c r="A417" s="248" t="s">
        <v>108</v>
      </c>
      <c r="B417" s="260" t="s">
        <v>31</v>
      </c>
      <c r="C417" s="474">
        <f t="shared" si="315"/>
        <v>65</v>
      </c>
      <c r="D417" s="769">
        <v>30</v>
      </c>
      <c r="E417" s="251">
        <v>35</v>
      </c>
      <c r="F417" s="475">
        <v>50000</v>
      </c>
      <c r="G417" s="476">
        <f t="shared" si="329"/>
        <v>10118</v>
      </c>
      <c r="H417" s="475">
        <v>9360</v>
      </c>
      <c r="I417" s="621">
        <v>758</v>
      </c>
      <c r="J417" s="620">
        <v>480</v>
      </c>
      <c r="K417" s="474">
        <f t="shared" si="327"/>
        <v>415</v>
      </c>
      <c r="L417" s="476">
        <f t="shared" si="318"/>
        <v>450</v>
      </c>
      <c r="M417" s="477">
        <f t="shared" si="328"/>
        <v>0.92222222222222228</v>
      </c>
      <c r="N417" s="478">
        <f t="shared" si="320"/>
        <v>350</v>
      </c>
      <c r="O417" s="476">
        <f t="shared" si="321"/>
        <v>415</v>
      </c>
      <c r="P417" s="479">
        <f t="shared" si="326"/>
        <v>0.84337349397590367</v>
      </c>
      <c r="Q417" s="476">
        <f t="shared" si="322"/>
        <v>314.04032417473809</v>
      </c>
      <c r="R417" s="476">
        <f t="shared" si="323"/>
        <v>350</v>
      </c>
      <c r="S417" s="494">
        <f t="shared" si="324"/>
        <v>0.89725806907068029</v>
      </c>
      <c r="T417" s="495">
        <f t="shared" si="325"/>
        <v>0.69786738705497364</v>
      </c>
    </row>
    <row r="418" spans="1:20" ht="24" thickBot="1" x14ac:dyDescent="0.35">
      <c r="A418" s="255" t="s">
        <v>108</v>
      </c>
      <c r="B418" s="261" t="s">
        <v>32</v>
      </c>
      <c r="C418" s="496">
        <f t="shared" si="315"/>
        <v>0</v>
      </c>
      <c r="D418" s="257"/>
      <c r="E418" s="258"/>
      <c r="F418" s="497">
        <v>110000</v>
      </c>
      <c r="G418" s="498">
        <f t="shared" si="329"/>
        <v>0</v>
      </c>
      <c r="H418" s="497"/>
      <c r="I418" s="622"/>
      <c r="J418" s="623"/>
      <c r="K418" s="496">
        <f t="shared" si="327"/>
        <v>0</v>
      </c>
      <c r="L418" s="498">
        <f t="shared" si="318"/>
        <v>0</v>
      </c>
      <c r="M418" s="499" t="str">
        <f t="shared" si="328"/>
        <v>-</v>
      </c>
      <c r="N418" s="500">
        <f t="shared" si="320"/>
        <v>0</v>
      </c>
      <c r="O418" s="498">
        <f t="shared" si="321"/>
        <v>0</v>
      </c>
      <c r="P418" s="501" t="str">
        <f t="shared" si="326"/>
        <v>-</v>
      </c>
      <c r="Q418" s="498" t="str">
        <f t="shared" si="322"/>
        <v>-</v>
      </c>
      <c r="R418" s="498">
        <f t="shared" si="323"/>
        <v>0</v>
      </c>
      <c r="S418" s="502" t="str">
        <f t="shared" si="324"/>
        <v>-</v>
      </c>
      <c r="T418" s="503" t="str">
        <f t="shared" si="325"/>
        <v>-</v>
      </c>
    </row>
    <row r="419" spans="1:20" ht="23.4" x14ac:dyDescent="0.3">
      <c r="A419" s="248" t="s">
        <v>109</v>
      </c>
      <c r="B419" s="249" t="s">
        <v>233</v>
      </c>
      <c r="C419" s="474">
        <f t="shared" si="315"/>
        <v>0</v>
      </c>
      <c r="D419" s="250"/>
      <c r="E419" s="251"/>
      <c r="F419" s="475">
        <v>6500</v>
      </c>
      <c r="G419" s="476">
        <f t="shared" si="329"/>
        <v>0</v>
      </c>
      <c r="H419" s="475"/>
      <c r="I419" s="621"/>
      <c r="J419" s="620"/>
      <c r="K419" s="474">
        <f t="shared" si="327"/>
        <v>0</v>
      </c>
      <c r="L419" s="476">
        <f t="shared" si="318"/>
        <v>0</v>
      </c>
      <c r="M419" s="477" t="str">
        <f t="shared" si="328"/>
        <v>-</v>
      </c>
      <c r="N419" s="478">
        <f t="shared" si="320"/>
        <v>0</v>
      </c>
      <c r="O419" s="476">
        <f t="shared" si="321"/>
        <v>0</v>
      </c>
      <c r="P419" s="479" t="str">
        <f t="shared" si="326"/>
        <v>-</v>
      </c>
      <c r="Q419" s="476" t="str">
        <f t="shared" si="322"/>
        <v>-</v>
      </c>
      <c r="R419" s="476">
        <f t="shared" si="323"/>
        <v>0</v>
      </c>
      <c r="S419" s="494" t="str">
        <f t="shared" si="324"/>
        <v>-</v>
      </c>
      <c r="T419" s="495" t="str">
        <f t="shared" si="325"/>
        <v>-</v>
      </c>
    </row>
    <row r="420" spans="1:20" ht="23.4" x14ac:dyDescent="0.3">
      <c r="A420" s="252" t="s">
        <v>109</v>
      </c>
      <c r="B420" s="249" t="s">
        <v>40</v>
      </c>
      <c r="C420" s="474">
        <f t="shared" si="315"/>
        <v>0</v>
      </c>
      <c r="D420" s="250"/>
      <c r="E420" s="251"/>
      <c r="F420" s="475">
        <v>2800</v>
      </c>
      <c r="G420" s="476">
        <f t="shared" si="329"/>
        <v>0</v>
      </c>
      <c r="H420" s="475"/>
      <c r="I420" s="621"/>
      <c r="J420" s="620"/>
      <c r="K420" s="474">
        <f t="shared" si="327"/>
        <v>0</v>
      </c>
      <c r="L420" s="476">
        <f t="shared" si="318"/>
        <v>0</v>
      </c>
      <c r="M420" s="477" t="str">
        <f t="shared" si="328"/>
        <v>-</v>
      </c>
      <c r="N420" s="478">
        <f t="shared" si="320"/>
        <v>0</v>
      </c>
      <c r="O420" s="476">
        <f t="shared" si="321"/>
        <v>0</v>
      </c>
      <c r="P420" s="479" t="str">
        <f t="shared" si="326"/>
        <v>-</v>
      </c>
      <c r="Q420" s="476" t="str">
        <f t="shared" si="322"/>
        <v>-</v>
      </c>
      <c r="R420" s="476">
        <f t="shared" si="323"/>
        <v>0</v>
      </c>
      <c r="S420" s="494" t="str">
        <f t="shared" si="324"/>
        <v>-</v>
      </c>
      <c r="T420" s="495" t="str">
        <f t="shared" si="325"/>
        <v>-</v>
      </c>
    </row>
    <row r="421" spans="1:20" ht="23.4" x14ac:dyDescent="0.3">
      <c r="A421" s="248" t="s">
        <v>109</v>
      </c>
      <c r="B421" s="249" t="s">
        <v>42</v>
      </c>
      <c r="C421" s="474">
        <f t="shared" si="315"/>
        <v>0</v>
      </c>
      <c r="D421" s="250"/>
      <c r="E421" s="251"/>
      <c r="F421" s="475">
        <v>25000</v>
      </c>
      <c r="G421" s="476">
        <f t="shared" si="329"/>
        <v>0</v>
      </c>
      <c r="H421" s="475"/>
      <c r="I421" s="621"/>
      <c r="J421" s="620"/>
      <c r="K421" s="474">
        <f t="shared" si="327"/>
        <v>0</v>
      </c>
      <c r="L421" s="476">
        <f t="shared" si="318"/>
        <v>0</v>
      </c>
      <c r="M421" s="477" t="str">
        <f t="shared" si="328"/>
        <v>-</v>
      </c>
      <c r="N421" s="478">
        <f t="shared" si="320"/>
        <v>0</v>
      </c>
      <c r="O421" s="476">
        <f t="shared" si="321"/>
        <v>0</v>
      </c>
      <c r="P421" s="479" t="str">
        <f t="shared" si="326"/>
        <v>-</v>
      </c>
      <c r="Q421" s="476" t="str">
        <f t="shared" si="322"/>
        <v>-</v>
      </c>
      <c r="R421" s="476">
        <f t="shared" si="323"/>
        <v>0</v>
      </c>
      <c r="S421" s="494" t="str">
        <f t="shared" si="324"/>
        <v>-</v>
      </c>
      <c r="T421" s="495" t="str">
        <f t="shared" si="325"/>
        <v>-</v>
      </c>
    </row>
    <row r="422" spans="1:20" ht="47.4" thickBot="1" x14ac:dyDescent="0.35">
      <c r="A422" s="625" t="s">
        <v>109</v>
      </c>
      <c r="B422" s="261" t="s">
        <v>232</v>
      </c>
      <c r="C422" s="626">
        <f t="shared" si="315"/>
        <v>0</v>
      </c>
      <c r="D422" s="627"/>
      <c r="E422" s="628"/>
      <c r="F422" s="629">
        <v>25000</v>
      </c>
      <c r="G422" s="630">
        <f t="shared" si="329"/>
        <v>0</v>
      </c>
      <c r="H422" s="629"/>
      <c r="I422" s="631"/>
      <c r="J422" s="624"/>
      <c r="K422" s="626">
        <f t="shared" si="327"/>
        <v>0</v>
      </c>
      <c r="L422" s="630">
        <f t="shared" si="318"/>
        <v>0</v>
      </c>
      <c r="M422" s="632" t="str">
        <f t="shared" si="328"/>
        <v>-</v>
      </c>
      <c r="N422" s="633">
        <f t="shared" si="320"/>
        <v>0</v>
      </c>
      <c r="O422" s="630">
        <f t="shared" si="321"/>
        <v>0</v>
      </c>
      <c r="P422" s="634" t="str">
        <f t="shared" si="326"/>
        <v>-</v>
      </c>
      <c r="Q422" s="630" t="str">
        <f t="shared" si="322"/>
        <v>-</v>
      </c>
      <c r="R422" s="630">
        <f t="shared" si="323"/>
        <v>0</v>
      </c>
      <c r="S422" s="635" t="str">
        <f t="shared" si="324"/>
        <v>-</v>
      </c>
      <c r="T422" s="636" t="str">
        <f t="shared" si="325"/>
        <v>-</v>
      </c>
    </row>
    <row r="423" spans="1:20" ht="22.5" customHeight="1" x14ac:dyDescent="0.3">
      <c r="A423" s="1043" t="s">
        <v>1</v>
      </c>
      <c r="B423" s="1043" t="s">
        <v>2</v>
      </c>
      <c r="C423" s="1000" t="s">
        <v>221</v>
      </c>
      <c r="D423" s="1001"/>
      <c r="E423" s="1002"/>
      <c r="F423" s="1000" t="s">
        <v>432</v>
      </c>
      <c r="G423" s="1001"/>
      <c r="H423" s="1001"/>
      <c r="I423" s="1002"/>
      <c r="J423" s="1043" t="s">
        <v>218</v>
      </c>
      <c r="K423" s="1000" t="s">
        <v>206</v>
      </c>
      <c r="L423" s="1001"/>
      <c r="M423" s="1002"/>
      <c r="N423" s="1000" t="s">
        <v>207</v>
      </c>
      <c r="O423" s="1001"/>
      <c r="P423" s="1002"/>
      <c r="Q423" s="1000" t="s">
        <v>208</v>
      </c>
      <c r="R423" s="1001"/>
      <c r="S423" s="1002"/>
      <c r="T423" s="1107" t="s">
        <v>205</v>
      </c>
    </row>
    <row r="424" spans="1:20" ht="87.6" thickBot="1" x14ac:dyDescent="0.35">
      <c r="A424" s="1045"/>
      <c r="B424" s="1045"/>
      <c r="C424" s="235" t="s">
        <v>222</v>
      </c>
      <c r="D424" s="236" t="s">
        <v>219</v>
      </c>
      <c r="E424" s="237" t="s">
        <v>220</v>
      </c>
      <c r="F424" s="238" t="s">
        <v>361</v>
      </c>
      <c r="G424" s="236" t="s">
        <v>215</v>
      </c>
      <c r="H424" s="239" t="s">
        <v>216</v>
      </c>
      <c r="I424" s="240" t="s">
        <v>217</v>
      </c>
      <c r="J424" s="1045"/>
      <c r="K424" s="235" t="s">
        <v>209</v>
      </c>
      <c r="L424" s="239" t="s">
        <v>210</v>
      </c>
      <c r="M424" s="241" t="s">
        <v>223</v>
      </c>
      <c r="N424" s="242" t="s">
        <v>211</v>
      </c>
      <c r="O424" s="239" t="s">
        <v>212</v>
      </c>
      <c r="P424" s="241" t="s">
        <v>224</v>
      </c>
      <c r="Q424" s="235" t="s">
        <v>213</v>
      </c>
      <c r="R424" s="239" t="s">
        <v>214</v>
      </c>
      <c r="S424" s="243" t="s">
        <v>225</v>
      </c>
      <c r="T424" s="1108"/>
    </row>
    <row r="425" spans="1:20" ht="25.5" customHeight="1" x14ac:dyDescent="0.3">
      <c r="A425" s="244" t="s">
        <v>110</v>
      </c>
      <c r="B425" s="245" t="s">
        <v>16</v>
      </c>
      <c r="C425" s="467">
        <f>+D425+E425</f>
        <v>90</v>
      </c>
      <c r="D425" s="246">
        <v>30</v>
      </c>
      <c r="E425" s="247">
        <v>60</v>
      </c>
      <c r="F425" s="610">
        <v>15000</v>
      </c>
      <c r="G425" s="468">
        <f>+H425+I425</f>
        <v>15571</v>
      </c>
      <c r="H425" s="614">
        <v>15360</v>
      </c>
      <c r="I425" s="616">
        <v>211</v>
      </c>
      <c r="J425" s="619">
        <v>480</v>
      </c>
      <c r="K425" s="467">
        <f>+L425-E425</f>
        <v>390</v>
      </c>
      <c r="L425" s="468">
        <f>+J425-D425</f>
        <v>450</v>
      </c>
      <c r="M425" s="469">
        <f>IFERROR(K425/L425,"-")</f>
        <v>0.8666666666666667</v>
      </c>
      <c r="N425" s="470">
        <f>+O425-C425</f>
        <v>300</v>
      </c>
      <c r="O425" s="468">
        <f>+K425</f>
        <v>390</v>
      </c>
      <c r="P425" s="471">
        <f>IFERROR(N425/O425,"-")</f>
        <v>0.76923076923076927</v>
      </c>
      <c r="Q425" s="468">
        <f>IFERROR(N425-(J425-(J425*H425/G425)),"-")</f>
        <v>293.49560079635222</v>
      </c>
      <c r="R425" s="468">
        <f>+N425</f>
        <v>300</v>
      </c>
      <c r="S425" s="472">
        <f>IFERROR(Q425/R425,"-")</f>
        <v>0.97831866932117406</v>
      </c>
      <c r="T425" s="473">
        <f>IFERROR(M425*P425*S425,"-")</f>
        <v>0.65221244621411611</v>
      </c>
    </row>
    <row r="426" spans="1:20" ht="23.4" x14ac:dyDescent="0.3">
      <c r="A426" s="248" t="s">
        <v>110</v>
      </c>
      <c r="B426" s="249" t="s">
        <v>229</v>
      </c>
      <c r="C426" s="474">
        <f t="shared" ref="C426:C440" si="330">+D426+E426</f>
        <v>510</v>
      </c>
      <c r="D426" s="250">
        <v>60</v>
      </c>
      <c r="E426" s="251">
        <f>270+180</f>
        <v>450</v>
      </c>
      <c r="F426" s="611">
        <v>200000</v>
      </c>
      <c r="G426" s="476">
        <f t="shared" ref="G426:G431" si="331">+H426+I426</f>
        <v>98060</v>
      </c>
      <c r="H426" s="254">
        <v>97920</v>
      </c>
      <c r="I426" s="617">
        <v>140</v>
      </c>
      <c r="J426" s="620">
        <v>960</v>
      </c>
      <c r="K426" s="474">
        <f t="shared" ref="K426:K429" si="332">+L426-E426</f>
        <v>450</v>
      </c>
      <c r="L426" s="476">
        <f t="shared" ref="L426:L440" si="333">+J426-D426</f>
        <v>900</v>
      </c>
      <c r="M426" s="477">
        <f t="shared" ref="M426:M429" si="334">IFERROR(K426/L426,"-")</f>
        <v>0.5</v>
      </c>
      <c r="N426" s="478">
        <f t="shared" ref="N426:N440" si="335">+O426-C426</f>
        <v>-60</v>
      </c>
      <c r="O426" s="476">
        <f t="shared" ref="O426:O440" si="336">+K426</f>
        <v>450</v>
      </c>
      <c r="P426" s="479">
        <f>IFERROR(N426/O426,"-")</f>
        <v>-0.13333333333333333</v>
      </c>
      <c r="Q426" s="476">
        <f t="shared" ref="Q426:Q440" si="337">IFERROR(N426-(J426-(J426*H426/G426)),"-")</f>
        <v>-61.370589435039733</v>
      </c>
      <c r="R426" s="476">
        <f t="shared" ref="R426:R440" si="338">+N426</f>
        <v>-60</v>
      </c>
      <c r="S426" s="480">
        <f t="shared" ref="S426:S440" si="339">IFERROR(Q426/R426,"-")</f>
        <v>1.0228431572506622</v>
      </c>
      <c r="T426" s="481">
        <f t="shared" ref="T426:T440" si="340">IFERROR(M426*P426*S426,"-")</f>
        <v>-6.8189543816710815E-2</v>
      </c>
    </row>
    <row r="427" spans="1:20" ht="23.4" x14ac:dyDescent="0.3">
      <c r="A427" s="248" t="s">
        <v>110</v>
      </c>
      <c r="B427" s="249" t="s">
        <v>228</v>
      </c>
      <c r="C427" s="474">
        <f t="shared" si="330"/>
        <v>0</v>
      </c>
      <c r="D427" s="250"/>
      <c r="E427" s="251"/>
      <c r="F427" s="611">
        <v>80000</v>
      </c>
      <c r="G427" s="476">
        <f t="shared" si="331"/>
        <v>0</v>
      </c>
      <c r="H427" s="254"/>
      <c r="I427" s="617"/>
      <c r="J427" s="620"/>
      <c r="K427" s="474">
        <f t="shared" si="332"/>
        <v>0</v>
      </c>
      <c r="L427" s="476">
        <f t="shared" si="333"/>
        <v>0</v>
      </c>
      <c r="M427" s="477" t="str">
        <f t="shared" si="334"/>
        <v>-</v>
      </c>
      <c r="N427" s="478">
        <f t="shared" si="335"/>
        <v>0</v>
      </c>
      <c r="O427" s="476">
        <f t="shared" si="336"/>
        <v>0</v>
      </c>
      <c r="P427" s="479" t="str">
        <f t="shared" ref="P427:P440" si="341">IFERROR(N427/O427,"-")</f>
        <v>-</v>
      </c>
      <c r="Q427" s="476" t="str">
        <f t="shared" si="337"/>
        <v>-</v>
      </c>
      <c r="R427" s="476">
        <f t="shared" si="338"/>
        <v>0</v>
      </c>
      <c r="S427" s="480" t="str">
        <f t="shared" si="339"/>
        <v>-</v>
      </c>
      <c r="T427" s="481" t="str">
        <f t="shared" si="340"/>
        <v>-</v>
      </c>
    </row>
    <row r="428" spans="1:20" ht="23.4" x14ac:dyDescent="0.3">
      <c r="A428" s="252" t="s">
        <v>110</v>
      </c>
      <c r="B428" s="249" t="s">
        <v>231</v>
      </c>
      <c r="C428" s="474">
        <f t="shared" si="330"/>
        <v>0</v>
      </c>
      <c r="D428" s="250"/>
      <c r="E428" s="251"/>
      <c r="F428" s="611">
        <v>110000</v>
      </c>
      <c r="G428" s="476">
        <f t="shared" si="331"/>
        <v>0</v>
      </c>
      <c r="H428" s="254"/>
      <c r="I428" s="617"/>
      <c r="J428" s="620"/>
      <c r="K428" s="474">
        <f t="shared" si="332"/>
        <v>0</v>
      </c>
      <c r="L428" s="476">
        <f t="shared" si="333"/>
        <v>0</v>
      </c>
      <c r="M428" s="477" t="str">
        <f t="shared" si="334"/>
        <v>-</v>
      </c>
      <c r="N428" s="478">
        <f t="shared" si="335"/>
        <v>0</v>
      </c>
      <c r="O428" s="476">
        <f t="shared" si="336"/>
        <v>0</v>
      </c>
      <c r="P428" s="479" t="str">
        <f t="shared" si="341"/>
        <v>-</v>
      </c>
      <c r="Q428" s="476" t="str">
        <f t="shared" si="337"/>
        <v>-</v>
      </c>
      <c r="R428" s="476">
        <f t="shared" si="338"/>
        <v>0</v>
      </c>
      <c r="S428" s="480" t="str">
        <f t="shared" si="339"/>
        <v>-</v>
      </c>
      <c r="T428" s="481" t="str">
        <f t="shared" si="340"/>
        <v>-</v>
      </c>
    </row>
    <row r="429" spans="1:20" ht="23.4" x14ac:dyDescent="0.3">
      <c r="A429" s="248" t="s">
        <v>110</v>
      </c>
      <c r="B429" s="249" t="s">
        <v>230</v>
      </c>
      <c r="C429" s="474">
        <f t="shared" si="330"/>
        <v>0</v>
      </c>
      <c r="D429" s="250"/>
      <c r="E429" s="251"/>
      <c r="F429" s="611">
        <v>50000</v>
      </c>
      <c r="G429" s="476">
        <f t="shared" si="331"/>
        <v>0</v>
      </c>
      <c r="H429" s="254"/>
      <c r="I429" s="617"/>
      <c r="J429" s="620"/>
      <c r="K429" s="474">
        <f t="shared" si="332"/>
        <v>0</v>
      </c>
      <c r="L429" s="476">
        <f t="shared" si="333"/>
        <v>0</v>
      </c>
      <c r="M429" s="477" t="str">
        <f t="shared" si="334"/>
        <v>-</v>
      </c>
      <c r="N429" s="478">
        <f t="shared" si="335"/>
        <v>0</v>
      </c>
      <c r="O429" s="476">
        <f t="shared" si="336"/>
        <v>0</v>
      </c>
      <c r="P429" s="479" t="str">
        <f t="shared" si="341"/>
        <v>-</v>
      </c>
      <c r="Q429" s="476" t="str">
        <f t="shared" si="337"/>
        <v>-</v>
      </c>
      <c r="R429" s="476">
        <f t="shared" si="338"/>
        <v>0</v>
      </c>
      <c r="S429" s="480" t="str">
        <f t="shared" si="339"/>
        <v>-</v>
      </c>
      <c r="T429" s="481" t="str">
        <f t="shared" si="340"/>
        <v>-</v>
      </c>
    </row>
    <row r="430" spans="1:20" ht="23.4" x14ac:dyDescent="0.3">
      <c r="A430" s="248">
        <v>5</v>
      </c>
      <c r="B430" s="249" t="s">
        <v>22</v>
      </c>
      <c r="C430" s="474">
        <f t="shared" si="330"/>
        <v>0</v>
      </c>
      <c r="D430" s="250"/>
      <c r="E430" s="251"/>
      <c r="F430" s="611">
        <v>80000</v>
      </c>
      <c r="G430" s="476">
        <f t="shared" si="331"/>
        <v>83225</v>
      </c>
      <c r="H430" s="475">
        <v>83160</v>
      </c>
      <c r="I430" s="621">
        <v>65</v>
      </c>
      <c r="J430" s="620">
        <v>480</v>
      </c>
      <c r="K430" s="474">
        <f>+L430-E430</f>
        <v>480</v>
      </c>
      <c r="L430" s="476">
        <f t="shared" si="333"/>
        <v>480</v>
      </c>
      <c r="M430" s="477">
        <f>IFERROR(K430/L430,"-")</f>
        <v>1</v>
      </c>
      <c r="N430" s="478">
        <f t="shared" si="335"/>
        <v>480</v>
      </c>
      <c r="O430" s="476">
        <f t="shared" si="336"/>
        <v>480</v>
      </c>
      <c r="P430" s="479">
        <f t="shared" si="341"/>
        <v>1</v>
      </c>
      <c r="Q430" s="476">
        <f t="shared" si="337"/>
        <v>479.62511264644036</v>
      </c>
      <c r="R430" s="476">
        <f t="shared" si="338"/>
        <v>480</v>
      </c>
      <c r="S430" s="480">
        <f t="shared" si="339"/>
        <v>0.99921898468008408</v>
      </c>
      <c r="T430" s="481">
        <f t="shared" si="340"/>
        <v>0.99921898468008408</v>
      </c>
    </row>
    <row r="431" spans="1:20" ht="23.4" x14ac:dyDescent="0.3">
      <c r="A431" s="248" t="s">
        <v>110</v>
      </c>
      <c r="B431" s="249" t="s">
        <v>23</v>
      </c>
      <c r="C431" s="474">
        <f t="shared" si="330"/>
        <v>0</v>
      </c>
      <c r="D431" s="250"/>
      <c r="E431" s="251"/>
      <c r="F431" s="611">
        <v>14000</v>
      </c>
      <c r="G431" s="476">
        <f t="shared" si="331"/>
        <v>0</v>
      </c>
      <c r="H431" s="254"/>
      <c r="I431" s="617"/>
      <c r="J431" s="620"/>
      <c r="K431" s="474">
        <f t="shared" ref="K431:K440" si="342">+L431-E431</f>
        <v>0</v>
      </c>
      <c r="L431" s="476">
        <f t="shared" si="333"/>
        <v>0</v>
      </c>
      <c r="M431" s="477" t="str">
        <f t="shared" ref="M431:M440" si="343">IFERROR(K431/L431,"-")</f>
        <v>-</v>
      </c>
      <c r="N431" s="478">
        <f t="shared" si="335"/>
        <v>0</v>
      </c>
      <c r="O431" s="476">
        <f t="shared" si="336"/>
        <v>0</v>
      </c>
      <c r="P431" s="479" t="str">
        <f t="shared" si="341"/>
        <v>-</v>
      </c>
      <c r="Q431" s="476" t="str">
        <f t="shared" si="337"/>
        <v>-</v>
      </c>
      <c r="R431" s="476">
        <f t="shared" si="338"/>
        <v>0</v>
      </c>
      <c r="S431" s="480" t="str">
        <f t="shared" si="339"/>
        <v>-</v>
      </c>
      <c r="T431" s="481" t="str">
        <f t="shared" si="340"/>
        <v>-</v>
      </c>
    </row>
    <row r="432" spans="1:20" ht="23.4" x14ac:dyDescent="0.3">
      <c r="A432" s="248" t="s">
        <v>110</v>
      </c>
      <c r="B432" s="253" t="s">
        <v>226</v>
      </c>
      <c r="C432" s="482">
        <f t="shared" si="330"/>
        <v>320</v>
      </c>
      <c r="D432" s="250">
        <f>30+30+30+60+20+20+10+45+10+20+45</f>
        <v>320</v>
      </c>
      <c r="E432" s="251"/>
      <c r="F432" s="611">
        <v>4500</v>
      </c>
      <c r="G432" s="476">
        <f>+H432+I432</f>
        <v>37313</v>
      </c>
      <c r="H432" s="254">
        <f>5589+8015+2713+8748+4961+7105</f>
        <v>37131</v>
      </c>
      <c r="I432" s="319">
        <f>34+30+19+27+13+59</f>
        <v>182</v>
      </c>
      <c r="J432" s="620">
        <v>1440</v>
      </c>
      <c r="K432" s="482">
        <f t="shared" si="342"/>
        <v>1120</v>
      </c>
      <c r="L432" s="250">
        <f t="shared" si="333"/>
        <v>1120</v>
      </c>
      <c r="M432" s="483">
        <f t="shared" si="343"/>
        <v>1</v>
      </c>
      <c r="N432" s="484">
        <f t="shared" si="335"/>
        <v>800</v>
      </c>
      <c r="O432" s="250">
        <f t="shared" si="336"/>
        <v>1120</v>
      </c>
      <c r="P432" s="485">
        <f t="shared" si="341"/>
        <v>0.7142857142857143</v>
      </c>
      <c r="Q432" s="250">
        <f t="shared" si="337"/>
        <v>792.97617452362442</v>
      </c>
      <c r="R432" s="250">
        <f t="shared" si="338"/>
        <v>800</v>
      </c>
      <c r="S432" s="486">
        <f t="shared" si="339"/>
        <v>0.99122021815453054</v>
      </c>
      <c r="T432" s="487">
        <f t="shared" si="340"/>
        <v>0.70801444153895043</v>
      </c>
    </row>
    <row r="433" spans="1:20" ht="24" thickBot="1" x14ac:dyDescent="0.35">
      <c r="A433" s="255" t="s">
        <v>110</v>
      </c>
      <c r="B433" s="256" t="s">
        <v>227</v>
      </c>
      <c r="C433" s="488">
        <f t="shared" si="330"/>
        <v>290</v>
      </c>
      <c r="D433" s="257">
        <f>30+30+60+20+30</f>
        <v>170</v>
      </c>
      <c r="E433" s="258">
        <v>120</v>
      </c>
      <c r="F433" s="615">
        <v>5000</v>
      </c>
      <c r="G433" s="498">
        <f t="shared" ref="G433:G440" si="344">+H433+I433</f>
        <v>31291</v>
      </c>
      <c r="H433" s="259">
        <f>24286+1540+5432</f>
        <v>31258</v>
      </c>
      <c r="I433" s="618">
        <f>9+4+20</f>
        <v>33</v>
      </c>
      <c r="J433" s="623">
        <v>960</v>
      </c>
      <c r="K433" s="488">
        <f t="shared" si="342"/>
        <v>670</v>
      </c>
      <c r="L433" s="257">
        <f t="shared" si="333"/>
        <v>790</v>
      </c>
      <c r="M433" s="489">
        <f t="shared" si="343"/>
        <v>0.84810126582278478</v>
      </c>
      <c r="N433" s="490">
        <f t="shared" si="335"/>
        <v>380</v>
      </c>
      <c r="O433" s="257">
        <f t="shared" si="336"/>
        <v>670</v>
      </c>
      <c r="P433" s="491">
        <f t="shared" si="341"/>
        <v>0.56716417910447758</v>
      </c>
      <c r="Q433" s="257">
        <f t="shared" si="337"/>
        <v>378.98756831037679</v>
      </c>
      <c r="R433" s="257">
        <f t="shared" si="338"/>
        <v>380</v>
      </c>
      <c r="S433" s="492">
        <f t="shared" si="339"/>
        <v>0.99733570607993893</v>
      </c>
      <c r="T433" s="493">
        <f t="shared" si="340"/>
        <v>0.47973109912705919</v>
      </c>
    </row>
    <row r="434" spans="1:20" ht="23.4" x14ac:dyDescent="0.3">
      <c r="A434" s="252" t="s">
        <v>108</v>
      </c>
      <c r="B434" s="260" t="s">
        <v>29</v>
      </c>
      <c r="C434" s="474">
        <f t="shared" si="330"/>
        <v>90</v>
      </c>
      <c r="D434" s="250">
        <f>30+30+30</f>
        <v>90</v>
      </c>
      <c r="E434" s="251"/>
      <c r="F434" s="475">
        <v>160000</v>
      </c>
      <c r="G434" s="476">
        <f t="shared" si="344"/>
        <v>158352</v>
      </c>
      <c r="H434" s="475">
        <f>27846+51714+71604+3978</f>
        <v>155142</v>
      </c>
      <c r="I434" s="621">
        <f>1200+1020+990</f>
        <v>3210</v>
      </c>
      <c r="J434" s="756">
        <v>960</v>
      </c>
      <c r="K434" s="474">
        <f t="shared" si="342"/>
        <v>870</v>
      </c>
      <c r="L434" s="476">
        <f t="shared" si="333"/>
        <v>870</v>
      </c>
      <c r="M434" s="477">
        <f t="shared" si="343"/>
        <v>1</v>
      </c>
      <c r="N434" s="478">
        <f t="shared" si="335"/>
        <v>780</v>
      </c>
      <c r="O434" s="476">
        <f t="shared" si="336"/>
        <v>870</v>
      </c>
      <c r="P434" s="479">
        <f t="shared" si="341"/>
        <v>0.89655172413793105</v>
      </c>
      <c r="Q434" s="476">
        <f t="shared" si="337"/>
        <v>760.53955744164898</v>
      </c>
      <c r="R434" s="476">
        <f t="shared" si="338"/>
        <v>780</v>
      </c>
      <c r="S434" s="494">
        <f t="shared" si="339"/>
        <v>0.97505071466878079</v>
      </c>
      <c r="T434" s="495">
        <f t="shared" si="340"/>
        <v>0.87418339935821732</v>
      </c>
    </row>
    <row r="435" spans="1:20" ht="22.5" customHeight="1" x14ac:dyDescent="0.3">
      <c r="A435" s="248" t="s">
        <v>108</v>
      </c>
      <c r="B435" s="260" t="s">
        <v>31</v>
      </c>
      <c r="C435" s="474">
        <f t="shared" si="330"/>
        <v>145</v>
      </c>
      <c r="D435" s="701">
        <f>30+30</f>
        <v>60</v>
      </c>
      <c r="E435" s="251">
        <f>40+15+30</f>
        <v>85</v>
      </c>
      <c r="F435" s="475">
        <v>50000</v>
      </c>
      <c r="G435" s="476">
        <f t="shared" si="344"/>
        <v>36666</v>
      </c>
      <c r="H435" s="475">
        <f>28080+7488</f>
        <v>35568</v>
      </c>
      <c r="I435" s="621">
        <f>820+278</f>
        <v>1098</v>
      </c>
      <c r="J435" s="620">
        <v>480</v>
      </c>
      <c r="K435" s="474">
        <f t="shared" si="342"/>
        <v>335</v>
      </c>
      <c r="L435" s="476">
        <f t="shared" si="333"/>
        <v>420</v>
      </c>
      <c r="M435" s="477">
        <f t="shared" si="343"/>
        <v>0.79761904761904767</v>
      </c>
      <c r="N435" s="478">
        <f t="shared" si="335"/>
        <v>190</v>
      </c>
      <c r="O435" s="476">
        <f t="shared" si="336"/>
        <v>335</v>
      </c>
      <c r="P435" s="479">
        <f t="shared" si="341"/>
        <v>0.56716417910447758</v>
      </c>
      <c r="Q435" s="476">
        <f t="shared" si="337"/>
        <v>175.62592047128129</v>
      </c>
      <c r="R435" s="476">
        <f t="shared" si="338"/>
        <v>190</v>
      </c>
      <c r="S435" s="494">
        <f t="shared" si="339"/>
        <v>0.92434694984884891</v>
      </c>
      <c r="T435" s="495">
        <f t="shared" si="340"/>
        <v>0.41815695350305071</v>
      </c>
    </row>
    <row r="436" spans="1:20" ht="24" thickBot="1" x14ac:dyDescent="0.35">
      <c r="A436" s="255" t="s">
        <v>108</v>
      </c>
      <c r="B436" s="261" t="s">
        <v>32</v>
      </c>
      <c r="C436" s="496">
        <f t="shared" si="330"/>
        <v>0</v>
      </c>
      <c r="D436" s="257"/>
      <c r="E436" s="258"/>
      <c r="F436" s="497">
        <v>110000</v>
      </c>
      <c r="G436" s="498">
        <f t="shared" si="344"/>
        <v>0</v>
      </c>
      <c r="H436" s="497"/>
      <c r="I436" s="622"/>
      <c r="J436" s="623"/>
      <c r="K436" s="496">
        <f t="shared" si="342"/>
        <v>0</v>
      </c>
      <c r="L436" s="498">
        <f t="shared" si="333"/>
        <v>0</v>
      </c>
      <c r="M436" s="499" t="str">
        <f t="shared" si="343"/>
        <v>-</v>
      </c>
      <c r="N436" s="500">
        <f t="shared" si="335"/>
        <v>0</v>
      </c>
      <c r="O436" s="498">
        <f t="shared" si="336"/>
        <v>0</v>
      </c>
      <c r="P436" s="501" t="str">
        <f t="shared" si="341"/>
        <v>-</v>
      </c>
      <c r="Q436" s="498" t="str">
        <f t="shared" si="337"/>
        <v>-</v>
      </c>
      <c r="R436" s="498">
        <f t="shared" si="338"/>
        <v>0</v>
      </c>
      <c r="S436" s="502" t="str">
        <f t="shared" si="339"/>
        <v>-</v>
      </c>
      <c r="T436" s="503" t="str">
        <f t="shared" si="340"/>
        <v>-</v>
      </c>
    </row>
    <row r="437" spans="1:20" ht="23.4" x14ac:dyDescent="0.3">
      <c r="A437" s="248" t="s">
        <v>109</v>
      </c>
      <c r="B437" s="249" t="s">
        <v>233</v>
      </c>
      <c r="C437" s="474">
        <f t="shared" si="330"/>
        <v>0</v>
      </c>
      <c r="D437" s="250"/>
      <c r="E437" s="251"/>
      <c r="F437" s="475">
        <v>6500</v>
      </c>
      <c r="G437" s="476">
        <f t="shared" si="344"/>
        <v>0</v>
      </c>
      <c r="H437" s="475"/>
      <c r="I437" s="621"/>
      <c r="J437" s="620"/>
      <c r="K437" s="474">
        <f t="shared" si="342"/>
        <v>0</v>
      </c>
      <c r="L437" s="476">
        <f t="shared" si="333"/>
        <v>0</v>
      </c>
      <c r="M437" s="477" t="str">
        <f t="shared" si="343"/>
        <v>-</v>
      </c>
      <c r="N437" s="478">
        <f t="shared" si="335"/>
        <v>0</v>
      </c>
      <c r="O437" s="476">
        <f t="shared" si="336"/>
        <v>0</v>
      </c>
      <c r="P437" s="479" t="str">
        <f t="shared" si="341"/>
        <v>-</v>
      </c>
      <c r="Q437" s="476" t="str">
        <f t="shared" si="337"/>
        <v>-</v>
      </c>
      <c r="R437" s="476">
        <f t="shared" si="338"/>
        <v>0</v>
      </c>
      <c r="S437" s="494" t="str">
        <f t="shared" si="339"/>
        <v>-</v>
      </c>
      <c r="T437" s="495" t="str">
        <f t="shared" si="340"/>
        <v>-</v>
      </c>
    </row>
    <row r="438" spans="1:20" ht="23.4" x14ac:dyDescent="0.3">
      <c r="A438" s="252" t="s">
        <v>109</v>
      </c>
      <c r="B438" s="249" t="s">
        <v>40</v>
      </c>
      <c r="C438" s="474">
        <f t="shared" si="330"/>
        <v>0</v>
      </c>
      <c r="D438" s="250"/>
      <c r="E438" s="251"/>
      <c r="F438" s="475">
        <v>2800</v>
      </c>
      <c r="G438" s="476">
        <f t="shared" si="344"/>
        <v>0</v>
      </c>
      <c r="H438" s="475"/>
      <c r="I438" s="621"/>
      <c r="J438" s="620"/>
      <c r="K438" s="474">
        <f t="shared" si="342"/>
        <v>0</v>
      </c>
      <c r="L438" s="476">
        <f t="shared" si="333"/>
        <v>0</v>
      </c>
      <c r="M438" s="477" t="str">
        <f t="shared" si="343"/>
        <v>-</v>
      </c>
      <c r="N438" s="478">
        <f t="shared" si="335"/>
        <v>0</v>
      </c>
      <c r="O438" s="476">
        <f t="shared" si="336"/>
        <v>0</v>
      </c>
      <c r="P438" s="479" t="str">
        <f t="shared" si="341"/>
        <v>-</v>
      </c>
      <c r="Q438" s="476" t="str">
        <f t="shared" si="337"/>
        <v>-</v>
      </c>
      <c r="R438" s="476">
        <f t="shared" si="338"/>
        <v>0</v>
      </c>
      <c r="S438" s="494" t="str">
        <f t="shared" si="339"/>
        <v>-</v>
      </c>
      <c r="T438" s="495" t="str">
        <f t="shared" si="340"/>
        <v>-</v>
      </c>
    </row>
    <row r="439" spans="1:20" ht="23.4" x14ac:dyDescent="0.3">
      <c r="A439" s="248" t="s">
        <v>109</v>
      </c>
      <c r="B439" s="249" t="s">
        <v>42</v>
      </c>
      <c r="C439" s="474">
        <f t="shared" si="330"/>
        <v>0</v>
      </c>
      <c r="D439" s="250"/>
      <c r="E439" s="251"/>
      <c r="F439" s="475">
        <v>25000</v>
      </c>
      <c r="G439" s="476">
        <f t="shared" si="344"/>
        <v>0</v>
      </c>
      <c r="H439" s="475"/>
      <c r="I439" s="621"/>
      <c r="J439" s="620"/>
      <c r="K439" s="474">
        <f t="shared" si="342"/>
        <v>0</v>
      </c>
      <c r="L439" s="476">
        <f t="shared" si="333"/>
        <v>0</v>
      </c>
      <c r="M439" s="477" t="str">
        <f t="shared" si="343"/>
        <v>-</v>
      </c>
      <c r="N439" s="478">
        <f t="shared" si="335"/>
        <v>0</v>
      </c>
      <c r="O439" s="476">
        <f t="shared" si="336"/>
        <v>0</v>
      </c>
      <c r="P439" s="479" t="str">
        <f t="shared" si="341"/>
        <v>-</v>
      </c>
      <c r="Q439" s="476" t="str">
        <f t="shared" si="337"/>
        <v>-</v>
      </c>
      <c r="R439" s="476">
        <f t="shared" si="338"/>
        <v>0</v>
      </c>
      <c r="S439" s="494" t="str">
        <f t="shared" si="339"/>
        <v>-</v>
      </c>
      <c r="T439" s="495" t="str">
        <f t="shared" si="340"/>
        <v>-</v>
      </c>
    </row>
    <row r="440" spans="1:20" ht="47.4" thickBot="1" x14ac:dyDescent="0.35">
      <c r="A440" s="625" t="s">
        <v>109</v>
      </c>
      <c r="B440" s="261" t="s">
        <v>232</v>
      </c>
      <c r="C440" s="626">
        <f t="shared" si="330"/>
        <v>0</v>
      </c>
      <c r="D440" s="627"/>
      <c r="E440" s="628"/>
      <c r="F440" s="629">
        <v>25000</v>
      </c>
      <c r="G440" s="630">
        <f t="shared" si="344"/>
        <v>0</v>
      </c>
      <c r="H440" s="629"/>
      <c r="I440" s="631"/>
      <c r="J440" s="624"/>
      <c r="K440" s="626">
        <f t="shared" si="342"/>
        <v>0</v>
      </c>
      <c r="L440" s="630">
        <f t="shared" si="333"/>
        <v>0</v>
      </c>
      <c r="M440" s="632" t="str">
        <f t="shared" si="343"/>
        <v>-</v>
      </c>
      <c r="N440" s="633">
        <f t="shared" si="335"/>
        <v>0</v>
      </c>
      <c r="O440" s="630">
        <f t="shared" si="336"/>
        <v>0</v>
      </c>
      <c r="P440" s="634" t="str">
        <f t="shared" si="341"/>
        <v>-</v>
      </c>
      <c r="Q440" s="630" t="str">
        <f t="shared" si="337"/>
        <v>-</v>
      </c>
      <c r="R440" s="630">
        <f t="shared" si="338"/>
        <v>0</v>
      </c>
      <c r="S440" s="635" t="str">
        <f t="shared" si="339"/>
        <v>-</v>
      </c>
      <c r="T440" s="636" t="str">
        <f t="shared" si="340"/>
        <v>-</v>
      </c>
    </row>
    <row r="441" spans="1:20" ht="23.4" x14ac:dyDescent="0.3">
      <c r="A441" s="991" t="s">
        <v>1</v>
      </c>
      <c r="B441" s="1000" t="s">
        <v>2</v>
      </c>
      <c r="C441" s="1000" t="s">
        <v>221</v>
      </c>
      <c r="D441" s="1001"/>
      <c r="E441" s="1002"/>
      <c r="F441" s="1000" t="s">
        <v>427</v>
      </c>
      <c r="G441" s="1001"/>
      <c r="H441" s="1001"/>
      <c r="I441" s="1002"/>
      <c r="J441" s="1111" t="s">
        <v>218</v>
      </c>
      <c r="K441" s="1000" t="s">
        <v>206</v>
      </c>
      <c r="L441" s="1001"/>
      <c r="M441" s="1002"/>
      <c r="N441" s="1001" t="s">
        <v>207</v>
      </c>
      <c r="O441" s="1001"/>
      <c r="P441" s="1002"/>
      <c r="Q441" s="1000" t="s">
        <v>208</v>
      </c>
      <c r="R441" s="1001"/>
      <c r="S441" s="1001"/>
      <c r="T441" s="1107" t="s">
        <v>205</v>
      </c>
    </row>
    <row r="442" spans="1:20" ht="87.6" thickBot="1" x14ac:dyDescent="0.35">
      <c r="A442" s="1109"/>
      <c r="B442" s="1110"/>
      <c r="C442" s="235" t="s">
        <v>222</v>
      </c>
      <c r="D442" s="236" t="s">
        <v>219</v>
      </c>
      <c r="E442" s="237" t="s">
        <v>220</v>
      </c>
      <c r="F442" s="238" t="s">
        <v>361</v>
      </c>
      <c r="G442" s="236" t="s">
        <v>215</v>
      </c>
      <c r="H442" s="239" t="s">
        <v>216</v>
      </c>
      <c r="I442" s="240" t="s">
        <v>217</v>
      </c>
      <c r="J442" s="1112"/>
      <c r="K442" s="235" t="s">
        <v>209</v>
      </c>
      <c r="L442" s="239" t="s">
        <v>210</v>
      </c>
      <c r="M442" s="241" t="s">
        <v>223</v>
      </c>
      <c r="N442" s="242" t="s">
        <v>211</v>
      </c>
      <c r="O442" s="239" t="s">
        <v>212</v>
      </c>
      <c r="P442" s="241" t="s">
        <v>224</v>
      </c>
      <c r="Q442" s="235" t="s">
        <v>213</v>
      </c>
      <c r="R442" s="239" t="s">
        <v>214</v>
      </c>
      <c r="S442" s="243" t="s">
        <v>225</v>
      </c>
      <c r="T442" s="1108"/>
    </row>
    <row r="443" spans="1:20" ht="25.5" customHeight="1" x14ac:dyDescent="0.3">
      <c r="A443" s="244" t="s">
        <v>110</v>
      </c>
      <c r="B443" s="245" t="s">
        <v>16</v>
      </c>
      <c r="C443" s="467">
        <f>+D443+E443</f>
        <v>210</v>
      </c>
      <c r="D443" s="246">
        <v>30</v>
      </c>
      <c r="E443" s="247">
        <f>60+60+60</f>
        <v>180</v>
      </c>
      <c r="F443" s="610">
        <v>15000</v>
      </c>
      <c r="G443" s="468">
        <f>+H443+I443</f>
        <v>3753</v>
      </c>
      <c r="H443" s="614">
        <v>3520</v>
      </c>
      <c r="I443" s="616">
        <v>233</v>
      </c>
      <c r="J443" s="619">
        <v>480</v>
      </c>
      <c r="K443" s="467">
        <f>+L443-E443</f>
        <v>270</v>
      </c>
      <c r="L443" s="468">
        <f>+J443-D443</f>
        <v>450</v>
      </c>
      <c r="M443" s="469">
        <f>IFERROR(K443/L443,"-")</f>
        <v>0.6</v>
      </c>
      <c r="N443" s="470">
        <f>+O443-C443</f>
        <v>60</v>
      </c>
      <c r="O443" s="468">
        <f>+K443</f>
        <v>270</v>
      </c>
      <c r="P443" s="471">
        <f>IFERROR(N443/O443,"-")</f>
        <v>0.22222222222222221</v>
      </c>
      <c r="Q443" s="468">
        <f>IFERROR(N443-(J443-(J443*H443/G443)),"-")</f>
        <v>30.199840127897687</v>
      </c>
      <c r="R443" s="468">
        <f>+N443</f>
        <v>60</v>
      </c>
      <c r="S443" s="472">
        <f>IFERROR(Q443/R443,"-")</f>
        <v>0.5033306687982948</v>
      </c>
      <c r="T443" s="473">
        <f>IFERROR(M443*P443*S443,"-")</f>
        <v>6.7110755839772634E-2</v>
      </c>
    </row>
    <row r="444" spans="1:20" ht="23.4" x14ac:dyDescent="0.3">
      <c r="A444" s="248" t="s">
        <v>110</v>
      </c>
      <c r="B444" s="249" t="s">
        <v>229</v>
      </c>
      <c r="C444" s="474">
        <f t="shared" ref="C444:C458" si="345">+D444+E444</f>
        <v>300</v>
      </c>
      <c r="D444" s="250">
        <v>60</v>
      </c>
      <c r="E444" s="251">
        <f>30+30+60+120</f>
        <v>240</v>
      </c>
      <c r="F444" s="611">
        <v>100000</v>
      </c>
      <c r="G444" s="476">
        <f t="shared" ref="G444:G449" si="346">+H444+I444</f>
        <v>159526</v>
      </c>
      <c r="H444" s="254">
        <f>67320+91800</f>
        <v>159120</v>
      </c>
      <c r="I444" s="617">
        <f>156+250</f>
        <v>406</v>
      </c>
      <c r="J444" s="620">
        <v>960</v>
      </c>
      <c r="K444" s="474">
        <f t="shared" ref="K444:K447" si="347">+L444-E444</f>
        <v>660</v>
      </c>
      <c r="L444" s="476">
        <f t="shared" ref="L444:L458" si="348">+J444-D444</f>
        <v>900</v>
      </c>
      <c r="M444" s="477">
        <f t="shared" ref="M444:M447" si="349">IFERROR(K444/L444,"-")</f>
        <v>0.73333333333333328</v>
      </c>
      <c r="N444" s="478">
        <f t="shared" ref="N444:N458" si="350">+O444-C444</f>
        <v>360</v>
      </c>
      <c r="O444" s="476">
        <f t="shared" ref="O444:O458" si="351">+K444</f>
        <v>660</v>
      </c>
      <c r="P444" s="479">
        <f>IFERROR(N444/O444,"-")</f>
        <v>0.54545454545454541</v>
      </c>
      <c r="Q444" s="476">
        <f t="shared" ref="Q444:Q458" si="352">IFERROR(N444-(J444-(J444*H444/G444)),"-")</f>
        <v>357.55676190714996</v>
      </c>
      <c r="R444" s="476">
        <f t="shared" ref="R444:R458" si="353">+N444</f>
        <v>360</v>
      </c>
      <c r="S444" s="480">
        <f t="shared" ref="S444:S458" si="354">IFERROR(Q444/R444,"-")</f>
        <v>0.99321322751986096</v>
      </c>
      <c r="T444" s="481">
        <f t="shared" ref="T444:T458" si="355">IFERROR(M444*P444*S444,"-")</f>
        <v>0.39728529100794435</v>
      </c>
    </row>
    <row r="445" spans="1:20" ht="23.4" x14ac:dyDescent="0.3">
      <c r="A445" s="248" t="s">
        <v>110</v>
      </c>
      <c r="B445" s="249" t="s">
        <v>228</v>
      </c>
      <c r="C445" s="474">
        <f t="shared" si="345"/>
        <v>0</v>
      </c>
      <c r="D445" s="250">
        <v>0</v>
      </c>
      <c r="E445" s="251">
        <v>0</v>
      </c>
      <c r="F445" s="611">
        <v>80000</v>
      </c>
      <c r="G445" s="476">
        <f t="shared" si="346"/>
        <v>0</v>
      </c>
      <c r="H445" s="254"/>
      <c r="I445" s="617"/>
      <c r="J445" s="620"/>
      <c r="K445" s="474">
        <f t="shared" si="347"/>
        <v>0</v>
      </c>
      <c r="L445" s="476">
        <f t="shared" si="348"/>
        <v>0</v>
      </c>
      <c r="M445" s="477" t="str">
        <f t="shared" si="349"/>
        <v>-</v>
      </c>
      <c r="N445" s="478">
        <f t="shared" si="350"/>
        <v>0</v>
      </c>
      <c r="O445" s="476">
        <f t="shared" si="351"/>
        <v>0</v>
      </c>
      <c r="P445" s="479" t="str">
        <f t="shared" ref="P445:P458" si="356">IFERROR(N445/O445,"-")</f>
        <v>-</v>
      </c>
      <c r="Q445" s="476" t="str">
        <f t="shared" si="352"/>
        <v>-</v>
      </c>
      <c r="R445" s="476">
        <f t="shared" si="353"/>
        <v>0</v>
      </c>
      <c r="S445" s="480" t="str">
        <f t="shared" si="354"/>
        <v>-</v>
      </c>
      <c r="T445" s="481" t="str">
        <f t="shared" si="355"/>
        <v>-</v>
      </c>
    </row>
    <row r="446" spans="1:20" ht="23.4" x14ac:dyDescent="0.3">
      <c r="A446" s="252" t="s">
        <v>110</v>
      </c>
      <c r="B446" s="249" t="s">
        <v>231</v>
      </c>
      <c r="C446" s="474">
        <f t="shared" si="345"/>
        <v>0</v>
      </c>
      <c r="D446" s="250">
        <v>0</v>
      </c>
      <c r="E446" s="251">
        <v>0</v>
      </c>
      <c r="F446" s="611">
        <v>110000</v>
      </c>
      <c r="G446" s="476">
        <f t="shared" si="346"/>
        <v>0</v>
      </c>
      <c r="H446" s="254"/>
      <c r="I446" s="617"/>
      <c r="J446" s="620"/>
      <c r="K446" s="474">
        <f t="shared" si="347"/>
        <v>0</v>
      </c>
      <c r="L446" s="476">
        <f t="shared" si="348"/>
        <v>0</v>
      </c>
      <c r="M446" s="477" t="str">
        <f t="shared" si="349"/>
        <v>-</v>
      </c>
      <c r="N446" s="478">
        <f t="shared" si="350"/>
        <v>0</v>
      </c>
      <c r="O446" s="476">
        <f t="shared" si="351"/>
        <v>0</v>
      </c>
      <c r="P446" s="479" t="str">
        <f t="shared" si="356"/>
        <v>-</v>
      </c>
      <c r="Q446" s="476" t="str">
        <f t="shared" si="352"/>
        <v>-</v>
      </c>
      <c r="R446" s="476">
        <f t="shared" si="353"/>
        <v>0</v>
      </c>
      <c r="S446" s="480" t="str">
        <f t="shared" si="354"/>
        <v>-</v>
      </c>
      <c r="T446" s="481" t="str">
        <f t="shared" si="355"/>
        <v>-</v>
      </c>
    </row>
    <row r="447" spans="1:20" ht="23.4" x14ac:dyDescent="0.3">
      <c r="A447" s="248" t="s">
        <v>110</v>
      </c>
      <c r="B447" s="249" t="s">
        <v>230</v>
      </c>
      <c r="C447" s="474">
        <f t="shared" si="345"/>
        <v>0</v>
      </c>
      <c r="D447" s="250">
        <v>0</v>
      </c>
      <c r="E447" s="251">
        <v>0</v>
      </c>
      <c r="F447" s="611">
        <v>50000</v>
      </c>
      <c r="G447" s="476">
        <f t="shared" si="346"/>
        <v>0</v>
      </c>
      <c r="H447" s="254"/>
      <c r="I447" s="617"/>
      <c r="J447" s="620"/>
      <c r="K447" s="474">
        <f t="shared" si="347"/>
        <v>0</v>
      </c>
      <c r="L447" s="476">
        <f t="shared" si="348"/>
        <v>0</v>
      </c>
      <c r="M447" s="477" t="str">
        <f t="shared" si="349"/>
        <v>-</v>
      </c>
      <c r="N447" s="478">
        <f t="shared" si="350"/>
        <v>0</v>
      </c>
      <c r="O447" s="476">
        <f t="shared" si="351"/>
        <v>0</v>
      </c>
      <c r="P447" s="479" t="str">
        <f t="shared" si="356"/>
        <v>-</v>
      </c>
      <c r="Q447" s="476" t="str">
        <f t="shared" si="352"/>
        <v>-</v>
      </c>
      <c r="R447" s="476">
        <f t="shared" si="353"/>
        <v>0</v>
      </c>
      <c r="S447" s="480" t="str">
        <f t="shared" si="354"/>
        <v>-</v>
      </c>
      <c r="T447" s="481" t="str">
        <f t="shared" si="355"/>
        <v>-</v>
      </c>
    </row>
    <row r="448" spans="1:20" ht="23.4" x14ac:dyDescent="0.3">
      <c r="A448" s="248">
        <v>5</v>
      </c>
      <c r="B448" s="249" t="s">
        <v>22</v>
      </c>
      <c r="C448" s="474">
        <f t="shared" si="345"/>
        <v>200</v>
      </c>
      <c r="D448" s="250">
        <f>30+30</f>
        <v>60</v>
      </c>
      <c r="E448" s="251">
        <f>20+60+30+30</f>
        <v>140</v>
      </c>
      <c r="F448" s="611">
        <v>80000</v>
      </c>
      <c r="G448" s="476">
        <f t="shared" si="346"/>
        <v>152593</v>
      </c>
      <c r="H448" s="475">
        <f>95040+57420</f>
        <v>152460</v>
      </c>
      <c r="I448" s="621">
        <f>65+68</f>
        <v>133</v>
      </c>
      <c r="J448" s="620">
        <f>600+480</f>
        <v>1080</v>
      </c>
      <c r="K448" s="474">
        <f>+L448-E448</f>
        <v>880</v>
      </c>
      <c r="L448" s="476">
        <f t="shared" si="348"/>
        <v>1020</v>
      </c>
      <c r="M448" s="477">
        <f>IFERROR(K448/L448,"-")</f>
        <v>0.86274509803921573</v>
      </c>
      <c r="N448" s="478">
        <f t="shared" si="350"/>
        <v>680</v>
      </c>
      <c r="O448" s="476">
        <f t="shared" si="351"/>
        <v>880</v>
      </c>
      <c r="P448" s="479">
        <f t="shared" si="356"/>
        <v>0.77272727272727271</v>
      </c>
      <c r="Q448" s="476">
        <f t="shared" si="352"/>
        <v>679.05867241616579</v>
      </c>
      <c r="R448" s="476">
        <f t="shared" si="353"/>
        <v>680</v>
      </c>
      <c r="S448" s="480">
        <f t="shared" si="354"/>
        <v>0.99861569472965561</v>
      </c>
      <c r="T448" s="481">
        <f t="shared" si="355"/>
        <v>0.665743796486437</v>
      </c>
    </row>
    <row r="449" spans="1:20" ht="23.4" x14ac:dyDescent="0.3">
      <c r="A449" s="248" t="s">
        <v>110</v>
      </c>
      <c r="B449" s="249" t="s">
        <v>23</v>
      </c>
      <c r="C449" s="474">
        <f t="shared" si="345"/>
        <v>0</v>
      </c>
      <c r="D449" s="250">
        <v>0</v>
      </c>
      <c r="E449" s="251">
        <v>0</v>
      </c>
      <c r="F449" s="611">
        <v>14000</v>
      </c>
      <c r="G449" s="476">
        <f t="shared" si="346"/>
        <v>0</v>
      </c>
      <c r="H449" s="254"/>
      <c r="I449" s="617"/>
      <c r="J449" s="620"/>
      <c r="K449" s="474">
        <f t="shared" ref="K449:K458" si="357">+L449-E449</f>
        <v>0</v>
      </c>
      <c r="L449" s="476">
        <f t="shared" si="348"/>
        <v>0</v>
      </c>
      <c r="M449" s="477" t="str">
        <f t="shared" ref="M449:M458" si="358">IFERROR(K449/L449,"-")</f>
        <v>-</v>
      </c>
      <c r="N449" s="478">
        <f t="shared" si="350"/>
        <v>0</v>
      </c>
      <c r="O449" s="476">
        <f t="shared" si="351"/>
        <v>0</v>
      </c>
      <c r="P449" s="479" t="str">
        <f t="shared" si="356"/>
        <v>-</v>
      </c>
      <c r="Q449" s="476" t="str">
        <f t="shared" si="352"/>
        <v>-</v>
      </c>
      <c r="R449" s="476">
        <f t="shared" si="353"/>
        <v>0</v>
      </c>
      <c r="S449" s="480" t="str">
        <f t="shared" si="354"/>
        <v>-</v>
      </c>
      <c r="T449" s="481" t="str">
        <f t="shared" si="355"/>
        <v>-</v>
      </c>
    </row>
    <row r="450" spans="1:20" ht="23.4" x14ac:dyDescent="0.3">
      <c r="A450" s="248" t="s">
        <v>110</v>
      </c>
      <c r="B450" s="253" t="s">
        <v>226</v>
      </c>
      <c r="C450" s="482">
        <f t="shared" si="345"/>
        <v>990</v>
      </c>
      <c r="D450" s="250">
        <f>90+30+20+30+40+30+10+60+45+10+45+30+30+60+60+55+150</f>
        <v>795</v>
      </c>
      <c r="E450" s="251">
        <f>120+45+30</f>
        <v>195</v>
      </c>
      <c r="F450" s="611">
        <v>4500</v>
      </c>
      <c r="G450" s="476">
        <f>+H450+I450</f>
        <v>57138</v>
      </c>
      <c r="H450" s="254">
        <f>1273+7334+3456+4386+2797+13749+12735+11182</f>
        <v>56912</v>
      </c>
      <c r="I450" s="319">
        <f>13+20+28+42+20+32+25+46</f>
        <v>226</v>
      </c>
      <c r="J450" s="620">
        <f>1440+480+480</f>
        <v>2400</v>
      </c>
      <c r="K450" s="482">
        <f t="shared" si="357"/>
        <v>1410</v>
      </c>
      <c r="L450" s="250">
        <f t="shared" si="348"/>
        <v>1605</v>
      </c>
      <c r="M450" s="483">
        <f t="shared" si="358"/>
        <v>0.87850467289719625</v>
      </c>
      <c r="N450" s="484">
        <f t="shared" si="350"/>
        <v>420</v>
      </c>
      <c r="O450" s="250">
        <f t="shared" si="351"/>
        <v>1410</v>
      </c>
      <c r="P450" s="485">
        <f t="shared" si="356"/>
        <v>0.2978723404255319</v>
      </c>
      <c r="Q450" s="250">
        <f t="shared" si="352"/>
        <v>410.50719311141438</v>
      </c>
      <c r="R450" s="250">
        <f t="shared" si="353"/>
        <v>420</v>
      </c>
      <c r="S450" s="486">
        <f t="shared" si="354"/>
        <v>0.97739807883670093</v>
      </c>
      <c r="T450" s="487">
        <f t="shared" si="355"/>
        <v>0.25576772156474414</v>
      </c>
    </row>
    <row r="451" spans="1:20" ht="24" thickBot="1" x14ac:dyDescent="0.35">
      <c r="A451" s="255" t="s">
        <v>110</v>
      </c>
      <c r="B451" s="256" t="s">
        <v>227</v>
      </c>
      <c r="C451" s="488">
        <f t="shared" si="345"/>
        <v>510</v>
      </c>
      <c r="D451" s="257">
        <f>60+60+30+120</f>
        <v>270</v>
      </c>
      <c r="E451" s="258">
        <f>60+60+90+30</f>
        <v>240</v>
      </c>
      <c r="F451" s="615">
        <v>5000</v>
      </c>
      <c r="G451" s="498">
        <f t="shared" ref="G451:G458" si="359">+H451+I451</f>
        <v>20008</v>
      </c>
      <c r="H451" s="259">
        <f>7003+12989</f>
        <v>19992</v>
      </c>
      <c r="I451" s="618">
        <v>16</v>
      </c>
      <c r="J451" s="623">
        <f>960</f>
        <v>960</v>
      </c>
      <c r="K451" s="488">
        <f t="shared" si="357"/>
        <v>450</v>
      </c>
      <c r="L451" s="257">
        <f t="shared" si="348"/>
        <v>690</v>
      </c>
      <c r="M451" s="489">
        <f t="shared" si="358"/>
        <v>0.65217391304347827</v>
      </c>
      <c r="N451" s="490">
        <f t="shared" si="350"/>
        <v>-60</v>
      </c>
      <c r="O451" s="257">
        <f t="shared" si="351"/>
        <v>450</v>
      </c>
      <c r="P451" s="491">
        <f t="shared" si="356"/>
        <v>-0.13333333333333333</v>
      </c>
      <c r="Q451" s="257">
        <f t="shared" si="352"/>
        <v>-60.767692922830861</v>
      </c>
      <c r="R451" s="257">
        <f t="shared" si="353"/>
        <v>-60</v>
      </c>
      <c r="S451" s="492">
        <f t="shared" si="354"/>
        <v>1.012794882047181</v>
      </c>
      <c r="T451" s="493">
        <f t="shared" si="355"/>
        <v>-8.8069120178015742E-2</v>
      </c>
    </row>
    <row r="452" spans="1:20" ht="23.4" x14ac:dyDescent="0.3">
      <c r="A452" s="252" t="s">
        <v>108</v>
      </c>
      <c r="B452" s="260" t="s">
        <v>29</v>
      </c>
      <c r="C452" s="474">
        <f t="shared" si="345"/>
        <v>180</v>
      </c>
      <c r="D452" s="250">
        <f>30+30+30</f>
        <v>90</v>
      </c>
      <c r="E452" s="251">
        <f>30+30+15+15</f>
        <v>90</v>
      </c>
      <c r="F452" s="475">
        <v>80000</v>
      </c>
      <c r="G452" s="476">
        <f t="shared" si="359"/>
        <v>140592</v>
      </c>
      <c r="H452" s="475">
        <f>75582+63648</f>
        <v>139230</v>
      </c>
      <c r="I452" s="621">
        <f>671+691</f>
        <v>1362</v>
      </c>
      <c r="J452" s="700">
        <v>960</v>
      </c>
      <c r="K452" s="474">
        <f t="shared" si="357"/>
        <v>780</v>
      </c>
      <c r="L452" s="476">
        <f t="shared" si="348"/>
        <v>870</v>
      </c>
      <c r="M452" s="477">
        <f t="shared" si="358"/>
        <v>0.89655172413793105</v>
      </c>
      <c r="N452" s="478">
        <f t="shared" si="350"/>
        <v>600</v>
      </c>
      <c r="O452" s="476">
        <f t="shared" si="351"/>
        <v>780</v>
      </c>
      <c r="P452" s="479">
        <f t="shared" si="356"/>
        <v>0.76923076923076927</v>
      </c>
      <c r="Q452" s="476">
        <f t="shared" si="352"/>
        <v>590.69989757596454</v>
      </c>
      <c r="R452" s="476">
        <f t="shared" si="353"/>
        <v>600</v>
      </c>
      <c r="S452" s="494">
        <f t="shared" si="354"/>
        <v>0.98449982929327429</v>
      </c>
      <c r="T452" s="495">
        <f t="shared" si="355"/>
        <v>0.67896539951260304</v>
      </c>
    </row>
    <row r="453" spans="1:20" ht="22.5" customHeight="1" x14ac:dyDescent="0.3">
      <c r="A453" s="248" t="s">
        <v>108</v>
      </c>
      <c r="B453" s="260" t="s">
        <v>31</v>
      </c>
      <c r="C453" s="474">
        <f t="shared" si="345"/>
        <v>395</v>
      </c>
      <c r="D453" s="701">
        <f>30+30</f>
        <v>60</v>
      </c>
      <c r="E453" s="251">
        <f>180+35+60+60</f>
        <v>335</v>
      </c>
      <c r="F453" s="475">
        <v>50000</v>
      </c>
      <c r="G453" s="476">
        <f t="shared" si="359"/>
        <v>8290</v>
      </c>
      <c r="H453" s="475">
        <f>5616+1872</f>
        <v>7488</v>
      </c>
      <c r="I453" s="621">
        <v>802</v>
      </c>
      <c r="J453" s="620">
        <v>480</v>
      </c>
      <c r="K453" s="474">
        <f t="shared" si="357"/>
        <v>85</v>
      </c>
      <c r="L453" s="476">
        <f t="shared" si="348"/>
        <v>420</v>
      </c>
      <c r="M453" s="477">
        <f t="shared" si="358"/>
        <v>0.20238095238095238</v>
      </c>
      <c r="N453" s="478">
        <f t="shared" si="350"/>
        <v>-310</v>
      </c>
      <c r="O453" s="476">
        <f t="shared" si="351"/>
        <v>85</v>
      </c>
      <c r="P453" s="479">
        <f t="shared" si="356"/>
        <v>-3.6470588235294117</v>
      </c>
      <c r="Q453" s="476">
        <f t="shared" si="352"/>
        <v>-356.43667068757537</v>
      </c>
      <c r="R453" s="476">
        <f t="shared" si="353"/>
        <v>-310</v>
      </c>
      <c r="S453" s="494">
        <f t="shared" si="354"/>
        <v>1.1497957118954045</v>
      </c>
      <c r="T453" s="495">
        <f t="shared" si="355"/>
        <v>-0.84865873973232242</v>
      </c>
    </row>
    <row r="454" spans="1:20" ht="24" thickBot="1" x14ac:dyDescent="0.35">
      <c r="A454" s="255" t="s">
        <v>108</v>
      </c>
      <c r="B454" s="261" t="s">
        <v>32</v>
      </c>
      <c r="C454" s="496">
        <f t="shared" si="345"/>
        <v>0</v>
      </c>
      <c r="D454" s="257">
        <v>0</v>
      </c>
      <c r="E454" s="258">
        <v>0</v>
      </c>
      <c r="F454" s="497">
        <v>110000</v>
      </c>
      <c r="G454" s="498">
        <f t="shared" si="359"/>
        <v>0</v>
      </c>
      <c r="H454" s="497"/>
      <c r="I454" s="622"/>
      <c r="J454" s="623"/>
      <c r="K454" s="496">
        <f t="shared" si="357"/>
        <v>0</v>
      </c>
      <c r="L454" s="498">
        <f t="shared" si="348"/>
        <v>0</v>
      </c>
      <c r="M454" s="499" t="str">
        <f t="shared" si="358"/>
        <v>-</v>
      </c>
      <c r="N454" s="500">
        <f t="shared" si="350"/>
        <v>0</v>
      </c>
      <c r="O454" s="498">
        <f t="shared" si="351"/>
        <v>0</v>
      </c>
      <c r="P454" s="501" t="str">
        <f t="shared" si="356"/>
        <v>-</v>
      </c>
      <c r="Q454" s="498" t="str">
        <f t="shared" si="352"/>
        <v>-</v>
      </c>
      <c r="R454" s="498">
        <f t="shared" si="353"/>
        <v>0</v>
      </c>
      <c r="S454" s="502" t="str">
        <f t="shared" si="354"/>
        <v>-</v>
      </c>
      <c r="T454" s="503" t="str">
        <f t="shared" si="355"/>
        <v>-</v>
      </c>
    </row>
    <row r="455" spans="1:20" ht="23.4" x14ac:dyDescent="0.3">
      <c r="A455" s="248" t="s">
        <v>109</v>
      </c>
      <c r="B455" s="249" t="s">
        <v>233</v>
      </c>
      <c r="C455" s="474">
        <f t="shared" si="345"/>
        <v>0</v>
      </c>
      <c r="D455" s="250">
        <v>0</v>
      </c>
      <c r="E455" s="251">
        <v>0</v>
      </c>
      <c r="F455" s="475">
        <v>6500</v>
      </c>
      <c r="G455" s="476">
        <f t="shared" si="359"/>
        <v>0</v>
      </c>
      <c r="H455" s="475"/>
      <c r="I455" s="621"/>
      <c r="J455" s="620"/>
      <c r="K455" s="474">
        <f t="shared" si="357"/>
        <v>0</v>
      </c>
      <c r="L455" s="476">
        <f t="shared" si="348"/>
        <v>0</v>
      </c>
      <c r="M455" s="477" t="str">
        <f t="shared" si="358"/>
        <v>-</v>
      </c>
      <c r="N455" s="478">
        <f t="shared" si="350"/>
        <v>0</v>
      </c>
      <c r="O455" s="476">
        <f t="shared" si="351"/>
        <v>0</v>
      </c>
      <c r="P455" s="479" t="str">
        <f t="shared" si="356"/>
        <v>-</v>
      </c>
      <c r="Q455" s="476" t="str">
        <f t="shared" si="352"/>
        <v>-</v>
      </c>
      <c r="R455" s="476">
        <f t="shared" si="353"/>
        <v>0</v>
      </c>
      <c r="S455" s="494" t="str">
        <f t="shared" si="354"/>
        <v>-</v>
      </c>
      <c r="T455" s="495" t="str">
        <f t="shared" si="355"/>
        <v>-</v>
      </c>
    </row>
    <row r="456" spans="1:20" ht="23.4" x14ac:dyDescent="0.3">
      <c r="A456" s="252" t="s">
        <v>109</v>
      </c>
      <c r="B456" s="249" t="s">
        <v>40</v>
      </c>
      <c r="C456" s="474">
        <f t="shared" si="345"/>
        <v>0</v>
      </c>
      <c r="D456" s="250">
        <v>0</v>
      </c>
      <c r="E456" s="251">
        <v>0</v>
      </c>
      <c r="F456" s="475">
        <v>2800</v>
      </c>
      <c r="G456" s="476">
        <f t="shared" si="359"/>
        <v>0</v>
      </c>
      <c r="H456" s="475"/>
      <c r="I456" s="621"/>
      <c r="J456" s="620"/>
      <c r="K456" s="474">
        <f t="shared" si="357"/>
        <v>0</v>
      </c>
      <c r="L456" s="476">
        <f t="shared" si="348"/>
        <v>0</v>
      </c>
      <c r="M456" s="477" t="str">
        <f t="shared" si="358"/>
        <v>-</v>
      </c>
      <c r="N456" s="478">
        <f t="shared" si="350"/>
        <v>0</v>
      </c>
      <c r="O456" s="476">
        <f t="shared" si="351"/>
        <v>0</v>
      </c>
      <c r="P456" s="479" t="str">
        <f t="shared" si="356"/>
        <v>-</v>
      </c>
      <c r="Q456" s="476" t="str">
        <f t="shared" si="352"/>
        <v>-</v>
      </c>
      <c r="R456" s="476">
        <f t="shared" si="353"/>
        <v>0</v>
      </c>
      <c r="S456" s="494" t="str">
        <f t="shared" si="354"/>
        <v>-</v>
      </c>
      <c r="T456" s="495" t="str">
        <f t="shared" si="355"/>
        <v>-</v>
      </c>
    </row>
    <row r="457" spans="1:20" ht="23.4" x14ac:dyDescent="0.3">
      <c r="A457" s="248" t="s">
        <v>109</v>
      </c>
      <c r="B457" s="249" t="s">
        <v>42</v>
      </c>
      <c r="C457" s="474">
        <f t="shared" si="345"/>
        <v>0</v>
      </c>
      <c r="D457" s="250">
        <v>0</v>
      </c>
      <c r="E457" s="251">
        <v>0</v>
      </c>
      <c r="F457" s="475">
        <v>25000</v>
      </c>
      <c r="G457" s="476">
        <f t="shared" si="359"/>
        <v>0</v>
      </c>
      <c r="H457" s="475"/>
      <c r="I457" s="621"/>
      <c r="J457" s="620"/>
      <c r="K457" s="474">
        <f t="shared" si="357"/>
        <v>0</v>
      </c>
      <c r="L457" s="476">
        <f t="shared" si="348"/>
        <v>0</v>
      </c>
      <c r="M457" s="477" t="str">
        <f t="shared" si="358"/>
        <v>-</v>
      </c>
      <c r="N457" s="478">
        <f t="shared" si="350"/>
        <v>0</v>
      </c>
      <c r="O457" s="476">
        <f t="shared" si="351"/>
        <v>0</v>
      </c>
      <c r="P457" s="479" t="str">
        <f t="shared" si="356"/>
        <v>-</v>
      </c>
      <c r="Q457" s="476" t="str">
        <f t="shared" si="352"/>
        <v>-</v>
      </c>
      <c r="R457" s="476">
        <f t="shared" si="353"/>
        <v>0</v>
      </c>
      <c r="S457" s="494" t="str">
        <f t="shared" si="354"/>
        <v>-</v>
      </c>
      <c r="T457" s="495" t="str">
        <f t="shared" si="355"/>
        <v>-</v>
      </c>
    </row>
    <row r="458" spans="1:20" ht="47.4" thickBot="1" x14ac:dyDescent="0.35">
      <c r="A458" s="625" t="s">
        <v>109</v>
      </c>
      <c r="B458" s="261" t="s">
        <v>232</v>
      </c>
      <c r="C458" s="626">
        <f t="shared" si="345"/>
        <v>0</v>
      </c>
      <c r="D458" s="627">
        <v>0</v>
      </c>
      <c r="E458" s="628">
        <v>0</v>
      </c>
      <c r="F458" s="629">
        <v>25000</v>
      </c>
      <c r="G458" s="630">
        <f t="shared" si="359"/>
        <v>0</v>
      </c>
      <c r="H458" s="629"/>
      <c r="I458" s="631"/>
      <c r="J458" s="624"/>
      <c r="K458" s="626">
        <f t="shared" si="357"/>
        <v>0</v>
      </c>
      <c r="L458" s="630">
        <f t="shared" si="348"/>
        <v>0</v>
      </c>
      <c r="M458" s="632" t="str">
        <f t="shared" si="358"/>
        <v>-</v>
      </c>
      <c r="N458" s="633">
        <f t="shared" si="350"/>
        <v>0</v>
      </c>
      <c r="O458" s="630">
        <f t="shared" si="351"/>
        <v>0</v>
      </c>
      <c r="P458" s="634" t="str">
        <f t="shared" si="356"/>
        <v>-</v>
      </c>
      <c r="Q458" s="630" t="str">
        <f t="shared" si="352"/>
        <v>-</v>
      </c>
      <c r="R458" s="630">
        <f t="shared" si="353"/>
        <v>0</v>
      </c>
      <c r="S458" s="635" t="str">
        <f t="shared" si="354"/>
        <v>-</v>
      </c>
      <c r="T458" s="636" t="str">
        <f t="shared" si="355"/>
        <v>-</v>
      </c>
    </row>
    <row r="459" spans="1:20" ht="23.4" x14ac:dyDescent="0.3">
      <c r="A459" s="991" t="s">
        <v>1</v>
      </c>
      <c r="B459" s="1000" t="s">
        <v>2</v>
      </c>
      <c r="C459" s="1000" t="s">
        <v>221</v>
      </c>
      <c r="D459" s="1001"/>
      <c r="E459" s="1002"/>
      <c r="F459" s="1000" t="s">
        <v>420</v>
      </c>
      <c r="G459" s="1001"/>
      <c r="H459" s="1001"/>
      <c r="I459" s="1002"/>
      <c r="J459" s="1111" t="s">
        <v>218</v>
      </c>
      <c r="K459" s="1000" t="s">
        <v>206</v>
      </c>
      <c r="L459" s="1001"/>
      <c r="M459" s="1002"/>
      <c r="N459" s="1001" t="s">
        <v>207</v>
      </c>
      <c r="O459" s="1001"/>
      <c r="P459" s="1002"/>
      <c r="Q459" s="1000" t="s">
        <v>208</v>
      </c>
      <c r="R459" s="1001"/>
      <c r="S459" s="1001"/>
      <c r="T459" s="1107" t="s">
        <v>205</v>
      </c>
    </row>
    <row r="460" spans="1:20" ht="87.6" thickBot="1" x14ac:dyDescent="0.35">
      <c r="A460" s="1109"/>
      <c r="B460" s="1110"/>
      <c r="C460" s="235" t="s">
        <v>222</v>
      </c>
      <c r="D460" s="236" t="s">
        <v>219</v>
      </c>
      <c r="E460" s="237" t="s">
        <v>220</v>
      </c>
      <c r="F460" s="238" t="s">
        <v>361</v>
      </c>
      <c r="G460" s="236" t="s">
        <v>215</v>
      </c>
      <c r="H460" s="239" t="s">
        <v>216</v>
      </c>
      <c r="I460" s="240" t="s">
        <v>217</v>
      </c>
      <c r="J460" s="1112"/>
      <c r="K460" s="235" t="s">
        <v>209</v>
      </c>
      <c r="L460" s="239" t="s">
        <v>210</v>
      </c>
      <c r="M460" s="241" t="s">
        <v>223</v>
      </c>
      <c r="N460" s="242" t="s">
        <v>211</v>
      </c>
      <c r="O460" s="239" t="s">
        <v>212</v>
      </c>
      <c r="P460" s="241" t="s">
        <v>224</v>
      </c>
      <c r="Q460" s="235" t="s">
        <v>213</v>
      </c>
      <c r="R460" s="239" t="s">
        <v>214</v>
      </c>
      <c r="S460" s="243" t="s">
        <v>225</v>
      </c>
      <c r="T460" s="1108"/>
    </row>
    <row r="461" spans="1:20" ht="25.5" customHeight="1" x14ac:dyDescent="0.3">
      <c r="A461" s="244" t="s">
        <v>110</v>
      </c>
      <c r="B461" s="245" t="s">
        <v>16</v>
      </c>
      <c r="C461" s="467">
        <f>+D461+E461</f>
        <v>0</v>
      </c>
      <c r="D461" s="246"/>
      <c r="E461" s="247"/>
      <c r="F461" s="610">
        <v>15000</v>
      </c>
      <c r="G461" s="468">
        <f>+H461+I461</f>
        <v>0</v>
      </c>
      <c r="H461" s="614"/>
      <c r="I461" s="616"/>
      <c r="J461" s="619"/>
      <c r="K461" s="467">
        <f>+L461-E461</f>
        <v>0</v>
      </c>
      <c r="L461" s="468">
        <f>+J461-D461</f>
        <v>0</v>
      </c>
      <c r="M461" s="469" t="str">
        <f>IFERROR(K461/L461,"-")</f>
        <v>-</v>
      </c>
      <c r="N461" s="470">
        <f>+O461-C461</f>
        <v>0</v>
      </c>
      <c r="O461" s="468">
        <f>+K461</f>
        <v>0</v>
      </c>
      <c r="P461" s="471" t="str">
        <f>IFERROR(N461/O461,"-")</f>
        <v>-</v>
      </c>
      <c r="Q461" s="468" t="str">
        <f>IFERROR(N461-(J461-(J461*H461/G461)),"-")</f>
        <v>-</v>
      </c>
      <c r="R461" s="468">
        <f>+N461</f>
        <v>0</v>
      </c>
      <c r="S461" s="472" t="str">
        <f>IFERROR(Q461/R461,"-")</f>
        <v>-</v>
      </c>
      <c r="T461" s="473" t="str">
        <f>IFERROR(M461*P461*S461,"-")</f>
        <v>-</v>
      </c>
    </row>
    <row r="462" spans="1:20" ht="23.4" x14ac:dyDescent="0.3">
      <c r="A462" s="248" t="s">
        <v>110</v>
      </c>
      <c r="B462" s="249" t="s">
        <v>229</v>
      </c>
      <c r="C462" s="474">
        <f t="shared" ref="C462:C476" si="360">+D462+E462</f>
        <v>210</v>
      </c>
      <c r="D462" s="250">
        <v>60</v>
      </c>
      <c r="E462" s="251">
        <v>150</v>
      </c>
      <c r="F462" s="611">
        <v>100000</v>
      </c>
      <c r="G462" s="476">
        <f t="shared" ref="G462:G467" si="361">+H462+I462</f>
        <v>155467</v>
      </c>
      <c r="H462" s="254">
        <f>12240+6120+30600+104040</f>
        <v>153000</v>
      </c>
      <c r="I462" s="617">
        <f>1674+120+673</f>
        <v>2467</v>
      </c>
      <c r="J462" s="620">
        <v>960</v>
      </c>
      <c r="K462" s="474">
        <f t="shared" ref="K462:K465" si="362">+L462-E462</f>
        <v>750</v>
      </c>
      <c r="L462" s="476">
        <f t="shared" ref="L462:L476" si="363">+J462-D462</f>
        <v>900</v>
      </c>
      <c r="M462" s="477">
        <f t="shared" ref="M462:M465" si="364">IFERROR(K462/L462,"-")</f>
        <v>0.83333333333333337</v>
      </c>
      <c r="N462" s="478">
        <f t="shared" ref="N462:N476" si="365">+O462-C462</f>
        <v>540</v>
      </c>
      <c r="O462" s="476">
        <f t="shared" ref="O462:O476" si="366">+K462</f>
        <v>750</v>
      </c>
      <c r="P462" s="479">
        <f>IFERROR(N462/O462,"-")</f>
        <v>0.72</v>
      </c>
      <c r="Q462" s="476">
        <f t="shared" ref="Q462:Q476" si="367">IFERROR(N462-(J462-(J462*H462/G462)),"-")</f>
        <v>524.76641345108612</v>
      </c>
      <c r="R462" s="476">
        <f t="shared" ref="R462:R476" si="368">+N462</f>
        <v>540</v>
      </c>
      <c r="S462" s="480">
        <f t="shared" ref="S462:S476" si="369">IFERROR(Q462/R462,"-")</f>
        <v>0.97178965453904842</v>
      </c>
      <c r="T462" s="481">
        <f t="shared" ref="T462:T476" si="370">IFERROR(M462*P462*S462,"-")</f>
        <v>0.58307379272342907</v>
      </c>
    </row>
    <row r="463" spans="1:20" ht="23.4" x14ac:dyDescent="0.3">
      <c r="A463" s="248" t="s">
        <v>110</v>
      </c>
      <c r="B463" s="249" t="s">
        <v>228</v>
      </c>
      <c r="C463" s="474">
        <f t="shared" si="360"/>
        <v>0</v>
      </c>
      <c r="D463" s="250"/>
      <c r="E463" s="251"/>
      <c r="F463" s="611">
        <v>80000</v>
      </c>
      <c r="G463" s="476">
        <f t="shared" si="361"/>
        <v>0</v>
      </c>
      <c r="H463" s="254"/>
      <c r="I463" s="617"/>
      <c r="J463" s="620"/>
      <c r="K463" s="474">
        <f t="shared" si="362"/>
        <v>0</v>
      </c>
      <c r="L463" s="476">
        <f t="shared" si="363"/>
        <v>0</v>
      </c>
      <c r="M463" s="477" t="str">
        <f t="shared" si="364"/>
        <v>-</v>
      </c>
      <c r="N463" s="478">
        <f t="shared" si="365"/>
        <v>0</v>
      </c>
      <c r="O463" s="476">
        <f t="shared" si="366"/>
        <v>0</v>
      </c>
      <c r="P463" s="479" t="str">
        <f t="shared" ref="P463:P476" si="371">IFERROR(N463/O463,"-")</f>
        <v>-</v>
      </c>
      <c r="Q463" s="476" t="str">
        <f t="shared" si="367"/>
        <v>-</v>
      </c>
      <c r="R463" s="476">
        <f t="shared" si="368"/>
        <v>0</v>
      </c>
      <c r="S463" s="480" t="str">
        <f t="shared" si="369"/>
        <v>-</v>
      </c>
      <c r="T463" s="481" t="str">
        <f t="shared" si="370"/>
        <v>-</v>
      </c>
    </row>
    <row r="464" spans="1:20" ht="23.4" x14ac:dyDescent="0.3">
      <c r="A464" s="252" t="s">
        <v>110</v>
      </c>
      <c r="B464" s="249" t="s">
        <v>231</v>
      </c>
      <c r="C464" s="474">
        <f t="shared" si="360"/>
        <v>180</v>
      </c>
      <c r="D464" s="250">
        <v>30</v>
      </c>
      <c r="E464" s="251">
        <v>150</v>
      </c>
      <c r="F464" s="611">
        <v>110000</v>
      </c>
      <c r="G464" s="476">
        <f t="shared" si="361"/>
        <v>8685</v>
      </c>
      <c r="H464" s="254">
        <v>8448</v>
      </c>
      <c r="I464" s="617">
        <v>237</v>
      </c>
      <c r="J464" s="620">
        <v>480</v>
      </c>
      <c r="K464" s="474">
        <f t="shared" si="362"/>
        <v>300</v>
      </c>
      <c r="L464" s="476">
        <f t="shared" si="363"/>
        <v>450</v>
      </c>
      <c r="M464" s="477">
        <f t="shared" si="364"/>
        <v>0.66666666666666663</v>
      </c>
      <c r="N464" s="478">
        <f t="shared" si="365"/>
        <v>120</v>
      </c>
      <c r="O464" s="476">
        <f t="shared" si="366"/>
        <v>300</v>
      </c>
      <c r="P464" s="479">
        <f t="shared" si="371"/>
        <v>0.4</v>
      </c>
      <c r="Q464" s="476">
        <f t="shared" si="367"/>
        <v>106.90155440414509</v>
      </c>
      <c r="R464" s="476">
        <f t="shared" si="368"/>
        <v>120</v>
      </c>
      <c r="S464" s="480">
        <f t="shared" si="369"/>
        <v>0.89084628670120902</v>
      </c>
      <c r="T464" s="481">
        <f t="shared" si="370"/>
        <v>0.23755900978698907</v>
      </c>
    </row>
    <row r="465" spans="1:20" ht="23.4" x14ac:dyDescent="0.3">
      <c r="A465" s="248" t="s">
        <v>110</v>
      </c>
      <c r="B465" s="249" t="s">
        <v>230</v>
      </c>
      <c r="C465" s="474">
        <f t="shared" si="360"/>
        <v>0</v>
      </c>
      <c r="D465" s="250"/>
      <c r="E465" s="251"/>
      <c r="F465" s="611">
        <v>50000</v>
      </c>
      <c r="G465" s="476">
        <f t="shared" si="361"/>
        <v>0</v>
      </c>
      <c r="H465" s="254"/>
      <c r="I465" s="617"/>
      <c r="J465" s="620"/>
      <c r="K465" s="474">
        <f t="shared" si="362"/>
        <v>0</v>
      </c>
      <c r="L465" s="476">
        <f t="shared" si="363"/>
        <v>0</v>
      </c>
      <c r="M465" s="477" t="str">
        <f t="shared" si="364"/>
        <v>-</v>
      </c>
      <c r="N465" s="478">
        <f t="shared" si="365"/>
        <v>0</v>
      </c>
      <c r="O465" s="476">
        <f t="shared" si="366"/>
        <v>0</v>
      </c>
      <c r="P465" s="479" t="str">
        <f t="shared" si="371"/>
        <v>-</v>
      </c>
      <c r="Q465" s="476" t="str">
        <f t="shared" si="367"/>
        <v>-</v>
      </c>
      <c r="R465" s="476">
        <f t="shared" si="368"/>
        <v>0</v>
      </c>
      <c r="S465" s="480" t="str">
        <f t="shared" si="369"/>
        <v>-</v>
      </c>
      <c r="T465" s="481" t="str">
        <f t="shared" si="370"/>
        <v>-</v>
      </c>
    </row>
    <row r="466" spans="1:20" ht="23.4" x14ac:dyDescent="0.3">
      <c r="A466" s="248">
        <v>5</v>
      </c>
      <c r="B466" s="249" t="s">
        <v>22</v>
      </c>
      <c r="C466" s="474">
        <f t="shared" si="360"/>
        <v>150</v>
      </c>
      <c r="D466" s="250">
        <v>30</v>
      </c>
      <c r="E466" s="251">
        <v>120</v>
      </c>
      <c r="F466" s="611">
        <v>80000</v>
      </c>
      <c r="G466" s="476">
        <f t="shared" si="361"/>
        <v>55502</v>
      </c>
      <c r="H466" s="475">
        <f>7920+47520</f>
        <v>55440</v>
      </c>
      <c r="I466" s="621">
        <v>62</v>
      </c>
      <c r="J466" s="620">
        <v>480</v>
      </c>
      <c r="K466" s="474">
        <f>+L466-E466</f>
        <v>330</v>
      </c>
      <c r="L466" s="476">
        <f t="shared" si="363"/>
        <v>450</v>
      </c>
      <c r="M466" s="477">
        <f>IFERROR(K466/L466,"-")</f>
        <v>0.73333333333333328</v>
      </c>
      <c r="N466" s="478">
        <f t="shared" si="365"/>
        <v>180</v>
      </c>
      <c r="O466" s="476">
        <f t="shared" si="366"/>
        <v>330</v>
      </c>
      <c r="P466" s="479">
        <f t="shared" si="371"/>
        <v>0.54545454545454541</v>
      </c>
      <c r="Q466" s="476">
        <f t="shared" si="367"/>
        <v>179.46380310619435</v>
      </c>
      <c r="R466" s="476">
        <f t="shared" si="368"/>
        <v>180</v>
      </c>
      <c r="S466" s="480">
        <f t="shared" si="369"/>
        <v>0.99702112836774637</v>
      </c>
      <c r="T466" s="481">
        <f t="shared" si="370"/>
        <v>0.39880845134709852</v>
      </c>
    </row>
    <row r="467" spans="1:20" ht="23.4" x14ac:dyDescent="0.3">
      <c r="A467" s="248" t="s">
        <v>110</v>
      </c>
      <c r="B467" s="249" t="s">
        <v>23</v>
      </c>
      <c r="C467" s="474">
        <f t="shared" si="360"/>
        <v>480</v>
      </c>
      <c r="D467" s="250">
        <v>30</v>
      </c>
      <c r="E467" s="251">
        <v>450</v>
      </c>
      <c r="F467" s="611">
        <v>14000</v>
      </c>
      <c r="G467" s="476">
        <f t="shared" si="361"/>
        <v>0</v>
      </c>
      <c r="H467" s="254"/>
      <c r="I467" s="617"/>
      <c r="J467" s="620">
        <v>480</v>
      </c>
      <c r="K467" s="474">
        <f t="shared" ref="K467:K476" si="372">+L467-E467</f>
        <v>0</v>
      </c>
      <c r="L467" s="476">
        <f t="shared" si="363"/>
        <v>450</v>
      </c>
      <c r="M467" s="477">
        <f t="shared" ref="M467:M476" si="373">IFERROR(K467/L467,"-")</f>
        <v>0</v>
      </c>
      <c r="N467" s="478">
        <f t="shared" si="365"/>
        <v>-480</v>
      </c>
      <c r="O467" s="476">
        <f t="shared" si="366"/>
        <v>0</v>
      </c>
      <c r="P467" s="479" t="str">
        <f t="shared" si="371"/>
        <v>-</v>
      </c>
      <c r="Q467" s="476" t="str">
        <f t="shared" si="367"/>
        <v>-</v>
      </c>
      <c r="R467" s="476">
        <f t="shared" si="368"/>
        <v>-480</v>
      </c>
      <c r="S467" s="480" t="str">
        <f t="shared" si="369"/>
        <v>-</v>
      </c>
      <c r="T467" s="481" t="str">
        <f t="shared" si="370"/>
        <v>-</v>
      </c>
    </row>
    <row r="468" spans="1:20" ht="23.4" x14ac:dyDescent="0.3">
      <c r="A468" s="248" t="s">
        <v>110</v>
      </c>
      <c r="B468" s="253" t="s">
        <v>226</v>
      </c>
      <c r="C468" s="482">
        <f t="shared" si="360"/>
        <v>620</v>
      </c>
      <c r="D468" s="250">
        <v>90</v>
      </c>
      <c r="E468" s="251">
        <f>80+10+45+20+10+120+45+30+20+150</f>
        <v>530</v>
      </c>
      <c r="F468" s="611">
        <v>4500</v>
      </c>
      <c r="G468" s="476">
        <f>+H468+I468</f>
        <v>47137</v>
      </c>
      <c r="H468" s="254">
        <f>27145+19890</f>
        <v>47035</v>
      </c>
      <c r="I468" s="319">
        <f>76+26</f>
        <v>102</v>
      </c>
      <c r="J468" s="620">
        <f>480*3</f>
        <v>1440</v>
      </c>
      <c r="K468" s="482">
        <f t="shared" si="372"/>
        <v>820</v>
      </c>
      <c r="L468" s="250">
        <f t="shared" si="363"/>
        <v>1350</v>
      </c>
      <c r="M468" s="483">
        <f t="shared" si="373"/>
        <v>0.6074074074074074</v>
      </c>
      <c r="N468" s="484">
        <f t="shared" si="365"/>
        <v>200</v>
      </c>
      <c r="O468" s="250">
        <f t="shared" si="366"/>
        <v>820</v>
      </c>
      <c r="P468" s="485">
        <f t="shared" si="371"/>
        <v>0.24390243902439024</v>
      </c>
      <c r="Q468" s="250">
        <f t="shared" si="367"/>
        <v>196.88397649404919</v>
      </c>
      <c r="R468" s="250">
        <f t="shared" si="368"/>
        <v>200</v>
      </c>
      <c r="S468" s="486">
        <f t="shared" si="369"/>
        <v>0.98441988247024592</v>
      </c>
      <c r="T468" s="487">
        <f t="shared" si="370"/>
        <v>0.14583998258818456</v>
      </c>
    </row>
    <row r="469" spans="1:20" ht="24" thickBot="1" x14ac:dyDescent="0.35">
      <c r="A469" s="255" t="s">
        <v>110</v>
      </c>
      <c r="B469" s="256" t="s">
        <v>227</v>
      </c>
      <c r="C469" s="488">
        <f t="shared" si="360"/>
        <v>660</v>
      </c>
      <c r="D469" s="257">
        <v>60</v>
      </c>
      <c r="E469" s="258">
        <f>420+30+120+30</f>
        <v>600</v>
      </c>
      <c r="F469" s="615">
        <v>5000</v>
      </c>
      <c r="G469" s="498">
        <f t="shared" ref="G469:G476" si="374">+H469+I469</f>
        <v>13000</v>
      </c>
      <c r="H469" s="259">
        <v>12982</v>
      </c>
      <c r="I469" s="618">
        <v>18</v>
      </c>
      <c r="J469" s="623">
        <v>960</v>
      </c>
      <c r="K469" s="488">
        <f t="shared" si="372"/>
        <v>300</v>
      </c>
      <c r="L469" s="257">
        <f t="shared" si="363"/>
        <v>900</v>
      </c>
      <c r="M469" s="489">
        <f t="shared" si="373"/>
        <v>0.33333333333333331</v>
      </c>
      <c r="N469" s="490">
        <f t="shared" si="365"/>
        <v>-360</v>
      </c>
      <c r="O469" s="257">
        <f t="shared" si="366"/>
        <v>300</v>
      </c>
      <c r="P469" s="491">
        <f t="shared" si="371"/>
        <v>-1.2</v>
      </c>
      <c r="Q469" s="257">
        <f t="shared" si="367"/>
        <v>-361.32923076923078</v>
      </c>
      <c r="R469" s="257">
        <f t="shared" si="368"/>
        <v>-360</v>
      </c>
      <c r="S469" s="492">
        <f t="shared" si="369"/>
        <v>1.0036923076923077</v>
      </c>
      <c r="T469" s="493">
        <f t="shared" si="370"/>
        <v>-0.40147692307692301</v>
      </c>
    </row>
    <row r="470" spans="1:20" ht="23.4" x14ac:dyDescent="0.3">
      <c r="A470" s="252" t="s">
        <v>108</v>
      </c>
      <c r="B470" s="260" t="s">
        <v>29</v>
      </c>
      <c r="C470" s="474">
        <f t="shared" si="360"/>
        <v>400</v>
      </c>
      <c r="D470" s="250">
        <v>30</v>
      </c>
      <c r="E470" s="251">
        <v>370</v>
      </c>
      <c r="F470" s="475">
        <v>80000</v>
      </c>
      <c r="G470" s="476">
        <f t="shared" si="374"/>
        <v>85117</v>
      </c>
      <c r="H470" s="475">
        <v>83538</v>
      </c>
      <c r="I470" s="621">
        <v>1579</v>
      </c>
      <c r="J470" s="700">
        <v>900</v>
      </c>
      <c r="K470" s="474">
        <f t="shared" si="372"/>
        <v>500</v>
      </c>
      <c r="L470" s="476">
        <f t="shared" si="363"/>
        <v>870</v>
      </c>
      <c r="M470" s="477">
        <f t="shared" si="373"/>
        <v>0.57471264367816088</v>
      </c>
      <c r="N470" s="478">
        <f t="shared" si="365"/>
        <v>100</v>
      </c>
      <c r="O470" s="476">
        <f t="shared" si="366"/>
        <v>500</v>
      </c>
      <c r="P470" s="479">
        <f t="shared" si="371"/>
        <v>0.2</v>
      </c>
      <c r="Q470" s="476">
        <f t="shared" si="367"/>
        <v>83.304157806313697</v>
      </c>
      <c r="R470" s="476">
        <f t="shared" si="368"/>
        <v>100</v>
      </c>
      <c r="S470" s="494">
        <f t="shared" si="369"/>
        <v>0.83304157806313694</v>
      </c>
      <c r="T470" s="495">
        <f t="shared" si="370"/>
        <v>9.5751905524498498E-2</v>
      </c>
    </row>
    <row r="471" spans="1:20" ht="23.4" x14ac:dyDescent="0.3">
      <c r="A471" s="248" t="s">
        <v>108</v>
      </c>
      <c r="B471" s="260" t="s">
        <v>31</v>
      </c>
      <c r="C471" s="474">
        <f t="shared" si="360"/>
        <v>290</v>
      </c>
      <c r="D471" s="701">
        <v>60</v>
      </c>
      <c r="E471" s="251">
        <v>230</v>
      </c>
      <c r="F471" s="475">
        <v>50000</v>
      </c>
      <c r="G471" s="476">
        <f t="shared" si="374"/>
        <v>0</v>
      </c>
      <c r="H471" s="475"/>
      <c r="I471" s="621"/>
      <c r="J471" s="620">
        <v>480</v>
      </c>
      <c r="K471" s="474">
        <f t="shared" si="372"/>
        <v>190</v>
      </c>
      <c r="L471" s="476">
        <f t="shared" si="363"/>
        <v>420</v>
      </c>
      <c r="M471" s="477">
        <f t="shared" si="373"/>
        <v>0.45238095238095238</v>
      </c>
      <c r="N471" s="478">
        <f t="shared" si="365"/>
        <v>-100</v>
      </c>
      <c r="O471" s="476">
        <f t="shared" si="366"/>
        <v>190</v>
      </c>
      <c r="P471" s="479">
        <f t="shared" si="371"/>
        <v>-0.52631578947368418</v>
      </c>
      <c r="Q471" s="476" t="str">
        <f t="shared" si="367"/>
        <v>-</v>
      </c>
      <c r="R471" s="476">
        <f t="shared" si="368"/>
        <v>-100</v>
      </c>
      <c r="S471" s="494" t="str">
        <f t="shared" si="369"/>
        <v>-</v>
      </c>
      <c r="T471" s="495" t="str">
        <f t="shared" si="370"/>
        <v>-</v>
      </c>
    </row>
    <row r="472" spans="1:20" ht="24" thickBot="1" x14ac:dyDescent="0.35">
      <c r="A472" s="255" t="s">
        <v>108</v>
      </c>
      <c r="B472" s="261" t="s">
        <v>32</v>
      </c>
      <c r="C472" s="496">
        <f t="shared" si="360"/>
        <v>0</v>
      </c>
      <c r="D472" s="257">
        <v>0</v>
      </c>
      <c r="E472" s="258">
        <v>0</v>
      </c>
      <c r="F472" s="497">
        <v>110000</v>
      </c>
      <c r="G472" s="498">
        <f t="shared" si="374"/>
        <v>0</v>
      </c>
      <c r="H472" s="497"/>
      <c r="I472" s="622"/>
      <c r="J472" s="623"/>
      <c r="K472" s="496">
        <f t="shared" si="372"/>
        <v>0</v>
      </c>
      <c r="L472" s="498">
        <f t="shared" si="363"/>
        <v>0</v>
      </c>
      <c r="M472" s="499" t="str">
        <f t="shared" si="373"/>
        <v>-</v>
      </c>
      <c r="N472" s="500">
        <f t="shared" si="365"/>
        <v>0</v>
      </c>
      <c r="O472" s="498">
        <f t="shared" si="366"/>
        <v>0</v>
      </c>
      <c r="P472" s="501" t="str">
        <f t="shared" si="371"/>
        <v>-</v>
      </c>
      <c r="Q472" s="498" t="str">
        <f t="shared" si="367"/>
        <v>-</v>
      </c>
      <c r="R472" s="498">
        <f t="shared" si="368"/>
        <v>0</v>
      </c>
      <c r="S472" s="502" t="str">
        <f t="shared" si="369"/>
        <v>-</v>
      </c>
      <c r="T472" s="503" t="str">
        <f t="shared" si="370"/>
        <v>-</v>
      </c>
    </row>
    <row r="473" spans="1:20" ht="23.4" x14ac:dyDescent="0.3">
      <c r="A473" s="248" t="s">
        <v>109</v>
      </c>
      <c r="B473" s="249" t="s">
        <v>233</v>
      </c>
      <c r="C473" s="474">
        <f t="shared" si="360"/>
        <v>0</v>
      </c>
      <c r="D473" s="250">
        <v>0</v>
      </c>
      <c r="E473" s="251">
        <v>0</v>
      </c>
      <c r="F473" s="475">
        <v>6500</v>
      </c>
      <c r="G473" s="476">
        <f t="shared" si="374"/>
        <v>0</v>
      </c>
      <c r="H473" s="475"/>
      <c r="I473" s="621"/>
      <c r="J473" s="620"/>
      <c r="K473" s="474">
        <f t="shared" si="372"/>
        <v>0</v>
      </c>
      <c r="L473" s="476">
        <f t="shared" si="363"/>
        <v>0</v>
      </c>
      <c r="M473" s="477" t="str">
        <f t="shared" si="373"/>
        <v>-</v>
      </c>
      <c r="N473" s="478">
        <f t="shared" si="365"/>
        <v>0</v>
      </c>
      <c r="O473" s="476">
        <f t="shared" si="366"/>
        <v>0</v>
      </c>
      <c r="P473" s="479" t="str">
        <f t="shared" si="371"/>
        <v>-</v>
      </c>
      <c r="Q473" s="476" t="str">
        <f t="shared" si="367"/>
        <v>-</v>
      </c>
      <c r="R473" s="476">
        <f t="shared" si="368"/>
        <v>0</v>
      </c>
      <c r="S473" s="494" t="str">
        <f t="shared" si="369"/>
        <v>-</v>
      </c>
      <c r="T473" s="495" t="str">
        <f t="shared" si="370"/>
        <v>-</v>
      </c>
    </row>
    <row r="474" spans="1:20" ht="23.4" x14ac:dyDescent="0.3">
      <c r="A474" s="252" t="s">
        <v>109</v>
      </c>
      <c r="B474" s="249" t="s">
        <v>40</v>
      </c>
      <c r="C474" s="474">
        <f t="shared" si="360"/>
        <v>420</v>
      </c>
      <c r="D474" s="250">
        <v>30</v>
      </c>
      <c r="E474" s="251">
        <v>390</v>
      </c>
      <c r="F474" s="475">
        <v>2800</v>
      </c>
      <c r="G474" s="476">
        <f t="shared" si="374"/>
        <v>240</v>
      </c>
      <c r="H474" s="475">
        <v>240</v>
      </c>
      <c r="I474" s="621"/>
      <c r="J474" s="620">
        <v>480</v>
      </c>
      <c r="K474" s="474">
        <f t="shared" si="372"/>
        <v>60</v>
      </c>
      <c r="L474" s="476">
        <f t="shared" si="363"/>
        <v>450</v>
      </c>
      <c r="M474" s="477">
        <f t="shared" si="373"/>
        <v>0.13333333333333333</v>
      </c>
      <c r="N474" s="478">
        <f t="shared" si="365"/>
        <v>-360</v>
      </c>
      <c r="O474" s="476">
        <f t="shared" si="366"/>
        <v>60</v>
      </c>
      <c r="P474" s="479">
        <f t="shared" si="371"/>
        <v>-6</v>
      </c>
      <c r="Q474" s="476">
        <f t="shared" si="367"/>
        <v>-360</v>
      </c>
      <c r="R474" s="476">
        <f t="shared" si="368"/>
        <v>-360</v>
      </c>
      <c r="S474" s="494">
        <f t="shared" si="369"/>
        <v>1</v>
      </c>
      <c r="T474" s="495">
        <f t="shared" si="370"/>
        <v>-0.8</v>
      </c>
    </row>
    <row r="475" spans="1:20" ht="23.4" x14ac:dyDescent="0.3">
      <c r="A475" s="248" t="s">
        <v>109</v>
      </c>
      <c r="B475" s="249" t="s">
        <v>42</v>
      </c>
      <c r="C475" s="474">
        <f t="shared" si="360"/>
        <v>30</v>
      </c>
      <c r="D475" s="250">
        <v>30</v>
      </c>
      <c r="E475" s="251">
        <v>0</v>
      </c>
      <c r="F475" s="475">
        <v>25000</v>
      </c>
      <c r="G475" s="476">
        <f t="shared" si="374"/>
        <v>15225</v>
      </c>
      <c r="H475" s="475">
        <v>15120</v>
      </c>
      <c r="I475" s="621">
        <v>105</v>
      </c>
      <c r="J475" s="620">
        <v>480</v>
      </c>
      <c r="K475" s="474">
        <f t="shared" si="372"/>
        <v>450</v>
      </c>
      <c r="L475" s="476">
        <f t="shared" si="363"/>
        <v>450</v>
      </c>
      <c r="M475" s="477">
        <f t="shared" si="373"/>
        <v>1</v>
      </c>
      <c r="N475" s="478">
        <f t="shared" si="365"/>
        <v>420</v>
      </c>
      <c r="O475" s="476">
        <f t="shared" si="366"/>
        <v>450</v>
      </c>
      <c r="P475" s="479">
        <f t="shared" si="371"/>
        <v>0.93333333333333335</v>
      </c>
      <c r="Q475" s="476">
        <f t="shared" si="367"/>
        <v>416.68965517241378</v>
      </c>
      <c r="R475" s="476">
        <f t="shared" si="368"/>
        <v>420</v>
      </c>
      <c r="S475" s="494">
        <f t="shared" si="369"/>
        <v>0.99211822660098514</v>
      </c>
      <c r="T475" s="495">
        <f t="shared" si="370"/>
        <v>0.92597701149425282</v>
      </c>
    </row>
    <row r="476" spans="1:20" ht="47.4" thickBot="1" x14ac:dyDescent="0.35">
      <c r="A476" s="625" t="s">
        <v>109</v>
      </c>
      <c r="B476" s="261" t="s">
        <v>232</v>
      </c>
      <c r="C476" s="626">
        <f t="shared" si="360"/>
        <v>0</v>
      </c>
      <c r="D476" s="627">
        <v>0</v>
      </c>
      <c r="E476" s="628">
        <v>0</v>
      </c>
      <c r="F476" s="629">
        <v>25000</v>
      </c>
      <c r="G476" s="630">
        <f t="shared" si="374"/>
        <v>0</v>
      </c>
      <c r="H476" s="629"/>
      <c r="I476" s="631"/>
      <c r="J476" s="624"/>
      <c r="K476" s="626">
        <f t="shared" si="372"/>
        <v>0</v>
      </c>
      <c r="L476" s="630">
        <f t="shared" si="363"/>
        <v>0</v>
      </c>
      <c r="M476" s="632" t="str">
        <f t="shared" si="373"/>
        <v>-</v>
      </c>
      <c r="N476" s="633">
        <f t="shared" si="365"/>
        <v>0</v>
      </c>
      <c r="O476" s="630">
        <f t="shared" si="366"/>
        <v>0</v>
      </c>
      <c r="P476" s="634" t="str">
        <f t="shared" si="371"/>
        <v>-</v>
      </c>
      <c r="Q476" s="630" t="str">
        <f t="shared" si="367"/>
        <v>-</v>
      </c>
      <c r="R476" s="630">
        <f t="shared" si="368"/>
        <v>0</v>
      </c>
      <c r="S476" s="635" t="str">
        <f t="shared" si="369"/>
        <v>-</v>
      </c>
      <c r="T476" s="636" t="str">
        <f t="shared" si="370"/>
        <v>-</v>
      </c>
    </row>
  </sheetData>
  <dataConsolidate topLabels="1">
    <dataRefs count="1">
      <dataRef ref="B14:H106" sheet="01 Prod Physique Boites" r:id="rId1"/>
    </dataRefs>
  </dataConsolidate>
  <mergeCells count="226">
    <mergeCell ref="A11:A12"/>
    <mergeCell ref="B11:B12"/>
    <mergeCell ref="C11:E11"/>
    <mergeCell ref="F11:I11"/>
    <mergeCell ref="J11:J12"/>
    <mergeCell ref="K11:M11"/>
    <mergeCell ref="N11:P11"/>
    <mergeCell ref="Q11:S11"/>
    <mergeCell ref="T11:T12"/>
    <mergeCell ref="A34:A35"/>
    <mergeCell ref="B34:B35"/>
    <mergeCell ref="C34:E34"/>
    <mergeCell ref="F34:I34"/>
    <mergeCell ref="J34:J35"/>
    <mergeCell ref="K34:M34"/>
    <mergeCell ref="N34:P34"/>
    <mergeCell ref="Q34:S34"/>
    <mergeCell ref="T34:T35"/>
    <mergeCell ref="A77:A78"/>
    <mergeCell ref="B77:B78"/>
    <mergeCell ref="C77:E77"/>
    <mergeCell ref="F77:I77"/>
    <mergeCell ref="J77:J78"/>
    <mergeCell ref="K77:M77"/>
    <mergeCell ref="N77:P77"/>
    <mergeCell ref="Q77:S77"/>
    <mergeCell ref="T77:T78"/>
    <mergeCell ref="A97:A98"/>
    <mergeCell ref="B97:B98"/>
    <mergeCell ref="C97:E97"/>
    <mergeCell ref="F97:I97"/>
    <mergeCell ref="J97:J98"/>
    <mergeCell ref="K97:M97"/>
    <mergeCell ref="N97:P97"/>
    <mergeCell ref="Q97:S97"/>
    <mergeCell ref="T97:T98"/>
    <mergeCell ref="A116:A117"/>
    <mergeCell ref="B116:B117"/>
    <mergeCell ref="C116:E116"/>
    <mergeCell ref="F116:I116"/>
    <mergeCell ref="J116:J117"/>
    <mergeCell ref="K116:M116"/>
    <mergeCell ref="N116:P116"/>
    <mergeCell ref="Q116:S116"/>
    <mergeCell ref="T116:T117"/>
    <mergeCell ref="A152:A153"/>
    <mergeCell ref="B152:B153"/>
    <mergeCell ref="C152:E152"/>
    <mergeCell ref="F152:I152"/>
    <mergeCell ref="J152:J153"/>
    <mergeCell ref="K152:M152"/>
    <mergeCell ref="N152:P152"/>
    <mergeCell ref="Q152:S152"/>
    <mergeCell ref="T152:T153"/>
    <mergeCell ref="A207:A208"/>
    <mergeCell ref="B207:B208"/>
    <mergeCell ref="C207:E207"/>
    <mergeCell ref="F207:I207"/>
    <mergeCell ref="J207:J208"/>
    <mergeCell ref="K207:M207"/>
    <mergeCell ref="N207:P207"/>
    <mergeCell ref="Q207:S207"/>
    <mergeCell ref="T207:T208"/>
    <mergeCell ref="K297:M297"/>
    <mergeCell ref="N297:P297"/>
    <mergeCell ref="Q297:S297"/>
    <mergeCell ref="T297:T298"/>
    <mergeCell ref="A297:A298"/>
    <mergeCell ref="B297:B298"/>
    <mergeCell ref="C297:E297"/>
    <mergeCell ref="F297:I297"/>
    <mergeCell ref="J297:J298"/>
    <mergeCell ref="K261:M261"/>
    <mergeCell ref="N261:P261"/>
    <mergeCell ref="Q261:S261"/>
    <mergeCell ref="T261:T262"/>
    <mergeCell ref="A279:A280"/>
    <mergeCell ref="B279:B280"/>
    <mergeCell ref="C279:E279"/>
    <mergeCell ref="F279:I279"/>
    <mergeCell ref="J279:J280"/>
    <mergeCell ref="K279:M279"/>
    <mergeCell ref="N279:P279"/>
    <mergeCell ref="Q279:S279"/>
    <mergeCell ref="T279:T280"/>
    <mergeCell ref="A261:A262"/>
    <mergeCell ref="B261:B262"/>
    <mergeCell ref="C261:E261"/>
    <mergeCell ref="F261:I261"/>
    <mergeCell ref="J261:J262"/>
    <mergeCell ref="K315:M315"/>
    <mergeCell ref="N315:P315"/>
    <mergeCell ref="Q315:S315"/>
    <mergeCell ref="T315:T316"/>
    <mergeCell ref="A315:A316"/>
    <mergeCell ref="B315:B316"/>
    <mergeCell ref="C315:E315"/>
    <mergeCell ref="F315:I315"/>
    <mergeCell ref="J315:J316"/>
    <mergeCell ref="K333:M333"/>
    <mergeCell ref="N333:P333"/>
    <mergeCell ref="Q333:S333"/>
    <mergeCell ref="T333:T334"/>
    <mergeCell ref="A333:A334"/>
    <mergeCell ref="B333:B334"/>
    <mergeCell ref="C333:E333"/>
    <mergeCell ref="F333:I333"/>
    <mergeCell ref="J333:J334"/>
    <mergeCell ref="K351:M351"/>
    <mergeCell ref="N351:P351"/>
    <mergeCell ref="Q351:S351"/>
    <mergeCell ref="T351:T352"/>
    <mergeCell ref="A351:A352"/>
    <mergeCell ref="B351:B352"/>
    <mergeCell ref="C351:E351"/>
    <mergeCell ref="F351:I351"/>
    <mergeCell ref="J351:J352"/>
    <mergeCell ref="K369:M369"/>
    <mergeCell ref="N369:P369"/>
    <mergeCell ref="Q369:S369"/>
    <mergeCell ref="T369:T370"/>
    <mergeCell ref="A387:A388"/>
    <mergeCell ref="B387:B388"/>
    <mergeCell ref="C387:E387"/>
    <mergeCell ref="F387:I387"/>
    <mergeCell ref="J387:J388"/>
    <mergeCell ref="K387:M387"/>
    <mergeCell ref="N387:P387"/>
    <mergeCell ref="Q387:S387"/>
    <mergeCell ref="T387:T388"/>
    <mergeCell ref="A369:A370"/>
    <mergeCell ref="B369:B370"/>
    <mergeCell ref="C369:E369"/>
    <mergeCell ref="F369:I369"/>
    <mergeCell ref="J369:J370"/>
    <mergeCell ref="C405:E405"/>
    <mergeCell ref="F405:I405"/>
    <mergeCell ref="J405:J406"/>
    <mergeCell ref="K459:M459"/>
    <mergeCell ref="N459:P459"/>
    <mergeCell ref="Q459:S459"/>
    <mergeCell ref="T459:T460"/>
    <mergeCell ref="A441:A442"/>
    <mergeCell ref="B441:B442"/>
    <mergeCell ref="C441:E441"/>
    <mergeCell ref="A459:A460"/>
    <mergeCell ref="B459:B460"/>
    <mergeCell ref="C459:E459"/>
    <mergeCell ref="F459:I459"/>
    <mergeCell ref="J459:J460"/>
    <mergeCell ref="F441:I441"/>
    <mergeCell ref="J441:J442"/>
    <mergeCell ref="K441:M441"/>
    <mergeCell ref="N441:P441"/>
    <mergeCell ref="Q441:S441"/>
    <mergeCell ref="T441:T442"/>
    <mergeCell ref="T423:T424"/>
    <mergeCell ref="A9:T9"/>
    <mergeCell ref="A423:A424"/>
    <mergeCell ref="B423:B424"/>
    <mergeCell ref="C423:E423"/>
    <mergeCell ref="F423:I423"/>
    <mergeCell ref="J423:J424"/>
    <mergeCell ref="K423:M423"/>
    <mergeCell ref="N423:P423"/>
    <mergeCell ref="Q423:S423"/>
    <mergeCell ref="K405:M405"/>
    <mergeCell ref="N405:P405"/>
    <mergeCell ref="Q405:S405"/>
    <mergeCell ref="T405:T406"/>
    <mergeCell ref="A243:A244"/>
    <mergeCell ref="B243:B244"/>
    <mergeCell ref="C243:E243"/>
    <mergeCell ref="F243:I243"/>
    <mergeCell ref="J243:J244"/>
    <mergeCell ref="K243:M243"/>
    <mergeCell ref="N243:P243"/>
    <mergeCell ref="Q243:S243"/>
    <mergeCell ref="T243:T244"/>
    <mergeCell ref="A405:A406"/>
    <mergeCell ref="B405:B406"/>
    <mergeCell ref="A225:A226"/>
    <mergeCell ref="B225:B226"/>
    <mergeCell ref="C225:E225"/>
    <mergeCell ref="F225:I225"/>
    <mergeCell ref="J225:J226"/>
    <mergeCell ref="K225:M225"/>
    <mergeCell ref="N225:P225"/>
    <mergeCell ref="Q225:S225"/>
    <mergeCell ref="T225:T226"/>
    <mergeCell ref="A189:A190"/>
    <mergeCell ref="B189:B190"/>
    <mergeCell ref="C189:E189"/>
    <mergeCell ref="F189:I189"/>
    <mergeCell ref="J189:J190"/>
    <mergeCell ref="K189:M189"/>
    <mergeCell ref="N189:P189"/>
    <mergeCell ref="Q189:S189"/>
    <mergeCell ref="T189:T190"/>
    <mergeCell ref="A170:A171"/>
    <mergeCell ref="B170:B171"/>
    <mergeCell ref="C170:E170"/>
    <mergeCell ref="F170:I170"/>
    <mergeCell ref="J170:J171"/>
    <mergeCell ref="K170:M170"/>
    <mergeCell ref="N170:P170"/>
    <mergeCell ref="Q170:S170"/>
    <mergeCell ref="T170:T171"/>
    <mergeCell ref="A134:A135"/>
    <mergeCell ref="B134:B135"/>
    <mergeCell ref="C134:E134"/>
    <mergeCell ref="F134:I134"/>
    <mergeCell ref="J134:J135"/>
    <mergeCell ref="K134:M134"/>
    <mergeCell ref="N134:P134"/>
    <mergeCell ref="Q134:S134"/>
    <mergeCell ref="T134:T135"/>
    <mergeCell ref="A56:A57"/>
    <mergeCell ref="B56:B57"/>
    <mergeCell ref="C56:E56"/>
    <mergeCell ref="F56:I56"/>
    <mergeCell ref="J56:J57"/>
    <mergeCell ref="K56:M56"/>
    <mergeCell ref="N56:P56"/>
    <mergeCell ref="Q56:S56"/>
    <mergeCell ref="T56:T57"/>
  </mergeCells>
  <pageMargins left="0.19685039370078741" right="0.19685039370078741" top="0.19685039370078741" bottom="0.19685039370078741" header="0.19685039370078741" footer="0.19685039370078741"/>
  <pageSetup paperSize="9" scale="33" orientation="landscape" verticalDpi="300" r:id="rId2"/>
  <rowBreaks count="8" manualBreakCount="8">
    <brk id="242" max="19" man="1"/>
    <brk id="260" max="19" man="1"/>
    <brk id="278" max="19" man="1"/>
    <brk id="350" max="19" man="1"/>
    <brk id="368" max="19" man="1"/>
    <brk id="386" max="19" man="1"/>
    <brk id="404" max="19" man="1"/>
    <brk id="422" max="19" man="1"/>
  </rowBrea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7:T11"/>
  <sheetViews>
    <sheetView view="pageBreakPreview" zoomScale="40" zoomScaleNormal="70" zoomScaleSheetLayoutView="40" workbookViewId="0">
      <pane xSplit="2" topLeftCell="C1" activePane="topRight" state="frozen"/>
      <selection pane="topRight" activeCell="A10" sqref="A10"/>
    </sheetView>
  </sheetViews>
  <sheetFormatPr defaultColWidth="9.109375" defaultRowHeight="13.8" x14ac:dyDescent="0.3"/>
  <cols>
    <col min="1" max="1" width="10.109375" style="229" customWidth="1"/>
    <col min="2" max="2" width="32.44140625" style="221" customWidth="1"/>
    <col min="3" max="4" width="32.33203125" style="222" customWidth="1"/>
    <col min="5" max="5" width="32.33203125" style="223" customWidth="1"/>
    <col min="6" max="7" width="24.6640625" style="222" customWidth="1"/>
    <col min="8" max="8" width="24.6640625" style="224" customWidth="1"/>
    <col min="9" max="9" width="24.6640625" style="223" customWidth="1"/>
    <col min="10" max="10" width="21.109375" style="222" customWidth="1"/>
    <col min="11" max="12" width="15.6640625" style="222" customWidth="1"/>
    <col min="13" max="13" width="15.6640625" style="262" customWidth="1"/>
    <col min="14" max="15" width="15.6640625" style="222" customWidth="1"/>
    <col min="16" max="16" width="15.6640625" style="262" customWidth="1"/>
    <col min="17" max="18" width="15.6640625" style="222" customWidth="1"/>
    <col min="19" max="19" width="14.6640625" style="224" customWidth="1"/>
    <col min="20" max="20" width="23.33203125" style="224" bestFit="1" customWidth="1"/>
    <col min="21" max="16384" width="9.109375" style="229"/>
  </cols>
  <sheetData>
    <row r="7" spans="1:20" ht="67.2" customHeight="1" x14ac:dyDescent="0.3">
      <c r="A7" s="220" t="s">
        <v>0</v>
      </c>
      <c r="K7" s="225"/>
      <c r="L7" s="225"/>
      <c r="M7" s="226"/>
      <c r="N7" s="227"/>
      <c r="O7" s="227"/>
      <c r="P7" s="227"/>
      <c r="Q7" s="227"/>
      <c r="R7" s="225"/>
      <c r="S7" s="228"/>
    </row>
    <row r="9" spans="1:20" ht="81" customHeight="1" x14ac:dyDescent="0.3">
      <c r="A9" s="1017" t="s">
        <v>249</v>
      </c>
      <c r="B9" s="1018"/>
      <c r="C9" s="1018"/>
      <c r="D9" s="1018"/>
      <c r="E9" s="1018"/>
      <c r="F9" s="1018"/>
      <c r="G9" s="1018"/>
      <c r="H9" s="1018"/>
      <c r="I9" s="1018"/>
      <c r="J9" s="1018"/>
      <c r="K9" s="1018"/>
      <c r="L9" s="1018"/>
      <c r="M9" s="1018"/>
      <c r="N9" s="1018"/>
      <c r="O9" s="1018"/>
      <c r="P9" s="1018"/>
      <c r="Q9" s="1018"/>
      <c r="R9" s="1018"/>
      <c r="S9" s="1018"/>
      <c r="T9" s="1018"/>
    </row>
    <row r="10" spans="1:20" ht="24.6" customHeight="1" x14ac:dyDescent="0.3">
      <c r="A10" s="230"/>
      <c r="B10" s="231"/>
      <c r="C10" s="232"/>
      <c r="D10" s="232"/>
      <c r="E10" s="232"/>
      <c r="F10" s="232"/>
      <c r="G10" s="233"/>
      <c r="H10" s="234"/>
      <c r="I10" s="232"/>
      <c r="J10" s="232"/>
      <c r="K10" s="232"/>
      <c r="L10" s="232"/>
      <c r="M10" s="234"/>
      <c r="N10" s="232"/>
      <c r="O10" s="232"/>
      <c r="P10" s="234"/>
      <c r="Q10" s="232"/>
      <c r="R10" s="232"/>
      <c r="S10" s="234"/>
      <c r="T10" s="234"/>
    </row>
    <row r="11" spans="1:20" ht="25.2" customHeight="1" x14ac:dyDescent="0.3"/>
  </sheetData>
  <dataConsolidate topLabels="1">
    <dataRefs count="1">
      <dataRef ref="B14:H106" sheet="01 Prod Physique Boites" r:id="rId1"/>
    </dataRefs>
  </dataConsolidate>
  <mergeCells count="1">
    <mergeCell ref="A9:T9"/>
  </mergeCells>
  <pageMargins left="0.19685039370078741" right="0.19685039370078741" top="0.19685039370078741" bottom="0.19685039370078741" header="0.19685039370078741" footer="0.19685039370078741"/>
  <pageSetup paperSize="9" scale="33" orientation="landscape" verticalDpi="3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2:P1055"/>
  <sheetViews>
    <sheetView topLeftCell="A13" workbookViewId="0">
      <selection activeCell="K37" sqref="K37"/>
    </sheetView>
  </sheetViews>
  <sheetFormatPr defaultColWidth="11.5546875" defaultRowHeight="14.4" x14ac:dyDescent="0.3"/>
  <cols>
    <col min="3" max="3" width="14.44140625" customWidth="1"/>
    <col min="4" max="4" width="31.44140625" customWidth="1"/>
    <col min="5" max="5" width="9.6640625" customWidth="1"/>
    <col min="6" max="6" width="9.109375" customWidth="1"/>
    <col min="8" max="8" width="8.88671875" customWidth="1"/>
    <col min="11" max="11" width="9.5546875" customWidth="1"/>
    <col min="12" max="12" width="8.6640625" customWidth="1"/>
    <col min="14" max="14" width="12.109375" customWidth="1"/>
    <col min="15" max="15" width="13.109375" customWidth="1"/>
  </cols>
  <sheetData>
    <row r="2" spans="2:15" x14ac:dyDescent="0.3"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2:15" x14ac:dyDescent="0.3"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2:15" x14ac:dyDescent="0.3">
      <c r="B4" s="76"/>
      <c r="C4" s="76"/>
      <c r="D4" s="76"/>
      <c r="E4" s="76"/>
      <c r="F4" s="76"/>
      <c r="G4" s="76"/>
      <c r="H4" s="76"/>
      <c r="I4" s="76"/>
      <c r="J4" s="76"/>
      <c r="K4" s="76"/>
    </row>
    <row r="5" spans="2:15" x14ac:dyDescent="0.3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5" x14ac:dyDescent="0.3">
      <c r="B6" s="76"/>
      <c r="C6" s="76"/>
      <c r="D6" s="76"/>
      <c r="E6" s="76"/>
      <c r="F6" s="76"/>
      <c r="G6" s="76"/>
      <c r="H6" s="76"/>
      <c r="I6" s="76"/>
      <c r="J6" s="76"/>
      <c r="K6" s="76"/>
    </row>
    <row r="7" spans="2:15" x14ac:dyDescent="0.3">
      <c r="B7" s="76"/>
      <c r="C7" s="76"/>
      <c r="D7" s="76"/>
      <c r="E7" s="76"/>
      <c r="F7" s="76"/>
      <c r="G7" s="76"/>
      <c r="H7" s="76"/>
      <c r="I7" s="76"/>
      <c r="J7" s="76"/>
      <c r="K7" s="76"/>
    </row>
    <row r="8" spans="2:15" x14ac:dyDescent="0.3">
      <c r="B8" s="76"/>
      <c r="C8" s="76"/>
      <c r="D8" s="76"/>
      <c r="E8" s="76"/>
      <c r="F8" s="76"/>
      <c r="G8" s="76"/>
      <c r="H8" s="76"/>
      <c r="I8" s="76"/>
      <c r="J8" s="76"/>
      <c r="K8" s="76"/>
    </row>
    <row r="9" spans="2:15" x14ac:dyDescent="0.3">
      <c r="B9" s="76"/>
      <c r="C9" s="76"/>
      <c r="D9" s="76"/>
      <c r="E9" s="76"/>
      <c r="F9" s="76"/>
      <c r="G9" s="76"/>
      <c r="H9" s="76"/>
      <c r="I9" s="76"/>
      <c r="J9" s="76"/>
      <c r="K9" s="76"/>
    </row>
    <row r="10" spans="2:15" x14ac:dyDescent="0.3">
      <c r="B10" s="76"/>
      <c r="C10" s="76"/>
      <c r="D10" s="76"/>
      <c r="E10" s="76"/>
      <c r="F10" s="76"/>
      <c r="G10" s="76"/>
      <c r="H10" s="76"/>
      <c r="I10" s="76"/>
      <c r="J10" s="76"/>
      <c r="K10" s="76"/>
    </row>
    <row r="11" spans="2:15" ht="21" x14ac:dyDescent="0.3">
      <c r="B11" s="1" t="s">
        <v>0</v>
      </c>
      <c r="C11" s="1"/>
      <c r="D11" s="1"/>
      <c r="E11" s="1"/>
      <c r="F11" s="76"/>
      <c r="G11" s="76"/>
      <c r="H11" s="76"/>
      <c r="I11" s="76"/>
      <c r="J11" s="76"/>
      <c r="K11" s="76"/>
    </row>
    <row r="13" spans="2:15" x14ac:dyDescent="0.3">
      <c r="B13" s="1173" t="s">
        <v>103</v>
      </c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</row>
    <row r="14" spans="2:15" x14ac:dyDescent="0.3">
      <c r="B14" s="1174" t="s">
        <v>146</v>
      </c>
      <c r="C14" s="1175"/>
      <c r="D14" s="1175"/>
      <c r="E14" s="1175"/>
      <c r="F14" s="1175"/>
      <c r="G14" s="1175"/>
      <c r="H14" s="1175"/>
      <c r="I14" s="1175"/>
      <c r="J14" s="1175"/>
      <c r="K14" s="1175"/>
      <c r="L14" s="1175"/>
      <c r="M14" s="1175"/>
      <c r="N14" s="1175"/>
      <c r="O14" s="1175"/>
    </row>
    <row r="16" spans="2:15" ht="15" thickBot="1" x14ac:dyDescent="0.35"/>
    <row r="17" spans="2:16" x14ac:dyDescent="0.3">
      <c r="B17" s="1147" t="s">
        <v>1</v>
      </c>
      <c r="C17" s="1149" t="s">
        <v>2</v>
      </c>
      <c r="D17" s="1152" t="s">
        <v>3</v>
      </c>
      <c r="E17" s="1155" t="s">
        <v>4</v>
      </c>
      <c r="F17" s="1156"/>
      <c r="G17" s="1156"/>
      <c r="H17" s="1156"/>
      <c r="I17" s="1156"/>
      <c r="J17" s="1156"/>
      <c r="K17" s="1156"/>
      <c r="L17" s="1157"/>
      <c r="M17" s="1158" t="s">
        <v>5</v>
      </c>
      <c r="N17" s="1159"/>
      <c r="O17" s="1160"/>
      <c r="P17" s="1152" t="s">
        <v>6</v>
      </c>
    </row>
    <row r="18" spans="2:16" x14ac:dyDescent="0.3">
      <c r="B18" s="1148"/>
      <c r="C18" s="1150"/>
      <c r="D18" s="1153"/>
      <c r="E18" s="1161" t="s">
        <v>7</v>
      </c>
      <c r="F18" s="1163" t="s">
        <v>147</v>
      </c>
      <c r="G18" s="1163"/>
      <c r="H18" s="1164"/>
      <c r="I18" s="1165" t="s">
        <v>8</v>
      </c>
      <c r="J18" s="1163"/>
      <c r="K18" s="1163"/>
      <c r="L18" s="1164" t="s">
        <v>9</v>
      </c>
      <c r="M18" s="1167" t="s">
        <v>10</v>
      </c>
      <c r="N18" s="1169" t="s">
        <v>11</v>
      </c>
      <c r="O18" s="1171" t="s">
        <v>12</v>
      </c>
      <c r="P18" s="1153"/>
    </row>
    <row r="19" spans="2:16" ht="15" thickBot="1" x14ac:dyDescent="0.35">
      <c r="B19" s="1148"/>
      <c r="C19" s="1151"/>
      <c r="D19" s="1154"/>
      <c r="E19" s="1162"/>
      <c r="F19" s="2" t="s">
        <v>13</v>
      </c>
      <c r="G19" s="2" t="s">
        <v>14</v>
      </c>
      <c r="H19" s="163" t="s">
        <v>15</v>
      </c>
      <c r="I19" s="142" t="s">
        <v>13</v>
      </c>
      <c r="J19" s="2" t="s">
        <v>14</v>
      </c>
      <c r="K19" s="2" t="s">
        <v>15</v>
      </c>
      <c r="L19" s="1166"/>
      <c r="M19" s="1168"/>
      <c r="N19" s="1170"/>
      <c r="O19" s="1172"/>
      <c r="P19" s="1154"/>
    </row>
    <row r="20" spans="2:16" x14ac:dyDescent="0.3">
      <c r="B20" s="1131" t="s">
        <v>56</v>
      </c>
      <c r="C20" s="29"/>
      <c r="D20" s="117" t="s">
        <v>57</v>
      </c>
      <c r="E20" s="98">
        <v>0</v>
      </c>
      <c r="F20" s="4">
        <f>+G20+H20</f>
        <v>0</v>
      </c>
      <c r="G20" s="4">
        <v>0</v>
      </c>
      <c r="H20" s="8">
        <v>0</v>
      </c>
      <c r="I20" s="6">
        <f>J20+K20</f>
        <v>0</v>
      </c>
      <c r="J20" s="4">
        <f>G20</f>
        <v>0</v>
      </c>
      <c r="K20" s="4">
        <f>H20</f>
        <v>0</v>
      </c>
      <c r="L20" s="33" t="e">
        <f>+J20/E20</f>
        <v>#DIV/0!</v>
      </c>
      <c r="M20" s="104">
        <v>1.3652</v>
      </c>
      <c r="N20" s="31">
        <f>G20*M20</f>
        <v>0</v>
      </c>
      <c r="O20" s="86">
        <f>M20*J20</f>
        <v>0</v>
      </c>
      <c r="P20" s="1133"/>
    </row>
    <row r="21" spans="2:16" x14ac:dyDescent="0.3">
      <c r="B21" s="1132"/>
      <c r="C21" s="32"/>
      <c r="D21" s="118" t="s">
        <v>116</v>
      </c>
      <c r="E21" s="99">
        <v>0</v>
      </c>
      <c r="F21" s="9">
        <f>+G21+H21</f>
        <v>0</v>
      </c>
      <c r="G21" s="9">
        <v>0</v>
      </c>
      <c r="H21" s="10">
        <v>0</v>
      </c>
      <c r="I21" s="6">
        <f>J21+K21</f>
        <v>0</v>
      </c>
      <c r="J21" s="4">
        <f>+G21</f>
        <v>0</v>
      </c>
      <c r="K21" s="4">
        <f>+H21</f>
        <v>0</v>
      </c>
      <c r="L21" s="33"/>
      <c r="M21" s="105">
        <v>5.9917999999999996</v>
      </c>
      <c r="N21" s="34">
        <f>M21*G21</f>
        <v>0</v>
      </c>
      <c r="O21" s="87">
        <f>M21*J21</f>
        <v>0</v>
      </c>
      <c r="P21" s="1134"/>
    </row>
    <row r="22" spans="2:16" x14ac:dyDescent="0.3">
      <c r="B22" s="1132"/>
      <c r="C22" s="35"/>
      <c r="D22" s="119" t="s">
        <v>58</v>
      </c>
      <c r="E22" s="99">
        <v>0</v>
      </c>
      <c r="F22" s="9">
        <f t="shared" ref="F22:F26" si="0">+G22+H22</f>
        <v>173942</v>
      </c>
      <c r="G22" s="9">
        <v>172500</v>
      </c>
      <c r="H22" s="10">
        <v>1442</v>
      </c>
      <c r="I22" s="6">
        <f t="shared" ref="I22:I26" si="1">J22+K22</f>
        <v>173942</v>
      </c>
      <c r="J22" s="4">
        <f t="shared" ref="J22:J26" si="2">+G22</f>
        <v>172500</v>
      </c>
      <c r="K22" s="4">
        <f t="shared" ref="K22:K26" si="3">+H22</f>
        <v>1442</v>
      </c>
      <c r="L22" s="33" t="e">
        <f t="shared" ref="L22" si="4">+J22/E22</f>
        <v>#DIV/0!</v>
      </c>
      <c r="M22" s="106">
        <v>2.3807999999999998</v>
      </c>
      <c r="N22" s="36">
        <f>G22*M22</f>
        <v>410687.99999999994</v>
      </c>
      <c r="O22" s="88">
        <f>M22*J22</f>
        <v>410687.99999999994</v>
      </c>
      <c r="P22" s="1134"/>
    </row>
    <row r="23" spans="2:16" x14ac:dyDescent="0.3">
      <c r="B23" s="1132"/>
      <c r="C23" s="35"/>
      <c r="D23" s="119" t="s">
        <v>59</v>
      </c>
      <c r="E23" s="99">
        <v>0</v>
      </c>
      <c r="F23" s="9">
        <f t="shared" si="0"/>
        <v>0</v>
      </c>
      <c r="G23" s="9">
        <v>0</v>
      </c>
      <c r="H23" s="10">
        <v>0</v>
      </c>
      <c r="I23" s="6">
        <f t="shared" si="1"/>
        <v>0</v>
      </c>
      <c r="J23" s="4">
        <f t="shared" si="2"/>
        <v>0</v>
      </c>
      <c r="K23" s="4">
        <f t="shared" si="3"/>
        <v>0</v>
      </c>
      <c r="L23" s="33"/>
      <c r="M23" s="106">
        <v>2.1457999999999999</v>
      </c>
      <c r="N23" s="36">
        <f t="shared" ref="N23:N26" si="5">G23*M23</f>
        <v>0</v>
      </c>
      <c r="O23" s="88">
        <f>M23*J23</f>
        <v>0</v>
      </c>
      <c r="P23" s="1134"/>
    </row>
    <row r="24" spans="2:16" x14ac:dyDescent="0.3">
      <c r="B24" s="1132"/>
      <c r="C24" s="35"/>
      <c r="D24" s="119" t="s">
        <v>113</v>
      </c>
      <c r="E24" s="99">
        <v>0</v>
      </c>
      <c r="F24" s="9">
        <f t="shared" si="0"/>
        <v>0</v>
      </c>
      <c r="G24" s="9">
        <v>0</v>
      </c>
      <c r="H24" s="10">
        <v>0</v>
      </c>
      <c r="I24" s="6">
        <f t="shared" si="1"/>
        <v>0</v>
      </c>
      <c r="J24" s="4">
        <f t="shared" si="2"/>
        <v>0</v>
      </c>
      <c r="K24" s="4">
        <f t="shared" si="3"/>
        <v>0</v>
      </c>
      <c r="L24" s="33" t="e">
        <f t="shared" ref="L24:L25" si="6">+J24/E24</f>
        <v>#DIV/0!</v>
      </c>
      <c r="M24" s="143">
        <v>4.0426000000000002</v>
      </c>
      <c r="N24" s="36">
        <f t="shared" si="5"/>
        <v>0</v>
      </c>
      <c r="O24" s="88">
        <f>M24*J24</f>
        <v>0</v>
      </c>
      <c r="P24" s="1134"/>
    </row>
    <row r="25" spans="2:16" x14ac:dyDescent="0.3">
      <c r="B25" s="1132"/>
      <c r="C25" s="35"/>
      <c r="D25" s="119" t="s">
        <v>117</v>
      </c>
      <c r="E25" s="99">
        <v>0</v>
      </c>
      <c r="F25" s="9">
        <f t="shared" si="0"/>
        <v>0</v>
      </c>
      <c r="G25" s="9">
        <v>0</v>
      </c>
      <c r="H25" s="10">
        <v>0</v>
      </c>
      <c r="I25" s="6">
        <f t="shared" si="1"/>
        <v>0</v>
      </c>
      <c r="J25" s="4">
        <f t="shared" si="2"/>
        <v>0</v>
      </c>
      <c r="K25" s="4">
        <f t="shared" si="3"/>
        <v>0</v>
      </c>
      <c r="L25" s="33" t="e">
        <f t="shared" si="6"/>
        <v>#DIV/0!</v>
      </c>
      <c r="M25" s="143">
        <v>3.8715000000000002</v>
      </c>
      <c r="N25" s="36">
        <f t="shared" si="5"/>
        <v>0</v>
      </c>
      <c r="O25" s="88">
        <f t="shared" ref="O25:O26" si="7">M25*J25</f>
        <v>0</v>
      </c>
      <c r="P25" s="1134"/>
    </row>
    <row r="26" spans="2:16" ht="15" thickBot="1" x14ac:dyDescent="0.35">
      <c r="B26" s="1132"/>
      <c r="C26" s="82"/>
      <c r="D26" s="120" t="s">
        <v>60</v>
      </c>
      <c r="E26" s="108">
        <v>0</v>
      </c>
      <c r="F26" s="12">
        <f t="shared" si="0"/>
        <v>0</v>
      </c>
      <c r="G26" s="12">
        <v>0</v>
      </c>
      <c r="H26" s="13">
        <v>0</v>
      </c>
      <c r="I26" s="21">
        <f t="shared" si="1"/>
        <v>0</v>
      </c>
      <c r="J26" s="4">
        <f t="shared" si="2"/>
        <v>0</v>
      </c>
      <c r="K26" s="4">
        <f t="shared" si="3"/>
        <v>0</v>
      </c>
      <c r="L26" s="81"/>
      <c r="M26" s="127">
        <v>12.284700000000001</v>
      </c>
      <c r="N26" s="36">
        <f t="shared" si="5"/>
        <v>0</v>
      </c>
      <c r="O26" s="128">
        <f t="shared" si="7"/>
        <v>0</v>
      </c>
      <c r="P26" s="1134"/>
    </row>
    <row r="27" spans="2:16" ht="15" thickBot="1" x14ac:dyDescent="0.35">
      <c r="B27" s="1132"/>
      <c r="C27" s="1137" t="s">
        <v>111</v>
      </c>
      <c r="D27" s="1138"/>
      <c r="E27" s="129"/>
      <c r="F27" s="130">
        <f>SUM(F20:F26)</f>
        <v>173942</v>
      </c>
      <c r="G27" s="130">
        <f>SUM(G20:G26)</f>
        <v>172500</v>
      </c>
      <c r="H27" s="131">
        <f>SUM(H20:H26)</f>
        <v>1442</v>
      </c>
      <c r="I27" s="132">
        <f>+J27+K27</f>
        <v>173942</v>
      </c>
      <c r="J27" s="133">
        <f>SUM(J20:J26)</f>
        <v>172500</v>
      </c>
      <c r="K27" s="133">
        <f>SUM(K20:K26)</f>
        <v>1442</v>
      </c>
      <c r="L27" s="134"/>
      <c r="M27" s="135"/>
      <c r="N27" s="136"/>
      <c r="O27" s="137">
        <f>SUM(O20:O26)</f>
        <v>410687.99999999994</v>
      </c>
      <c r="P27" s="1135"/>
    </row>
    <row r="28" spans="2:16" x14ac:dyDescent="0.3">
      <c r="B28" s="1132"/>
      <c r="C28" s="32"/>
      <c r="D28" s="118" t="s">
        <v>61</v>
      </c>
      <c r="E28" s="98">
        <v>0</v>
      </c>
      <c r="F28" s="4">
        <f t="shared" ref="F28:F31" si="8">+G28+H28</f>
        <v>0</v>
      </c>
      <c r="G28" s="4">
        <v>0</v>
      </c>
      <c r="H28" s="8">
        <v>0</v>
      </c>
      <c r="I28" s="6">
        <f t="shared" ref="I28:I32" si="9">J28+K28</f>
        <v>0</v>
      </c>
      <c r="J28" s="4">
        <f>G28</f>
        <v>0</v>
      </c>
      <c r="K28" s="4">
        <f>H28</f>
        <v>0</v>
      </c>
      <c r="L28" s="33" t="e">
        <f t="shared" ref="L28" si="10">+J28/E28</f>
        <v>#DIV/0!</v>
      </c>
      <c r="M28" s="105">
        <v>12.029500000000001</v>
      </c>
      <c r="N28" s="34">
        <f>M28*G28</f>
        <v>0</v>
      </c>
      <c r="O28" s="87">
        <f t="shared" ref="O28:O30" si="11">M28*J28</f>
        <v>0</v>
      </c>
      <c r="P28" s="1134"/>
    </row>
    <row r="29" spans="2:16" x14ac:dyDescent="0.3">
      <c r="B29" s="1132"/>
      <c r="C29" s="35"/>
      <c r="D29" s="119" t="s">
        <v>62</v>
      </c>
      <c r="E29" s="99">
        <v>0</v>
      </c>
      <c r="F29" s="9">
        <f t="shared" si="8"/>
        <v>0</v>
      </c>
      <c r="G29" s="9">
        <v>0</v>
      </c>
      <c r="H29" s="10">
        <v>0</v>
      </c>
      <c r="I29" s="6">
        <f t="shared" si="9"/>
        <v>0</v>
      </c>
      <c r="J29" s="4">
        <f>G29</f>
        <v>0</v>
      </c>
      <c r="K29" s="4">
        <f>H29</f>
        <v>0</v>
      </c>
      <c r="L29" s="33"/>
      <c r="M29" s="106">
        <v>0</v>
      </c>
      <c r="N29" s="36"/>
      <c r="O29" s="88">
        <f t="shared" si="11"/>
        <v>0</v>
      </c>
      <c r="P29" s="1134"/>
    </row>
    <row r="30" spans="2:16" x14ac:dyDescent="0.3">
      <c r="B30" s="1132"/>
      <c r="C30" s="35"/>
      <c r="D30" s="119" t="s">
        <v>104</v>
      </c>
      <c r="E30" s="99">
        <v>0</v>
      </c>
      <c r="F30" s="9">
        <f t="shared" si="8"/>
        <v>0</v>
      </c>
      <c r="G30" s="9">
        <v>0</v>
      </c>
      <c r="H30" s="10">
        <v>0</v>
      </c>
      <c r="I30" s="6">
        <f t="shared" si="9"/>
        <v>0</v>
      </c>
      <c r="J30" s="4">
        <f t="shared" ref="J30:J32" si="12">G30</f>
        <v>0</v>
      </c>
      <c r="K30" s="4">
        <f t="shared" ref="K30:K32" si="13">H30</f>
        <v>0</v>
      </c>
      <c r="L30" s="33" t="e">
        <f t="shared" ref="L30:L32" si="14">+J30/E30</f>
        <v>#DIV/0!</v>
      </c>
      <c r="M30" s="106">
        <v>19.688600000000001</v>
      </c>
      <c r="N30" s="36">
        <f>M30*G30</f>
        <v>0</v>
      </c>
      <c r="O30" s="88">
        <f t="shared" si="11"/>
        <v>0</v>
      </c>
      <c r="P30" s="1134"/>
    </row>
    <row r="31" spans="2:16" x14ac:dyDescent="0.3">
      <c r="B31" s="1132"/>
      <c r="C31" s="35"/>
      <c r="D31" s="119" t="s">
        <v>64</v>
      </c>
      <c r="E31" s="99">
        <v>0</v>
      </c>
      <c r="F31" s="9">
        <f t="shared" si="8"/>
        <v>0</v>
      </c>
      <c r="G31" s="9">
        <v>0</v>
      </c>
      <c r="H31" s="10">
        <v>0</v>
      </c>
      <c r="I31" s="6">
        <f t="shared" si="9"/>
        <v>0</v>
      </c>
      <c r="J31" s="4">
        <f t="shared" si="12"/>
        <v>0</v>
      </c>
      <c r="K31" s="4">
        <f t="shared" si="13"/>
        <v>0</v>
      </c>
      <c r="L31" s="33" t="e">
        <f t="shared" si="14"/>
        <v>#DIV/0!</v>
      </c>
      <c r="M31" s="106">
        <v>1.2824</v>
      </c>
      <c r="N31" s="151">
        <f>M31*G31</f>
        <v>0</v>
      </c>
      <c r="O31" s="88">
        <f>M31*J31</f>
        <v>0</v>
      </c>
      <c r="P31" s="1134"/>
    </row>
    <row r="32" spans="2:16" ht="15" thickBot="1" x14ac:dyDescent="0.35">
      <c r="B32" s="1132"/>
      <c r="C32" s="82"/>
      <c r="D32" s="120" t="s">
        <v>63</v>
      </c>
      <c r="E32" s="108">
        <v>0</v>
      </c>
      <c r="F32" s="12">
        <v>0</v>
      </c>
      <c r="G32" s="12">
        <v>0</v>
      </c>
      <c r="H32" s="13">
        <v>0</v>
      </c>
      <c r="I32" s="21">
        <f t="shared" si="9"/>
        <v>0</v>
      </c>
      <c r="J32" s="4">
        <f t="shared" si="12"/>
        <v>0</v>
      </c>
      <c r="K32" s="4">
        <f t="shared" si="13"/>
        <v>0</v>
      </c>
      <c r="L32" s="81" t="e">
        <f t="shared" si="14"/>
        <v>#DIV/0!</v>
      </c>
      <c r="M32" s="107">
        <v>18.2316</v>
      </c>
      <c r="N32" s="75"/>
      <c r="O32" s="89">
        <f t="shared" ref="O32" si="15">M32*J32</f>
        <v>0</v>
      </c>
      <c r="P32" s="1136"/>
    </row>
    <row r="33" spans="2:16" ht="15" thickBot="1" x14ac:dyDescent="0.35">
      <c r="B33" s="1116" t="s">
        <v>112</v>
      </c>
      <c r="C33" s="1117"/>
      <c r="D33" s="1117"/>
      <c r="E33" s="124"/>
      <c r="F33" s="125">
        <f>+G33+H33</f>
        <v>0</v>
      </c>
      <c r="G33" s="125">
        <f>SUM(G28:G32)</f>
        <v>0</v>
      </c>
      <c r="H33" s="126">
        <f>SUM(H28:H32)</f>
        <v>0</v>
      </c>
      <c r="I33" s="121">
        <f>J33+K33</f>
        <v>0</v>
      </c>
      <c r="J33" s="122">
        <f>SUM(J28:J32)</f>
        <v>0</v>
      </c>
      <c r="K33" s="123">
        <f>SUM(K28:K32)</f>
        <v>0</v>
      </c>
      <c r="L33" s="138"/>
      <c r="M33" s="139"/>
      <c r="N33" s="140"/>
      <c r="O33" s="141">
        <f>SUM(O28:O32)</f>
        <v>0</v>
      </c>
      <c r="P33" s="161"/>
    </row>
    <row r="34" spans="2:16" ht="15" thickBot="1" x14ac:dyDescent="0.35">
      <c r="B34" s="1116" t="s">
        <v>105</v>
      </c>
      <c r="C34" s="1117"/>
      <c r="D34" s="1117"/>
      <c r="E34" s="1139"/>
      <c r="F34" s="1139"/>
      <c r="G34" s="1139"/>
      <c r="H34" s="1139"/>
      <c r="I34" s="1117"/>
      <c r="J34" s="1117"/>
      <c r="K34" s="1117"/>
      <c r="L34" s="1117"/>
      <c r="M34" s="1117"/>
      <c r="N34" s="1140"/>
      <c r="O34" s="83">
        <f>O27+O33</f>
        <v>410687.99999999994</v>
      </c>
      <c r="P34" s="161"/>
    </row>
    <row r="35" spans="2:16" x14ac:dyDescent="0.3">
      <c r="B35" s="1131" t="s">
        <v>65</v>
      </c>
      <c r="C35" s="37" t="s">
        <v>66</v>
      </c>
      <c r="D35" s="28" t="s">
        <v>67</v>
      </c>
      <c r="E35" s="38">
        <v>0</v>
      </c>
      <c r="F35" s="14">
        <f>+G35+H35</f>
        <v>0</v>
      </c>
      <c r="G35" s="14">
        <v>0</v>
      </c>
      <c r="H35" s="5">
        <v>0</v>
      </c>
      <c r="I35" s="17">
        <f t="shared" ref="I35:I41" si="16">J35+K35</f>
        <v>0</v>
      </c>
      <c r="J35" s="4">
        <f>G35</f>
        <v>0</v>
      </c>
      <c r="K35" s="4">
        <f>H35</f>
        <v>0</v>
      </c>
      <c r="L35" s="30" t="e">
        <f>+J35/E35</f>
        <v>#DIV/0!</v>
      </c>
      <c r="M35" s="146">
        <v>2.2141000000000002</v>
      </c>
      <c r="N35" s="15">
        <f>+M35*G35</f>
        <v>0</v>
      </c>
      <c r="O35" s="90">
        <f>+M35*J35</f>
        <v>0</v>
      </c>
      <c r="P35" s="1142"/>
    </row>
    <row r="36" spans="2:16" x14ac:dyDescent="0.3">
      <c r="B36" s="1132"/>
      <c r="C36" s="39"/>
      <c r="D36" s="22" t="s">
        <v>68</v>
      </c>
      <c r="E36" s="3">
        <v>0</v>
      </c>
      <c r="F36" s="9">
        <f t="shared" ref="F36:F41" si="17">+G36+H36</f>
        <v>0</v>
      </c>
      <c r="G36" s="4">
        <v>0</v>
      </c>
      <c r="H36" s="8">
        <v>0</v>
      </c>
      <c r="I36" s="6">
        <f t="shared" si="16"/>
        <v>0</v>
      </c>
      <c r="J36" s="4">
        <f>+G36</f>
        <v>0</v>
      </c>
      <c r="K36" s="4">
        <f>+H36</f>
        <v>0</v>
      </c>
      <c r="L36" s="40" t="e">
        <f t="shared" ref="L36:L37" si="18">+J36/E36</f>
        <v>#DIV/0!</v>
      </c>
      <c r="M36" s="145">
        <v>2.4565999999999999</v>
      </c>
      <c r="N36" s="11">
        <f t="shared" ref="N36:N38" si="19">+M36*G36</f>
        <v>0</v>
      </c>
      <c r="O36" s="91">
        <f t="shared" ref="O36:O38" si="20">+M36*J36</f>
        <v>0</v>
      </c>
      <c r="P36" s="1143"/>
    </row>
    <row r="37" spans="2:16" x14ac:dyDescent="0.3">
      <c r="B37" s="1132"/>
      <c r="C37" s="39"/>
      <c r="D37" s="23" t="s">
        <v>133</v>
      </c>
      <c r="E37" s="3">
        <v>0</v>
      </c>
      <c r="F37" s="9">
        <f t="shared" si="17"/>
        <v>0</v>
      </c>
      <c r="G37" s="4">
        <v>0</v>
      </c>
      <c r="H37" s="8">
        <v>0</v>
      </c>
      <c r="I37" s="6">
        <f t="shared" si="16"/>
        <v>0</v>
      </c>
      <c r="J37" s="4">
        <f t="shared" ref="J37:J41" si="21">+G37</f>
        <v>0</v>
      </c>
      <c r="K37" s="4">
        <f t="shared" ref="K37:K41" si="22">+H37</f>
        <v>0</v>
      </c>
      <c r="L37" s="40" t="e">
        <f t="shared" si="18"/>
        <v>#DIV/0!</v>
      </c>
      <c r="M37" s="145">
        <v>2.2907000000000002</v>
      </c>
      <c r="N37" s="11">
        <f t="shared" si="19"/>
        <v>0</v>
      </c>
      <c r="O37" s="91">
        <f t="shared" si="20"/>
        <v>0</v>
      </c>
      <c r="P37" s="1143"/>
    </row>
    <row r="38" spans="2:16" x14ac:dyDescent="0.3">
      <c r="B38" s="1132"/>
      <c r="C38" s="39"/>
      <c r="D38" s="22" t="s">
        <v>138</v>
      </c>
      <c r="E38" s="3"/>
      <c r="F38" s="9">
        <f t="shared" si="17"/>
        <v>0</v>
      </c>
      <c r="G38" s="4">
        <v>0</v>
      </c>
      <c r="H38" s="8">
        <v>0</v>
      </c>
      <c r="I38" s="6">
        <f t="shared" si="16"/>
        <v>0</v>
      </c>
      <c r="J38" s="4">
        <f t="shared" si="21"/>
        <v>0</v>
      </c>
      <c r="K38" s="4">
        <f t="shared" si="22"/>
        <v>0</v>
      </c>
      <c r="L38" s="33"/>
      <c r="M38" s="150">
        <v>2.544</v>
      </c>
      <c r="N38" s="11">
        <f t="shared" si="19"/>
        <v>0</v>
      </c>
      <c r="O38" s="91">
        <f t="shared" si="20"/>
        <v>0</v>
      </c>
      <c r="P38" s="1143"/>
    </row>
    <row r="39" spans="2:16" x14ac:dyDescent="0.3">
      <c r="B39" s="1132"/>
      <c r="C39" s="39" t="s">
        <v>69</v>
      </c>
      <c r="D39" s="22" t="s">
        <v>140</v>
      </c>
      <c r="E39" s="3">
        <v>0</v>
      </c>
      <c r="F39" s="9">
        <f t="shared" si="17"/>
        <v>40072</v>
      </c>
      <c r="G39" s="4">
        <v>38500</v>
      </c>
      <c r="H39" s="8">
        <v>1572</v>
      </c>
      <c r="I39" s="6">
        <f t="shared" si="16"/>
        <v>40072</v>
      </c>
      <c r="J39" s="4">
        <f t="shared" si="21"/>
        <v>38500</v>
      </c>
      <c r="K39" s="4">
        <f t="shared" si="22"/>
        <v>1572</v>
      </c>
      <c r="L39" s="33" t="e">
        <f>+J39/E39</f>
        <v>#DIV/0!</v>
      </c>
      <c r="M39" s="144">
        <v>2.2141000000000002</v>
      </c>
      <c r="N39" s="7">
        <f>+M39*G39</f>
        <v>85242.85</v>
      </c>
      <c r="O39" s="85">
        <f>+M39*J39</f>
        <v>85242.85</v>
      </c>
      <c r="P39" s="1143"/>
    </row>
    <row r="40" spans="2:16" x14ac:dyDescent="0.3">
      <c r="B40" s="1132"/>
      <c r="C40" s="39"/>
      <c r="D40" s="22" t="s">
        <v>68</v>
      </c>
      <c r="E40" s="3">
        <v>0</v>
      </c>
      <c r="F40" s="9">
        <f t="shared" si="17"/>
        <v>0</v>
      </c>
      <c r="G40" s="4">
        <v>0</v>
      </c>
      <c r="H40" s="8">
        <v>0</v>
      </c>
      <c r="I40" s="6">
        <f t="shared" si="16"/>
        <v>0</v>
      </c>
      <c r="J40" s="4">
        <f t="shared" si="21"/>
        <v>0</v>
      </c>
      <c r="K40" s="4">
        <f t="shared" si="22"/>
        <v>0</v>
      </c>
      <c r="L40" s="40" t="e">
        <f t="shared" ref="L40:L41" si="23">+J40/E40</f>
        <v>#DIV/0!</v>
      </c>
      <c r="M40" s="145">
        <v>2.4565999999999999</v>
      </c>
      <c r="N40" s="11">
        <f t="shared" ref="N40:N41" si="24">+M40*G40</f>
        <v>0</v>
      </c>
      <c r="O40" s="91">
        <f t="shared" ref="O40" si="25">+M40*J40</f>
        <v>0</v>
      </c>
      <c r="P40" s="1143"/>
    </row>
    <row r="41" spans="2:16" ht="15" thickBot="1" x14ac:dyDescent="0.35">
      <c r="B41" s="1132"/>
      <c r="C41" s="39"/>
      <c r="D41" s="22" t="s">
        <v>133</v>
      </c>
      <c r="E41" s="3">
        <v>0</v>
      </c>
      <c r="F41" s="9">
        <f t="shared" si="17"/>
        <v>0</v>
      </c>
      <c r="G41" s="4">
        <v>0</v>
      </c>
      <c r="H41" s="8">
        <v>0</v>
      </c>
      <c r="I41" s="6">
        <f t="shared" si="16"/>
        <v>0</v>
      </c>
      <c r="J41" s="4">
        <f t="shared" si="21"/>
        <v>0</v>
      </c>
      <c r="K41" s="4">
        <f t="shared" si="22"/>
        <v>0</v>
      </c>
      <c r="L41" s="40" t="e">
        <f t="shared" si="23"/>
        <v>#DIV/0!</v>
      </c>
      <c r="M41" s="145">
        <v>2.2907000000000002</v>
      </c>
      <c r="N41" s="11">
        <f t="shared" si="24"/>
        <v>0</v>
      </c>
      <c r="O41" s="154">
        <f>+M41*J41</f>
        <v>0</v>
      </c>
      <c r="P41" s="1144"/>
    </row>
    <row r="42" spans="2:16" ht="15" thickBot="1" x14ac:dyDescent="0.35">
      <c r="B42" s="1132"/>
      <c r="C42" s="41" t="s">
        <v>29</v>
      </c>
      <c r="D42" s="27" t="str">
        <f>+C42</f>
        <v>TOTAL 1/2</v>
      </c>
      <c r="E42" s="42">
        <f>SUM(E35:E41)</f>
        <v>0</v>
      </c>
      <c r="F42" s="43">
        <f>SUM(F35:F41)</f>
        <v>40072</v>
      </c>
      <c r="G42" s="43">
        <f>SUM(G35:G41)</f>
        <v>38500</v>
      </c>
      <c r="H42" s="44">
        <f>SUM(H35:H41)</f>
        <v>1572</v>
      </c>
      <c r="I42" s="45">
        <f>SUM(I39:I41)</f>
        <v>40072</v>
      </c>
      <c r="J42" s="43">
        <f>SUM(J35:J41)</f>
        <v>38500</v>
      </c>
      <c r="K42" s="43">
        <f>SUM(K35:K41)</f>
        <v>1572</v>
      </c>
      <c r="L42" s="46" t="e">
        <f>+J42/E42</f>
        <v>#DIV/0!</v>
      </c>
      <c r="M42" s="47"/>
      <c r="N42" s="48">
        <f>SUM(N39:N41)</f>
        <v>85242.85</v>
      </c>
      <c r="O42" s="49">
        <f>SUM(O35:O41)</f>
        <v>85242.85</v>
      </c>
      <c r="P42" s="162"/>
    </row>
    <row r="43" spans="2:16" x14ac:dyDescent="0.3">
      <c r="B43" s="1132"/>
      <c r="C43" s="1145" t="s">
        <v>70</v>
      </c>
      <c r="D43" s="22" t="s">
        <v>67</v>
      </c>
      <c r="E43" s="3">
        <v>0</v>
      </c>
      <c r="F43" s="4">
        <f>G43+H43</f>
        <v>109220</v>
      </c>
      <c r="G43" s="4">
        <f>60000+45750</f>
        <v>105750</v>
      </c>
      <c r="H43" s="8">
        <f>1780+1690</f>
        <v>3470</v>
      </c>
      <c r="I43" s="16">
        <f>J43+K43</f>
        <v>109220</v>
      </c>
      <c r="J43" s="4">
        <f>G43</f>
        <v>105750</v>
      </c>
      <c r="K43" s="4">
        <f>H43</f>
        <v>3470</v>
      </c>
      <c r="L43" s="50" t="e">
        <f>+J43/E43</f>
        <v>#DIV/0!</v>
      </c>
      <c r="M43" s="144">
        <v>4.1712999999999996</v>
      </c>
      <c r="N43" s="7">
        <f>+M43*G43</f>
        <v>441114.97499999998</v>
      </c>
      <c r="O43" s="93">
        <f>+M43*J43</f>
        <v>441114.97499999998</v>
      </c>
      <c r="P43" s="1142"/>
    </row>
    <row r="44" spans="2:16" x14ac:dyDescent="0.3">
      <c r="B44" s="1132"/>
      <c r="C44" s="1146"/>
      <c r="D44" s="22" t="s">
        <v>68</v>
      </c>
      <c r="E44" s="3">
        <v>0</v>
      </c>
      <c r="F44" s="4">
        <f>G44+H44</f>
        <v>0</v>
      </c>
      <c r="G44" s="4">
        <v>0</v>
      </c>
      <c r="H44" s="8">
        <v>0</v>
      </c>
      <c r="I44" s="6">
        <f>+R1088+F44</f>
        <v>0</v>
      </c>
      <c r="J44" s="4">
        <f>G44</f>
        <v>0</v>
      </c>
      <c r="K44" s="4">
        <f>H44</f>
        <v>0</v>
      </c>
      <c r="L44" s="51" t="e">
        <f t="shared" ref="L44:L48" si="26">+J44/E44</f>
        <v>#DIV/0!</v>
      </c>
      <c r="M44" s="145">
        <v>4.8285999999999998</v>
      </c>
      <c r="N44" s="11">
        <f t="shared" ref="N44:N46" si="27">+M44*G44</f>
        <v>0</v>
      </c>
      <c r="O44" s="94">
        <f t="shared" ref="O44:O46" si="28">+M44*J44</f>
        <v>0</v>
      </c>
      <c r="P44" s="1143"/>
    </row>
    <row r="45" spans="2:16" x14ac:dyDescent="0.3">
      <c r="B45" s="1132"/>
      <c r="C45" s="1146"/>
      <c r="D45" s="22" t="s">
        <v>134</v>
      </c>
      <c r="E45" s="3"/>
      <c r="F45" s="4">
        <f>G45+H45</f>
        <v>0</v>
      </c>
      <c r="G45" s="4">
        <v>0</v>
      </c>
      <c r="H45" s="8">
        <v>0</v>
      </c>
      <c r="I45" s="6">
        <f>+R1089+F45</f>
        <v>0</v>
      </c>
      <c r="J45" s="4">
        <f t="shared" ref="J45:J46" si="29">G45</f>
        <v>0</v>
      </c>
      <c r="K45" s="4">
        <f t="shared" ref="K45:K46" si="30">H45</f>
        <v>0</v>
      </c>
      <c r="L45" s="51" t="e">
        <f t="shared" si="26"/>
        <v>#DIV/0!</v>
      </c>
      <c r="M45" s="144">
        <v>4.5023</v>
      </c>
      <c r="N45" s="11">
        <f t="shared" si="27"/>
        <v>0</v>
      </c>
      <c r="O45" s="94">
        <f t="shared" si="28"/>
        <v>0</v>
      </c>
      <c r="P45" s="1143"/>
    </row>
    <row r="46" spans="2:16" ht="15" thickBot="1" x14ac:dyDescent="0.35">
      <c r="B46" s="1132"/>
      <c r="C46" s="1146"/>
      <c r="D46" s="22" t="s">
        <v>118</v>
      </c>
      <c r="E46" s="3">
        <v>0</v>
      </c>
      <c r="F46" s="4">
        <f t="shared" ref="F46" si="31">G46+H46</f>
        <v>0</v>
      </c>
      <c r="G46" s="4">
        <v>0</v>
      </c>
      <c r="H46" s="8">
        <v>0</v>
      </c>
      <c r="I46" s="6">
        <f>+R1089+F46</f>
        <v>0</v>
      </c>
      <c r="J46" s="4">
        <f t="shared" si="29"/>
        <v>0</v>
      </c>
      <c r="K46" s="4">
        <f t="shared" si="30"/>
        <v>0</v>
      </c>
      <c r="L46" s="51" t="e">
        <f t="shared" si="26"/>
        <v>#DIV/0!</v>
      </c>
      <c r="M46" s="144">
        <v>4.4065000000000003</v>
      </c>
      <c r="N46" s="11">
        <f t="shared" si="27"/>
        <v>0</v>
      </c>
      <c r="O46" s="94">
        <f t="shared" si="28"/>
        <v>0</v>
      </c>
      <c r="P46" s="1143"/>
    </row>
    <row r="47" spans="2:16" ht="15" thickBot="1" x14ac:dyDescent="0.35">
      <c r="B47" s="1132"/>
      <c r="C47" s="41" t="s">
        <v>31</v>
      </c>
      <c r="D47" s="18" t="str">
        <f>+C47</f>
        <v>TOTAL 4/4</v>
      </c>
      <c r="E47" s="42">
        <f t="shared" ref="E47:K47" si="32">SUM(E43:E46)</f>
        <v>0</v>
      </c>
      <c r="F47" s="43">
        <f t="shared" si="32"/>
        <v>109220</v>
      </c>
      <c r="G47" s="43">
        <f t="shared" si="32"/>
        <v>105750</v>
      </c>
      <c r="H47" s="44">
        <f t="shared" si="32"/>
        <v>3470</v>
      </c>
      <c r="I47" s="45">
        <f t="shared" si="32"/>
        <v>109220</v>
      </c>
      <c r="J47" s="43">
        <f t="shared" si="32"/>
        <v>105750</v>
      </c>
      <c r="K47" s="43">
        <f t="shared" si="32"/>
        <v>3470</v>
      </c>
      <c r="L47" s="46" t="e">
        <f t="shared" si="26"/>
        <v>#DIV/0!</v>
      </c>
      <c r="M47" s="47"/>
      <c r="N47" s="48">
        <f>SUM(N43:N46)</f>
        <v>441114.97499999998</v>
      </c>
      <c r="O47" s="92">
        <f>SUM(O43:O46)</f>
        <v>441114.97499999998</v>
      </c>
      <c r="P47" s="1144"/>
    </row>
    <row r="48" spans="2:16" ht="15" thickBot="1" x14ac:dyDescent="0.35">
      <c r="B48" s="1141"/>
      <c r="C48" s="41" t="s">
        <v>71</v>
      </c>
      <c r="D48" s="27" t="s">
        <v>67</v>
      </c>
      <c r="E48" s="25">
        <v>0</v>
      </c>
      <c r="F48" s="20">
        <f>G48+H48</f>
        <v>0</v>
      </c>
      <c r="G48" s="20">
        <v>0</v>
      </c>
      <c r="H48" s="24">
        <v>0</v>
      </c>
      <c r="I48" s="19">
        <f>J48+K48</f>
        <v>0</v>
      </c>
      <c r="J48" s="4">
        <f>G48</f>
        <v>0</v>
      </c>
      <c r="K48" s="4">
        <f>H48</f>
        <v>0</v>
      </c>
      <c r="L48" s="52" t="e">
        <f t="shared" si="26"/>
        <v>#DIV/0!</v>
      </c>
      <c r="M48" s="149">
        <v>1.4086000000000001</v>
      </c>
      <c r="N48" s="26">
        <f t="shared" ref="N48" si="33">+M48*G48</f>
        <v>0</v>
      </c>
      <c r="O48" s="95">
        <f t="shared" ref="O48" si="34">+M48*J48</f>
        <v>0</v>
      </c>
      <c r="P48" s="53"/>
    </row>
    <row r="49" spans="2:16" ht="15" thickBot="1" x14ac:dyDescent="0.35">
      <c r="B49" s="1116" t="s">
        <v>102</v>
      </c>
      <c r="C49" s="1117"/>
      <c r="D49" s="1117"/>
      <c r="E49" s="1117"/>
      <c r="F49" s="1117"/>
      <c r="G49" s="1117"/>
      <c r="H49" s="1117"/>
      <c r="I49" s="110">
        <f>J49+K49</f>
        <v>149292</v>
      </c>
      <c r="J49" s="110">
        <f>J42+J47+J48</f>
        <v>144250</v>
      </c>
      <c r="K49" s="110">
        <f>K42+K47+K48</f>
        <v>5042</v>
      </c>
      <c r="L49" s="111"/>
      <c r="M49" s="112"/>
      <c r="N49" s="109"/>
      <c r="O49" s="77">
        <f>+O48+O47+O42</f>
        <v>526357.82499999995</v>
      </c>
      <c r="P49" s="84"/>
    </row>
    <row r="50" spans="2:16" x14ac:dyDescent="0.3">
      <c r="B50" s="1118" t="s">
        <v>72</v>
      </c>
      <c r="C50" s="1121" t="s">
        <v>73</v>
      </c>
      <c r="D50" s="54" t="s">
        <v>74</v>
      </c>
      <c r="E50" s="55">
        <v>0</v>
      </c>
      <c r="F50" s="56">
        <f>G50+H50</f>
        <v>0</v>
      </c>
      <c r="G50" s="56">
        <v>0</v>
      </c>
      <c r="H50" s="57">
        <v>0</v>
      </c>
      <c r="I50" s="78">
        <f>J50+K50</f>
        <v>0</v>
      </c>
      <c r="J50" s="4">
        <f>G50</f>
        <v>0</v>
      </c>
      <c r="K50" s="4">
        <f>H50</f>
        <v>0</v>
      </c>
      <c r="L50" s="58" t="e">
        <f t="shared" ref="L50" si="35">+J50/E50</f>
        <v>#DIV/0!</v>
      </c>
      <c r="M50" s="59">
        <v>32.946300000000001</v>
      </c>
      <c r="N50" s="60">
        <f>+M50*G50</f>
        <v>0</v>
      </c>
      <c r="O50" s="60">
        <f>M50*J50</f>
        <v>0</v>
      </c>
      <c r="P50" s="1123"/>
    </row>
    <row r="51" spans="2:16" x14ac:dyDescent="0.3">
      <c r="B51" s="1119"/>
      <c r="C51" s="1122"/>
      <c r="D51" s="61" t="s">
        <v>75</v>
      </c>
      <c r="E51" s="62">
        <v>0</v>
      </c>
      <c r="F51" s="63">
        <f>G51+H51</f>
        <v>0</v>
      </c>
      <c r="G51" s="63">
        <v>0</v>
      </c>
      <c r="H51" s="64">
        <v>0</v>
      </c>
      <c r="I51" s="79">
        <f>J51+K51</f>
        <v>0</v>
      </c>
      <c r="J51" s="4">
        <f>G51</f>
        <v>0</v>
      </c>
      <c r="K51" s="4">
        <f>H51</f>
        <v>0</v>
      </c>
      <c r="L51" s="65" t="e">
        <f>+J51/E51</f>
        <v>#DIV/0!</v>
      </c>
      <c r="M51" s="66">
        <v>35.398400000000002</v>
      </c>
      <c r="N51" s="67">
        <f>+M51*G51</f>
        <v>0</v>
      </c>
      <c r="O51" s="67">
        <f>M51*J51</f>
        <v>0</v>
      </c>
      <c r="P51" s="1124"/>
    </row>
    <row r="52" spans="2:16" x14ac:dyDescent="0.3">
      <c r="B52" s="1119"/>
      <c r="C52" s="1122"/>
      <c r="D52" s="61" t="s">
        <v>76</v>
      </c>
      <c r="E52" s="62">
        <v>0</v>
      </c>
      <c r="F52" s="63">
        <f t="shared" ref="F52:F55" si="36">G52+H52</f>
        <v>0</v>
      </c>
      <c r="G52" s="63">
        <v>0</v>
      </c>
      <c r="H52" s="64">
        <v>0</v>
      </c>
      <c r="I52" s="79">
        <f t="shared" ref="I52:I61" si="37">J52+K52</f>
        <v>0</v>
      </c>
      <c r="J52" s="4">
        <f t="shared" ref="J52:J77" si="38">G52</f>
        <v>0</v>
      </c>
      <c r="K52" s="4">
        <f t="shared" ref="K52:K77" si="39">H52</f>
        <v>0</v>
      </c>
      <c r="L52" s="65" t="e">
        <f t="shared" ref="L52:L65" si="40">+J52/E52</f>
        <v>#DIV/0!</v>
      </c>
      <c r="M52" s="66">
        <v>32.946300000000001</v>
      </c>
      <c r="N52" s="67">
        <f t="shared" ref="N52:N72" si="41">+M52*G52</f>
        <v>0</v>
      </c>
      <c r="O52" s="67">
        <f t="shared" ref="O52:O60" si="42">M52*J52</f>
        <v>0</v>
      </c>
      <c r="P52" s="1124"/>
    </row>
    <row r="53" spans="2:16" x14ac:dyDescent="0.3">
      <c r="B53" s="1119"/>
      <c r="C53" s="1122" t="s">
        <v>77</v>
      </c>
      <c r="D53" s="61" t="s">
        <v>78</v>
      </c>
      <c r="E53" s="62">
        <v>0</v>
      </c>
      <c r="F53" s="63">
        <f t="shared" si="36"/>
        <v>0</v>
      </c>
      <c r="G53" s="63">
        <v>0</v>
      </c>
      <c r="H53" s="64">
        <v>0</v>
      </c>
      <c r="I53" s="79">
        <f t="shared" si="37"/>
        <v>0</v>
      </c>
      <c r="J53" s="4">
        <f t="shared" si="38"/>
        <v>0</v>
      </c>
      <c r="K53" s="4">
        <f t="shared" si="39"/>
        <v>0</v>
      </c>
      <c r="L53" s="65" t="e">
        <f t="shared" si="40"/>
        <v>#DIV/0!</v>
      </c>
      <c r="M53" s="66">
        <v>55.4758</v>
      </c>
      <c r="N53" s="67">
        <f t="shared" si="41"/>
        <v>0</v>
      </c>
      <c r="O53" s="67">
        <f t="shared" si="42"/>
        <v>0</v>
      </c>
      <c r="P53" s="1124"/>
    </row>
    <row r="54" spans="2:16" x14ac:dyDescent="0.3">
      <c r="B54" s="1119"/>
      <c r="C54" s="1122"/>
      <c r="D54" s="61" t="s">
        <v>141</v>
      </c>
      <c r="E54" s="62">
        <v>0</v>
      </c>
      <c r="F54" s="63">
        <f t="shared" si="36"/>
        <v>0</v>
      </c>
      <c r="G54" s="63">
        <v>0</v>
      </c>
      <c r="H54" s="64">
        <v>0</v>
      </c>
      <c r="I54" s="79">
        <f t="shared" si="37"/>
        <v>0</v>
      </c>
      <c r="J54" s="4">
        <f t="shared" si="38"/>
        <v>0</v>
      </c>
      <c r="K54" s="4">
        <f t="shared" si="39"/>
        <v>0</v>
      </c>
      <c r="L54" s="65" t="e">
        <f t="shared" si="40"/>
        <v>#DIV/0!</v>
      </c>
      <c r="M54" s="66">
        <v>53.515999999999998</v>
      </c>
      <c r="N54" s="67">
        <f t="shared" si="41"/>
        <v>0</v>
      </c>
      <c r="O54" s="67">
        <f t="shared" si="42"/>
        <v>0</v>
      </c>
      <c r="P54" s="1124"/>
    </row>
    <row r="55" spans="2:16" x14ac:dyDescent="0.3">
      <c r="B55" s="1119"/>
      <c r="C55" s="1122"/>
      <c r="D55" s="61" t="s">
        <v>75</v>
      </c>
      <c r="E55" s="62">
        <v>0</v>
      </c>
      <c r="F55" s="63">
        <f t="shared" si="36"/>
        <v>0</v>
      </c>
      <c r="G55" s="63">
        <v>0</v>
      </c>
      <c r="H55" s="64">
        <v>0</v>
      </c>
      <c r="I55" s="79">
        <f t="shared" si="37"/>
        <v>0</v>
      </c>
      <c r="J55" s="4">
        <f t="shared" si="38"/>
        <v>0</v>
      </c>
      <c r="K55" s="4">
        <f t="shared" si="39"/>
        <v>0</v>
      </c>
      <c r="L55" s="65" t="e">
        <f t="shared" si="40"/>
        <v>#DIV/0!</v>
      </c>
      <c r="M55" s="66">
        <v>58.836300000000001</v>
      </c>
      <c r="N55" s="67">
        <f t="shared" si="41"/>
        <v>0</v>
      </c>
      <c r="O55" s="67">
        <f t="shared" si="42"/>
        <v>0</v>
      </c>
      <c r="P55" s="1124"/>
    </row>
    <row r="56" spans="2:16" x14ac:dyDescent="0.3">
      <c r="B56" s="1119"/>
      <c r="C56" s="1126" t="s">
        <v>79</v>
      </c>
      <c r="D56" s="61" t="s">
        <v>80</v>
      </c>
      <c r="E56" s="62">
        <v>0</v>
      </c>
      <c r="F56" s="63">
        <f>G56+H56</f>
        <v>0</v>
      </c>
      <c r="G56" s="63">
        <v>0</v>
      </c>
      <c r="H56" s="64">
        <v>0</v>
      </c>
      <c r="I56" s="79">
        <f t="shared" si="37"/>
        <v>0</v>
      </c>
      <c r="J56" s="4">
        <f t="shared" si="38"/>
        <v>0</v>
      </c>
      <c r="K56" s="4">
        <f t="shared" si="39"/>
        <v>0</v>
      </c>
      <c r="L56" s="65" t="e">
        <f t="shared" si="40"/>
        <v>#DIV/0!</v>
      </c>
      <c r="M56" s="66">
        <v>25.687200000000001</v>
      </c>
      <c r="N56" s="67">
        <f t="shared" si="41"/>
        <v>0</v>
      </c>
      <c r="O56" s="67">
        <f t="shared" si="42"/>
        <v>0</v>
      </c>
      <c r="P56" s="1124"/>
    </row>
    <row r="57" spans="2:16" x14ac:dyDescent="0.3">
      <c r="B57" s="1119"/>
      <c r="C57" s="1127"/>
      <c r="D57" s="61" t="s">
        <v>124</v>
      </c>
      <c r="E57" s="62">
        <v>0</v>
      </c>
      <c r="F57" s="63">
        <f>G57+H57</f>
        <v>0</v>
      </c>
      <c r="G57" s="63">
        <v>0</v>
      </c>
      <c r="H57" s="64">
        <v>0</v>
      </c>
      <c r="I57" s="79">
        <f t="shared" si="37"/>
        <v>0</v>
      </c>
      <c r="J57" s="4">
        <f t="shared" si="38"/>
        <v>0</v>
      </c>
      <c r="K57" s="4">
        <f t="shared" si="39"/>
        <v>0</v>
      </c>
      <c r="L57" s="65" t="e">
        <f t="shared" si="40"/>
        <v>#DIV/0!</v>
      </c>
      <c r="M57" s="66">
        <v>25.033899999999999</v>
      </c>
      <c r="N57" s="67">
        <f t="shared" si="41"/>
        <v>0</v>
      </c>
      <c r="O57" s="67">
        <f t="shared" si="42"/>
        <v>0</v>
      </c>
      <c r="P57" s="1124"/>
    </row>
    <row r="58" spans="2:16" x14ac:dyDescent="0.3">
      <c r="B58" s="1119"/>
      <c r="C58" s="1126" t="s">
        <v>81</v>
      </c>
      <c r="D58" s="61" t="s">
        <v>82</v>
      </c>
      <c r="E58" s="62">
        <v>0</v>
      </c>
      <c r="F58" s="63">
        <f t="shared" ref="F58:F77" si="43">G58+H58</f>
        <v>0</v>
      </c>
      <c r="G58" s="63">
        <v>0</v>
      </c>
      <c r="H58" s="64">
        <v>0</v>
      </c>
      <c r="I58" s="79">
        <f t="shared" si="37"/>
        <v>0</v>
      </c>
      <c r="J58" s="4">
        <f t="shared" si="38"/>
        <v>0</v>
      </c>
      <c r="K58" s="4">
        <f>H58</f>
        <v>0</v>
      </c>
      <c r="L58" s="65" t="e">
        <f t="shared" si="40"/>
        <v>#DIV/0!</v>
      </c>
      <c r="M58" s="66">
        <v>41.992699999999999</v>
      </c>
      <c r="N58" s="67">
        <f t="shared" si="41"/>
        <v>0</v>
      </c>
      <c r="O58" s="67">
        <f t="shared" si="42"/>
        <v>0</v>
      </c>
      <c r="P58" s="1124"/>
    </row>
    <row r="59" spans="2:16" x14ac:dyDescent="0.3">
      <c r="B59" s="1119"/>
      <c r="C59" s="1127"/>
      <c r="D59" s="61" t="s">
        <v>75</v>
      </c>
      <c r="E59" s="62">
        <v>0</v>
      </c>
      <c r="F59" s="63">
        <f t="shared" si="43"/>
        <v>0</v>
      </c>
      <c r="G59" s="63">
        <v>0</v>
      </c>
      <c r="H59" s="64">
        <v>0</v>
      </c>
      <c r="I59" s="79">
        <f t="shared" si="37"/>
        <v>0</v>
      </c>
      <c r="J59" s="4">
        <f t="shared" si="38"/>
        <v>0</v>
      </c>
      <c r="K59" s="4">
        <f t="shared" si="39"/>
        <v>0</v>
      </c>
      <c r="L59" s="65" t="e">
        <f t="shared" si="40"/>
        <v>#DIV/0!</v>
      </c>
      <c r="M59" s="66">
        <v>42.283799999999999</v>
      </c>
      <c r="N59" s="67">
        <f t="shared" si="41"/>
        <v>0</v>
      </c>
      <c r="O59" s="67">
        <f t="shared" si="42"/>
        <v>0</v>
      </c>
      <c r="P59" s="1124"/>
    </row>
    <row r="60" spans="2:16" x14ac:dyDescent="0.3">
      <c r="B60" s="1119"/>
      <c r="C60" s="160" t="s">
        <v>83</v>
      </c>
      <c r="D60" s="61" t="s">
        <v>84</v>
      </c>
      <c r="E60" s="62">
        <v>0</v>
      </c>
      <c r="F60" s="63">
        <f t="shared" si="43"/>
        <v>0</v>
      </c>
      <c r="G60" s="63">
        <v>0</v>
      </c>
      <c r="H60" s="64">
        <v>0</v>
      </c>
      <c r="I60" s="79">
        <f t="shared" si="37"/>
        <v>0</v>
      </c>
      <c r="J60" s="4">
        <f t="shared" si="38"/>
        <v>0</v>
      </c>
      <c r="K60" s="4">
        <f t="shared" si="39"/>
        <v>0</v>
      </c>
      <c r="L60" s="65" t="e">
        <f t="shared" si="40"/>
        <v>#DIV/0!</v>
      </c>
      <c r="M60" s="66">
        <v>4.3535000000000004</v>
      </c>
      <c r="N60" s="67">
        <f t="shared" si="41"/>
        <v>0</v>
      </c>
      <c r="O60" s="67">
        <f t="shared" si="42"/>
        <v>0</v>
      </c>
      <c r="P60" s="1124"/>
    </row>
    <row r="61" spans="2:16" x14ac:dyDescent="0.3">
      <c r="B61" s="1119"/>
      <c r="C61" s="1122" t="s">
        <v>85</v>
      </c>
      <c r="D61" s="61" t="s">
        <v>80</v>
      </c>
      <c r="E61" s="62">
        <v>0</v>
      </c>
      <c r="F61" s="63">
        <f t="shared" si="43"/>
        <v>0</v>
      </c>
      <c r="G61" s="63">
        <v>0</v>
      </c>
      <c r="H61" s="64">
        <v>0</v>
      </c>
      <c r="I61" s="79">
        <f t="shared" si="37"/>
        <v>0</v>
      </c>
      <c r="J61" s="4">
        <f t="shared" si="38"/>
        <v>0</v>
      </c>
      <c r="K61" s="4">
        <f t="shared" si="39"/>
        <v>0</v>
      </c>
      <c r="L61" s="65" t="e">
        <f t="shared" si="40"/>
        <v>#DIV/0!</v>
      </c>
      <c r="M61" s="66">
        <v>4.6184000000000003</v>
      </c>
      <c r="N61" s="67">
        <f t="shared" si="41"/>
        <v>0</v>
      </c>
      <c r="O61" s="67">
        <f>M61*J61</f>
        <v>0</v>
      </c>
      <c r="P61" s="1124"/>
    </row>
    <row r="62" spans="2:16" x14ac:dyDescent="0.3">
      <c r="B62" s="1119"/>
      <c r="C62" s="1122"/>
      <c r="D62" s="61" t="s">
        <v>126</v>
      </c>
      <c r="E62" s="62">
        <v>0</v>
      </c>
      <c r="F62" s="63">
        <f t="shared" si="43"/>
        <v>0</v>
      </c>
      <c r="G62" s="63">
        <v>0</v>
      </c>
      <c r="H62" s="64">
        <v>0</v>
      </c>
      <c r="I62" s="79">
        <f>J62+K62</f>
        <v>0</v>
      </c>
      <c r="J62" s="4">
        <f t="shared" si="38"/>
        <v>0</v>
      </c>
      <c r="K62" s="4">
        <f t="shared" si="39"/>
        <v>0</v>
      </c>
      <c r="L62" s="65" t="e">
        <f t="shared" si="40"/>
        <v>#DIV/0!</v>
      </c>
      <c r="M62" s="153">
        <v>4.6184000000000003</v>
      </c>
      <c r="N62" s="67">
        <f t="shared" si="41"/>
        <v>0</v>
      </c>
      <c r="O62" s="67">
        <f>M62*J62</f>
        <v>0</v>
      </c>
      <c r="P62" s="1124"/>
    </row>
    <row r="63" spans="2:16" x14ac:dyDescent="0.3">
      <c r="B63" s="1119"/>
      <c r="C63" s="1122"/>
      <c r="D63" s="61" t="s">
        <v>130</v>
      </c>
      <c r="E63" s="62">
        <v>0</v>
      </c>
      <c r="F63" s="63">
        <f t="shared" si="43"/>
        <v>0</v>
      </c>
      <c r="G63" s="63">
        <v>0</v>
      </c>
      <c r="H63" s="64">
        <v>0</v>
      </c>
      <c r="I63" s="79">
        <f t="shared" ref="I63:I77" si="44">J63+K63</f>
        <v>0</v>
      </c>
      <c r="J63" s="4">
        <f t="shared" si="38"/>
        <v>0</v>
      </c>
      <c r="K63" s="4">
        <f>H63</f>
        <v>0</v>
      </c>
      <c r="L63" s="65" t="e">
        <f t="shared" si="40"/>
        <v>#DIV/0!</v>
      </c>
      <c r="M63" s="153">
        <v>4.6184000000000003</v>
      </c>
      <c r="N63" s="67">
        <f t="shared" si="41"/>
        <v>0</v>
      </c>
      <c r="O63" s="67">
        <f t="shared" ref="O63:O68" si="45">M63*J63</f>
        <v>0</v>
      </c>
      <c r="P63" s="1124"/>
    </row>
    <row r="64" spans="2:16" x14ac:dyDescent="0.3">
      <c r="B64" s="1119"/>
      <c r="C64" s="1122"/>
      <c r="D64" s="61" t="s">
        <v>131</v>
      </c>
      <c r="E64" s="62">
        <v>0</v>
      </c>
      <c r="F64" s="63">
        <f t="shared" si="43"/>
        <v>24100</v>
      </c>
      <c r="G64" s="63">
        <v>23100</v>
      </c>
      <c r="H64" s="64">
        <v>1000</v>
      </c>
      <c r="I64" s="79">
        <f t="shared" si="44"/>
        <v>24100</v>
      </c>
      <c r="J64" s="4">
        <f t="shared" si="38"/>
        <v>23100</v>
      </c>
      <c r="K64" s="4">
        <f t="shared" si="39"/>
        <v>1000</v>
      </c>
      <c r="L64" s="65" t="e">
        <f t="shared" si="40"/>
        <v>#DIV/0!</v>
      </c>
      <c r="M64" s="153">
        <v>4.7636000000000003</v>
      </c>
      <c r="N64" s="67">
        <f t="shared" si="41"/>
        <v>110039.16</v>
      </c>
      <c r="O64" s="67">
        <f t="shared" si="45"/>
        <v>110039.16</v>
      </c>
      <c r="P64" s="1124"/>
    </row>
    <row r="65" spans="2:16" x14ac:dyDescent="0.3">
      <c r="B65" s="1119"/>
      <c r="C65" s="1122"/>
      <c r="D65" s="61" t="s">
        <v>86</v>
      </c>
      <c r="E65" s="62">
        <v>0</v>
      </c>
      <c r="F65" s="63">
        <f t="shared" si="43"/>
        <v>0</v>
      </c>
      <c r="G65" s="63">
        <v>0</v>
      </c>
      <c r="H65" s="64">
        <v>0</v>
      </c>
      <c r="I65" s="79">
        <f t="shared" si="44"/>
        <v>0</v>
      </c>
      <c r="J65" s="4">
        <f t="shared" si="38"/>
        <v>0</v>
      </c>
      <c r="K65" s="4">
        <f t="shared" si="39"/>
        <v>0</v>
      </c>
      <c r="L65" s="65" t="e">
        <f t="shared" si="40"/>
        <v>#DIV/0!</v>
      </c>
      <c r="M65" s="66">
        <v>4.8738000000000001</v>
      </c>
      <c r="N65" s="67">
        <f t="shared" si="41"/>
        <v>0</v>
      </c>
      <c r="O65" s="67">
        <f t="shared" si="45"/>
        <v>0</v>
      </c>
      <c r="P65" s="1124"/>
    </row>
    <row r="66" spans="2:16" x14ac:dyDescent="0.3">
      <c r="B66" s="1119"/>
      <c r="C66" s="160" t="s">
        <v>135</v>
      </c>
      <c r="D66" s="61" t="s">
        <v>131</v>
      </c>
      <c r="E66" s="62"/>
      <c r="F66" s="63">
        <f t="shared" si="43"/>
        <v>0</v>
      </c>
      <c r="G66" s="63">
        <v>0</v>
      </c>
      <c r="H66" s="64">
        <v>0</v>
      </c>
      <c r="I66" s="79">
        <f t="shared" si="44"/>
        <v>0</v>
      </c>
      <c r="J66" s="4">
        <f t="shared" si="38"/>
        <v>0</v>
      </c>
      <c r="K66" s="4">
        <f t="shared" si="39"/>
        <v>0</v>
      </c>
      <c r="L66" s="65"/>
      <c r="M66" s="66">
        <v>4.8738000000000001</v>
      </c>
      <c r="N66" s="67">
        <f t="shared" si="41"/>
        <v>0</v>
      </c>
      <c r="O66" s="67">
        <f t="shared" si="45"/>
        <v>0</v>
      </c>
      <c r="P66" s="1124"/>
    </row>
    <row r="67" spans="2:16" x14ac:dyDescent="0.3">
      <c r="B67" s="1119"/>
      <c r="C67" s="1122" t="s">
        <v>87</v>
      </c>
      <c r="D67" s="61" t="s">
        <v>80</v>
      </c>
      <c r="E67" s="62">
        <v>0</v>
      </c>
      <c r="F67" s="63">
        <f t="shared" si="43"/>
        <v>34900</v>
      </c>
      <c r="G67" s="63">
        <v>34750</v>
      </c>
      <c r="H67" s="64">
        <v>150</v>
      </c>
      <c r="I67" s="79">
        <f t="shared" si="44"/>
        <v>34900</v>
      </c>
      <c r="J67" s="4">
        <f t="shared" si="38"/>
        <v>34750</v>
      </c>
      <c r="K67" s="4">
        <f t="shared" si="39"/>
        <v>150</v>
      </c>
      <c r="L67" s="65" t="e">
        <f t="shared" ref="L67:L77" si="46">+J67/E67</f>
        <v>#DIV/0!</v>
      </c>
      <c r="M67" s="66">
        <v>4.9344999999999999</v>
      </c>
      <c r="N67" s="67">
        <f t="shared" si="41"/>
        <v>171473.875</v>
      </c>
      <c r="O67" s="67">
        <f t="shared" si="45"/>
        <v>171473.875</v>
      </c>
      <c r="P67" s="1124"/>
    </row>
    <row r="68" spans="2:16" x14ac:dyDescent="0.3">
      <c r="B68" s="1119"/>
      <c r="C68" s="1122"/>
      <c r="D68" s="61" t="s">
        <v>142</v>
      </c>
      <c r="E68" s="62"/>
      <c r="F68" s="63">
        <f t="shared" si="43"/>
        <v>0</v>
      </c>
      <c r="G68" s="63">
        <v>0</v>
      </c>
      <c r="H68" s="64">
        <v>0</v>
      </c>
      <c r="I68" s="79">
        <f t="shared" si="44"/>
        <v>0</v>
      </c>
      <c r="J68" s="4">
        <f t="shared" si="38"/>
        <v>0</v>
      </c>
      <c r="K68" s="4">
        <f t="shared" si="39"/>
        <v>0</v>
      </c>
      <c r="L68" s="65" t="e">
        <f t="shared" si="46"/>
        <v>#DIV/0!</v>
      </c>
      <c r="M68" s="66">
        <v>4.9344999999999999</v>
      </c>
      <c r="N68" s="67">
        <f t="shared" si="41"/>
        <v>0</v>
      </c>
      <c r="O68" s="67">
        <f t="shared" si="45"/>
        <v>0</v>
      </c>
      <c r="P68" s="1124"/>
    </row>
    <row r="69" spans="2:16" x14ac:dyDescent="0.3">
      <c r="B69" s="1119"/>
      <c r="C69" s="1122"/>
      <c r="D69" s="61" t="s">
        <v>136</v>
      </c>
      <c r="E69" s="62">
        <v>0</v>
      </c>
      <c r="F69" s="63">
        <f t="shared" si="43"/>
        <v>0</v>
      </c>
      <c r="G69" s="155">
        <v>0</v>
      </c>
      <c r="H69" s="156">
        <v>0</v>
      </c>
      <c r="I69" s="157">
        <f t="shared" si="44"/>
        <v>0</v>
      </c>
      <c r="J69" s="4">
        <f t="shared" si="38"/>
        <v>0</v>
      </c>
      <c r="K69" s="4">
        <f>H69</f>
        <v>0</v>
      </c>
      <c r="L69" s="158" t="e">
        <f t="shared" si="46"/>
        <v>#DIV/0!</v>
      </c>
      <c r="M69" s="66">
        <v>4.9344999999999999</v>
      </c>
      <c r="N69" s="159">
        <f t="shared" si="41"/>
        <v>0</v>
      </c>
      <c r="O69" s="67">
        <f>M69*J69</f>
        <v>0</v>
      </c>
      <c r="P69" s="1124"/>
    </row>
    <row r="70" spans="2:16" x14ac:dyDescent="0.3">
      <c r="B70" s="1119"/>
      <c r="C70" s="1122" t="s">
        <v>88</v>
      </c>
      <c r="D70" s="61" t="s">
        <v>80</v>
      </c>
      <c r="E70" s="62">
        <v>0</v>
      </c>
      <c r="F70" s="63">
        <f t="shared" si="43"/>
        <v>18900</v>
      </c>
      <c r="G70" s="63">
        <v>18000</v>
      </c>
      <c r="H70" s="64">
        <v>900</v>
      </c>
      <c r="I70" s="79">
        <f t="shared" si="44"/>
        <v>18900</v>
      </c>
      <c r="J70" s="4">
        <f t="shared" si="38"/>
        <v>18000</v>
      </c>
      <c r="K70" s="4">
        <f t="shared" si="39"/>
        <v>900</v>
      </c>
      <c r="L70" s="65" t="e">
        <f t="shared" si="46"/>
        <v>#DIV/0!</v>
      </c>
      <c r="M70" s="148">
        <v>5.5069999999999997</v>
      </c>
      <c r="N70" s="67">
        <f t="shared" si="41"/>
        <v>99126</v>
      </c>
      <c r="O70" s="67">
        <f>M70*J70</f>
        <v>99126</v>
      </c>
      <c r="P70" s="1124"/>
    </row>
    <row r="71" spans="2:16" x14ac:dyDescent="0.3">
      <c r="B71" s="1119"/>
      <c r="C71" s="1122"/>
      <c r="D71" s="61" t="s">
        <v>119</v>
      </c>
      <c r="E71" s="62">
        <v>0</v>
      </c>
      <c r="F71" s="63">
        <f t="shared" si="43"/>
        <v>0</v>
      </c>
      <c r="G71" s="63">
        <v>0</v>
      </c>
      <c r="H71" s="64">
        <v>0</v>
      </c>
      <c r="I71" s="79">
        <f t="shared" si="44"/>
        <v>0</v>
      </c>
      <c r="J71" s="4">
        <f t="shared" si="38"/>
        <v>0</v>
      </c>
      <c r="K71" s="4">
        <f t="shared" si="39"/>
        <v>0</v>
      </c>
      <c r="L71" s="65" t="e">
        <f t="shared" si="46"/>
        <v>#DIV/0!</v>
      </c>
      <c r="M71" s="147">
        <v>5.6550000000000002</v>
      </c>
      <c r="N71" s="67">
        <f t="shared" si="41"/>
        <v>0</v>
      </c>
      <c r="O71" s="67">
        <f>M71*J71</f>
        <v>0</v>
      </c>
      <c r="P71" s="1124"/>
    </row>
    <row r="72" spans="2:16" x14ac:dyDescent="0.3">
      <c r="B72" s="1119"/>
      <c r="C72" s="1122"/>
      <c r="D72" s="61" t="s">
        <v>125</v>
      </c>
      <c r="E72" s="62">
        <v>0</v>
      </c>
      <c r="F72" s="63">
        <f t="shared" si="43"/>
        <v>0</v>
      </c>
      <c r="G72" s="63">
        <v>0</v>
      </c>
      <c r="H72" s="64">
        <v>0</v>
      </c>
      <c r="I72" s="79">
        <f t="shared" si="44"/>
        <v>0</v>
      </c>
      <c r="J72" s="4">
        <f t="shared" si="38"/>
        <v>0</v>
      </c>
      <c r="K72" s="4">
        <f t="shared" si="39"/>
        <v>0</v>
      </c>
      <c r="L72" s="65" t="e">
        <f t="shared" si="46"/>
        <v>#DIV/0!</v>
      </c>
      <c r="M72" s="152">
        <v>5.6550000000000002</v>
      </c>
      <c r="N72" s="67">
        <f t="shared" si="41"/>
        <v>0</v>
      </c>
      <c r="O72" s="67">
        <f>M72*J72</f>
        <v>0</v>
      </c>
      <c r="P72" s="1124"/>
    </row>
    <row r="73" spans="2:16" x14ac:dyDescent="0.3">
      <c r="B73" s="1119"/>
      <c r="C73" s="1122"/>
      <c r="D73" s="61" t="s">
        <v>128</v>
      </c>
      <c r="E73" s="62">
        <v>0</v>
      </c>
      <c r="F73" s="63">
        <f t="shared" si="43"/>
        <v>6000</v>
      </c>
      <c r="G73" s="63">
        <v>5500</v>
      </c>
      <c r="H73" s="64">
        <v>500</v>
      </c>
      <c r="I73" s="79">
        <f t="shared" si="44"/>
        <v>6000</v>
      </c>
      <c r="J73" s="4">
        <f t="shared" si="38"/>
        <v>5500</v>
      </c>
      <c r="K73" s="4">
        <f t="shared" si="39"/>
        <v>500</v>
      </c>
      <c r="L73" s="65" t="e">
        <f t="shared" si="46"/>
        <v>#DIV/0!</v>
      </c>
      <c r="M73" s="66">
        <v>5.7885299999999997</v>
      </c>
      <c r="N73" s="67">
        <f>+M73*G73</f>
        <v>31836.914999999997</v>
      </c>
      <c r="O73" s="67">
        <f>M73*J73</f>
        <v>31836.914999999997</v>
      </c>
      <c r="P73" s="1124"/>
    </row>
    <row r="74" spans="2:16" x14ac:dyDescent="0.3">
      <c r="B74" s="1119"/>
      <c r="C74" s="1122"/>
      <c r="D74" s="61" t="s">
        <v>143</v>
      </c>
      <c r="E74" s="62">
        <v>0</v>
      </c>
      <c r="F74" s="63">
        <f t="shared" si="43"/>
        <v>0</v>
      </c>
      <c r="G74" s="63">
        <v>0</v>
      </c>
      <c r="H74" s="64">
        <v>0</v>
      </c>
      <c r="I74" s="79">
        <f t="shared" si="44"/>
        <v>0</v>
      </c>
      <c r="J74" s="4">
        <f t="shared" si="38"/>
        <v>0</v>
      </c>
      <c r="K74" s="4">
        <f t="shared" si="39"/>
        <v>0</v>
      </c>
      <c r="L74" s="65" t="e">
        <f t="shared" si="46"/>
        <v>#DIV/0!</v>
      </c>
      <c r="M74" s="152">
        <v>5.6550000000000002</v>
      </c>
      <c r="N74" s="67">
        <f t="shared" ref="N74:N76" si="47">+M74*G74</f>
        <v>0</v>
      </c>
      <c r="O74" s="67">
        <f t="shared" ref="O74:O77" si="48">M74*J74</f>
        <v>0</v>
      </c>
      <c r="P74" s="1124"/>
    </row>
    <row r="75" spans="2:16" x14ac:dyDescent="0.3">
      <c r="B75" s="1119"/>
      <c r="C75" s="160" t="s">
        <v>89</v>
      </c>
      <c r="D75" s="61" t="s">
        <v>80</v>
      </c>
      <c r="E75" s="62">
        <v>0</v>
      </c>
      <c r="F75" s="63">
        <f t="shared" si="43"/>
        <v>0</v>
      </c>
      <c r="G75" s="63">
        <v>0</v>
      </c>
      <c r="H75" s="64">
        <v>0</v>
      </c>
      <c r="I75" s="79">
        <f t="shared" si="44"/>
        <v>0</v>
      </c>
      <c r="J75" s="4">
        <f t="shared" si="38"/>
        <v>0</v>
      </c>
      <c r="K75" s="4">
        <f>H75</f>
        <v>0</v>
      </c>
      <c r="L75" s="65" t="e">
        <f t="shared" si="46"/>
        <v>#DIV/0!</v>
      </c>
      <c r="M75" s="66">
        <v>3.2963</v>
      </c>
      <c r="N75" s="67">
        <f t="shared" si="47"/>
        <v>0</v>
      </c>
      <c r="O75" s="67">
        <f t="shared" si="48"/>
        <v>0</v>
      </c>
      <c r="P75" s="1124"/>
    </row>
    <row r="76" spans="2:16" x14ac:dyDescent="0.3">
      <c r="B76" s="1119"/>
      <c r="C76" s="160" t="s">
        <v>90</v>
      </c>
      <c r="D76" s="61" t="s">
        <v>80</v>
      </c>
      <c r="E76" s="62">
        <v>0</v>
      </c>
      <c r="F76" s="63">
        <f t="shared" si="43"/>
        <v>0</v>
      </c>
      <c r="G76" s="63">
        <v>0</v>
      </c>
      <c r="H76" s="64">
        <v>0</v>
      </c>
      <c r="I76" s="79">
        <f t="shared" si="44"/>
        <v>0</v>
      </c>
      <c r="J76" s="4">
        <f t="shared" si="38"/>
        <v>0</v>
      </c>
      <c r="K76" s="4">
        <f t="shared" si="39"/>
        <v>0</v>
      </c>
      <c r="L76" s="65" t="e">
        <f t="shared" si="46"/>
        <v>#DIV/0!</v>
      </c>
      <c r="M76" s="66">
        <v>3.2963</v>
      </c>
      <c r="N76" s="67">
        <f t="shared" si="47"/>
        <v>0</v>
      </c>
      <c r="O76" s="67">
        <f t="shared" si="48"/>
        <v>0</v>
      </c>
      <c r="P76" s="1124"/>
    </row>
    <row r="77" spans="2:16" ht="15" thickBot="1" x14ac:dyDescent="0.35">
      <c r="B77" s="1119"/>
      <c r="C77" s="68" t="s">
        <v>91</v>
      </c>
      <c r="D77" s="69" t="s">
        <v>92</v>
      </c>
      <c r="E77" s="70">
        <v>0</v>
      </c>
      <c r="F77" s="71">
        <f t="shared" si="43"/>
        <v>0</v>
      </c>
      <c r="G77" s="71">
        <v>0</v>
      </c>
      <c r="H77" s="72">
        <v>0</v>
      </c>
      <c r="I77" s="80">
        <f t="shared" si="44"/>
        <v>0</v>
      </c>
      <c r="J77" s="4">
        <f t="shared" si="38"/>
        <v>0</v>
      </c>
      <c r="K77" s="4">
        <f t="shared" si="39"/>
        <v>0</v>
      </c>
      <c r="L77" s="65" t="e">
        <f t="shared" si="46"/>
        <v>#DIV/0!</v>
      </c>
      <c r="M77" s="73">
        <v>2.3201000000000001</v>
      </c>
      <c r="N77" s="74">
        <f t="shared" ref="N77" si="49">M77*G77</f>
        <v>0</v>
      </c>
      <c r="O77" s="74">
        <f t="shared" si="48"/>
        <v>0</v>
      </c>
      <c r="P77" s="1125"/>
    </row>
    <row r="78" spans="2:16" ht="15" thickBot="1" x14ac:dyDescent="0.35">
      <c r="B78" s="1120"/>
      <c r="C78" s="1128" t="s">
        <v>106</v>
      </c>
      <c r="D78" s="1129"/>
      <c r="E78" s="1129"/>
      <c r="F78" s="1129"/>
      <c r="G78" s="1129"/>
      <c r="H78" s="1130"/>
      <c r="I78" s="116">
        <f>J78+K78</f>
        <v>83900</v>
      </c>
      <c r="J78" s="115">
        <f>SUM(J50:J77)</f>
        <v>81350</v>
      </c>
      <c r="K78" s="115">
        <f>SUM(K50:K77)</f>
        <v>2550</v>
      </c>
      <c r="L78" s="114"/>
      <c r="M78" s="113"/>
      <c r="N78" s="114"/>
      <c r="O78" s="97">
        <f>SUM(O50:O77)</f>
        <v>412475.95</v>
      </c>
      <c r="P78" s="96"/>
    </row>
    <row r="79" spans="2:16" ht="15" thickBot="1" x14ac:dyDescent="0.35">
      <c r="B79" s="100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2"/>
    </row>
    <row r="80" spans="2:16" ht="15" thickBot="1" x14ac:dyDescent="0.35">
      <c r="B80" s="1113" t="s">
        <v>107</v>
      </c>
      <c r="C80" s="1114"/>
      <c r="D80" s="1114"/>
      <c r="E80" s="1114"/>
      <c r="F80" s="1114"/>
      <c r="G80" s="1114"/>
      <c r="H80" s="1114"/>
      <c r="I80" s="1114"/>
      <c r="J80" s="1114"/>
      <c r="K80" s="1114"/>
      <c r="L80" s="1114"/>
      <c r="M80" s="1114"/>
      <c r="N80" s="1115"/>
      <c r="O80" s="103">
        <f>+O78+O49+O34</f>
        <v>1349521.7749999999</v>
      </c>
      <c r="P80" s="96"/>
    </row>
    <row r="81" spans="2:16" ht="15" thickBot="1" x14ac:dyDescent="0.35"/>
    <row r="82" spans="2:16" x14ac:dyDescent="0.3">
      <c r="B82" s="1147" t="s">
        <v>1</v>
      </c>
      <c r="C82" s="1149" t="s">
        <v>2</v>
      </c>
      <c r="D82" s="1152" t="s">
        <v>3</v>
      </c>
      <c r="E82" s="1155" t="s">
        <v>4</v>
      </c>
      <c r="F82" s="1156"/>
      <c r="G82" s="1156"/>
      <c r="H82" s="1156"/>
      <c r="I82" s="1156"/>
      <c r="J82" s="1156"/>
      <c r="K82" s="1156"/>
      <c r="L82" s="1157"/>
      <c r="M82" s="1158" t="s">
        <v>5</v>
      </c>
      <c r="N82" s="1159"/>
      <c r="O82" s="1160"/>
      <c r="P82" s="1152" t="s">
        <v>6</v>
      </c>
    </row>
    <row r="83" spans="2:16" x14ac:dyDescent="0.3">
      <c r="B83" s="1148"/>
      <c r="C83" s="1150"/>
      <c r="D83" s="1153"/>
      <c r="E83" s="1161" t="s">
        <v>7</v>
      </c>
      <c r="F83" s="1163" t="s">
        <v>148</v>
      </c>
      <c r="G83" s="1163"/>
      <c r="H83" s="1164"/>
      <c r="I83" s="1165" t="s">
        <v>8</v>
      </c>
      <c r="J83" s="1163"/>
      <c r="K83" s="1163"/>
      <c r="L83" s="1164" t="s">
        <v>9</v>
      </c>
      <c r="M83" s="1167" t="s">
        <v>10</v>
      </c>
      <c r="N83" s="1169" t="s">
        <v>11</v>
      </c>
      <c r="O83" s="1171" t="s">
        <v>12</v>
      </c>
      <c r="P83" s="1153"/>
    </row>
    <row r="84" spans="2:16" ht="15" thickBot="1" x14ac:dyDescent="0.35">
      <c r="B84" s="1148"/>
      <c r="C84" s="1151"/>
      <c r="D84" s="1154"/>
      <c r="E84" s="1162"/>
      <c r="F84" s="2" t="s">
        <v>13</v>
      </c>
      <c r="G84" s="2" t="s">
        <v>14</v>
      </c>
      <c r="H84" s="164" t="s">
        <v>15</v>
      </c>
      <c r="I84" s="142" t="s">
        <v>13</v>
      </c>
      <c r="J84" s="2" t="s">
        <v>14</v>
      </c>
      <c r="K84" s="2" t="s">
        <v>15</v>
      </c>
      <c r="L84" s="1166"/>
      <c r="M84" s="1168"/>
      <c r="N84" s="1170"/>
      <c r="O84" s="1172"/>
      <c r="P84" s="1154"/>
    </row>
    <row r="85" spans="2:16" x14ac:dyDescent="0.3">
      <c r="B85" s="1131" t="s">
        <v>56</v>
      </c>
      <c r="C85" s="29"/>
      <c r="D85" s="117" t="s">
        <v>57</v>
      </c>
      <c r="E85" s="98">
        <v>0</v>
      </c>
      <c r="F85" s="4">
        <f>+G85+H85</f>
        <v>0</v>
      </c>
      <c r="G85" s="4">
        <v>0</v>
      </c>
      <c r="H85" s="8">
        <v>0</v>
      </c>
      <c r="I85" s="6">
        <f>J85+K85</f>
        <v>0</v>
      </c>
      <c r="J85" s="4">
        <f>G85+J20</f>
        <v>0</v>
      </c>
      <c r="K85" s="4">
        <f>H85+K20</f>
        <v>0</v>
      </c>
      <c r="L85" s="33" t="e">
        <f>+J85/E85</f>
        <v>#DIV/0!</v>
      </c>
      <c r="M85" s="104">
        <v>1.3652</v>
      </c>
      <c r="N85" s="31">
        <f>G85*M85</f>
        <v>0</v>
      </c>
      <c r="O85" s="86">
        <f>M85*J85</f>
        <v>0</v>
      </c>
      <c r="P85" s="1133"/>
    </row>
    <row r="86" spans="2:16" x14ac:dyDescent="0.3">
      <c r="B86" s="1132"/>
      <c r="C86" s="32"/>
      <c r="D86" s="118" t="s">
        <v>116</v>
      </c>
      <c r="E86" s="99">
        <v>0</v>
      </c>
      <c r="F86" s="9">
        <f>+G86+H86</f>
        <v>0</v>
      </c>
      <c r="G86" s="9">
        <v>0</v>
      </c>
      <c r="H86" s="10">
        <v>0</v>
      </c>
      <c r="I86" s="6">
        <f>J86+K86</f>
        <v>0</v>
      </c>
      <c r="J86" s="4">
        <f>+G86+J21</f>
        <v>0</v>
      </c>
      <c r="K86" s="4">
        <f>+H86+K21</f>
        <v>0</v>
      </c>
      <c r="L86" s="33"/>
      <c r="M86" s="105">
        <v>5.9917999999999996</v>
      </c>
      <c r="N86" s="34">
        <f>M86*G86</f>
        <v>0</v>
      </c>
      <c r="O86" s="87">
        <f>M86*J86</f>
        <v>0</v>
      </c>
      <c r="P86" s="1134"/>
    </row>
    <row r="87" spans="2:16" x14ac:dyDescent="0.3">
      <c r="B87" s="1132"/>
      <c r="C87" s="35"/>
      <c r="D87" s="119" t="s">
        <v>58</v>
      </c>
      <c r="E87" s="99">
        <v>0</v>
      </c>
      <c r="F87" s="9">
        <f t="shared" ref="F87:F91" si="50">+G87+H87</f>
        <v>173895</v>
      </c>
      <c r="G87" s="9">
        <v>172500</v>
      </c>
      <c r="H87" s="10">
        <v>1395</v>
      </c>
      <c r="I87" s="6">
        <f t="shared" ref="I87:I91" si="51">J87+K87</f>
        <v>347837</v>
      </c>
      <c r="J87" s="4">
        <f t="shared" ref="J87:J91" si="52">+G87+J22</f>
        <v>345000</v>
      </c>
      <c r="K87" s="4">
        <f t="shared" ref="K87:K91" si="53">+H87+K22</f>
        <v>2837</v>
      </c>
      <c r="L87" s="33" t="e">
        <f t="shared" ref="L87" si="54">+J87/E87</f>
        <v>#DIV/0!</v>
      </c>
      <c r="M87" s="106">
        <v>2.3807999999999998</v>
      </c>
      <c r="N87" s="36">
        <f>G87*M87</f>
        <v>410687.99999999994</v>
      </c>
      <c r="O87" s="88">
        <f>M87*J87</f>
        <v>821375.99999999988</v>
      </c>
      <c r="P87" s="1134"/>
    </row>
    <row r="88" spans="2:16" x14ac:dyDescent="0.3">
      <c r="B88" s="1132"/>
      <c r="C88" s="35"/>
      <c r="D88" s="119" t="s">
        <v>59</v>
      </c>
      <c r="E88" s="99">
        <v>0</v>
      </c>
      <c r="F88" s="9">
        <f t="shared" si="50"/>
        <v>0</v>
      </c>
      <c r="G88" s="9">
        <v>0</v>
      </c>
      <c r="H88" s="10">
        <v>0</v>
      </c>
      <c r="I88" s="6">
        <f t="shared" si="51"/>
        <v>0</v>
      </c>
      <c r="J88" s="4">
        <f t="shared" si="52"/>
        <v>0</v>
      </c>
      <c r="K88" s="4">
        <f t="shared" si="53"/>
        <v>0</v>
      </c>
      <c r="L88" s="33"/>
      <c r="M88" s="106">
        <v>2.1457999999999999</v>
      </c>
      <c r="N88" s="36">
        <f t="shared" ref="N88:N91" si="55">G88*M88</f>
        <v>0</v>
      </c>
      <c r="O88" s="88">
        <f>M88*J88</f>
        <v>0</v>
      </c>
      <c r="P88" s="1134"/>
    </row>
    <row r="89" spans="2:16" x14ac:dyDescent="0.3">
      <c r="B89" s="1132"/>
      <c r="C89" s="35"/>
      <c r="D89" s="119" t="s">
        <v>113</v>
      </c>
      <c r="E89" s="99">
        <v>0</v>
      </c>
      <c r="F89" s="9">
        <f t="shared" si="50"/>
        <v>0</v>
      </c>
      <c r="G89" s="9">
        <v>0</v>
      </c>
      <c r="H89" s="10">
        <v>0</v>
      </c>
      <c r="I89" s="6">
        <f t="shared" si="51"/>
        <v>0</v>
      </c>
      <c r="J89" s="4">
        <f t="shared" si="52"/>
        <v>0</v>
      </c>
      <c r="K89" s="4">
        <f t="shared" si="53"/>
        <v>0</v>
      </c>
      <c r="L89" s="33" t="e">
        <f t="shared" ref="L89:L90" si="56">+J89/E89</f>
        <v>#DIV/0!</v>
      </c>
      <c r="M89" s="143">
        <v>4.0426000000000002</v>
      </c>
      <c r="N89" s="36">
        <f t="shared" si="55"/>
        <v>0</v>
      </c>
      <c r="O89" s="88">
        <f>M89*J89</f>
        <v>0</v>
      </c>
      <c r="P89" s="1134"/>
    </row>
    <row r="90" spans="2:16" x14ac:dyDescent="0.3">
      <c r="B90" s="1132"/>
      <c r="C90" s="35"/>
      <c r="D90" s="119" t="s">
        <v>117</v>
      </c>
      <c r="E90" s="99">
        <v>0</v>
      </c>
      <c r="F90" s="9">
        <f t="shared" si="50"/>
        <v>0</v>
      </c>
      <c r="G90" s="9">
        <v>0</v>
      </c>
      <c r="H90" s="10">
        <v>0</v>
      </c>
      <c r="I90" s="6">
        <f t="shared" si="51"/>
        <v>0</v>
      </c>
      <c r="J90" s="4">
        <f t="shared" si="52"/>
        <v>0</v>
      </c>
      <c r="K90" s="4">
        <f t="shared" si="53"/>
        <v>0</v>
      </c>
      <c r="L90" s="33" t="e">
        <f t="shared" si="56"/>
        <v>#DIV/0!</v>
      </c>
      <c r="M90" s="143">
        <v>3.8715000000000002</v>
      </c>
      <c r="N90" s="36">
        <f t="shared" si="55"/>
        <v>0</v>
      </c>
      <c r="O90" s="88">
        <f t="shared" ref="O90:O91" si="57">M90*J90</f>
        <v>0</v>
      </c>
      <c r="P90" s="1134"/>
    </row>
    <row r="91" spans="2:16" ht="15" thickBot="1" x14ac:dyDescent="0.35">
      <c r="B91" s="1132"/>
      <c r="C91" s="82"/>
      <c r="D91" s="120" t="s">
        <v>60</v>
      </c>
      <c r="E91" s="108">
        <v>0</v>
      </c>
      <c r="F91" s="12">
        <f t="shared" si="50"/>
        <v>0</v>
      </c>
      <c r="G91" s="12">
        <v>0</v>
      </c>
      <c r="H91" s="13">
        <v>0</v>
      </c>
      <c r="I91" s="21">
        <f t="shared" si="51"/>
        <v>0</v>
      </c>
      <c r="J91" s="4">
        <f t="shared" si="52"/>
        <v>0</v>
      </c>
      <c r="K91" s="4">
        <f t="shared" si="53"/>
        <v>0</v>
      </c>
      <c r="L91" s="81"/>
      <c r="M91" s="127">
        <v>12.284700000000001</v>
      </c>
      <c r="N91" s="36">
        <f t="shared" si="55"/>
        <v>0</v>
      </c>
      <c r="O91" s="128">
        <f t="shared" si="57"/>
        <v>0</v>
      </c>
      <c r="P91" s="1134"/>
    </row>
    <row r="92" spans="2:16" ht="15" thickBot="1" x14ac:dyDescent="0.35">
      <c r="B92" s="1132"/>
      <c r="C92" s="1137" t="s">
        <v>111</v>
      </c>
      <c r="D92" s="1138"/>
      <c r="E92" s="129"/>
      <c r="F92" s="130">
        <f>SUM(F85:F91)</f>
        <v>173895</v>
      </c>
      <c r="G92" s="130">
        <f>SUM(G85:G91)</f>
        <v>172500</v>
      </c>
      <c r="H92" s="131">
        <f>SUM(H85:H91)</f>
        <v>1395</v>
      </c>
      <c r="I92" s="132">
        <f>+J92+K92</f>
        <v>347837</v>
      </c>
      <c r="J92" s="133">
        <f>SUM(J85:J91)</f>
        <v>345000</v>
      </c>
      <c r="K92" s="133">
        <f>SUM(K85:K91)</f>
        <v>2837</v>
      </c>
      <c r="L92" s="134"/>
      <c r="M92" s="135"/>
      <c r="N92" s="136"/>
      <c r="O92" s="137">
        <f>SUM(O85:O91)</f>
        <v>821375.99999999988</v>
      </c>
      <c r="P92" s="1135"/>
    </row>
    <row r="93" spans="2:16" x14ac:dyDescent="0.3">
      <c r="B93" s="1132"/>
      <c r="C93" s="32"/>
      <c r="D93" s="118" t="s">
        <v>61</v>
      </c>
      <c r="E93" s="98">
        <v>0</v>
      </c>
      <c r="F93" s="4">
        <f t="shared" ref="F93:F96" si="58">+G93+H93</f>
        <v>0</v>
      </c>
      <c r="G93" s="4">
        <v>0</v>
      </c>
      <c r="H93" s="8">
        <v>0</v>
      </c>
      <c r="I93" s="6">
        <f t="shared" ref="I93:I97" si="59">J93+K93</f>
        <v>0</v>
      </c>
      <c r="J93" s="4">
        <f>G93+J28</f>
        <v>0</v>
      </c>
      <c r="K93" s="4">
        <f>H93+K28</f>
        <v>0</v>
      </c>
      <c r="L93" s="33" t="e">
        <f t="shared" ref="L93" si="60">+J93/E93</f>
        <v>#DIV/0!</v>
      </c>
      <c r="M93" s="105">
        <v>12.029500000000001</v>
      </c>
      <c r="N93" s="34">
        <f>M93*G93</f>
        <v>0</v>
      </c>
      <c r="O93" s="87">
        <f t="shared" ref="O93:O95" si="61">M93*J93</f>
        <v>0</v>
      </c>
      <c r="P93" s="1134"/>
    </row>
    <row r="94" spans="2:16" x14ac:dyDescent="0.3">
      <c r="B94" s="1132"/>
      <c r="C94" s="35"/>
      <c r="D94" s="119" t="s">
        <v>62</v>
      </c>
      <c r="E94" s="99">
        <v>0</v>
      </c>
      <c r="F94" s="9">
        <f t="shared" si="58"/>
        <v>0</v>
      </c>
      <c r="G94" s="9">
        <v>0</v>
      </c>
      <c r="H94" s="10">
        <v>0</v>
      </c>
      <c r="I94" s="6">
        <f t="shared" si="59"/>
        <v>0</v>
      </c>
      <c r="J94" s="4">
        <f>G94+J29</f>
        <v>0</v>
      </c>
      <c r="K94" s="4">
        <f>H94+K29</f>
        <v>0</v>
      </c>
      <c r="L94" s="33"/>
      <c r="M94" s="106">
        <v>0</v>
      </c>
      <c r="N94" s="36"/>
      <c r="O94" s="88">
        <f t="shared" si="61"/>
        <v>0</v>
      </c>
      <c r="P94" s="1134"/>
    </row>
    <row r="95" spans="2:16" x14ac:dyDescent="0.3">
      <c r="B95" s="1132"/>
      <c r="C95" s="35"/>
      <c r="D95" s="119" t="s">
        <v>104</v>
      </c>
      <c r="E95" s="99">
        <v>0</v>
      </c>
      <c r="F95" s="9">
        <f t="shared" si="58"/>
        <v>0</v>
      </c>
      <c r="G95" s="9">
        <v>0</v>
      </c>
      <c r="H95" s="10">
        <v>0</v>
      </c>
      <c r="I95" s="6">
        <f t="shared" si="59"/>
        <v>0</v>
      </c>
      <c r="J95" s="4">
        <f t="shared" ref="J95:J97" si="62">G95+J30</f>
        <v>0</v>
      </c>
      <c r="K95" s="4">
        <f t="shared" ref="K95:K97" si="63">H95+K30</f>
        <v>0</v>
      </c>
      <c r="L95" s="33" t="e">
        <f t="shared" ref="L95:L97" si="64">+J95/E95</f>
        <v>#DIV/0!</v>
      </c>
      <c r="M95" s="106">
        <v>19.688600000000001</v>
      </c>
      <c r="N95" s="36">
        <f>M95*G95</f>
        <v>0</v>
      </c>
      <c r="O95" s="88">
        <f t="shared" si="61"/>
        <v>0</v>
      </c>
      <c r="P95" s="1134"/>
    </row>
    <row r="96" spans="2:16" x14ac:dyDescent="0.3">
      <c r="B96" s="1132"/>
      <c r="C96" s="35"/>
      <c r="D96" s="119" t="s">
        <v>64</v>
      </c>
      <c r="E96" s="99">
        <v>0</v>
      </c>
      <c r="F96" s="9">
        <f t="shared" si="58"/>
        <v>0</v>
      </c>
      <c r="G96" s="9">
        <v>0</v>
      </c>
      <c r="H96" s="10">
        <v>0</v>
      </c>
      <c r="I96" s="6">
        <f t="shared" si="59"/>
        <v>0</v>
      </c>
      <c r="J96" s="4">
        <f t="shared" si="62"/>
        <v>0</v>
      </c>
      <c r="K96" s="4">
        <f t="shared" si="63"/>
        <v>0</v>
      </c>
      <c r="L96" s="33" t="e">
        <f t="shared" si="64"/>
        <v>#DIV/0!</v>
      </c>
      <c r="M96" s="106">
        <v>1.2824</v>
      </c>
      <c r="N96" s="151">
        <f>M96*G96</f>
        <v>0</v>
      </c>
      <c r="O96" s="88">
        <f>M96*J96</f>
        <v>0</v>
      </c>
      <c r="P96" s="1134"/>
    </row>
    <row r="97" spans="2:16" ht="15" thickBot="1" x14ac:dyDescent="0.35">
      <c r="B97" s="1132"/>
      <c r="C97" s="82"/>
      <c r="D97" s="120" t="s">
        <v>63</v>
      </c>
      <c r="E97" s="108">
        <v>0</v>
      </c>
      <c r="F97" s="12">
        <v>0</v>
      </c>
      <c r="G97" s="12">
        <v>0</v>
      </c>
      <c r="H97" s="13">
        <v>0</v>
      </c>
      <c r="I97" s="21">
        <f t="shared" si="59"/>
        <v>0</v>
      </c>
      <c r="J97" s="4">
        <f t="shared" si="62"/>
        <v>0</v>
      </c>
      <c r="K97" s="4">
        <f t="shared" si="63"/>
        <v>0</v>
      </c>
      <c r="L97" s="81" t="e">
        <f t="shared" si="64"/>
        <v>#DIV/0!</v>
      </c>
      <c r="M97" s="107">
        <v>18.2316</v>
      </c>
      <c r="N97" s="75"/>
      <c r="O97" s="89">
        <f t="shared" ref="O97" si="65">M97*J97</f>
        <v>0</v>
      </c>
      <c r="P97" s="1136"/>
    </row>
    <row r="98" spans="2:16" ht="15" thickBot="1" x14ac:dyDescent="0.35">
      <c r="B98" s="1116" t="s">
        <v>112</v>
      </c>
      <c r="C98" s="1117"/>
      <c r="D98" s="1117"/>
      <c r="E98" s="124"/>
      <c r="F98" s="125">
        <f>+G98+H98</f>
        <v>0</v>
      </c>
      <c r="G98" s="125">
        <f>SUM(G93:G97)</f>
        <v>0</v>
      </c>
      <c r="H98" s="126">
        <f>SUM(H93:H97)</f>
        <v>0</v>
      </c>
      <c r="I98" s="121">
        <f>J98+K98</f>
        <v>0</v>
      </c>
      <c r="J98" s="122">
        <f>SUM(J93:J97)</f>
        <v>0</v>
      </c>
      <c r="K98" s="123">
        <f>SUM(K93:K97)</f>
        <v>0</v>
      </c>
      <c r="L98" s="138"/>
      <c r="M98" s="139"/>
      <c r="N98" s="140"/>
      <c r="O98" s="141">
        <f>SUM(O93:O97)</f>
        <v>0</v>
      </c>
      <c r="P98" s="165"/>
    </row>
    <row r="99" spans="2:16" ht="15" thickBot="1" x14ac:dyDescent="0.35">
      <c r="B99" s="1116" t="s">
        <v>105</v>
      </c>
      <c r="C99" s="1117"/>
      <c r="D99" s="1117"/>
      <c r="E99" s="1139"/>
      <c r="F99" s="1139"/>
      <c r="G99" s="1139"/>
      <c r="H99" s="1139"/>
      <c r="I99" s="1117"/>
      <c r="J99" s="1117"/>
      <c r="K99" s="1117"/>
      <c r="L99" s="1117"/>
      <c r="M99" s="1117"/>
      <c r="N99" s="1140"/>
      <c r="O99" s="83">
        <f>O92+O98</f>
        <v>821375.99999999988</v>
      </c>
      <c r="P99" s="165"/>
    </row>
    <row r="100" spans="2:16" x14ac:dyDescent="0.3">
      <c r="B100" s="1131" t="s">
        <v>65</v>
      </c>
      <c r="C100" s="37" t="s">
        <v>66</v>
      </c>
      <c r="D100" s="28" t="s">
        <v>67</v>
      </c>
      <c r="E100" s="38">
        <v>0</v>
      </c>
      <c r="F100" s="14">
        <f>+G100+H100</f>
        <v>0</v>
      </c>
      <c r="G100" s="14">
        <v>0</v>
      </c>
      <c r="H100" s="5">
        <v>0</v>
      </c>
      <c r="I100" s="17">
        <f t="shared" ref="I100:I106" si="66">J100+K100</f>
        <v>0</v>
      </c>
      <c r="J100" s="4">
        <f>G100+J35</f>
        <v>0</v>
      </c>
      <c r="K100" s="4">
        <f>H100+K35</f>
        <v>0</v>
      </c>
      <c r="L100" s="30" t="e">
        <f>+J100/E100</f>
        <v>#DIV/0!</v>
      </c>
      <c r="M100" s="146">
        <v>2.2141000000000002</v>
      </c>
      <c r="N100" s="15">
        <f>+M100*G100</f>
        <v>0</v>
      </c>
      <c r="O100" s="90">
        <f>+M100*J100</f>
        <v>0</v>
      </c>
      <c r="P100" s="1142"/>
    </row>
    <row r="101" spans="2:16" x14ac:dyDescent="0.3">
      <c r="B101" s="1132"/>
      <c r="C101" s="39"/>
      <c r="D101" s="22" t="s">
        <v>68</v>
      </c>
      <c r="E101" s="3">
        <v>0</v>
      </c>
      <c r="F101" s="9">
        <f t="shared" ref="F101:F106" si="67">+G101+H101</f>
        <v>0</v>
      </c>
      <c r="G101" s="4">
        <v>0</v>
      </c>
      <c r="H101" s="8">
        <v>0</v>
      </c>
      <c r="I101" s="6">
        <f t="shared" si="66"/>
        <v>0</v>
      </c>
      <c r="J101" s="4">
        <f>+G101+J36</f>
        <v>0</v>
      </c>
      <c r="K101" s="4">
        <f>+H101+K36</f>
        <v>0</v>
      </c>
      <c r="L101" s="40" t="e">
        <f t="shared" ref="L101:L102" si="68">+J101/E101</f>
        <v>#DIV/0!</v>
      </c>
      <c r="M101" s="145">
        <v>2.4565999999999999</v>
      </c>
      <c r="N101" s="11">
        <f t="shared" ref="N101:N103" si="69">+M101*G101</f>
        <v>0</v>
      </c>
      <c r="O101" s="91">
        <f t="shared" ref="O101:O103" si="70">+M101*J101</f>
        <v>0</v>
      </c>
      <c r="P101" s="1143"/>
    </row>
    <row r="102" spans="2:16" x14ac:dyDescent="0.3">
      <c r="B102" s="1132"/>
      <c r="C102" s="39"/>
      <c r="D102" s="23" t="s">
        <v>133</v>
      </c>
      <c r="E102" s="3">
        <v>0</v>
      </c>
      <c r="F102" s="9">
        <f t="shared" si="67"/>
        <v>0</v>
      </c>
      <c r="G102" s="4">
        <v>0</v>
      </c>
      <c r="H102" s="8">
        <v>0</v>
      </c>
      <c r="I102" s="6">
        <f t="shared" si="66"/>
        <v>0</v>
      </c>
      <c r="J102" s="4">
        <f t="shared" ref="J102:J106" si="71">+G102+J37</f>
        <v>0</v>
      </c>
      <c r="K102" s="4">
        <f t="shared" ref="K102:K106" si="72">+H102+K37</f>
        <v>0</v>
      </c>
      <c r="L102" s="40" t="e">
        <f t="shared" si="68"/>
        <v>#DIV/0!</v>
      </c>
      <c r="M102" s="145">
        <v>2.2907000000000002</v>
      </c>
      <c r="N102" s="11">
        <f t="shared" si="69"/>
        <v>0</v>
      </c>
      <c r="O102" s="91">
        <f t="shared" si="70"/>
        <v>0</v>
      </c>
      <c r="P102" s="1143"/>
    </row>
    <row r="103" spans="2:16" x14ac:dyDescent="0.3">
      <c r="B103" s="1132"/>
      <c r="C103" s="39"/>
      <c r="D103" s="22" t="s">
        <v>138</v>
      </c>
      <c r="E103" s="3"/>
      <c r="F103" s="9">
        <f t="shared" si="67"/>
        <v>0</v>
      </c>
      <c r="G103" s="4">
        <v>0</v>
      </c>
      <c r="H103" s="8">
        <v>0</v>
      </c>
      <c r="I103" s="6">
        <f t="shared" si="66"/>
        <v>0</v>
      </c>
      <c r="J103" s="4">
        <f t="shared" si="71"/>
        <v>0</v>
      </c>
      <c r="K103" s="4">
        <f t="shared" si="72"/>
        <v>0</v>
      </c>
      <c r="L103" s="33"/>
      <c r="M103" s="150">
        <v>2.544</v>
      </c>
      <c r="N103" s="11">
        <f t="shared" si="69"/>
        <v>0</v>
      </c>
      <c r="O103" s="91">
        <f t="shared" si="70"/>
        <v>0</v>
      </c>
      <c r="P103" s="1143"/>
    </row>
    <row r="104" spans="2:16" x14ac:dyDescent="0.3">
      <c r="B104" s="1132"/>
      <c r="C104" s="39" t="s">
        <v>69</v>
      </c>
      <c r="D104" s="22" t="s">
        <v>140</v>
      </c>
      <c r="E104" s="3">
        <v>0</v>
      </c>
      <c r="F104" s="9">
        <f t="shared" si="67"/>
        <v>0</v>
      </c>
      <c r="G104" s="4">
        <v>0</v>
      </c>
      <c r="H104" s="8">
        <v>0</v>
      </c>
      <c r="I104" s="6">
        <f t="shared" si="66"/>
        <v>40072</v>
      </c>
      <c r="J104" s="4">
        <f t="shared" si="71"/>
        <v>38500</v>
      </c>
      <c r="K104" s="4">
        <f t="shared" si="72"/>
        <v>1572</v>
      </c>
      <c r="L104" s="33" t="e">
        <f>+J104/E104</f>
        <v>#DIV/0!</v>
      </c>
      <c r="M104" s="144">
        <v>2.2141000000000002</v>
      </c>
      <c r="N104" s="7">
        <f>+M104*G104</f>
        <v>0</v>
      </c>
      <c r="O104" s="85">
        <f>+M104*J104</f>
        <v>85242.85</v>
      </c>
      <c r="P104" s="1143"/>
    </row>
    <row r="105" spans="2:16" x14ac:dyDescent="0.3">
      <c r="B105" s="1132"/>
      <c r="C105" s="39"/>
      <c r="D105" s="22" t="s">
        <v>68</v>
      </c>
      <c r="E105" s="3">
        <v>0</v>
      </c>
      <c r="F105" s="9">
        <f t="shared" si="67"/>
        <v>0</v>
      </c>
      <c r="G105" s="4">
        <v>0</v>
      </c>
      <c r="H105" s="8">
        <v>0</v>
      </c>
      <c r="I105" s="6">
        <f t="shared" si="66"/>
        <v>0</v>
      </c>
      <c r="J105" s="4">
        <f t="shared" si="71"/>
        <v>0</v>
      </c>
      <c r="K105" s="4">
        <f t="shared" si="72"/>
        <v>0</v>
      </c>
      <c r="L105" s="40" t="e">
        <f t="shared" ref="L105:L106" si="73">+J105/E105</f>
        <v>#DIV/0!</v>
      </c>
      <c r="M105" s="145">
        <v>2.4565999999999999</v>
      </c>
      <c r="N105" s="11">
        <f t="shared" ref="N105:N106" si="74">+M105*G105</f>
        <v>0</v>
      </c>
      <c r="O105" s="91">
        <f t="shared" ref="O105" si="75">+M105*J105</f>
        <v>0</v>
      </c>
      <c r="P105" s="1143"/>
    </row>
    <row r="106" spans="2:16" ht="15" thickBot="1" x14ac:dyDescent="0.35">
      <c r="B106" s="1132"/>
      <c r="C106" s="39"/>
      <c r="D106" s="22" t="s">
        <v>133</v>
      </c>
      <c r="E106" s="3">
        <v>0</v>
      </c>
      <c r="F106" s="9">
        <f t="shared" si="67"/>
        <v>0</v>
      </c>
      <c r="G106" s="4">
        <v>0</v>
      </c>
      <c r="H106" s="8">
        <v>0</v>
      </c>
      <c r="I106" s="6">
        <f t="shared" si="66"/>
        <v>0</v>
      </c>
      <c r="J106" s="4">
        <f t="shared" si="71"/>
        <v>0</v>
      </c>
      <c r="K106" s="4">
        <f t="shared" si="72"/>
        <v>0</v>
      </c>
      <c r="L106" s="40" t="e">
        <f t="shared" si="73"/>
        <v>#DIV/0!</v>
      </c>
      <c r="M106" s="145">
        <v>2.2907000000000002</v>
      </c>
      <c r="N106" s="11">
        <f t="shared" si="74"/>
        <v>0</v>
      </c>
      <c r="O106" s="154">
        <f>+M106*J106</f>
        <v>0</v>
      </c>
      <c r="P106" s="1144"/>
    </row>
    <row r="107" spans="2:16" ht="15" thickBot="1" x14ac:dyDescent="0.35">
      <c r="B107" s="1132"/>
      <c r="C107" s="41" t="s">
        <v>29</v>
      </c>
      <c r="D107" s="27" t="str">
        <f>+C107</f>
        <v>TOTAL 1/2</v>
      </c>
      <c r="E107" s="42">
        <f>SUM(E100:E106)</f>
        <v>0</v>
      </c>
      <c r="F107" s="43">
        <f>SUM(F100:F106)</f>
        <v>0</v>
      </c>
      <c r="G107" s="43">
        <f>SUM(G100:G106)</f>
        <v>0</v>
      </c>
      <c r="H107" s="44">
        <f>SUM(H100:H106)</f>
        <v>0</v>
      </c>
      <c r="I107" s="45">
        <f>SUM(I104:I106)</f>
        <v>40072</v>
      </c>
      <c r="J107" s="43">
        <f>SUM(J100:J106)</f>
        <v>38500</v>
      </c>
      <c r="K107" s="43">
        <f>SUM(K100:K106)</f>
        <v>1572</v>
      </c>
      <c r="L107" s="46" t="e">
        <f>+J107/E107</f>
        <v>#DIV/0!</v>
      </c>
      <c r="M107" s="47"/>
      <c r="N107" s="48">
        <f>SUM(N104:N106)</f>
        <v>0</v>
      </c>
      <c r="O107" s="49">
        <f>SUM(O100:O106)</f>
        <v>85242.85</v>
      </c>
      <c r="P107" s="166"/>
    </row>
    <row r="108" spans="2:16" x14ac:dyDescent="0.3">
      <c r="B108" s="1132"/>
      <c r="C108" s="1145" t="s">
        <v>70</v>
      </c>
      <c r="D108" s="22" t="s">
        <v>67</v>
      </c>
      <c r="E108" s="3">
        <v>0</v>
      </c>
      <c r="F108" s="4">
        <f>G108+H108</f>
        <v>0</v>
      </c>
      <c r="G108" s="4">
        <v>0</v>
      </c>
      <c r="H108" s="8">
        <v>0</v>
      </c>
      <c r="I108" s="16">
        <f>J108+K108</f>
        <v>109220</v>
      </c>
      <c r="J108" s="4">
        <f>G108+J43</f>
        <v>105750</v>
      </c>
      <c r="K108" s="4">
        <f>H108+K43</f>
        <v>3470</v>
      </c>
      <c r="L108" s="50" t="e">
        <f>+J108/E108</f>
        <v>#DIV/0!</v>
      </c>
      <c r="M108" s="144">
        <v>4.1712999999999996</v>
      </c>
      <c r="N108" s="7">
        <f>+M108*G108</f>
        <v>0</v>
      </c>
      <c r="O108" s="93">
        <f>+M108*J108</f>
        <v>441114.97499999998</v>
      </c>
      <c r="P108" s="1142"/>
    </row>
    <row r="109" spans="2:16" x14ac:dyDescent="0.3">
      <c r="B109" s="1132"/>
      <c r="C109" s="1146"/>
      <c r="D109" s="22" t="s">
        <v>68</v>
      </c>
      <c r="E109" s="3">
        <v>0</v>
      </c>
      <c r="F109" s="4">
        <f>G109+H109</f>
        <v>0</v>
      </c>
      <c r="G109" s="4">
        <v>0</v>
      </c>
      <c r="H109" s="8">
        <v>0</v>
      </c>
      <c r="I109" s="6">
        <f>+R1153+F109</f>
        <v>0</v>
      </c>
      <c r="J109" s="4">
        <f>G109+J44</f>
        <v>0</v>
      </c>
      <c r="K109" s="4">
        <f>H109+K44</f>
        <v>0</v>
      </c>
      <c r="L109" s="51" t="e">
        <f t="shared" ref="L109:L113" si="76">+J109/E109</f>
        <v>#DIV/0!</v>
      </c>
      <c r="M109" s="145">
        <v>4.8285999999999998</v>
      </c>
      <c r="N109" s="11">
        <f t="shared" ref="N109:N111" si="77">+M109*G109</f>
        <v>0</v>
      </c>
      <c r="O109" s="94">
        <f t="shared" ref="O109:O111" si="78">+M109*J109</f>
        <v>0</v>
      </c>
      <c r="P109" s="1143"/>
    </row>
    <row r="110" spans="2:16" x14ac:dyDescent="0.3">
      <c r="B110" s="1132"/>
      <c r="C110" s="1146"/>
      <c r="D110" s="22" t="s">
        <v>134</v>
      </c>
      <c r="E110" s="3"/>
      <c r="F110" s="4">
        <f>G110+H110</f>
        <v>0</v>
      </c>
      <c r="G110" s="4">
        <v>0</v>
      </c>
      <c r="H110" s="8">
        <v>0</v>
      </c>
      <c r="I110" s="6">
        <f>+R1154+F110</f>
        <v>0</v>
      </c>
      <c r="J110" s="4">
        <f t="shared" ref="J110:J111" si="79">G110+J45</f>
        <v>0</v>
      </c>
      <c r="K110" s="4">
        <f t="shared" ref="K110:K111" si="80">H110+K45</f>
        <v>0</v>
      </c>
      <c r="L110" s="51" t="e">
        <f t="shared" si="76"/>
        <v>#DIV/0!</v>
      </c>
      <c r="M110" s="144">
        <v>4.5023</v>
      </c>
      <c r="N110" s="11">
        <f t="shared" si="77"/>
        <v>0</v>
      </c>
      <c r="O110" s="94">
        <f t="shared" si="78"/>
        <v>0</v>
      </c>
      <c r="P110" s="1143"/>
    </row>
    <row r="111" spans="2:16" ht="15" thickBot="1" x14ac:dyDescent="0.35">
      <c r="B111" s="1132"/>
      <c r="C111" s="1146"/>
      <c r="D111" s="22" t="s">
        <v>118</v>
      </c>
      <c r="E111" s="3">
        <v>0</v>
      </c>
      <c r="F111" s="4">
        <f t="shared" ref="F111" si="81">G111+H111</f>
        <v>0</v>
      </c>
      <c r="G111" s="4">
        <v>0</v>
      </c>
      <c r="H111" s="8">
        <v>0</v>
      </c>
      <c r="I111" s="6">
        <f>+R1154+F111</f>
        <v>0</v>
      </c>
      <c r="J111" s="4">
        <f t="shared" si="79"/>
        <v>0</v>
      </c>
      <c r="K111" s="4">
        <f t="shared" si="80"/>
        <v>0</v>
      </c>
      <c r="L111" s="51" t="e">
        <f t="shared" si="76"/>
        <v>#DIV/0!</v>
      </c>
      <c r="M111" s="144">
        <v>4.4065000000000003</v>
      </c>
      <c r="N111" s="11">
        <f t="shared" si="77"/>
        <v>0</v>
      </c>
      <c r="O111" s="94">
        <f t="shared" si="78"/>
        <v>0</v>
      </c>
      <c r="P111" s="1143"/>
    </row>
    <row r="112" spans="2:16" ht="15" thickBot="1" x14ac:dyDescent="0.35">
      <c r="B112" s="1132"/>
      <c r="C112" s="41" t="s">
        <v>31</v>
      </c>
      <c r="D112" s="18" t="str">
        <f>+C112</f>
        <v>TOTAL 4/4</v>
      </c>
      <c r="E112" s="42">
        <f t="shared" ref="E112:K112" si="82">SUM(E108:E111)</f>
        <v>0</v>
      </c>
      <c r="F112" s="43">
        <f t="shared" si="82"/>
        <v>0</v>
      </c>
      <c r="G112" s="43">
        <f t="shared" si="82"/>
        <v>0</v>
      </c>
      <c r="H112" s="44">
        <f t="shared" si="82"/>
        <v>0</v>
      </c>
      <c r="I112" s="45">
        <f t="shared" si="82"/>
        <v>109220</v>
      </c>
      <c r="J112" s="43">
        <f t="shared" si="82"/>
        <v>105750</v>
      </c>
      <c r="K112" s="43">
        <f t="shared" si="82"/>
        <v>3470</v>
      </c>
      <c r="L112" s="46" t="e">
        <f t="shared" si="76"/>
        <v>#DIV/0!</v>
      </c>
      <c r="M112" s="47"/>
      <c r="N112" s="48">
        <f>SUM(N108:N111)</f>
        <v>0</v>
      </c>
      <c r="O112" s="92">
        <f>SUM(O108:O111)</f>
        <v>441114.97499999998</v>
      </c>
      <c r="P112" s="1144"/>
    </row>
    <row r="113" spans="2:16" ht="15" thickBot="1" x14ac:dyDescent="0.35">
      <c r="B113" s="1141"/>
      <c r="C113" s="41" t="s">
        <v>71</v>
      </c>
      <c r="D113" s="27" t="s">
        <v>67</v>
      </c>
      <c r="E113" s="25">
        <v>0</v>
      </c>
      <c r="F113" s="20">
        <f>G113+H113</f>
        <v>0</v>
      </c>
      <c r="G113" s="20">
        <v>0</v>
      </c>
      <c r="H113" s="24">
        <v>0</v>
      </c>
      <c r="I113" s="19">
        <f>J113+K113</f>
        <v>0</v>
      </c>
      <c r="J113" s="4">
        <f>G113+J48</f>
        <v>0</v>
      </c>
      <c r="K113" s="4">
        <f>H113+K48</f>
        <v>0</v>
      </c>
      <c r="L113" s="52" t="e">
        <f t="shared" si="76"/>
        <v>#DIV/0!</v>
      </c>
      <c r="M113" s="149">
        <v>1.4086000000000001</v>
      </c>
      <c r="N113" s="26">
        <f t="shared" ref="N113" si="83">+M113*G113</f>
        <v>0</v>
      </c>
      <c r="O113" s="95">
        <f t="shared" ref="O113" si="84">+M113*J113</f>
        <v>0</v>
      </c>
      <c r="P113" s="53"/>
    </row>
    <row r="114" spans="2:16" ht="15" thickBot="1" x14ac:dyDescent="0.35">
      <c r="B114" s="1116" t="s">
        <v>102</v>
      </c>
      <c r="C114" s="1117"/>
      <c r="D114" s="1117"/>
      <c r="E114" s="1117"/>
      <c r="F114" s="1117"/>
      <c r="G114" s="1117"/>
      <c r="H114" s="1117"/>
      <c r="I114" s="110">
        <f>J114+K114</f>
        <v>149292</v>
      </c>
      <c r="J114" s="110">
        <f>J107+J112+J113</f>
        <v>144250</v>
      </c>
      <c r="K114" s="110">
        <f>K107+K112+K113</f>
        <v>5042</v>
      </c>
      <c r="L114" s="111"/>
      <c r="M114" s="112"/>
      <c r="N114" s="109"/>
      <c r="O114" s="77">
        <f>+O113+O112+O107</f>
        <v>526357.82499999995</v>
      </c>
      <c r="P114" s="84"/>
    </row>
    <row r="115" spans="2:16" x14ac:dyDescent="0.3">
      <c r="B115" s="1118" t="s">
        <v>72</v>
      </c>
      <c r="C115" s="1121" t="s">
        <v>73</v>
      </c>
      <c r="D115" s="54" t="s">
        <v>74</v>
      </c>
      <c r="E115" s="55">
        <v>0</v>
      </c>
      <c r="F115" s="56">
        <f>G115+H115</f>
        <v>0</v>
      </c>
      <c r="G115" s="56">
        <v>0</v>
      </c>
      <c r="H115" s="57">
        <v>0</v>
      </c>
      <c r="I115" s="78">
        <f>J115+K115</f>
        <v>0</v>
      </c>
      <c r="J115" s="4">
        <f>G115+J50</f>
        <v>0</v>
      </c>
      <c r="K115" s="4">
        <f>H115+K50</f>
        <v>0</v>
      </c>
      <c r="L115" s="58" t="e">
        <f t="shared" ref="L115" si="85">+J115/E115</f>
        <v>#DIV/0!</v>
      </c>
      <c r="M115" s="59">
        <v>32.946300000000001</v>
      </c>
      <c r="N115" s="60">
        <f>+M115*G115</f>
        <v>0</v>
      </c>
      <c r="O115" s="60">
        <f>M115*J115</f>
        <v>0</v>
      </c>
      <c r="P115" s="1123"/>
    </row>
    <row r="116" spans="2:16" x14ac:dyDescent="0.3">
      <c r="B116" s="1119"/>
      <c r="C116" s="1122"/>
      <c r="D116" s="61" t="s">
        <v>75</v>
      </c>
      <c r="E116" s="62">
        <v>0</v>
      </c>
      <c r="F116" s="63">
        <f>G116+H116</f>
        <v>0</v>
      </c>
      <c r="G116" s="63">
        <v>0</v>
      </c>
      <c r="H116" s="64">
        <v>0</v>
      </c>
      <c r="I116" s="79">
        <f>J116+K116</f>
        <v>0</v>
      </c>
      <c r="J116" s="4">
        <f>G116+J51</f>
        <v>0</v>
      </c>
      <c r="K116" s="4">
        <f>H116+K51</f>
        <v>0</v>
      </c>
      <c r="L116" s="65" t="e">
        <f>+J116/E116</f>
        <v>#DIV/0!</v>
      </c>
      <c r="M116" s="66">
        <v>35.398400000000002</v>
      </c>
      <c r="N116" s="67">
        <f>+M116*G116</f>
        <v>0</v>
      </c>
      <c r="O116" s="67">
        <f>M116*J116</f>
        <v>0</v>
      </c>
      <c r="P116" s="1124"/>
    </row>
    <row r="117" spans="2:16" x14ac:dyDescent="0.3">
      <c r="B117" s="1119"/>
      <c r="C117" s="1122"/>
      <c r="D117" s="61" t="s">
        <v>76</v>
      </c>
      <c r="E117" s="62">
        <v>0</v>
      </c>
      <c r="F117" s="63">
        <f t="shared" ref="F117:F120" si="86">G117+H117</f>
        <v>0</v>
      </c>
      <c r="G117" s="63">
        <v>0</v>
      </c>
      <c r="H117" s="64">
        <v>0</v>
      </c>
      <c r="I117" s="79">
        <f t="shared" ref="I117:I126" si="87">J117+K117</f>
        <v>0</v>
      </c>
      <c r="J117" s="4">
        <f t="shared" ref="J117:J142" si="88">G117+J52</f>
        <v>0</v>
      </c>
      <c r="K117" s="4">
        <f t="shared" ref="K117:K121" si="89">H117+K52</f>
        <v>0</v>
      </c>
      <c r="L117" s="65" t="e">
        <f t="shared" ref="L117:L130" si="90">+J117/E117</f>
        <v>#DIV/0!</v>
      </c>
      <c r="M117" s="66">
        <v>32.946300000000001</v>
      </c>
      <c r="N117" s="67">
        <f t="shared" ref="N117:N137" si="91">+M117*G117</f>
        <v>0</v>
      </c>
      <c r="O117" s="67">
        <f t="shared" ref="O117:O125" si="92">M117*J117</f>
        <v>0</v>
      </c>
      <c r="P117" s="1124"/>
    </row>
    <row r="118" spans="2:16" x14ac:dyDescent="0.3">
      <c r="B118" s="1119"/>
      <c r="C118" s="1122" t="s">
        <v>77</v>
      </c>
      <c r="D118" s="61" t="s">
        <v>78</v>
      </c>
      <c r="E118" s="62">
        <v>0</v>
      </c>
      <c r="F118" s="63">
        <f t="shared" si="86"/>
        <v>4976</v>
      </c>
      <c r="G118" s="63">
        <v>4800</v>
      </c>
      <c r="H118" s="64">
        <v>176</v>
      </c>
      <c r="I118" s="79">
        <f t="shared" si="87"/>
        <v>4976</v>
      </c>
      <c r="J118" s="4">
        <f t="shared" si="88"/>
        <v>4800</v>
      </c>
      <c r="K118" s="4">
        <f t="shared" si="89"/>
        <v>176</v>
      </c>
      <c r="L118" s="65" t="e">
        <f t="shared" si="90"/>
        <v>#DIV/0!</v>
      </c>
      <c r="M118" s="66">
        <v>55.4758</v>
      </c>
      <c r="N118" s="67">
        <f t="shared" si="91"/>
        <v>266283.84000000003</v>
      </c>
      <c r="O118" s="67">
        <f t="shared" si="92"/>
        <v>266283.84000000003</v>
      </c>
      <c r="P118" s="1124"/>
    </row>
    <row r="119" spans="2:16" x14ac:dyDescent="0.3">
      <c r="B119" s="1119"/>
      <c r="C119" s="1122"/>
      <c r="D119" s="61" t="s">
        <v>141</v>
      </c>
      <c r="E119" s="62">
        <v>0</v>
      </c>
      <c r="F119" s="63">
        <f t="shared" si="86"/>
        <v>0</v>
      </c>
      <c r="G119" s="63">
        <v>0</v>
      </c>
      <c r="H119" s="64">
        <v>0</v>
      </c>
      <c r="I119" s="79">
        <f t="shared" si="87"/>
        <v>0</v>
      </c>
      <c r="J119" s="4">
        <f t="shared" si="88"/>
        <v>0</v>
      </c>
      <c r="K119" s="4">
        <f t="shared" si="89"/>
        <v>0</v>
      </c>
      <c r="L119" s="65" t="e">
        <f t="shared" si="90"/>
        <v>#DIV/0!</v>
      </c>
      <c r="M119" s="66">
        <v>53.515999999999998</v>
      </c>
      <c r="N119" s="67">
        <f t="shared" si="91"/>
        <v>0</v>
      </c>
      <c r="O119" s="67">
        <f t="shared" si="92"/>
        <v>0</v>
      </c>
      <c r="P119" s="1124"/>
    </row>
    <row r="120" spans="2:16" x14ac:dyDescent="0.3">
      <c r="B120" s="1119"/>
      <c r="C120" s="1122"/>
      <c r="D120" s="61" t="s">
        <v>75</v>
      </c>
      <c r="E120" s="62">
        <v>0</v>
      </c>
      <c r="F120" s="63">
        <f t="shared" si="86"/>
        <v>0</v>
      </c>
      <c r="G120" s="63">
        <v>0</v>
      </c>
      <c r="H120" s="64">
        <v>0</v>
      </c>
      <c r="I120" s="79">
        <f t="shared" si="87"/>
        <v>0</v>
      </c>
      <c r="J120" s="4">
        <f t="shared" si="88"/>
        <v>0</v>
      </c>
      <c r="K120" s="4">
        <f t="shared" si="89"/>
        <v>0</v>
      </c>
      <c r="L120" s="65" t="e">
        <f t="shared" si="90"/>
        <v>#DIV/0!</v>
      </c>
      <c r="M120" s="66">
        <v>58.836300000000001</v>
      </c>
      <c r="N120" s="67">
        <f t="shared" si="91"/>
        <v>0</v>
      </c>
      <c r="O120" s="67">
        <f t="shared" si="92"/>
        <v>0</v>
      </c>
      <c r="P120" s="1124"/>
    </row>
    <row r="121" spans="2:16" x14ac:dyDescent="0.3">
      <c r="B121" s="1119"/>
      <c r="C121" s="1126" t="s">
        <v>79</v>
      </c>
      <c r="D121" s="61" t="s">
        <v>80</v>
      </c>
      <c r="E121" s="62">
        <v>0</v>
      </c>
      <c r="F121" s="63">
        <f>G121+H121</f>
        <v>0</v>
      </c>
      <c r="G121" s="63">
        <v>0</v>
      </c>
      <c r="H121" s="64">
        <v>0</v>
      </c>
      <c r="I121" s="79">
        <f t="shared" si="87"/>
        <v>0</v>
      </c>
      <c r="J121" s="4">
        <f t="shared" si="88"/>
        <v>0</v>
      </c>
      <c r="K121" s="4">
        <f t="shared" si="89"/>
        <v>0</v>
      </c>
      <c r="L121" s="65" t="e">
        <f t="shared" si="90"/>
        <v>#DIV/0!</v>
      </c>
      <c r="M121" s="66">
        <v>25.687200000000001</v>
      </c>
      <c r="N121" s="67">
        <f t="shared" si="91"/>
        <v>0</v>
      </c>
      <c r="O121" s="67">
        <f t="shared" si="92"/>
        <v>0</v>
      </c>
      <c r="P121" s="1124"/>
    </row>
    <row r="122" spans="2:16" x14ac:dyDescent="0.3">
      <c r="B122" s="1119"/>
      <c r="C122" s="1127"/>
      <c r="D122" s="61" t="s">
        <v>124</v>
      </c>
      <c r="E122" s="62">
        <v>0</v>
      </c>
      <c r="F122" s="63">
        <f>G122+H122</f>
        <v>0</v>
      </c>
      <c r="G122" s="63">
        <v>0</v>
      </c>
      <c r="H122" s="64">
        <v>0</v>
      </c>
      <c r="I122" s="79">
        <f t="shared" si="87"/>
        <v>0</v>
      </c>
      <c r="J122" s="4">
        <f t="shared" si="88"/>
        <v>0</v>
      </c>
      <c r="K122" s="4">
        <f>H122+K57</f>
        <v>0</v>
      </c>
      <c r="L122" s="65" t="e">
        <f t="shared" si="90"/>
        <v>#DIV/0!</v>
      </c>
      <c r="M122" s="66">
        <v>25.033899999999999</v>
      </c>
      <c r="N122" s="67">
        <f t="shared" si="91"/>
        <v>0</v>
      </c>
      <c r="O122" s="67">
        <f t="shared" si="92"/>
        <v>0</v>
      </c>
      <c r="P122" s="1124"/>
    </row>
    <row r="123" spans="2:16" x14ac:dyDescent="0.3">
      <c r="B123" s="1119"/>
      <c r="C123" s="1126" t="s">
        <v>81</v>
      </c>
      <c r="D123" s="61" t="s">
        <v>82</v>
      </c>
      <c r="E123" s="62">
        <v>0</v>
      </c>
      <c r="F123" s="63">
        <f t="shared" ref="F123:F142" si="93">G123+H123</f>
        <v>0</v>
      </c>
      <c r="G123" s="63">
        <v>0</v>
      </c>
      <c r="H123" s="64">
        <v>0</v>
      </c>
      <c r="I123" s="79">
        <f t="shared" si="87"/>
        <v>0</v>
      </c>
      <c r="J123" s="4">
        <f t="shared" si="88"/>
        <v>0</v>
      </c>
      <c r="K123" s="4">
        <f t="shared" ref="K123:K142" si="94">H123+K58</f>
        <v>0</v>
      </c>
      <c r="L123" s="65" t="e">
        <f t="shared" si="90"/>
        <v>#DIV/0!</v>
      </c>
      <c r="M123" s="66">
        <v>41.992699999999999</v>
      </c>
      <c r="N123" s="67">
        <f t="shared" si="91"/>
        <v>0</v>
      </c>
      <c r="O123" s="67">
        <f t="shared" si="92"/>
        <v>0</v>
      </c>
      <c r="P123" s="1124"/>
    </row>
    <row r="124" spans="2:16" x14ac:dyDescent="0.3">
      <c r="B124" s="1119"/>
      <c r="C124" s="1127"/>
      <c r="D124" s="61" t="s">
        <v>75</v>
      </c>
      <c r="E124" s="62">
        <v>0</v>
      </c>
      <c r="F124" s="63">
        <f t="shared" si="93"/>
        <v>0</v>
      </c>
      <c r="G124" s="63">
        <v>0</v>
      </c>
      <c r="H124" s="64">
        <v>0</v>
      </c>
      <c r="I124" s="79">
        <f t="shared" si="87"/>
        <v>0</v>
      </c>
      <c r="J124" s="4">
        <f t="shared" si="88"/>
        <v>0</v>
      </c>
      <c r="K124" s="4">
        <f t="shared" si="94"/>
        <v>0</v>
      </c>
      <c r="L124" s="65" t="e">
        <f t="shared" si="90"/>
        <v>#DIV/0!</v>
      </c>
      <c r="M124" s="66">
        <v>42.283799999999999</v>
      </c>
      <c r="N124" s="67">
        <f t="shared" si="91"/>
        <v>0</v>
      </c>
      <c r="O124" s="67">
        <f t="shared" si="92"/>
        <v>0</v>
      </c>
      <c r="P124" s="1124"/>
    </row>
    <row r="125" spans="2:16" x14ac:dyDescent="0.3">
      <c r="B125" s="1119"/>
      <c r="C125" s="167" t="s">
        <v>83</v>
      </c>
      <c r="D125" s="61" t="s">
        <v>84</v>
      </c>
      <c r="E125" s="62">
        <v>0</v>
      </c>
      <c r="F125" s="63">
        <f t="shared" si="93"/>
        <v>0</v>
      </c>
      <c r="G125" s="63">
        <v>0</v>
      </c>
      <c r="H125" s="64">
        <v>0</v>
      </c>
      <c r="I125" s="79">
        <f t="shared" si="87"/>
        <v>0</v>
      </c>
      <c r="J125" s="4">
        <f t="shared" si="88"/>
        <v>0</v>
      </c>
      <c r="K125" s="4">
        <f t="shared" si="94"/>
        <v>0</v>
      </c>
      <c r="L125" s="65" t="e">
        <f t="shared" si="90"/>
        <v>#DIV/0!</v>
      </c>
      <c r="M125" s="66">
        <v>4.3535000000000004</v>
      </c>
      <c r="N125" s="67">
        <f t="shared" si="91"/>
        <v>0</v>
      </c>
      <c r="O125" s="67">
        <f t="shared" si="92"/>
        <v>0</v>
      </c>
      <c r="P125" s="1124"/>
    </row>
    <row r="126" spans="2:16" x14ac:dyDescent="0.3">
      <c r="B126" s="1119"/>
      <c r="C126" s="1122" t="s">
        <v>85</v>
      </c>
      <c r="D126" s="61" t="s">
        <v>80</v>
      </c>
      <c r="E126" s="62">
        <v>0</v>
      </c>
      <c r="F126" s="63">
        <f t="shared" si="93"/>
        <v>0</v>
      </c>
      <c r="G126" s="63">
        <v>0</v>
      </c>
      <c r="H126" s="64">
        <v>0</v>
      </c>
      <c r="I126" s="79">
        <f t="shared" si="87"/>
        <v>0</v>
      </c>
      <c r="J126" s="4">
        <f t="shared" si="88"/>
        <v>0</v>
      </c>
      <c r="K126" s="4">
        <f t="shared" si="94"/>
        <v>0</v>
      </c>
      <c r="L126" s="65" t="e">
        <f t="shared" si="90"/>
        <v>#DIV/0!</v>
      </c>
      <c r="M126" s="66">
        <v>4.6184000000000003</v>
      </c>
      <c r="N126" s="67">
        <f t="shared" si="91"/>
        <v>0</v>
      </c>
      <c r="O126" s="67">
        <f>M126*J126</f>
        <v>0</v>
      </c>
      <c r="P126" s="1124"/>
    </row>
    <row r="127" spans="2:16" x14ac:dyDescent="0.3">
      <c r="B127" s="1119"/>
      <c r="C127" s="1122"/>
      <c r="D127" s="61" t="s">
        <v>126</v>
      </c>
      <c r="E127" s="62">
        <v>0</v>
      </c>
      <c r="F127" s="63">
        <f t="shared" si="93"/>
        <v>0</v>
      </c>
      <c r="G127" s="63">
        <v>0</v>
      </c>
      <c r="H127" s="64">
        <v>0</v>
      </c>
      <c r="I127" s="79">
        <f>J127+K127</f>
        <v>0</v>
      </c>
      <c r="J127" s="4">
        <f t="shared" si="88"/>
        <v>0</v>
      </c>
      <c r="K127" s="4">
        <f t="shared" si="94"/>
        <v>0</v>
      </c>
      <c r="L127" s="65" t="e">
        <f t="shared" si="90"/>
        <v>#DIV/0!</v>
      </c>
      <c r="M127" s="153">
        <v>4.6184000000000003</v>
      </c>
      <c r="N127" s="67">
        <f t="shared" si="91"/>
        <v>0</v>
      </c>
      <c r="O127" s="67">
        <f>M127*J127</f>
        <v>0</v>
      </c>
      <c r="P127" s="1124"/>
    </row>
    <row r="128" spans="2:16" x14ac:dyDescent="0.3">
      <c r="B128" s="1119"/>
      <c r="C128" s="1122"/>
      <c r="D128" s="61" t="s">
        <v>130</v>
      </c>
      <c r="E128" s="62">
        <v>0</v>
      </c>
      <c r="F128" s="63">
        <f t="shared" si="93"/>
        <v>0</v>
      </c>
      <c r="G128" s="63">
        <v>0</v>
      </c>
      <c r="H128" s="64">
        <v>0</v>
      </c>
      <c r="I128" s="79">
        <f t="shared" ref="I128:I142" si="95">J128+K128</f>
        <v>0</v>
      </c>
      <c r="J128" s="4">
        <f t="shared" si="88"/>
        <v>0</v>
      </c>
      <c r="K128" s="4">
        <f t="shared" si="94"/>
        <v>0</v>
      </c>
      <c r="L128" s="65" t="e">
        <f t="shared" si="90"/>
        <v>#DIV/0!</v>
      </c>
      <c r="M128" s="153">
        <v>4.6184000000000003</v>
      </c>
      <c r="N128" s="67">
        <f t="shared" si="91"/>
        <v>0</v>
      </c>
      <c r="O128" s="67">
        <f t="shared" ref="O128:O133" si="96">M128*J128</f>
        <v>0</v>
      </c>
      <c r="P128" s="1124"/>
    </row>
    <row r="129" spans="2:16" x14ac:dyDescent="0.3">
      <c r="B129" s="1119"/>
      <c r="C129" s="1122"/>
      <c r="D129" s="61" t="s">
        <v>131</v>
      </c>
      <c r="E129" s="62">
        <v>0</v>
      </c>
      <c r="F129" s="63">
        <f t="shared" si="93"/>
        <v>20169</v>
      </c>
      <c r="G129" s="63">
        <v>19800</v>
      </c>
      <c r="H129" s="64">
        <v>369</v>
      </c>
      <c r="I129" s="79">
        <f t="shared" si="95"/>
        <v>44269</v>
      </c>
      <c r="J129" s="4">
        <f t="shared" si="88"/>
        <v>42900</v>
      </c>
      <c r="K129" s="4">
        <f t="shared" si="94"/>
        <v>1369</v>
      </c>
      <c r="L129" s="65" t="e">
        <f t="shared" si="90"/>
        <v>#DIV/0!</v>
      </c>
      <c r="M129" s="153">
        <v>4.7636000000000003</v>
      </c>
      <c r="N129" s="67">
        <f t="shared" si="91"/>
        <v>94319.28</v>
      </c>
      <c r="O129" s="67">
        <f t="shared" si="96"/>
        <v>204358.44</v>
      </c>
      <c r="P129" s="1124"/>
    </row>
    <row r="130" spans="2:16" x14ac:dyDescent="0.3">
      <c r="B130" s="1119"/>
      <c r="C130" s="1122"/>
      <c r="D130" s="61" t="s">
        <v>86</v>
      </c>
      <c r="E130" s="62">
        <v>0</v>
      </c>
      <c r="F130" s="63">
        <f t="shared" si="93"/>
        <v>0</v>
      </c>
      <c r="G130" s="63">
        <v>0</v>
      </c>
      <c r="H130" s="64">
        <v>0</v>
      </c>
      <c r="I130" s="79">
        <f t="shared" si="95"/>
        <v>0</v>
      </c>
      <c r="J130" s="4">
        <f t="shared" si="88"/>
        <v>0</v>
      </c>
      <c r="K130" s="4">
        <f t="shared" si="94"/>
        <v>0</v>
      </c>
      <c r="L130" s="65" t="e">
        <f t="shared" si="90"/>
        <v>#DIV/0!</v>
      </c>
      <c r="M130" s="66">
        <v>4.8738000000000001</v>
      </c>
      <c r="N130" s="67">
        <f t="shared" si="91"/>
        <v>0</v>
      </c>
      <c r="O130" s="67">
        <f t="shared" si="96"/>
        <v>0</v>
      </c>
      <c r="P130" s="1124"/>
    </row>
    <row r="131" spans="2:16" x14ac:dyDescent="0.3">
      <c r="B131" s="1119"/>
      <c r="C131" s="167" t="s">
        <v>135</v>
      </c>
      <c r="D131" s="61" t="s">
        <v>131</v>
      </c>
      <c r="E131" s="62"/>
      <c r="F131" s="63">
        <f t="shared" si="93"/>
        <v>0</v>
      </c>
      <c r="G131" s="63">
        <v>0</v>
      </c>
      <c r="H131" s="64">
        <v>0</v>
      </c>
      <c r="I131" s="79">
        <f t="shared" si="95"/>
        <v>0</v>
      </c>
      <c r="J131" s="4">
        <f t="shared" si="88"/>
        <v>0</v>
      </c>
      <c r="K131" s="4">
        <f t="shared" si="94"/>
        <v>0</v>
      </c>
      <c r="L131" s="65"/>
      <c r="M131" s="66">
        <v>4.8738000000000001</v>
      </c>
      <c r="N131" s="67">
        <f t="shared" si="91"/>
        <v>0</v>
      </c>
      <c r="O131" s="67">
        <f t="shared" si="96"/>
        <v>0</v>
      </c>
      <c r="P131" s="1124"/>
    </row>
    <row r="132" spans="2:16" x14ac:dyDescent="0.3">
      <c r="B132" s="1119"/>
      <c r="C132" s="1122" t="s">
        <v>87</v>
      </c>
      <c r="D132" s="61" t="s">
        <v>80</v>
      </c>
      <c r="E132" s="62">
        <v>0</v>
      </c>
      <c r="F132" s="63">
        <f t="shared" si="93"/>
        <v>9879</v>
      </c>
      <c r="G132" s="63">
        <v>9750</v>
      </c>
      <c r="H132" s="64">
        <v>129</v>
      </c>
      <c r="I132" s="79">
        <f t="shared" si="95"/>
        <v>44779</v>
      </c>
      <c r="J132" s="4">
        <f t="shared" si="88"/>
        <v>44500</v>
      </c>
      <c r="K132" s="4">
        <f t="shared" si="94"/>
        <v>279</v>
      </c>
      <c r="L132" s="65" t="e">
        <f t="shared" ref="L132:L142" si="97">+J132/E132</f>
        <v>#DIV/0!</v>
      </c>
      <c r="M132" s="66">
        <v>4.9344999999999999</v>
      </c>
      <c r="N132" s="67">
        <f t="shared" si="91"/>
        <v>48111.375</v>
      </c>
      <c r="O132" s="67">
        <f t="shared" si="96"/>
        <v>219585.25</v>
      </c>
      <c r="P132" s="1124"/>
    </row>
    <row r="133" spans="2:16" x14ac:dyDescent="0.3">
      <c r="B133" s="1119"/>
      <c r="C133" s="1122"/>
      <c r="D133" s="61" t="s">
        <v>142</v>
      </c>
      <c r="E133" s="62"/>
      <c r="F133" s="63">
        <f t="shared" si="93"/>
        <v>0</v>
      </c>
      <c r="G133" s="63">
        <v>0</v>
      </c>
      <c r="H133" s="64">
        <v>0</v>
      </c>
      <c r="I133" s="79">
        <f t="shared" si="95"/>
        <v>0</v>
      </c>
      <c r="J133" s="4">
        <f t="shared" si="88"/>
        <v>0</v>
      </c>
      <c r="K133" s="4">
        <f t="shared" si="94"/>
        <v>0</v>
      </c>
      <c r="L133" s="65" t="e">
        <f t="shared" si="97"/>
        <v>#DIV/0!</v>
      </c>
      <c r="M133" s="66">
        <v>4.9344999999999999</v>
      </c>
      <c r="N133" s="67">
        <f t="shared" si="91"/>
        <v>0</v>
      </c>
      <c r="O133" s="67">
        <f t="shared" si="96"/>
        <v>0</v>
      </c>
      <c r="P133" s="1124"/>
    </row>
    <row r="134" spans="2:16" x14ac:dyDescent="0.3">
      <c r="B134" s="1119"/>
      <c r="C134" s="1122"/>
      <c r="D134" s="61" t="s">
        <v>136</v>
      </c>
      <c r="E134" s="62">
        <v>0</v>
      </c>
      <c r="F134" s="63">
        <f t="shared" si="93"/>
        <v>0</v>
      </c>
      <c r="G134" s="155">
        <v>0</v>
      </c>
      <c r="H134" s="156">
        <v>0</v>
      </c>
      <c r="I134" s="157">
        <f t="shared" si="95"/>
        <v>0</v>
      </c>
      <c r="J134" s="4">
        <f t="shared" si="88"/>
        <v>0</v>
      </c>
      <c r="K134" s="4">
        <f t="shared" si="94"/>
        <v>0</v>
      </c>
      <c r="L134" s="158" t="e">
        <f t="shared" si="97"/>
        <v>#DIV/0!</v>
      </c>
      <c r="M134" s="66">
        <v>4.9344999999999999</v>
      </c>
      <c r="N134" s="159">
        <f t="shared" si="91"/>
        <v>0</v>
      </c>
      <c r="O134" s="67">
        <f>M134*J134</f>
        <v>0</v>
      </c>
      <c r="P134" s="1124"/>
    </row>
    <row r="135" spans="2:16" x14ac:dyDescent="0.3">
      <c r="B135" s="1119"/>
      <c r="C135" s="1122" t="s">
        <v>88</v>
      </c>
      <c r="D135" s="61" t="s">
        <v>80</v>
      </c>
      <c r="E135" s="62">
        <v>0</v>
      </c>
      <c r="F135" s="63">
        <f t="shared" si="93"/>
        <v>7673</v>
      </c>
      <c r="G135" s="63">
        <v>7200</v>
      </c>
      <c r="H135" s="64">
        <v>473</v>
      </c>
      <c r="I135" s="79">
        <f t="shared" si="95"/>
        <v>26573</v>
      </c>
      <c r="J135" s="4">
        <f t="shared" si="88"/>
        <v>25200</v>
      </c>
      <c r="K135" s="4">
        <f t="shared" si="94"/>
        <v>1373</v>
      </c>
      <c r="L135" s="65" t="e">
        <f t="shared" si="97"/>
        <v>#DIV/0!</v>
      </c>
      <c r="M135" s="148">
        <v>5.5069999999999997</v>
      </c>
      <c r="N135" s="67">
        <f t="shared" si="91"/>
        <v>39650.399999999994</v>
      </c>
      <c r="O135" s="67">
        <f>M135*J135</f>
        <v>138776.4</v>
      </c>
      <c r="P135" s="1124"/>
    </row>
    <row r="136" spans="2:16" x14ac:dyDescent="0.3">
      <c r="B136" s="1119"/>
      <c r="C136" s="1122"/>
      <c r="D136" s="61" t="s">
        <v>119</v>
      </c>
      <c r="E136" s="62">
        <v>0</v>
      </c>
      <c r="F136" s="63">
        <f t="shared" si="93"/>
        <v>0</v>
      </c>
      <c r="G136" s="63">
        <v>0</v>
      </c>
      <c r="H136" s="64">
        <v>0</v>
      </c>
      <c r="I136" s="79">
        <f t="shared" si="95"/>
        <v>0</v>
      </c>
      <c r="J136" s="4">
        <f t="shared" si="88"/>
        <v>0</v>
      </c>
      <c r="K136" s="4">
        <f t="shared" si="94"/>
        <v>0</v>
      </c>
      <c r="L136" s="65" t="e">
        <f t="shared" si="97"/>
        <v>#DIV/0!</v>
      </c>
      <c r="M136" s="147">
        <v>5.6550000000000002</v>
      </c>
      <c r="N136" s="67">
        <f t="shared" si="91"/>
        <v>0</v>
      </c>
      <c r="O136" s="67">
        <f>M136*J136</f>
        <v>0</v>
      </c>
      <c r="P136" s="1124"/>
    </row>
    <row r="137" spans="2:16" x14ac:dyDescent="0.3">
      <c r="B137" s="1119"/>
      <c r="C137" s="1122"/>
      <c r="D137" s="61" t="s">
        <v>125</v>
      </c>
      <c r="E137" s="62">
        <v>0</v>
      </c>
      <c r="F137" s="63">
        <f t="shared" si="93"/>
        <v>0</v>
      </c>
      <c r="G137" s="63">
        <v>0</v>
      </c>
      <c r="H137" s="64">
        <v>0</v>
      </c>
      <c r="I137" s="79">
        <f t="shared" si="95"/>
        <v>0</v>
      </c>
      <c r="J137" s="4">
        <f t="shared" si="88"/>
        <v>0</v>
      </c>
      <c r="K137" s="4">
        <f t="shared" si="94"/>
        <v>0</v>
      </c>
      <c r="L137" s="65" t="e">
        <f t="shared" si="97"/>
        <v>#DIV/0!</v>
      </c>
      <c r="M137" s="152">
        <v>5.6550000000000002</v>
      </c>
      <c r="N137" s="67">
        <f t="shared" si="91"/>
        <v>0</v>
      </c>
      <c r="O137" s="67">
        <f>M137*J137</f>
        <v>0</v>
      </c>
      <c r="P137" s="1124"/>
    </row>
    <row r="138" spans="2:16" x14ac:dyDescent="0.3">
      <c r="B138" s="1119"/>
      <c r="C138" s="1122"/>
      <c r="D138" s="61" t="s">
        <v>128</v>
      </c>
      <c r="E138" s="62">
        <v>0</v>
      </c>
      <c r="F138" s="63">
        <f t="shared" si="93"/>
        <v>3700</v>
      </c>
      <c r="G138" s="63">
        <v>2700</v>
      </c>
      <c r="H138" s="64">
        <v>1000</v>
      </c>
      <c r="I138" s="79">
        <f t="shared" si="95"/>
        <v>9700</v>
      </c>
      <c r="J138" s="4">
        <f t="shared" si="88"/>
        <v>8200</v>
      </c>
      <c r="K138" s="4">
        <f t="shared" si="94"/>
        <v>1500</v>
      </c>
      <c r="L138" s="65" t="e">
        <f t="shared" si="97"/>
        <v>#DIV/0!</v>
      </c>
      <c r="M138" s="66">
        <v>5.7885299999999997</v>
      </c>
      <c r="N138" s="67">
        <f>+M138*G138</f>
        <v>15629.030999999999</v>
      </c>
      <c r="O138" s="67">
        <f>M138*J138</f>
        <v>47465.945999999996</v>
      </c>
      <c r="P138" s="1124"/>
    </row>
    <row r="139" spans="2:16" x14ac:dyDescent="0.3">
      <c r="B139" s="1119"/>
      <c r="C139" s="1122"/>
      <c r="D139" s="61" t="s">
        <v>143</v>
      </c>
      <c r="E139" s="62">
        <v>0</v>
      </c>
      <c r="F139" s="63">
        <f t="shared" si="93"/>
        <v>0</v>
      </c>
      <c r="G139" s="63">
        <v>0</v>
      </c>
      <c r="H139" s="64">
        <v>0</v>
      </c>
      <c r="I139" s="79">
        <f t="shared" si="95"/>
        <v>0</v>
      </c>
      <c r="J139" s="4">
        <f t="shared" si="88"/>
        <v>0</v>
      </c>
      <c r="K139" s="4">
        <f t="shared" si="94"/>
        <v>0</v>
      </c>
      <c r="L139" s="65" t="e">
        <f t="shared" si="97"/>
        <v>#DIV/0!</v>
      </c>
      <c r="M139" s="152">
        <v>5.6550000000000002</v>
      </c>
      <c r="N139" s="67">
        <f t="shared" ref="N139:N141" si="98">+M139*G139</f>
        <v>0</v>
      </c>
      <c r="O139" s="67">
        <f t="shared" ref="O139:O142" si="99">M139*J139</f>
        <v>0</v>
      </c>
      <c r="P139" s="1124"/>
    </row>
    <row r="140" spans="2:16" x14ac:dyDescent="0.3">
      <c r="B140" s="1119"/>
      <c r="C140" s="167" t="s">
        <v>89</v>
      </c>
      <c r="D140" s="61" t="s">
        <v>80</v>
      </c>
      <c r="E140" s="62">
        <v>0</v>
      </c>
      <c r="F140" s="63">
        <f t="shared" si="93"/>
        <v>0</v>
      </c>
      <c r="G140" s="63">
        <v>0</v>
      </c>
      <c r="H140" s="64">
        <v>0</v>
      </c>
      <c r="I140" s="79">
        <f t="shared" si="95"/>
        <v>0</v>
      </c>
      <c r="J140" s="4">
        <f t="shared" si="88"/>
        <v>0</v>
      </c>
      <c r="K140" s="4">
        <f t="shared" si="94"/>
        <v>0</v>
      </c>
      <c r="L140" s="65" t="e">
        <f t="shared" si="97"/>
        <v>#DIV/0!</v>
      </c>
      <c r="M140" s="66">
        <v>3.2963</v>
      </c>
      <c r="N140" s="67">
        <f t="shared" si="98"/>
        <v>0</v>
      </c>
      <c r="O140" s="67">
        <f t="shared" si="99"/>
        <v>0</v>
      </c>
      <c r="P140" s="1124"/>
    </row>
    <row r="141" spans="2:16" x14ac:dyDescent="0.3">
      <c r="B141" s="1119"/>
      <c r="C141" s="167" t="s">
        <v>90</v>
      </c>
      <c r="D141" s="61" t="s">
        <v>80</v>
      </c>
      <c r="E141" s="62">
        <v>0</v>
      </c>
      <c r="F141" s="63">
        <f t="shared" si="93"/>
        <v>0</v>
      </c>
      <c r="G141" s="63">
        <v>0</v>
      </c>
      <c r="H141" s="64">
        <v>0</v>
      </c>
      <c r="I141" s="79">
        <f t="shared" si="95"/>
        <v>0</v>
      </c>
      <c r="J141" s="4">
        <f t="shared" si="88"/>
        <v>0</v>
      </c>
      <c r="K141" s="4">
        <f t="shared" si="94"/>
        <v>0</v>
      </c>
      <c r="L141" s="65" t="e">
        <f t="shared" si="97"/>
        <v>#DIV/0!</v>
      </c>
      <c r="M141" s="66">
        <v>3.2963</v>
      </c>
      <c r="N141" s="67">
        <f t="shared" si="98"/>
        <v>0</v>
      </c>
      <c r="O141" s="67">
        <f t="shared" si="99"/>
        <v>0</v>
      </c>
      <c r="P141" s="1124"/>
    </row>
    <row r="142" spans="2:16" ht="15" thickBot="1" x14ac:dyDescent="0.35">
      <c r="B142" s="1119"/>
      <c r="C142" s="68" t="s">
        <v>91</v>
      </c>
      <c r="D142" s="69" t="s">
        <v>92</v>
      </c>
      <c r="E142" s="70">
        <v>0</v>
      </c>
      <c r="F142" s="71">
        <f t="shared" si="93"/>
        <v>0</v>
      </c>
      <c r="G142" s="71">
        <v>0</v>
      </c>
      <c r="H142" s="72">
        <v>0</v>
      </c>
      <c r="I142" s="80">
        <f t="shared" si="95"/>
        <v>0</v>
      </c>
      <c r="J142" s="4">
        <f t="shared" si="88"/>
        <v>0</v>
      </c>
      <c r="K142" s="4">
        <f t="shared" si="94"/>
        <v>0</v>
      </c>
      <c r="L142" s="65" t="e">
        <f t="shared" si="97"/>
        <v>#DIV/0!</v>
      </c>
      <c r="M142" s="73">
        <v>2.3201000000000001</v>
      </c>
      <c r="N142" s="74">
        <f t="shared" ref="N142" si="100">M142*G142</f>
        <v>0</v>
      </c>
      <c r="O142" s="74">
        <f t="shared" si="99"/>
        <v>0</v>
      </c>
      <c r="P142" s="1125"/>
    </row>
    <row r="143" spans="2:16" ht="15" thickBot="1" x14ac:dyDescent="0.35">
      <c r="B143" s="1120"/>
      <c r="C143" s="1128" t="s">
        <v>106</v>
      </c>
      <c r="D143" s="1129"/>
      <c r="E143" s="1129"/>
      <c r="F143" s="1129"/>
      <c r="G143" s="1129"/>
      <c r="H143" s="1130"/>
      <c r="I143" s="116">
        <f>J143+K143</f>
        <v>130297</v>
      </c>
      <c r="J143" s="115">
        <f>SUM(J115:J142)</f>
        <v>125600</v>
      </c>
      <c r="K143" s="115">
        <f>SUM(K115:K142)</f>
        <v>4697</v>
      </c>
      <c r="L143" s="114"/>
      <c r="M143" s="113"/>
      <c r="N143" s="114"/>
      <c r="O143" s="97">
        <f>SUM(O115:O142)</f>
        <v>876469.87600000005</v>
      </c>
      <c r="P143" s="96"/>
    </row>
    <row r="144" spans="2:16" ht="15" thickBot="1" x14ac:dyDescent="0.35">
      <c r="B144" s="100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2"/>
    </row>
    <row r="145" spans="2:16" ht="15" thickBot="1" x14ac:dyDescent="0.35">
      <c r="B145" s="1113" t="s">
        <v>107</v>
      </c>
      <c r="C145" s="1114"/>
      <c r="D145" s="1114"/>
      <c r="E145" s="1114"/>
      <c r="F145" s="1114"/>
      <c r="G145" s="1114"/>
      <c r="H145" s="1114"/>
      <c r="I145" s="1114"/>
      <c r="J145" s="1114"/>
      <c r="K145" s="1114"/>
      <c r="L145" s="1114"/>
      <c r="M145" s="1114"/>
      <c r="N145" s="1115"/>
      <c r="O145" s="103">
        <f>+O143+O114+O99</f>
        <v>2224203.7009999999</v>
      </c>
      <c r="P145" s="96"/>
    </row>
    <row r="146" spans="2:16" ht="15" thickBot="1" x14ac:dyDescent="0.35"/>
    <row r="147" spans="2:16" x14ac:dyDescent="0.3">
      <c r="B147" s="1147" t="s">
        <v>1</v>
      </c>
      <c r="C147" s="1149" t="s">
        <v>2</v>
      </c>
      <c r="D147" s="1152" t="s">
        <v>3</v>
      </c>
      <c r="E147" s="1155" t="s">
        <v>4</v>
      </c>
      <c r="F147" s="1156"/>
      <c r="G147" s="1156"/>
      <c r="H147" s="1156"/>
      <c r="I147" s="1156"/>
      <c r="J147" s="1156"/>
      <c r="K147" s="1156"/>
      <c r="L147" s="1157"/>
      <c r="M147" s="1158" t="s">
        <v>5</v>
      </c>
      <c r="N147" s="1159"/>
      <c r="O147" s="1160"/>
      <c r="P147" s="1152" t="s">
        <v>6</v>
      </c>
    </row>
    <row r="148" spans="2:16" x14ac:dyDescent="0.3">
      <c r="B148" s="1148"/>
      <c r="C148" s="1150"/>
      <c r="D148" s="1153"/>
      <c r="E148" s="1161" t="s">
        <v>7</v>
      </c>
      <c r="F148" s="1163" t="s">
        <v>149</v>
      </c>
      <c r="G148" s="1163"/>
      <c r="H148" s="1164"/>
      <c r="I148" s="1165" t="s">
        <v>8</v>
      </c>
      <c r="J148" s="1163"/>
      <c r="K148" s="1163"/>
      <c r="L148" s="1164" t="s">
        <v>9</v>
      </c>
      <c r="M148" s="1167" t="s">
        <v>10</v>
      </c>
      <c r="N148" s="1169" t="s">
        <v>11</v>
      </c>
      <c r="O148" s="1171" t="s">
        <v>12</v>
      </c>
      <c r="P148" s="1153"/>
    </row>
    <row r="149" spans="2:16" ht="15" thickBot="1" x14ac:dyDescent="0.35">
      <c r="B149" s="1148"/>
      <c r="C149" s="1151"/>
      <c r="D149" s="1154"/>
      <c r="E149" s="1162"/>
      <c r="F149" s="2" t="s">
        <v>13</v>
      </c>
      <c r="G149" s="2" t="s">
        <v>14</v>
      </c>
      <c r="H149" s="171" t="s">
        <v>15</v>
      </c>
      <c r="I149" s="142" t="s">
        <v>13</v>
      </c>
      <c r="J149" s="2" t="s">
        <v>14</v>
      </c>
      <c r="K149" s="2" t="s">
        <v>15</v>
      </c>
      <c r="L149" s="1166"/>
      <c r="M149" s="1168"/>
      <c r="N149" s="1170"/>
      <c r="O149" s="1172"/>
      <c r="P149" s="1154"/>
    </row>
    <row r="150" spans="2:16" x14ac:dyDescent="0.3">
      <c r="B150" s="1131" t="s">
        <v>56</v>
      </c>
      <c r="C150" s="29"/>
      <c r="D150" s="117" t="s">
        <v>57</v>
      </c>
      <c r="E150" s="98">
        <v>0</v>
      </c>
      <c r="F150" s="4">
        <f>+G150+H150</f>
        <v>0</v>
      </c>
      <c r="G150" s="4">
        <v>0</v>
      </c>
      <c r="H150" s="8">
        <v>0</v>
      </c>
      <c r="I150" s="6">
        <f>J150+K150</f>
        <v>0</v>
      </c>
      <c r="J150" s="4">
        <f>G150+J85</f>
        <v>0</v>
      </c>
      <c r="K150" s="4">
        <f>H150+K85</f>
        <v>0</v>
      </c>
      <c r="L150" s="33" t="e">
        <f>+J150/E150</f>
        <v>#DIV/0!</v>
      </c>
      <c r="M150" s="104">
        <v>1.3652</v>
      </c>
      <c r="N150" s="31">
        <f>G150*M150</f>
        <v>0</v>
      </c>
      <c r="O150" s="86">
        <f>M150*J150</f>
        <v>0</v>
      </c>
      <c r="P150" s="1133"/>
    </row>
    <row r="151" spans="2:16" x14ac:dyDescent="0.3">
      <c r="B151" s="1132"/>
      <c r="C151" s="32"/>
      <c r="D151" s="118" t="s">
        <v>116</v>
      </c>
      <c r="E151" s="99">
        <v>0</v>
      </c>
      <c r="F151" s="9">
        <f>+G151+H151</f>
        <v>0</v>
      </c>
      <c r="G151" s="9">
        <v>0</v>
      </c>
      <c r="H151" s="10">
        <v>0</v>
      </c>
      <c r="I151" s="6">
        <f>J151+K151</f>
        <v>0</v>
      </c>
      <c r="J151" s="4">
        <f>+G151+J86</f>
        <v>0</v>
      </c>
      <c r="K151" s="4">
        <f>+H151+K86</f>
        <v>0</v>
      </c>
      <c r="L151" s="33"/>
      <c r="M151" s="105">
        <v>5.9917999999999996</v>
      </c>
      <c r="N151" s="34">
        <f>M151*G151</f>
        <v>0</v>
      </c>
      <c r="O151" s="87">
        <f>M151*J151</f>
        <v>0</v>
      </c>
      <c r="P151" s="1134"/>
    </row>
    <row r="152" spans="2:16" x14ac:dyDescent="0.3">
      <c r="B152" s="1132"/>
      <c r="C152" s="35"/>
      <c r="D152" s="119" t="s">
        <v>58</v>
      </c>
      <c r="E152" s="99">
        <v>0</v>
      </c>
      <c r="F152" s="9">
        <f t="shared" ref="F152:F156" si="101">+G152+H152</f>
        <v>177508</v>
      </c>
      <c r="G152" s="9">
        <f>93250+82500</f>
        <v>175750</v>
      </c>
      <c r="H152" s="10">
        <f>884+874</f>
        <v>1758</v>
      </c>
      <c r="I152" s="6">
        <f t="shared" ref="I152:I156" si="102">J152+K152</f>
        <v>525345</v>
      </c>
      <c r="J152" s="4">
        <f t="shared" ref="J152:J156" si="103">+G152+J87</f>
        <v>520750</v>
      </c>
      <c r="K152" s="4">
        <f t="shared" ref="K152:K156" si="104">+H152+K87</f>
        <v>4595</v>
      </c>
      <c r="L152" s="33" t="e">
        <f t="shared" ref="L152" si="105">+J152/E152</f>
        <v>#DIV/0!</v>
      </c>
      <c r="M152" s="106">
        <v>2.3807999999999998</v>
      </c>
      <c r="N152" s="36">
        <f>G152*M152</f>
        <v>418425.59999999998</v>
      </c>
      <c r="O152" s="88">
        <f>M152*J152</f>
        <v>1239801.5999999999</v>
      </c>
      <c r="P152" s="1134"/>
    </row>
    <row r="153" spans="2:16" x14ac:dyDescent="0.3">
      <c r="B153" s="1132"/>
      <c r="C153" s="35"/>
      <c r="D153" s="119" t="s">
        <v>59</v>
      </c>
      <c r="E153" s="99">
        <v>0</v>
      </c>
      <c r="F153" s="9">
        <f t="shared" si="101"/>
        <v>0</v>
      </c>
      <c r="G153" s="9">
        <v>0</v>
      </c>
      <c r="H153" s="10">
        <v>0</v>
      </c>
      <c r="I153" s="6">
        <f t="shared" si="102"/>
        <v>0</v>
      </c>
      <c r="J153" s="4">
        <f t="shared" si="103"/>
        <v>0</v>
      </c>
      <c r="K153" s="4">
        <f t="shared" si="104"/>
        <v>0</v>
      </c>
      <c r="L153" s="33"/>
      <c r="M153" s="106">
        <v>2.1457999999999999</v>
      </c>
      <c r="N153" s="36">
        <f t="shared" ref="N153:N156" si="106">G153*M153</f>
        <v>0</v>
      </c>
      <c r="O153" s="88">
        <f>M153*J153</f>
        <v>0</v>
      </c>
      <c r="P153" s="1134"/>
    </row>
    <row r="154" spans="2:16" x14ac:dyDescent="0.3">
      <c r="B154" s="1132"/>
      <c r="C154" s="35"/>
      <c r="D154" s="119" t="s">
        <v>113</v>
      </c>
      <c r="E154" s="99">
        <v>0</v>
      </c>
      <c r="F154" s="9">
        <f t="shared" si="101"/>
        <v>0</v>
      </c>
      <c r="G154" s="9">
        <v>0</v>
      </c>
      <c r="H154" s="10">
        <v>0</v>
      </c>
      <c r="I154" s="6">
        <f t="shared" si="102"/>
        <v>0</v>
      </c>
      <c r="J154" s="4">
        <f t="shared" si="103"/>
        <v>0</v>
      </c>
      <c r="K154" s="4">
        <f t="shared" si="104"/>
        <v>0</v>
      </c>
      <c r="L154" s="33" t="e">
        <f t="shared" ref="L154:L155" si="107">+J154/E154</f>
        <v>#DIV/0!</v>
      </c>
      <c r="M154" s="143">
        <v>4.0426000000000002</v>
      </c>
      <c r="N154" s="36">
        <f t="shared" si="106"/>
        <v>0</v>
      </c>
      <c r="O154" s="88">
        <f>M154*J154</f>
        <v>0</v>
      </c>
      <c r="P154" s="1134"/>
    </row>
    <row r="155" spans="2:16" x14ac:dyDescent="0.3">
      <c r="B155" s="1132"/>
      <c r="C155" s="35"/>
      <c r="D155" s="119" t="s">
        <v>117</v>
      </c>
      <c r="E155" s="99">
        <v>0</v>
      </c>
      <c r="F155" s="9">
        <f t="shared" si="101"/>
        <v>0</v>
      </c>
      <c r="G155" s="9">
        <v>0</v>
      </c>
      <c r="H155" s="10">
        <v>0</v>
      </c>
      <c r="I155" s="6">
        <f t="shared" si="102"/>
        <v>0</v>
      </c>
      <c r="J155" s="4">
        <f t="shared" si="103"/>
        <v>0</v>
      </c>
      <c r="K155" s="4">
        <f t="shared" si="104"/>
        <v>0</v>
      </c>
      <c r="L155" s="33" t="e">
        <f t="shared" si="107"/>
        <v>#DIV/0!</v>
      </c>
      <c r="M155" s="143">
        <v>3.8715000000000002</v>
      </c>
      <c r="N155" s="36">
        <f t="shared" si="106"/>
        <v>0</v>
      </c>
      <c r="O155" s="88">
        <f t="shared" ref="O155:O156" si="108">M155*J155</f>
        <v>0</v>
      </c>
      <c r="P155" s="1134"/>
    </row>
    <row r="156" spans="2:16" ht="15" thickBot="1" x14ac:dyDescent="0.35">
      <c r="B156" s="1132"/>
      <c r="C156" s="82"/>
      <c r="D156" s="120" t="s">
        <v>60</v>
      </c>
      <c r="E156" s="108">
        <v>0</v>
      </c>
      <c r="F156" s="12">
        <f t="shared" si="101"/>
        <v>0</v>
      </c>
      <c r="G156" s="12">
        <v>0</v>
      </c>
      <c r="H156" s="13">
        <v>0</v>
      </c>
      <c r="I156" s="21">
        <f t="shared" si="102"/>
        <v>0</v>
      </c>
      <c r="J156" s="4">
        <f t="shared" si="103"/>
        <v>0</v>
      </c>
      <c r="K156" s="4">
        <f t="shared" si="104"/>
        <v>0</v>
      </c>
      <c r="L156" s="81"/>
      <c r="M156" s="127">
        <v>12.284700000000001</v>
      </c>
      <c r="N156" s="36">
        <f t="shared" si="106"/>
        <v>0</v>
      </c>
      <c r="O156" s="128">
        <f t="shared" si="108"/>
        <v>0</v>
      </c>
      <c r="P156" s="1134"/>
    </row>
    <row r="157" spans="2:16" ht="15" thickBot="1" x14ac:dyDescent="0.35">
      <c r="B157" s="1132"/>
      <c r="C157" s="1137" t="s">
        <v>111</v>
      </c>
      <c r="D157" s="1138"/>
      <c r="E157" s="129"/>
      <c r="F157" s="130">
        <f>SUM(F150:F156)</f>
        <v>177508</v>
      </c>
      <c r="G157" s="130">
        <f>SUM(G150:G156)</f>
        <v>175750</v>
      </c>
      <c r="H157" s="131">
        <f>SUM(H150:H156)</f>
        <v>1758</v>
      </c>
      <c r="I157" s="132">
        <f>+J157+K157</f>
        <v>525345</v>
      </c>
      <c r="J157" s="133">
        <f>SUM(J150:J156)</f>
        <v>520750</v>
      </c>
      <c r="K157" s="133">
        <f>SUM(K150:K156)</f>
        <v>4595</v>
      </c>
      <c r="L157" s="134"/>
      <c r="M157" s="135"/>
      <c r="N157" s="136"/>
      <c r="O157" s="137">
        <f>SUM(O150:O156)</f>
        <v>1239801.5999999999</v>
      </c>
      <c r="P157" s="1135"/>
    </row>
    <row r="158" spans="2:16" x14ac:dyDescent="0.3">
      <c r="B158" s="1132"/>
      <c r="C158" s="32"/>
      <c r="D158" s="118" t="s">
        <v>61</v>
      </c>
      <c r="E158" s="98">
        <v>0</v>
      </c>
      <c r="F158" s="4">
        <f t="shared" ref="F158:F161" si="109">+G158+H158</f>
        <v>0</v>
      </c>
      <c r="G158" s="4">
        <v>0</v>
      </c>
      <c r="H158" s="8">
        <v>0</v>
      </c>
      <c r="I158" s="6">
        <f t="shared" ref="I158:I162" si="110">J158+K158</f>
        <v>0</v>
      </c>
      <c r="J158" s="4">
        <f>G158+J93</f>
        <v>0</v>
      </c>
      <c r="K158" s="4">
        <f>H158+K93</f>
        <v>0</v>
      </c>
      <c r="L158" s="33" t="e">
        <f t="shared" ref="L158" si="111">+J158/E158</f>
        <v>#DIV/0!</v>
      </c>
      <c r="M158" s="105">
        <v>12.029500000000001</v>
      </c>
      <c r="N158" s="34">
        <f>M158*G158</f>
        <v>0</v>
      </c>
      <c r="O158" s="87">
        <f t="shared" ref="O158:O160" si="112">M158*J158</f>
        <v>0</v>
      </c>
      <c r="P158" s="1134"/>
    </row>
    <row r="159" spans="2:16" x14ac:dyDescent="0.3">
      <c r="B159" s="1132"/>
      <c r="C159" s="35"/>
      <c r="D159" s="119" t="s">
        <v>62</v>
      </c>
      <c r="E159" s="99">
        <v>0</v>
      </c>
      <c r="F159" s="9">
        <f t="shared" si="109"/>
        <v>0</v>
      </c>
      <c r="G159" s="9">
        <v>0</v>
      </c>
      <c r="H159" s="10">
        <v>0</v>
      </c>
      <c r="I159" s="6">
        <f t="shared" si="110"/>
        <v>0</v>
      </c>
      <c r="J159" s="4">
        <f>G159+J94</f>
        <v>0</v>
      </c>
      <c r="K159" s="4">
        <f>H159+K94</f>
        <v>0</v>
      </c>
      <c r="L159" s="33"/>
      <c r="M159" s="106">
        <v>0</v>
      </c>
      <c r="N159" s="36"/>
      <c r="O159" s="88">
        <f t="shared" si="112"/>
        <v>0</v>
      </c>
      <c r="P159" s="1134"/>
    </row>
    <row r="160" spans="2:16" x14ac:dyDescent="0.3">
      <c r="B160" s="1132"/>
      <c r="C160" s="35"/>
      <c r="D160" s="119" t="s">
        <v>104</v>
      </c>
      <c r="E160" s="99">
        <v>0</v>
      </c>
      <c r="F160" s="9">
        <f t="shared" si="109"/>
        <v>0</v>
      </c>
      <c r="G160" s="9">
        <v>0</v>
      </c>
      <c r="H160" s="10">
        <v>0</v>
      </c>
      <c r="I160" s="6">
        <f t="shared" si="110"/>
        <v>0</v>
      </c>
      <c r="J160" s="4">
        <f t="shared" ref="J160:J162" si="113">G160+J95</f>
        <v>0</v>
      </c>
      <c r="K160" s="4">
        <f t="shared" ref="K160:K162" si="114">H160+K95</f>
        <v>0</v>
      </c>
      <c r="L160" s="33" t="e">
        <f t="shared" ref="L160:L162" si="115">+J160/E160</f>
        <v>#DIV/0!</v>
      </c>
      <c r="M160" s="106">
        <v>19.688600000000001</v>
      </c>
      <c r="N160" s="36">
        <f>M160*G160</f>
        <v>0</v>
      </c>
      <c r="O160" s="88">
        <f t="shared" si="112"/>
        <v>0</v>
      </c>
      <c r="P160" s="1134"/>
    </row>
    <row r="161" spans="2:16" x14ac:dyDescent="0.3">
      <c r="B161" s="1132"/>
      <c r="C161" s="35"/>
      <c r="D161" s="119" t="s">
        <v>64</v>
      </c>
      <c r="E161" s="99">
        <v>0</v>
      </c>
      <c r="F161" s="9">
        <f t="shared" si="109"/>
        <v>0</v>
      </c>
      <c r="G161" s="9">
        <v>0</v>
      </c>
      <c r="H161" s="10">
        <v>0</v>
      </c>
      <c r="I161" s="6">
        <f t="shared" si="110"/>
        <v>0</v>
      </c>
      <c r="J161" s="4">
        <f t="shared" si="113"/>
        <v>0</v>
      </c>
      <c r="K161" s="4">
        <f t="shared" si="114"/>
        <v>0</v>
      </c>
      <c r="L161" s="33" t="e">
        <f t="shared" si="115"/>
        <v>#DIV/0!</v>
      </c>
      <c r="M161" s="106">
        <v>1.2824</v>
      </c>
      <c r="N161" s="151">
        <f>M161*G161</f>
        <v>0</v>
      </c>
      <c r="O161" s="88">
        <f>M161*J161</f>
        <v>0</v>
      </c>
      <c r="P161" s="1134"/>
    </row>
    <row r="162" spans="2:16" ht="15" thickBot="1" x14ac:dyDescent="0.35">
      <c r="B162" s="1132"/>
      <c r="C162" s="82"/>
      <c r="D162" s="120" t="s">
        <v>63</v>
      </c>
      <c r="E162" s="108">
        <v>0</v>
      </c>
      <c r="F162" s="12">
        <v>0</v>
      </c>
      <c r="G162" s="12">
        <v>0</v>
      </c>
      <c r="H162" s="13">
        <v>0</v>
      </c>
      <c r="I162" s="21">
        <f t="shared" si="110"/>
        <v>0</v>
      </c>
      <c r="J162" s="4">
        <f t="shared" si="113"/>
        <v>0</v>
      </c>
      <c r="K162" s="4">
        <f t="shared" si="114"/>
        <v>0</v>
      </c>
      <c r="L162" s="81" t="e">
        <f t="shared" si="115"/>
        <v>#DIV/0!</v>
      </c>
      <c r="M162" s="107">
        <v>18.2316</v>
      </c>
      <c r="N162" s="75"/>
      <c r="O162" s="89">
        <f t="shared" ref="O162" si="116">M162*J162</f>
        <v>0</v>
      </c>
      <c r="P162" s="1136"/>
    </row>
    <row r="163" spans="2:16" ht="15" thickBot="1" x14ac:dyDescent="0.35">
      <c r="B163" s="1116" t="s">
        <v>112</v>
      </c>
      <c r="C163" s="1117"/>
      <c r="D163" s="1117"/>
      <c r="E163" s="124"/>
      <c r="F163" s="125">
        <f>+G163+H163</f>
        <v>0</v>
      </c>
      <c r="G163" s="125">
        <f>SUM(G158:G162)</f>
        <v>0</v>
      </c>
      <c r="H163" s="126">
        <f>SUM(H158:H162)</f>
        <v>0</v>
      </c>
      <c r="I163" s="121">
        <f>J163+K163</f>
        <v>0</v>
      </c>
      <c r="J163" s="122">
        <f>SUM(J158:J162)</f>
        <v>0</v>
      </c>
      <c r="K163" s="123">
        <f>SUM(K158:K162)</f>
        <v>0</v>
      </c>
      <c r="L163" s="138"/>
      <c r="M163" s="139"/>
      <c r="N163" s="140"/>
      <c r="O163" s="141">
        <f>SUM(O158:O162)</f>
        <v>0</v>
      </c>
      <c r="P163" s="170"/>
    </row>
    <row r="164" spans="2:16" ht="15" thickBot="1" x14ac:dyDescent="0.35">
      <c r="B164" s="1116" t="s">
        <v>105</v>
      </c>
      <c r="C164" s="1117"/>
      <c r="D164" s="1117"/>
      <c r="E164" s="1139"/>
      <c r="F164" s="1139"/>
      <c r="G164" s="1139"/>
      <c r="H164" s="1139"/>
      <c r="I164" s="1117"/>
      <c r="J164" s="1117"/>
      <c r="K164" s="1117"/>
      <c r="L164" s="1117"/>
      <c r="M164" s="1117"/>
      <c r="N164" s="1140"/>
      <c r="O164" s="83">
        <f>O157+O163</f>
        <v>1239801.5999999999</v>
      </c>
      <c r="P164" s="170"/>
    </row>
    <row r="165" spans="2:16" x14ac:dyDescent="0.3">
      <c r="B165" s="1131" t="s">
        <v>65</v>
      </c>
      <c r="C165" s="37" t="s">
        <v>66</v>
      </c>
      <c r="D165" s="28" t="s">
        <v>67</v>
      </c>
      <c r="E165" s="38">
        <v>0</v>
      </c>
      <c r="F165" s="14">
        <f>+G165+H165</f>
        <v>0</v>
      </c>
      <c r="G165" s="14">
        <v>0</v>
      </c>
      <c r="H165" s="5">
        <v>0</v>
      </c>
      <c r="I165" s="17">
        <f t="shared" ref="I165:I171" si="117">J165+K165</f>
        <v>0</v>
      </c>
      <c r="J165" s="4">
        <f>G165+J100</f>
        <v>0</v>
      </c>
      <c r="K165" s="4">
        <f>H165+K100</f>
        <v>0</v>
      </c>
      <c r="L165" s="30" t="e">
        <f>+J165/E165</f>
        <v>#DIV/0!</v>
      </c>
      <c r="M165" s="146">
        <v>2.2141000000000002</v>
      </c>
      <c r="N165" s="15">
        <f>+M165*G165</f>
        <v>0</v>
      </c>
      <c r="O165" s="90">
        <f>+M165*J165</f>
        <v>0</v>
      </c>
      <c r="P165" s="1142"/>
    </row>
    <row r="166" spans="2:16" x14ac:dyDescent="0.3">
      <c r="B166" s="1132"/>
      <c r="C166" s="39"/>
      <c r="D166" s="22" t="s">
        <v>68</v>
      </c>
      <c r="E166" s="3">
        <v>0</v>
      </c>
      <c r="F166" s="9">
        <f t="shared" ref="F166:F171" si="118">+G166+H166</f>
        <v>0</v>
      </c>
      <c r="G166" s="4">
        <v>0</v>
      </c>
      <c r="H166" s="8">
        <v>0</v>
      </c>
      <c r="I166" s="6">
        <f t="shared" si="117"/>
        <v>0</v>
      </c>
      <c r="J166" s="4">
        <f>+G166+J101</f>
        <v>0</v>
      </c>
      <c r="K166" s="4">
        <f>+H166+K101</f>
        <v>0</v>
      </c>
      <c r="L166" s="40" t="e">
        <f t="shared" ref="L166:L167" si="119">+J166/E166</f>
        <v>#DIV/0!</v>
      </c>
      <c r="M166" s="145">
        <v>2.4565999999999999</v>
      </c>
      <c r="N166" s="11">
        <f t="shared" ref="N166:N168" si="120">+M166*G166</f>
        <v>0</v>
      </c>
      <c r="O166" s="91">
        <f t="shared" ref="O166:O168" si="121">+M166*J166</f>
        <v>0</v>
      </c>
      <c r="P166" s="1143"/>
    </row>
    <row r="167" spans="2:16" x14ac:dyDescent="0.3">
      <c r="B167" s="1132"/>
      <c r="C167" s="39"/>
      <c r="D167" s="23" t="s">
        <v>133</v>
      </c>
      <c r="E167" s="3">
        <v>0</v>
      </c>
      <c r="F167" s="9">
        <f t="shared" si="118"/>
        <v>0</v>
      </c>
      <c r="G167" s="4">
        <v>0</v>
      </c>
      <c r="H167" s="8">
        <v>0</v>
      </c>
      <c r="I167" s="6">
        <f t="shared" si="117"/>
        <v>0</v>
      </c>
      <c r="J167" s="4">
        <f t="shared" ref="J167:J171" si="122">+G167+J102</f>
        <v>0</v>
      </c>
      <c r="K167" s="4">
        <f t="shared" ref="K167:K171" si="123">+H167+K102</f>
        <v>0</v>
      </c>
      <c r="L167" s="40" t="e">
        <f t="shared" si="119"/>
        <v>#DIV/0!</v>
      </c>
      <c r="M167" s="145">
        <v>2.2907000000000002</v>
      </c>
      <c r="N167" s="11">
        <f t="shared" si="120"/>
        <v>0</v>
      </c>
      <c r="O167" s="91">
        <f t="shared" si="121"/>
        <v>0</v>
      </c>
      <c r="P167" s="1143"/>
    </row>
    <row r="168" spans="2:16" x14ac:dyDescent="0.3">
      <c r="B168" s="1132"/>
      <c r="C168" s="39"/>
      <c r="D168" s="22" t="s">
        <v>138</v>
      </c>
      <c r="E168" s="3"/>
      <c r="F168" s="9">
        <f t="shared" si="118"/>
        <v>0</v>
      </c>
      <c r="G168" s="4">
        <v>0</v>
      </c>
      <c r="H168" s="8">
        <v>0</v>
      </c>
      <c r="I168" s="6">
        <f t="shared" si="117"/>
        <v>0</v>
      </c>
      <c r="J168" s="4">
        <f t="shared" si="122"/>
        <v>0</v>
      </c>
      <c r="K168" s="4">
        <f t="shared" si="123"/>
        <v>0</v>
      </c>
      <c r="L168" s="33"/>
      <c r="M168" s="150">
        <v>2.544</v>
      </c>
      <c r="N168" s="11">
        <f t="shared" si="120"/>
        <v>0</v>
      </c>
      <c r="O168" s="91">
        <f t="shared" si="121"/>
        <v>0</v>
      </c>
      <c r="P168" s="1143"/>
    </row>
    <row r="169" spans="2:16" x14ac:dyDescent="0.3">
      <c r="B169" s="1132"/>
      <c r="C169" s="39" t="s">
        <v>69</v>
      </c>
      <c r="D169" s="22" t="s">
        <v>140</v>
      </c>
      <c r="E169" s="3">
        <v>0</v>
      </c>
      <c r="F169" s="9">
        <f t="shared" si="118"/>
        <v>0</v>
      </c>
      <c r="G169" s="4">
        <v>0</v>
      </c>
      <c r="H169" s="8">
        <v>0</v>
      </c>
      <c r="I169" s="6">
        <f t="shared" si="117"/>
        <v>40072</v>
      </c>
      <c r="J169" s="4">
        <f t="shared" si="122"/>
        <v>38500</v>
      </c>
      <c r="K169" s="4">
        <f t="shared" si="123"/>
        <v>1572</v>
      </c>
      <c r="L169" s="33" t="e">
        <f>+J169/E169</f>
        <v>#DIV/0!</v>
      </c>
      <c r="M169" s="144">
        <v>2.2141000000000002</v>
      </c>
      <c r="N169" s="7">
        <f>+M169*G169</f>
        <v>0</v>
      </c>
      <c r="O169" s="85">
        <f>+M169*J169</f>
        <v>85242.85</v>
      </c>
      <c r="P169" s="1143"/>
    </row>
    <row r="170" spans="2:16" x14ac:dyDescent="0.3">
      <c r="B170" s="1132"/>
      <c r="C170" s="39"/>
      <c r="D170" s="22" t="s">
        <v>68</v>
      </c>
      <c r="E170" s="3">
        <v>0</v>
      </c>
      <c r="F170" s="9">
        <f t="shared" si="118"/>
        <v>0</v>
      </c>
      <c r="G170" s="4">
        <v>0</v>
      </c>
      <c r="H170" s="8">
        <v>0</v>
      </c>
      <c r="I170" s="6">
        <f t="shared" si="117"/>
        <v>0</v>
      </c>
      <c r="J170" s="4">
        <f t="shared" si="122"/>
        <v>0</v>
      </c>
      <c r="K170" s="4">
        <f t="shared" si="123"/>
        <v>0</v>
      </c>
      <c r="L170" s="40" t="e">
        <f t="shared" ref="L170:L171" si="124">+J170/E170</f>
        <v>#DIV/0!</v>
      </c>
      <c r="M170" s="145">
        <v>2.4565999999999999</v>
      </c>
      <c r="N170" s="11">
        <f t="shared" ref="N170:N171" si="125">+M170*G170</f>
        <v>0</v>
      </c>
      <c r="O170" s="91">
        <f t="shared" ref="O170" si="126">+M170*J170</f>
        <v>0</v>
      </c>
      <c r="P170" s="1143"/>
    </row>
    <row r="171" spans="2:16" ht="15" thickBot="1" x14ac:dyDescent="0.35">
      <c r="B171" s="1132"/>
      <c r="C171" s="39"/>
      <c r="D171" s="22" t="s">
        <v>133</v>
      </c>
      <c r="E171" s="3">
        <v>0</v>
      </c>
      <c r="F171" s="9">
        <f t="shared" si="118"/>
        <v>0</v>
      </c>
      <c r="G171" s="4">
        <v>0</v>
      </c>
      <c r="H171" s="8">
        <v>0</v>
      </c>
      <c r="I171" s="6">
        <f t="shared" si="117"/>
        <v>0</v>
      </c>
      <c r="J171" s="4">
        <f t="shared" si="122"/>
        <v>0</v>
      </c>
      <c r="K171" s="4">
        <f t="shared" si="123"/>
        <v>0</v>
      </c>
      <c r="L171" s="40" t="e">
        <f t="shared" si="124"/>
        <v>#DIV/0!</v>
      </c>
      <c r="M171" s="145">
        <v>2.2907000000000002</v>
      </c>
      <c r="N171" s="11">
        <f t="shared" si="125"/>
        <v>0</v>
      </c>
      <c r="O171" s="154">
        <f>+M171*J171</f>
        <v>0</v>
      </c>
      <c r="P171" s="1144"/>
    </row>
    <row r="172" spans="2:16" ht="15" thickBot="1" x14ac:dyDescent="0.35">
      <c r="B172" s="1132"/>
      <c r="C172" s="41" t="s">
        <v>29</v>
      </c>
      <c r="D172" s="27" t="str">
        <f>+C172</f>
        <v>TOTAL 1/2</v>
      </c>
      <c r="E172" s="42">
        <f>SUM(E165:E171)</f>
        <v>0</v>
      </c>
      <c r="F172" s="43">
        <f>SUM(F165:F171)</f>
        <v>0</v>
      </c>
      <c r="G172" s="43">
        <f>SUM(G165:G171)</f>
        <v>0</v>
      </c>
      <c r="H172" s="44">
        <f>SUM(H165:H171)</f>
        <v>0</v>
      </c>
      <c r="I172" s="45">
        <f>SUM(I169:I171)</f>
        <v>40072</v>
      </c>
      <c r="J172" s="43">
        <f>SUM(J165:J171)</f>
        <v>38500</v>
      </c>
      <c r="K172" s="43">
        <f>SUM(K165:K171)</f>
        <v>1572</v>
      </c>
      <c r="L172" s="46" t="e">
        <f>+J172/E172</f>
        <v>#DIV/0!</v>
      </c>
      <c r="M172" s="47"/>
      <c r="N172" s="48">
        <f>SUM(N169:N171)</f>
        <v>0</v>
      </c>
      <c r="O172" s="49">
        <f>SUM(O165:O171)</f>
        <v>85242.85</v>
      </c>
      <c r="P172" s="168"/>
    </row>
    <row r="173" spans="2:16" x14ac:dyDescent="0.3">
      <c r="B173" s="1132"/>
      <c r="C173" s="1145" t="s">
        <v>70</v>
      </c>
      <c r="D173" s="22" t="s">
        <v>67</v>
      </c>
      <c r="E173" s="3">
        <v>0</v>
      </c>
      <c r="F173" s="4">
        <f>G173+H173</f>
        <v>0</v>
      </c>
      <c r="G173" s="4">
        <v>0</v>
      </c>
      <c r="H173" s="8">
        <v>0</v>
      </c>
      <c r="I173" s="16">
        <f>J173+K173</f>
        <v>109220</v>
      </c>
      <c r="J173" s="4">
        <f>G173+J108</f>
        <v>105750</v>
      </c>
      <c r="K173" s="4">
        <f>H173+K108</f>
        <v>3470</v>
      </c>
      <c r="L173" s="50" t="e">
        <f>+J173/E173</f>
        <v>#DIV/0!</v>
      </c>
      <c r="M173" s="144">
        <v>4.1712999999999996</v>
      </c>
      <c r="N173" s="7">
        <f>+M173*G173</f>
        <v>0</v>
      </c>
      <c r="O173" s="93">
        <f>+M173*J173</f>
        <v>441114.97499999998</v>
      </c>
      <c r="P173" s="1142"/>
    </row>
    <row r="174" spans="2:16" x14ac:dyDescent="0.3">
      <c r="B174" s="1132"/>
      <c r="C174" s="1146"/>
      <c r="D174" s="22" t="s">
        <v>68</v>
      </c>
      <c r="E174" s="3">
        <v>0</v>
      </c>
      <c r="F174" s="4">
        <f>G174+H174</f>
        <v>61600</v>
      </c>
      <c r="G174" s="4">
        <v>60000</v>
      </c>
      <c r="H174" s="8">
        <v>1600</v>
      </c>
      <c r="I174" s="6">
        <f>+R1218+F174</f>
        <v>61600</v>
      </c>
      <c r="J174" s="4">
        <f>G174+J109</f>
        <v>60000</v>
      </c>
      <c r="K174" s="4">
        <f>H174+K109</f>
        <v>1600</v>
      </c>
      <c r="L174" s="51" t="e">
        <f t="shared" ref="L174:L178" si="127">+J174/E174</f>
        <v>#DIV/0!</v>
      </c>
      <c r="M174" s="145">
        <v>4.8285999999999998</v>
      </c>
      <c r="N174" s="11">
        <f t="shared" ref="N174:N176" si="128">+M174*G174</f>
        <v>289716</v>
      </c>
      <c r="O174" s="94">
        <f t="shared" ref="O174:O176" si="129">+M174*J174</f>
        <v>289716</v>
      </c>
      <c r="P174" s="1143"/>
    </row>
    <row r="175" spans="2:16" x14ac:dyDescent="0.3">
      <c r="B175" s="1132"/>
      <c r="C175" s="1146"/>
      <c r="D175" s="22" t="s">
        <v>134</v>
      </c>
      <c r="E175" s="3"/>
      <c r="F175" s="4">
        <f>G175+H175</f>
        <v>0</v>
      </c>
      <c r="G175" s="4">
        <v>0</v>
      </c>
      <c r="H175" s="8">
        <v>0</v>
      </c>
      <c r="I175" s="6">
        <f>+R1219+F175</f>
        <v>0</v>
      </c>
      <c r="J175" s="4">
        <f t="shared" ref="J175:J176" si="130">G175+J110</f>
        <v>0</v>
      </c>
      <c r="K175" s="4">
        <f t="shared" ref="K175:K176" si="131">H175+K110</f>
        <v>0</v>
      </c>
      <c r="L175" s="51" t="e">
        <f t="shared" si="127"/>
        <v>#DIV/0!</v>
      </c>
      <c r="M175" s="144">
        <v>4.5023</v>
      </c>
      <c r="N175" s="11">
        <f t="shared" si="128"/>
        <v>0</v>
      </c>
      <c r="O175" s="94">
        <f t="shared" si="129"/>
        <v>0</v>
      </c>
      <c r="P175" s="1143"/>
    </row>
    <row r="176" spans="2:16" ht="15" thickBot="1" x14ac:dyDescent="0.35">
      <c r="B176" s="1132"/>
      <c r="C176" s="1146"/>
      <c r="D176" s="22" t="s">
        <v>118</v>
      </c>
      <c r="E176" s="3">
        <v>0</v>
      </c>
      <c r="F176" s="4">
        <f t="shared" ref="F176" si="132">G176+H176</f>
        <v>0</v>
      </c>
      <c r="G176" s="4">
        <v>0</v>
      </c>
      <c r="H176" s="8">
        <v>0</v>
      </c>
      <c r="I176" s="6">
        <f>+R1219+F176</f>
        <v>0</v>
      </c>
      <c r="J176" s="4">
        <f t="shared" si="130"/>
        <v>0</v>
      </c>
      <c r="K176" s="4">
        <f t="shared" si="131"/>
        <v>0</v>
      </c>
      <c r="L176" s="51" t="e">
        <f t="shared" si="127"/>
        <v>#DIV/0!</v>
      </c>
      <c r="M176" s="144">
        <v>4.4065000000000003</v>
      </c>
      <c r="N176" s="11">
        <f t="shared" si="128"/>
        <v>0</v>
      </c>
      <c r="O176" s="94">
        <f t="shared" si="129"/>
        <v>0</v>
      </c>
      <c r="P176" s="1143"/>
    </row>
    <row r="177" spans="2:16" ht="15" thickBot="1" x14ac:dyDescent="0.35">
      <c r="B177" s="1132"/>
      <c r="C177" s="41" t="s">
        <v>31</v>
      </c>
      <c r="D177" s="18" t="str">
        <f>+C177</f>
        <v>TOTAL 4/4</v>
      </c>
      <c r="E177" s="42">
        <f t="shared" ref="E177:K177" si="133">SUM(E173:E176)</f>
        <v>0</v>
      </c>
      <c r="F177" s="43">
        <f t="shared" si="133"/>
        <v>61600</v>
      </c>
      <c r="G177" s="43">
        <f t="shared" si="133"/>
        <v>60000</v>
      </c>
      <c r="H177" s="44">
        <f t="shared" si="133"/>
        <v>1600</v>
      </c>
      <c r="I177" s="45">
        <f t="shared" si="133"/>
        <v>170820</v>
      </c>
      <c r="J177" s="43">
        <f t="shared" si="133"/>
        <v>165750</v>
      </c>
      <c r="K177" s="43">
        <f t="shared" si="133"/>
        <v>5070</v>
      </c>
      <c r="L177" s="46" t="e">
        <f t="shared" si="127"/>
        <v>#DIV/0!</v>
      </c>
      <c r="M177" s="47"/>
      <c r="N177" s="48">
        <f>SUM(N173:N176)</f>
        <v>289716</v>
      </c>
      <c r="O177" s="92">
        <f>SUM(O173:O176)</f>
        <v>730830.97499999998</v>
      </c>
      <c r="P177" s="1144"/>
    </row>
    <row r="178" spans="2:16" ht="15" thickBot="1" x14ac:dyDescent="0.35">
      <c r="B178" s="1141"/>
      <c r="C178" s="41" t="s">
        <v>71</v>
      </c>
      <c r="D178" s="27" t="s">
        <v>67</v>
      </c>
      <c r="E178" s="25">
        <v>0</v>
      </c>
      <c r="F178" s="20">
        <f>G178+H178</f>
        <v>0</v>
      </c>
      <c r="G178" s="20">
        <v>0</v>
      </c>
      <c r="H178" s="24">
        <v>0</v>
      </c>
      <c r="I178" s="19">
        <f>J178+K178</f>
        <v>0</v>
      </c>
      <c r="J178" s="4">
        <f>G178+J113</f>
        <v>0</v>
      </c>
      <c r="K178" s="4">
        <f>H178+K113</f>
        <v>0</v>
      </c>
      <c r="L178" s="52" t="e">
        <f t="shared" si="127"/>
        <v>#DIV/0!</v>
      </c>
      <c r="M178" s="149">
        <v>1.4086000000000001</v>
      </c>
      <c r="N178" s="26">
        <f t="shared" ref="N178" si="134">+M178*G178</f>
        <v>0</v>
      </c>
      <c r="O178" s="95">
        <f t="shared" ref="O178" si="135">+M178*J178</f>
        <v>0</v>
      </c>
      <c r="P178" s="53"/>
    </row>
    <row r="179" spans="2:16" ht="15" thickBot="1" x14ac:dyDescent="0.35">
      <c r="B179" s="1116" t="s">
        <v>102</v>
      </c>
      <c r="C179" s="1117"/>
      <c r="D179" s="1117"/>
      <c r="E179" s="1117"/>
      <c r="F179" s="1117"/>
      <c r="G179" s="1117"/>
      <c r="H179" s="1117"/>
      <c r="I179" s="110">
        <f>J179+K179</f>
        <v>210892</v>
      </c>
      <c r="J179" s="110">
        <f>J172+J177+J178</f>
        <v>204250</v>
      </c>
      <c r="K179" s="110">
        <f>K172+K177+K178</f>
        <v>6642</v>
      </c>
      <c r="L179" s="111"/>
      <c r="M179" s="112"/>
      <c r="N179" s="109"/>
      <c r="O179" s="77">
        <f>+O178+O177+O172</f>
        <v>816073.82499999995</v>
      </c>
      <c r="P179" s="84"/>
    </row>
    <row r="180" spans="2:16" x14ac:dyDescent="0.3">
      <c r="B180" s="1118" t="s">
        <v>72</v>
      </c>
      <c r="C180" s="1121" t="s">
        <v>73</v>
      </c>
      <c r="D180" s="54" t="s">
        <v>74</v>
      </c>
      <c r="E180" s="55">
        <v>0</v>
      </c>
      <c r="F180" s="56">
        <f>G180+H180</f>
        <v>0</v>
      </c>
      <c r="G180" s="56">
        <v>0</v>
      </c>
      <c r="H180" s="57">
        <v>0</v>
      </c>
      <c r="I180" s="78">
        <f>J180+K180</f>
        <v>0</v>
      </c>
      <c r="J180" s="4">
        <f>G180+J115</f>
        <v>0</v>
      </c>
      <c r="K180" s="4">
        <f>H180+K115</f>
        <v>0</v>
      </c>
      <c r="L180" s="58" t="e">
        <f t="shared" ref="L180" si="136">+J180/E180</f>
        <v>#DIV/0!</v>
      </c>
      <c r="M180" s="59">
        <v>32.946300000000001</v>
      </c>
      <c r="N180" s="60">
        <f>+M180*G180</f>
        <v>0</v>
      </c>
      <c r="O180" s="60">
        <f>M180*J180</f>
        <v>0</v>
      </c>
      <c r="P180" s="1123"/>
    </row>
    <row r="181" spans="2:16" x14ac:dyDescent="0.3">
      <c r="B181" s="1119"/>
      <c r="C181" s="1122"/>
      <c r="D181" s="61" t="s">
        <v>75</v>
      </c>
      <c r="E181" s="62">
        <v>0</v>
      </c>
      <c r="F181" s="63">
        <f>G181+H181</f>
        <v>0</v>
      </c>
      <c r="G181" s="63">
        <v>0</v>
      </c>
      <c r="H181" s="64">
        <v>0</v>
      </c>
      <c r="I181" s="79">
        <f>J181+K181</f>
        <v>0</v>
      </c>
      <c r="J181" s="4">
        <f>G181+J116</f>
        <v>0</v>
      </c>
      <c r="K181" s="4">
        <f>H181+K116</f>
        <v>0</v>
      </c>
      <c r="L181" s="65" t="e">
        <f>+J181/E181</f>
        <v>#DIV/0!</v>
      </c>
      <c r="M181" s="66">
        <v>35.398400000000002</v>
      </c>
      <c r="N181" s="67">
        <f>+M181*G181</f>
        <v>0</v>
      </c>
      <c r="O181" s="67">
        <f>M181*J181</f>
        <v>0</v>
      </c>
      <c r="P181" s="1124"/>
    </row>
    <row r="182" spans="2:16" x14ac:dyDescent="0.3">
      <c r="B182" s="1119"/>
      <c r="C182" s="1122"/>
      <c r="D182" s="61" t="s">
        <v>76</v>
      </c>
      <c r="E182" s="62">
        <v>0</v>
      </c>
      <c r="F182" s="63">
        <f t="shared" ref="F182:F185" si="137">G182+H182</f>
        <v>0</v>
      </c>
      <c r="G182" s="63">
        <v>0</v>
      </c>
      <c r="H182" s="64">
        <v>0</v>
      </c>
      <c r="I182" s="79">
        <f t="shared" ref="I182:I191" si="138">J182+K182</f>
        <v>0</v>
      </c>
      <c r="J182" s="4">
        <f t="shared" ref="J182:J207" si="139">G182+J117</f>
        <v>0</v>
      </c>
      <c r="K182" s="4">
        <f t="shared" ref="K182:K186" si="140">H182+K117</f>
        <v>0</v>
      </c>
      <c r="L182" s="65" t="e">
        <f t="shared" ref="L182:L195" si="141">+J182/E182</f>
        <v>#DIV/0!</v>
      </c>
      <c r="M182" s="66">
        <v>32.946300000000001</v>
      </c>
      <c r="N182" s="67">
        <f t="shared" ref="N182:N202" si="142">+M182*G182</f>
        <v>0</v>
      </c>
      <c r="O182" s="67">
        <f t="shared" ref="O182:O190" si="143">M182*J182</f>
        <v>0</v>
      </c>
      <c r="P182" s="1124"/>
    </row>
    <row r="183" spans="2:16" x14ac:dyDescent="0.3">
      <c r="B183" s="1119"/>
      <c r="C183" s="1122" t="s">
        <v>77</v>
      </c>
      <c r="D183" s="61" t="s">
        <v>78</v>
      </c>
      <c r="E183" s="62">
        <v>0</v>
      </c>
      <c r="F183" s="63">
        <f t="shared" si="137"/>
        <v>0</v>
      </c>
      <c r="G183" s="63">
        <v>0</v>
      </c>
      <c r="H183" s="64">
        <v>0</v>
      </c>
      <c r="I183" s="79">
        <f t="shared" si="138"/>
        <v>4976</v>
      </c>
      <c r="J183" s="4">
        <f t="shared" si="139"/>
        <v>4800</v>
      </c>
      <c r="K183" s="4">
        <f t="shared" si="140"/>
        <v>176</v>
      </c>
      <c r="L183" s="65" t="e">
        <f t="shared" si="141"/>
        <v>#DIV/0!</v>
      </c>
      <c r="M183" s="66">
        <v>55.4758</v>
      </c>
      <c r="N183" s="67">
        <f t="shared" si="142"/>
        <v>0</v>
      </c>
      <c r="O183" s="67">
        <f t="shared" si="143"/>
        <v>266283.84000000003</v>
      </c>
      <c r="P183" s="1124"/>
    </row>
    <row r="184" spans="2:16" x14ac:dyDescent="0.3">
      <c r="B184" s="1119"/>
      <c r="C184" s="1122"/>
      <c r="D184" s="61" t="s">
        <v>141</v>
      </c>
      <c r="E184" s="62">
        <v>0</v>
      </c>
      <c r="F184" s="63">
        <f t="shared" si="137"/>
        <v>0</v>
      </c>
      <c r="G184" s="63">
        <v>0</v>
      </c>
      <c r="H184" s="64">
        <v>0</v>
      </c>
      <c r="I184" s="79">
        <f t="shared" si="138"/>
        <v>0</v>
      </c>
      <c r="J184" s="4">
        <f t="shared" si="139"/>
        <v>0</v>
      </c>
      <c r="K184" s="4">
        <f t="shared" si="140"/>
        <v>0</v>
      </c>
      <c r="L184" s="65" t="e">
        <f t="shared" si="141"/>
        <v>#DIV/0!</v>
      </c>
      <c r="M184" s="66">
        <v>53.515999999999998</v>
      </c>
      <c r="N184" s="67">
        <f t="shared" si="142"/>
        <v>0</v>
      </c>
      <c r="O184" s="67">
        <f t="shared" si="143"/>
        <v>0</v>
      </c>
      <c r="P184" s="1124"/>
    </row>
    <row r="185" spans="2:16" x14ac:dyDescent="0.3">
      <c r="B185" s="1119"/>
      <c r="C185" s="1122"/>
      <c r="D185" s="61" t="s">
        <v>75</v>
      </c>
      <c r="E185" s="62">
        <v>0</v>
      </c>
      <c r="F185" s="63">
        <f t="shared" si="137"/>
        <v>0</v>
      </c>
      <c r="G185" s="63">
        <v>0</v>
      </c>
      <c r="H185" s="64">
        <v>0</v>
      </c>
      <c r="I185" s="79">
        <f t="shared" si="138"/>
        <v>0</v>
      </c>
      <c r="J185" s="4">
        <f t="shared" si="139"/>
        <v>0</v>
      </c>
      <c r="K185" s="4">
        <f t="shared" si="140"/>
        <v>0</v>
      </c>
      <c r="L185" s="65" t="e">
        <f t="shared" si="141"/>
        <v>#DIV/0!</v>
      </c>
      <c r="M185" s="66">
        <v>58.836300000000001</v>
      </c>
      <c r="N185" s="67">
        <f t="shared" si="142"/>
        <v>0</v>
      </c>
      <c r="O185" s="67">
        <f t="shared" si="143"/>
        <v>0</v>
      </c>
      <c r="P185" s="1124"/>
    </row>
    <row r="186" spans="2:16" x14ac:dyDescent="0.3">
      <c r="B186" s="1119"/>
      <c r="C186" s="1126" t="s">
        <v>79</v>
      </c>
      <c r="D186" s="61" t="s">
        <v>80</v>
      </c>
      <c r="E186" s="62">
        <v>0</v>
      </c>
      <c r="F186" s="63">
        <f>G186+H186</f>
        <v>0</v>
      </c>
      <c r="G186" s="63">
        <v>0</v>
      </c>
      <c r="H186" s="64">
        <v>0</v>
      </c>
      <c r="I186" s="79">
        <f t="shared" si="138"/>
        <v>0</v>
      </c>
      <c r="J186" s="4">
        <f t="shared" si="139"/>
        <v>0</v>
      </c>
      <c r="K186" s="4">
        <f t="shared" si="140"/>
        <v>0</v>
      </c>
      <c r="L186" s="65" t="e">
        <f t="shared" si="141"/>
        <v>#DIV/0!</v>
      </c>
      <c r="M186" s="66">
        <v>25.687200000000001</v>
      </c>
      <c r="N186" s="67">
        <f t="shared" si="142"/>
        <v>0</v>
      </c>
      <c r="O186" s="67">
        <f t="shared" si="143"/>
        <v>0</v>
      </c>
      <c r="P186" s="1124"/>
    </row>
    <row r="187" spans="2:16" x14ac:dyDescent="0.3">
      <c r="B187" s="1119"/>
      <c r="C187" s="1127"/>
      <c r="D187" s="61" t="s">
        <v>124</v>
      </c>
      <c r="E187" s="62">
        <v>0</v>
      </c>
      <c r="F187" s="63">
        <f>G187+H187</f>
        <v>0</v>
      </c>
      <c r="G187" s="63">
        <v>0</v>
      </c>
      <c r="H187" s="64">
        <v>0</v>
      </c>
      <c r="I187" s="79">
        <f t="shared" si="138"/>
        <v>0</v>
      </c>
      <c r="J187" s="4">
        <f t="shared" si="139"/>
        <v>0</v>
      </c>
      <c r="K187" s="4">
        <f>H187+K122</f>
        <v>0</v>
      </c>
      <c r="L187" s="65" t="e">
        <f t="shared" si="141"/>
        <v>#DIV/0!</v>
      </c>
      <c r="M187" s="66">
        <v>25.033899999999999</v>
      </c>
      <c r="N187" s="67">
        <f t="shared" si="142"/>
        <v>0</v>
      </c>
      <c r="O187" s="67">
        <f t="shared" si="143"/>
        <v>0</v>
      </c>
      <c r="P187" s="1124"/>
    </row>
    <row r="188" spans="2:16" x14ac:dyDescent="0.3">
      <c r="B188" s="1119"/>
      <c r="C188" s="1126" t="s">
        <v>81</v>
      </c>
      <c r="D188" s="61" t="s">
        <v>82</v>
      </c>
      <c r="E188" s="62">
        <v>0</v>
      </c>
      <c r="F188" s="63">
        <f t="shared" ref="F188:F207" si="144">G188+H188</f>
        <v>2065</v>
      </c>
      <c r="G188" s="63">
        <v>2000</v>
      </c>
      <c r="H188" s="64">
        <v>65</v>
      </c>
      <c r="I188" s="79">
        <f t="shared" si="138"/>
        <v>2065</v>
      </c>
      <c r="J188" s="4">
        <f t="shared" si="139"/>
        <v>2000</v>
      </c>
      <c r="K188" s="4">
        <f t="shared" ref="K188:K207" si="145">H188+K123</f>
        <v>65</v>
      </c>
      <c r="L188" s="65" t="e">
        <f t="shared" si="141"/>
        <v>#DIV/0!</v>
      </c>
      <c r="M188" s="66">
        <v>41.992699999999999</v>
      </c>
      <c r="N188" s="67">
        <f t="shared" si="142"/>
        <v>83985.4</v>
      </c>
      <c r="O188" s="67">
        <f t="shared" si="143"/>
        <v>83985.4</v>
      </c>
      <c r="P188" s="1124"/>
    </row>
    <row r="189" spans="2:16" x14ac:dyDescent="0.3">
      <c r="B189" s="1119"/>
      <c r="C189" s="1127"/>
      <c r="D189" s="61" t="s">
        <v>75</v>
      </c>
      <c r="E189" s="62">
        <v>0</v>
      </c>
      <c r="F189" s="63">
        <f t="shared" si="144"/>
        <v>0</v>
      </c>
      <c r="G189" s="63">
        <v>0</v>
      </c>
      <c r="H189" s="64">
        <v>0</v>
      </c>
      <c r="I189" s="79">
        <f t="shared" si="138"/>
        <v>0</v>
      </c>
      <c r="J189" s="4">
        <f t="shared" si="139"/>
        <v>0</v>
      </c>
      <c r="K189" s="4">
        <f t="shared" si="145"/>
        <v>0</v>
      </c>
      <c r="L189" s="65" t="e">
        <f t="shared" si="141"/>
        <v>#DIV/0!</v>
      </c>
      <c r="M189" s="66">
        <v>42.283799999999999</v>
      </c>
      <c r="N189" s="67">
        <f t="shared" si="142"/>
        <v>0</v>
      </c>
      <c r="O189" s="67">
        <f t="shared" si="143"/>
        <v>0</v>
      </c>
      <c r="P189" s="1124"/>
    </row>
    <row r="190" spans="2:16" x14ac:dyDescent="0.3">
      <c r="B190" s="1119"/>
      <c r="C190" s="169" t="s">
        <v>83</v>
      </c>
      <c r="D190" s="61" t="s">
        <v>84</v>
      </c>
      <c r="E190" s="62">
        <v>0</v>
      </c>
      <c r="F190" s="63">
        <f t="shared" si="144"/>
        <v>0</v>
      </c>
      <c r="G190" s="63">
        <v>0</v>
      </c>
      <c r="H190" s="64">
        <v>0</v>
      </c>
      <c r="I190" s="79">
        <f t="shared" si="138"/>
        <v>0</v>
      </c>
      <c r="J190" s="4">
        <f t="shared" si="139"/>
        <v>0</v>
      </c>
      <c r="K190" s="4">
        <f t="shared" si="145"/>
        <v>0</v>
      </c>
      <c r="L190" s="65" t="e">
        <f t="shared" si="141"/>
        <v>#DIV/0!</v>
      </c>
      <c r="M190" s="66">
        <v>4.3535000000000004</v>
      </c>
      <c r="N190" s="67">
        <f t="shared" si="142"/>
        <v>0</v>
      </c>
      <c r="O190" s="67">
        <f t="shared" si="143"/>
        <v>0</v>
      </c>
      <c r="P190" s="1124"/>
    </row>
    <row r="191" spans="2:16" x14ac:dyDescent="0.3">
      <c r="B191" s="1119"/>
      <c r="C191" s="1122" t="s">
        <v>85</v>
      </c>
      <c r="D191" s="61" t="s">
        <v>80</v>
      </c>
      <c r="E191" s="62">
        <v>0</v>
      </c>
      <c r="F191" s="63">
        <f t="shared" si="144"/>
        <v>0</v>
      </c>
      <c r="G191" s="63">
        <v>0</v>
      </c>
      <c r="H191" s="64">
        <v>0</v>
      </c>
      <c r="I191" s="79">
        <f t="shared" si="138"/>
        <v>0</v>
      </c>
      <c r="J191" s="4">
        <f t="shared" si="139"/>
        <v>0</v>
      </c>
      <c r="K191" s="4">
        <f t="shared" si="145"/>
        <v>0</v>
      </c>
      <c r="L191" s="65" t="e">
        <f t="shared" si="141"/>
        <v>#DIV/0!</v>
      </c>
      <c r="M191" s="66">
        <v>4.6184000000000003</v>
      </c>
      <c r="N191" s="67">
        <f t="shared" si="142"/>
        <v>0</v>
      </c>
      <c r="O191" s="67">
        <f>M191*J191</f>
        <v>0</v>
      </c>
      <c r="P191" s="1124"/>
    </row>
    <row r="192" spans="2:16" x14ac:dyDescent="0.3">
      <c r="B192" s="1119"/>
      <c r="C192" s="1122"/>
      <c r="D192" s="61" t="s">
        <v>126</v>
      </c>
      <c r="E192" s="62">
        <v>0</v>
      </c>
      <c r="F192" s="63">
        <f t="shared" si="144"/>
        <v>0</v>
      </c>
      <c r="G192" s="63">
        <v>0</v>
      </c>
      <c r="H192" s="64">
        <v>0</v>
      </c>
      <c r="I192" s="79">
        <f>J192+K192</f>
        <v>0</v>
      </c>
      <c r="J192" s="4">
        <f t="shared" si="139"/>
        <v>0</v>
      </c>
      <c r="K192" s="4">
        <f t="shared" si="145"/>
        <v>0</v>
      </c>
      <c r="L192" s="65" t="e">
        <f t="shared" si="141"/>
        <v>#DIV/0!</v>
      </c>
      <c r="M192" s="153">
        <v>4.6184000000000003</v>
      </c>
      <c r="N192" s="67">
        <f t="shared" si="142"/>
        <v>0</v>
      </c>
      <c r="O192" s="67">
        <f>M192*J192</f>
        <v>0</v>
      </c>
      <c r="P192" s="1124"/>
    </row>
    <row r="193" spans="2:16" x14ac:dyDescent="0.3">
      <c r="B193" s="1119"/>
      <c r="C193" s="1122"/>
      <c r="D193" s="61" t="s">
        <v>130</v>
      </c>
      <c r="E193" s="62">
        <v>0</v>
      </c>
      <c r="F193" s="63">
        <f t="shared" si="144"/>
        <v>0</v>
      </c>
      <c r="G193" s="63">
        <v>0</v>
      </c>
      <c r="H193" s="64">
        <v>0</v>
      </c>
      <c r="I193" s="79">
        <f t="shared" ref="I193:I207" si="146">J193+K193</f>
        <v>0</v>
      </c>
      <c r="J193" s="4">
        <f t="shared" si="139"/>
        <v>0</v>
      </c>
      <c r="K193" s="4">
        <f t="shared" si="145"/>
        <v>0</v>
      </c>
      <c r="L193" s="65" t="e">
        <f t="shared" si="141"/>
        <v>#DIV/0!</v>
      </c>
      <c r="M193" s="153">
        <v>4.6184000000000003</v>
      </c>
      <c r="N193" s="67">
        <f t="shared" si="142"/>
        <v>0</v>
      </c>
      <c r="O193" s="67">
        <f t="shared" ref="O193:O198" si="147">M193*J193</f>
        <v>0</v>
      </c>
      <c r="P193" s="1124"/>
    </row>
    <row r="194" spans="2:16" x14ac:dyDescent="0.3">
      <c r="B194" s="1119"/>
      <c r="C194" s="1122"/>
      <c r="D194" s="61" t="s">
        <v>131</v>
      </c>
      <c r="E194" s="62">
        <v>0</v>
      </c>
      <c r="F194" s="63">
        <f t="shared" si="144"/>
        <v>20600</v>
      </c>
      <c r="G194" s="63">
        <v>19600</v>
      </c>
      <c r="H194" s="64">
        <v>1000</v>
      </c>
      <c r="I194" s="79">
        <f t="shared" si="146"/>
        <v>64869</v>
      </c>
      <c r="J194" s="4">
        <f t="shared" si="139"/>
        <v>62500</v>
      </c>
      <c r="K194" s="4">
        <f t="shared" si="145"/>
        <v>2369</v>
      </c>
      <c r="L194" s="65" t="e">
        <f t="shared" si="141"/>
        <v>#DIV/0!</v>
      </c>
      <c r="M194" s="153">
        <v>4.7636000000000003</v>
      </c>
      <c r="N194" s="67">
        <f t="shared" si="142"/>
        <v>93366.560000000012</v>
      </c>
      <c r="O194" s="67">
        <f t="shared" si="147"/>
        <v>297725</v>
      </c>
      <c r="P194" s="1124"/>
    </row>
    <row r="195" spans="2:16" x14ac:dyDescent="0.3">
      <c r="B195" s="1119"/>
      <c r="C195" s="1122"/>
      <c r="D195" s="61" t="s">
        <v>86</v>
      </c>
      <c r="E195" s="62">
        <v>0</v>
      </c>
      <c r="F195" s="63">
        <f t="shared" si="144"/>
        <v>0</v>
      </c>
      <c r="G195" s="63">
        <v>0</v>
      </c>
      <c r="H195" s="64">
        <v>0</v>
      </c>
      <c r="I195" s="79">
        <f t="shared" si="146"/>
        <v>0</v>
      </c>
      <c r="J195" s="4">
        <f t="shared" si="139"/>
        <v>0</v>
      </c>
      <c r="K195" s="4">
        <f t="shared" si="145"/>
        <v>0</v>
      </c>
      <c r="L195" s="65" t="e">
        <f t="shared" si="141"/>
        <v>#DIV/0!</v>
      </c>
      <c r="M195" s="66">
        <v>4.8738000000000001</v>
      </c>
      <c r="N195" s="67">
        <f t="shared" si="142"/>
        <v>0</v>
      </c>
      <c r="O195" s="67">
        <f t="shared" si="147"/>
        <v>0</v>
      </c>
      <c r="P195" s="1124"/>
    </row>
    <row r="196" spans="2:16" x14ac:dyDescent="0.3">
      <c r="B196" s="1119"/>
      <c r="C196" s="169" t="s">
        <v>135</v>
      </c>
      <c r="D196" s="61" t="s">
        <v>131</v>
      </c>
      <c r="E196" s="62"/>
      <c r="F196" s="63">
        <f t="shared" si="144"/>
        <v>0</v>
      </c>
      <c r="G196" s="63">
        <v>0</v>
      </c>
      <c r="H196" s="64">
        <v>0</v>
      </c>
      <c r="I196" s="79">
        <f t="shared" si="146"/>
        <v>0</v>
      </c>
      <c r="J196" s="4">
        <f t="shared" si="139"/>
        <v>0</v>
      </c>
      <c r="K196" s="4">
        <f t="shared" si="145"/>
        <v>0</v>
      </c>
      <c r="L196" s="65"/>
      <c r="M196" s="66">
        <v>4.8738000000000001</v>
      </c>
      <c r="N196" s="67">
        <f t="shared" si="142"/>
        <v>0</v>
      </c>
      <c r="O196" s="67">
        <f t="shared" si="147"/>
        <v>0</v>
      </c>
      <c r="P196" s="1124"/>
    </row>
    <row r="197" spans="2:16" x14ac:dyDescent="0.3">
      <c r="B197" s="1119"/>
      <c r="C197" s="1122" t="s">
        <v>87</v>
      </c>
      <c r="D197" s="61" t="s">
        <v>80</v>
      </c>
      <c r="E197" s="62">
        <v>0</v>
      </c>
      <c r="F197" s="63">
        <f t="shared" si="144"/>
        <v>31750</v>
      </c>
      <c r="G197" s="63">
        <v>31050</v>
      </c>
      <c r="H197" s="64">
        <v>700</v>
      </c>
      <c r="I197" s="79">
        <f t="shared" si="146"/>
        <v>76529</v>
      </c>
      <c r="J197" s="4">
        <f t="shared" si="139"/>
        <v>75550</v>
      </c>
      <c r="K197" s="4">
        <f t="shared" si="145"/>
        <v>979</v>
      </c>
      <c r="L197" s="65" t="e">
        <f t="shared" ref="L197:L207" si="148">+J197/E197</f>
        <v>#DIV/0!</v>
      </c>
      <c r="M197" s="66">
        <v>4.9344999999999999</v>
      </c>
      <c r="N197" s="67">
        <f t="shared" si="142"/>
        <v>153216.22500000001</v>
      </c>
      <c r="O197" s="67">
        <f t="shared" si="147"/>
        <v>372801.47499999998</v>
      </c>
      <c r="P197" s="1124"/>
    </row>
    <row r="198" spans="2:16" x14ac:dyDescent="0.3">
      <c r="B198" s="1119"/>
      <c r="C198" s="1122"/>
      <c r="D198" s="61" t="s">
        <v>142</v>
      </c>
      <c r="E198" s="62"/>
      <c r="F198" s="63">
        <f t="shared" si="144"/>
        <v>0</v>
      </c>
      <c r="G198" s="63">
        <v>0</v>
      </c>
      <c r="H198" s="64">
        <v>0</v>
      </c>
      <c r="I198" s="79">
        <f t="shared" si="146"/>
        <v>0</v>
      </c>
      <c r="J198" s="4">
        <f t="shared" si="139"/>
        <v>0</v>
      </c>
      <c r="K198" s="4">
        <f t="shared" si="145"/>
        <v>0</v>
      </c>
      <c r="L198" s="65" t="e">
        <f t="shared" si="148"/>
        <v>#DIV/0!</v>
      </c>
      <c r="M198" s="66">
        <v>4.9344999999999999</v>
      </c>
      <c r="N198" s="67">
        <f t="shared" si="142"/>
        <v>0</v>
      </c>
      <c r="O198" s="67">
        <f t="shared" si="147"/>
        <v>0</v>
      </c>
      <c r="P198" s="1124"/>
    </row>
    <row r="199" spans="2:16" x14ac:dyDescent="0.3">
      <c r="B199" s="1119"/>
      <c r="C199" s="1122"/>
      <c r="D199" s="61" t="s">
        <v>136</v>
      </c>
      <c r="E199" s="62">
        <v>0</v>
      </c>
      <c r="F199" s="63">
        <f t="shared" si="144"/>
        <v>0</v>
      </c>
      <c r="G199" s="155">
        <v>0</v>
      </c>
      <c r="H199" s="156">
        <v>0</v>
      </c>
      <c r="I199" s="157">
        <f t="shared" si="146"/>
        <v>0</v>
      </c>
      <c r="J199" s="4">
        <f t="shared" si="139"/>
        <v>0</v>
      </c>
      <c r="K199" s="4">
        <f t="shared" si="145"/>
        <v>0</v>
      </c>
      <c r="L199" s="158" t="e">
        <f t="shared" si="148"/>
        <v>#DIV/0!</v>
      </c>
      <c r="M199" s="66">
        <v>4.9344999999999999</v>
      </c>
      <c r="N199" s="159">
        <f t="shared" si="142"/>
        <v>0</v>
      </c>
      <c r="O199" s="67">
        <f>M199*J199</f>
        <v>0</v>
      </c>
      <c r="P199" s="1124"/>
    </row>
    <row r="200" spans="2:16" x14ac:dyDescent="0.3">
      <c r="B200" s="1119"/>
      <c r="C200" s="1122" t="s">
        <v>88</v>
      </c>
      <c r="D200" s="61" t="s">
        <v>80</v>
      </c>
      <c r="E200" s="62">
        <v>0</v>
      </c>
      <c r="F200" s="63">
        <f t="shared" si="144"/>
        <v>21450</v>
      </c>
      <c r="G200" s="63">
        <v>18450</v>
      </c>
      <c r="H200" s="64">
        <v>3000</v>
      </c>
      <c r="I200" s="79">
        <f t="shared" si="146"/>
        <v>48023</v>
      </c>
      <c r="J200" s="4">
        <f t="shared" si="139"/>
        <v>43650</v>
      </c>
      <c r="K200" s="4">
        <f t="shared" si="145"/>
        <v>4373</v>
      </c>
      <c r="L200" s="65" t="e">
        <f t="shared" si="148"/>
        <v>#DIV/0!</v>
      </c>
      <c r="M200" s="148">
        <v>5.5069999999999997</v>
      </c>
      <c r="N200" s="67">
        <f t="shared" si="142"/>
        <v>101604.15</v>
      </c>
      <c r="O200" s="67">
        <f>M200*J200</f>
        <v>240380.55</v>
      </c>
      <c r="P200" s="1124"/>
    </row>
    <row r="201" spans="2:16" x14ac:dyDescent="0.3">
      <c r="B201" s="1119"/>
      <c r="C201" s="1122"/>
      <c r="D201" s="61" t="s">
        <v>119</v>
      </c>
      <c r="E201" s="62">
        <v>0</v>
      </c>
      <c r="F201" s="63">
        <f t="shared" si="144"/>
        <v>0</v>
      </c>
      <c r="G201" s="63">
        <v>0</v>
      </c>
      <c r="H201" s="64">
        <v>0</v>
      </c>
      <c r="I201" s="79">
        <f t="shared" si="146"/>
        <v>0</v>
      </c>
      <c r="J201" s="4">
        <f t="shared" si="139"/>
        <v>0</v>
      </c>
      <c r="K201" s="4">
        <f t="shared" si="145"/>
        <v>0</v>
      </c>
      <c r="L201" s="65" t="e">
        <f t="shared" si="148"/>
        <v>#DIV/0!</v>
      </c>
      <c r="M201" s="147">
        <v>5.6550000000000002</v>
      </c>
      <c r="N201" s="67">
        <f t="shared" si="142"/>
        <v>0</v>
      </c>
      <c r="O201" s="67">
        <f>M201*J201</f>
        <v>0</v>
      </c>
      <c r="P201" s="1124"/>
    </row>
    <row r="202" spans="2:16" x14ac:dyDescent="0.3">
      <c r="B202" s="1119"/>
      <c r="C202" s="1122"/>
      <c r="D202" s="61" t="s">
        <v>125</v>
      </c>
      <c r="E202" s="62">
        <v>0</v>
      </c>
      <c r="F202" s="63">
        <f t="shared" si="144"/>
        <v>0</v>
      </c>
      <c r="G202" s="63">
        <v>0</v>
      </c>
      <c r="H202" s="64">
        <v>0</v>
      </c>
      <c r="I202" s="79">
        <f t="shared" si="146"/>
        <v>0</v>
      </c>
      <c r="J202" s="4">
        <f t="shared" si="139"/>
        <v>0</v>
      </c>
      <c r="K202" s="4">
        <f t="shared" si="145"/>
        <v>0</v>
      </c>
      <c r="L202" s="65" t="e">
        <f t="shared" si="148"/>
        <v>#DIV/0!</v>
      </c>
      <c r="M202" s="152">
        <v>5.6550000000000002</v>
      </c>
      <c r="N202" s="67">
        <f t="shared" si="142"/>
        <v>0</v>
      </c>
      <c r="O202" s="67">
        <f>M202*J202</f>
        <v>0</v>
      </c>
      <c r="P202" s="1124"/>
    </row>
    <row r="203" spans="2:16" x14ac:dyDescent="0.3">
      <c r="B203" s="1119"/>
      <c r="C203" s="1122"/>
      <c r="D203" s="61" t="s">
        <v>128</v>
      </c>
      <c r="E203" s="62">
        <v>0</v>
      </c>
      <c r="F203" s="63">
        <f t="shared" si="144"/>
        <v>0</v>
      </c>
      <c r="G203" s="63">
        <v>0</v>
      </c>
      <c r="H203" s="64">
        <v>0</v>
      </c>
      <c r="I203" s="79">
        <f t="shared" si="146"/>
        <v>9700</v>
      </c>
      <c r="J203" s="4">
        <f t="shared" si="139"/>
        <v>8200</v>
      </c>
      <c r="K203" s="4">
        <f t="shared" si="145"/>
        <v>1500</v>
      </c>
      <c r="L203" s="65" t="e">
        <f t="shared" si="148"/>
        <v>#DIV/0!</v>
      </c>
      <c r="M203" s="66">
        <v>5.7885299999999997</v>
      </c>
      <c r="N203" s="67">
        <f>+M203*G203</f>
        <v>0</v>
      </c>
      <c r="O203" s="67">
        <f>M203*J203</f>
        <v>47465.945999999996</v>
      </c>
      <c r="P203" s="1124"/>
    </row>
    <row r="204" spans="2:16" x14ac:dyDescent="0.3">
      <c r="B204" s="1119"/>
      <c r="C204" s="1122"/>
      <c r="D204" s="61" t="s">
        <v>143</v>
      </c>
      <c r="E204" s="62">
        <v>0</v>
      </c>
      <c r="F204" s="63">
        <f t="shared" si="144"/>
        <v>0</v>
      </c>
      <c r="G204" s="63">
        <v>0</v>
      </c>
      <c r="H204" s="64">
        <v>0</v>
      </c>
      <c r="I204" s="79">
        <f t="shared" si="146"/>
        <v>0</v>
      </c>
      <c r="J204" s="4">
        <f t="shared" si="139"/>
        <v>0</v>
      </c>
      <c r="K204" s="4">
        <f t="shared" si="145"/>
        <v>0</v>
      </c>
      <c r="L204" s="65" t="e">
        <f t="shared" si="148"/>
        <v>#DIV/0!</v>
      </c>
      <c r="M204" s="152">
        <v>5.6550000000000002</v>
      </c>
      <c r="N204" s="67">
        <f t="shared" ref="N204:N206" si="149">+M204*G204</f>
        <v>0</v>
      </c>
      <c r="O204" s="67">
        <f t="shared" ref="O204:O207" si="150">M204*J204</f>
        <v>0</v>
      </c>
      <c r="P204" s="1124"/>
    </row>
    <row r="205" spans="2:16" x14ac:dyDescent="0.3">
      <c r="B205" s="1119"/>
      <c r="C205" s="169" t="s">
        <v>89</v>
      </c>
      <c r="D205" s="61" t="s">
        <v>80</v>
      </c>
      <c r="E205" s="62">
        <v>0</v>
      </c>
      <c r="F205" s="63">
        <f t="shared" si="144"/>
        <v>0</v>
      </c>
      <c r="G205" s="63">
        <v>0</v>
      </c>
      <c r="H205" s="64">
        <v>0</v>
      </c>
      <c r="I205" s="79">
        <f t="shared" si="146"/>
        <v>0</v>
      </c>
      <c r="J205" s="4">
        <f t="shared" si="139"/>
        <v>0</v>
      </c>
      <c r="K205" s="4">
        <f t="shared" si="145"/>
        <v>0</v>
      </c>
      <c r="L205" s="65" t="e">
        <f t="shared" si="148"/>
        <v>#DIV/0!</v>
      </c>
      <c r="M205" s="66">
        <v>3.2963</v>
      </c>
      <c r="N205" s="67">
        <f t="shared" si="149"/>
        <v>0</v>
      </c>
      <c r="O205" s="67">
        <f t="shared" si="150"/>
        <v>0</v>
      </c>
      <c r="P205" s="1124"/>
    </row>
    <row r="206" spans="2:16" x14ac:dyDescent="0.3">
      <c r="B206" s="1119"/>
      <c r="C206" s="169" t="s">
        <v>90</v>
      </c>
      <c r="D206" s="61" t="s">
        <v>80</v>
      </c>
      <c r="E206" s="62">
        <v>0</v>
      </c>
      <c r="F206" s="63">
        <f t="shared" si="144"/>
        <v>0</v>
      </c>
      <c r="G206" s="63">
        <v>0</v>
      </c>
      <c r="H206" s="64">
        <v>0</v>
      </c>
      <c r="I206" s="79">
        <f t="shared" si="146"/>
        <v>0</v>
      </c>
      <c r="J206" s="4">
        <f t="shared" si="139"/>
        <v>0</v>
      </c>
      <c r="K206" s="4">
        <f t="shared" si="145"/>
        <v>0</v>
      </c>
      <c r="L206" s="65" t="e">
        <f t="shared" si="148"/>
        <v>#DIV/0!</v>
      </c>
      <c r="M206" s="66">
        <v>3.2963</v>
      </c>
      <c r="N206" s="67">
        <f t="shared" si="149"/>
        <v>0</v>
      </c>
      <c r="O206" s="67">
        <f t="shared" si="150"/>
        <v>0</v>
      </c>
      <c r="P206" s="1124"/>
    </row>
    <row r="207" spans="2:16" ht="15" thickBot="1" x14ac:dyDescent="0.35">
      <c r="B207" s="1119"/>
      <c r="C207" s="68" t="s">
        <v>91</v>
      </c>
      <c r="D207" s="69" t="s">
        <v>92</v>
      </c>
      <c r="E207" s="70">
        <v>0</v>
      </c>
      <c r="F207" s="71">
        <f t="shared" si="144"/>
        <v>0</v>
      </c>
      <c r="G207" s="71">
        <v>0</v>
      </c>
      <c r="H207" s="72">
        <v>0</v>
      </c>
      <c r="I207" s="80">
        <f t="shared" si="146"/>
        <v>0</v>
      </c>
      <c r="J207" s="4">
        <f t="shared" si="139"/>
        <v>0</v>
      </c>
      <c r="K207" s="4">
        <f t="shared" si="145"/>
        <v>0</v>
      </c>
      <c r="L207" s="65" t="e">
        <f t="shared" si="148"/>
        <v>#DIV/0!</v>
      </c>
      <c r="M207" s="73">
        <v>2.3201000000000001</v>
      </c>
      <c r="N207" s="74">
        <f t="shared" ref="N207" si="151">M207*G207</f>
        <v>0</v>
      </c>
      <c r="O207" s="74">
        <f t="shared" si="150"/>
        <v>0</v>
      </c>
      <c r="P207" s="1125"/>
    </row>
    <row r="208" spans="2:16" ht="15" thickBot="1" x14ac:dyDescent="0.35">
      <c r="B208" s="1120"/>
      <c r="C208" s="1128" t="s">
        <v>106</v>
      </c>
      <c r="D208" s="1129"/>
      <c r="E208" s="1129"/>
      <c r="F208" s="1129"/>
      <c r="G208" s="1129"/>
      <c r="H208" s="1130"/>
      <c r="I208" s="116">
        <f>J208+K208</f>
        <v>206162</v>
      </c>
      <c r="J208" s="115">
        <f>SUM(J180:J207)</f>
        <v>196700</v>
      </c>
      <c r="K208" s="115">
        <f>SUM(K180:K207)</f>
        <v>9462</v>
      </c>
      <c r="L208" s="114"/>
      <c r="M208" s="113"/>
      <c r="N208" s="114"/>
      <c r="O208" s="97">
        <f>SUM(O180:O207)</f>
        <v>1308642.2109999999</v>
      </c>
      <c r="P208" s="96"/>
    </row>
    <row r="209" spans="2:16" ht="15" thickBot="1" x14ac:dyDescent="0.35">
      <c r="B209" s="100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2"/>
    </row>
    <row r="210" spans="2:16" ht="15" thickBot="1" x14ac:dyDescent="0.35">
      <c r="B210" s="1113" t="s">
        <v>107</v>
      </c>
      <c r="C210" s="1114"/>
      <c r="D210" s="1114"/>
      <c r="E210" s="1114"/>
      <c r="F210" s="1114"/>
      <c r="G210" s="1114"/>
      <c r="H210" s="1114"/>
      <c r="I210" s="1114"/>
      <c r="J210" s="1114"/>
      <c r="K210" s="1114"/>
      <c r="L210" s="1114"/>
      <c r="M210" s="1114"/>
      <c r="N210" s="1115"/>
      <c r="O210" s="103">
        <f>+O208+O179+O164</f>
        <v>3364517.6359999999</v>
      </c>
      <c r="P210" s="96"/>
    </row>
    <row r="211" spans="2:16" ht="15" thickBot="1" x14ac:dyDescent="0.35"/>
    <row r="212" spans="2:16" x14ac:dyDescent="0.3">
      <c r="B212" s="1147" t="s">
        <v>1</v>
      </c>
      <c r="C212" s="1149" t="s">
        <v>2</v>
      </c>
      <c r="D212" s="1152" t="s">
        <v>3</v>
      </c>
      <c r="E212" s="1155" t="s">
        <v>4</v>
      </c>
      <c r="F212" s="1156"/>
      <c r="G212" s="1156"/>
      <c r="H212" s="1156"/>
      <c r="I212" s="1156"/>
      <c r="J212" s="1156"/>
      <c r="K212" s="1156"/>
      <c r="L212" s="1157"/>
      <c r="M212" s="1158" t="s">
        <v>5</v>
      </c>
      <c r="N212" s="1159"/>
      <c r="O212" s="1160"/>
      <c r="P212" s="1152" t="s">
        <v>6</v>
      </c>
    </row>
    <row r="213" spans="2:16" x14ac:dyDescent="0.3">
      <c r="B213" s="1148"/>
      <c r="C213" s="1150"/>
      <c r="D213" s="1153"/>
      <c r="E213" s="1161" t="s">
        <v>7</v>
      </c>
      <c r="F213" s="1163" t="s">
        <v>150</v>
      </c>
      <c r="G213" s="1163"/>
      <c r="H213" s="1164"/>
      <c r="I213" s="1165" t="s">
        <v>8</v>
      </c>
      <c r="J213" s="1163"/>
      <c r="K213" s="1163"/>
      <c r="L213" s="1164" t="s">
        <v>9</v>
      </c>
      <c r="M213" s="1167" t="s">
        <v>10</v>
      </c>
      <c r="N213" s="1169" t="s">
        <v>11</v>
      </c>
      <c r="O213" s="1171" t="s">
        <v>12</v>
      </c>
      <c r="P213" s="1153"/>
    </row>
    <row r="214" spans="2:16" ht="15" thickBot="1" x14ac:dyDescent="0.35">
      <c r="B214" s="1148"/>
      <c r="C214" s="1151"/>
      <c r="D214" s="1154"/>
      <c r="E214" s="1162"/>
      <c r="F214" s="2" t="s">
        <v>13</v>
      </c>
      <c r="G214" s="2" t="s">
        <v>14</v>
      </c>
      <c r="H214" s="174" t="s">
        <v>15</v>
      </c>
      <c r="I214" s="142" t="s">
        <v>13</v>
      </c>
      <c r="J214" s="2" t="s">
        <v>14</v>
      </c>
      <c r="K214" s="2" t="s">
        <v>15</v>
      </c>
      <c r="L214" s="1166"/>
      <c r="M214" s="1168"/>
      <c r="N214" s="1170"/>
      <c r="O214" s="1172"/>
      <c r="P214" s="1154"/>
    </row>
    <row r="215" spans="2:16" x14ac:dyDescent="0.3">
      <c r="B215" s="1131" t="s">
        <v>56</v>
      </c>
      <c r="C215" s="29"/>
      <c r="D215" s="117" t="s">
        <v>151</v>
      </c>
      <c r="E215" s="98">
        <v>0</v>
      </c>
      <c r="F215" s="4">
        <f>+G215+H215</f>
        <v>113814</v>
      </c>
      <c r="G215" s="4">
        <v>112840</v>
      </c>
      <c r="H215" s="8">
        <v>974</v>
      </c>
      <c r="I215" s="6">
        <f>J215+K215</f>
        <v>113814</v>
      </c>
      <c r="J215" s="4">
        <f>G215+J150</f>
        <v>112840</v>
      </c>
      <c r="K215" s="4">
        <f>H215+K150</f>
        <v>974</v>
      </c>
      <c r="L215" s="33" t="e">
        <f>+J215/E215</f>
        <v>#DIV/0!</v>
      </c>
      <c r="M215" s="104">
        <v>1.3652</v>
      </c>
      <c r="N215" s="31">
        <f>G215*M215</f>
        <v>154049.16800000001</v>
      </c>
      <c r="O215" s="86">
        <f>M215*J215</f>
        <v>154049.16800000001</v>
      </c>
      <c r="P215" s="1133"/>
    </row>
    <row r="216" spans="2:16" x14ac:dyDescent="0.3">
      <c r="B216" s="1132"/>
      <c r="C216" s="32"/>
      <c r="D216" s="118" t="s">
        <v>116</v>
      </c>
      <c r="E216" s="99">
        <v>0</v>
      </c>
      <c r="F216" s="9">
        <f>+G216+H216</f>
        <v>0</v>
      </c>
      <c r="G216" s="9">
        <v>0</v>
      </c>
      <c r="H216" s="10">
        <v>0</v>
      </c>
      <c r="I216" s="6">
        <f>J216+K216</f>
        <v>0</v>
      </c>
      <c r="J216" s="4">
        <f>+G216+J151</f>
        <v>0</v>
      </c>
      <c r="K216" s="4">
        <f>+H216+K151</f>
        <v>0</v>
      </c>
      <c r="L216" s="33"/>
      <c r="M216" s="105">
        <v>5.9917999999999996</v>
      </c>
      <c r="N216" s="34">
        <f>M216*G216</f>
        <v>0</v>
      </c>
      <c r="O216" s="87">
        <f>M216*J216</f>
        <v>0</v>
      </c>
      <c r="P216" s="1134"/>
    </row>
    <row r="217" spans="2:16" x14ac:dyDescent="0.3">
      <c r="B217" s="1132"/>
      <c r="C217" s="35"/>
      <c r="D217" s="119" t="s">
        <v>58</v>
      </c>
      <c r="E217" s="99">
        <v>0</v>
      </c>
      <c r="F217" s="9">
        <f t="shared" ref="F217:F221" si="152">+G217+H217</f>
        <v>231616</v>
      </c>
      <c r="G217" s="9">
        <v>230000</v>
      </c>
      <c r="H217" s="10">
        <f>774+842</f>
        <v>1616</v>
      </c>
      <c r="I217" s="6">
        <f t="shared" ref="I217:I221" si="153">J217+K217</f>
        <v>756961</v>
      </c>
      <c r="J217" s="4">
        <f t="shared" ref="J217:J221" si="154">+G217+J152</f>
        <v>750750</v>
      </c>
      <c r="K217" s="4">
        <f t="shared" ref="K217:K221" si="155">+H217+K152</f>
        <v>6211</v>
      </c>
      <c r="L217" s="33" t="e">
        <f t="shared" ref="L217" si="156">+J217/E217</f>
        <v>#DIV/0!</v>
      </c>
      <c r="M217" s="106">
        <v>2.3807999999999998</v>
      </c>
      <c r="N217" s="36">
        <f>G217*M217</f>
        <v>547584</v>
      </c>
      <c r="O217" s="88">
        <f>M217*J217</f>
        <v>1787385.5999999999</v>
      </c>
      <c r="P217" s="1134"/>
    </row>
    <row r="218" spans="2:16" x14ac:dyDescent="0.3">
      <c r="B218" s="1132"/>
      <c r="C218" s="35"/>
      <c r="D218" s="119" t="s">
        <v>59</v>
      </c>
      <c r="E218" s="99">
        <v>0</v>
      </c>
      <c r="F218" s="9">
        <f t="shared" si="152"/>
        <v>0</v>
      </c>
      <c r="G218" s="9">
        <v>0</v>
      </c>
      <c r="H218" s="10">
        <v>0</v>
      </c>
      <c r="I218" s="6">
        <f t="shared" si="153"/>
        <v>0</v>
      </c>
      <c r="J218" s="4">
        <f t="shared" si="154"/>
        <v>0</v>
      </c>
      <c r="K218" s="4">
        <f t="shared" si="155"/>
        <v>0</v>
      </c>
      <c r="L218" s="33"/>
      <c r="M218" s="106">
        <v>2.1457999999999999</v>
      </c>
      <c r="N218" s="36">
        <f t="shared" ref="N218:N221" si="157">G218*M218</f>
        <v>0</v>
      </c>
      <c r="O218" s="88">
        <f>M218*J218</f>
        <v>0</v>
      </c>
      <c r="P218" s="1134"/>
    </row>
    <row r="219" spans="2:16" x14ac:dyDescent="0.3">
      <c r="B219" s="1132"/>
      <c r="C219" s="35"/>
      <c r="D219" s="119" t="s">
        <v>113</v>
      </c>
      <c r="E219" s="99">
        <v>0</v>
      </c>
      <c r="F219" s="9">
        <f t="shared" si="152"/>
        <v>0</v>
      </c>
      <c r="G219" s="9">
        <v>0</v>
      </c>
      <c r="H219" s="10">
        <v>0</v>
      </c>
      <c r="I219" s="6">
        <f t="shared" si="153"/>
        <v>0</v>
      </c>
      <c r="J219" s="4">
        <f t="shared" si="154"/>
        <v>0</v>
      </c>
      <c r="K219" s="4">
        <f t="shared" si="155"/>
        <v>0</v>
      </c>
      <c r="L219" s="33" t="e">
        <f t="shared" ref="L219:L220" si="158">+J219/E219</f>
        <v>#DIV/0!</v>
      </c>
      <c r="M219" s="143">
        <v>4.0426000000000002</v>
      </c>
      <c r="N219" s="36">
        <f t="shared" si="157"/>
        <v>0</v>
      </c>
      <c r="O219" s="88">
        <f>M219*J219</f>
        <v>0</v>
      </c>
      <c r="P219" s="1134"/>
    </row>
    <row r="220" spans="2:16" x14ac:dyDescent="0.3">
      <c r="B220" s="1132"/>
      <c r="C220" s="35"/>
      <c r="D220" s="119" t="s">
        <v>117</v>
      </c>
      <c r="E220" s="99">
        <v>0</v>
      </c>
      <c r="F220" s="9">
        <f t="shared" si="152"/>
        <v>0</v>
      </c>
      <c r="G220" s="9">
        <v>0</v>
      </c>
      <c r="H220" s="10">
        <v>0</v>
      </c>
      <c r="I220" s="6">
        <f t="shared" si="153"/>
        <v>0</v>
      </c>
      <c r="J220" s="4">
        <f t="shared" si="154"/>
        <v>0</v>
      </c>
      <c r="K220" s="4">
        <f t="shared" si="155"/>
        <v>0</v>
      </c>
      <c r="L220" s="33" t="e">
        <f t="shared" si="158"/>
        <v>#DIV/0!</v>
      </c>
      <c r="M220" s="143">
        <v>3.8715000000000002</v>
      </c>
      <c r="N220" s="36">
        <f t="shared" si="157"/>
        <v>0</v>
      </c>
      <c r="O220" s="88">
        <f t="shared" ref="O220:O221" si="159">M220*J220</f>
        <v>0</v>
      </c>
      <c r="P220" s="1134"/>
    </row>
    <row r="221" spans="2:16" ht="15" thickBot="1" x14ac:dyDescent="0.35">
      <c r="B221" s="1132"/>
      <c r="C221" s="82"/>
      <c r="D221" s="120" t="s">
        <v>60</v>
      </c>
      <c r="E221" s="108">
        <v>0</v>
      </c>
      <c r="F221" s="12">
        <f t="shared" si="152"/>
        <v>0</v>
      </c>
      <c r="G221" s="12">
        <v>0</v>
      </c>
      <c r="H221" s="13">
        <v>0</v>
      </c>
      <c r="I221" s="21">
        <f t="shared" si="153"/>
        <v>0</v>
      </c>
      <c r="J221" s="4">
        <f t="shared" si="154"/>
        <v>0</v>
      </c>
      <c r="K221" s="4">
        <f t="shared" si="155"/>
        <v>0</v>
      </c>
      <c r="L221" s="81"/>
      <c r="M221" s="127">
        <v>12.284700000000001</v>
      </c>
      <c r="N221" s="36">
        <f t="shared" si="157"/>
        <v>0</v>
      </c>
      <c r="O221" s="128">
        <f t="shared" si="159"/>
        <v>0</v>
      </c>
      <c r="P221" s="1134"/>
    </row>
    <row r="222" spans="2:16" ht="15" thickBot="1" x14ac:dyDescent="0.35">
      <c r="B222" s="1132"/>
      <c r="C222" s="1137" t="s">
        <v>111</v>
      </c>
      <c r="D222" s="1138"/>
      <c r="E222" s="129"/>
      <c r="F222" s="130">
        <f>SUM(F215:F221)</f>
        <v>345430</v>
      </c>
      <c r="G222" s="130">
        <f>SUM(G215:G221)</f>
        <v>342840</v>
      </c>
      <c r="H222" s="131">
        <f>SUM(H215:H221)</f>
        <v>2590</v>
      </c>
      <c r="I222" s="132">
        <f>+J222+K222</f>
        <v>870775</v>
      </c>
      <c r="J222" s="133">
        <f>SUM(J215:J221)</f>
        <v>863590</v>
      </c>
      <c r="K222" s="133">
        <f>SUM(K215:K221)</f>
        <v>7185</v>
      </c>
      <c r="L222" s="134"/>
      <c r="M222" s="135"/>
      <c r="N222" s="136"/>
      <c r="O222" s="137">
        <f>SUM(O215:O221)</f>
        <v>1941434.7679999999</v>
      </c>
      <c r="P222" s="1135"/>
    </row>
    <row r="223" spans="2:16" x14ac:dyDescent="0.3">
      <c r="B223" s="1132"/>
      <c r="C223" s="32"/>
      <c r="D223" s="118" t="s">
        <v>61</v>
      </c>
      <c r="E223" s="98">
        <v>0</v>
      </c>
      <c r="F223" s="4">
        <f t="shared" ref="F223:F226" si="160">+G223+H223</f>
        <v>0</v>
      </c>
      <c r="G223" s="4">
        <v>0</v>
      </c>
      <c r="H223" s="8">
        <v>0</v>
      </c>
      <c r="I223" s="6">
        <f t="shared" ref="I223:I227" si="161">J223+K223</f>
        <v>0</v>
      </c>
      <c r="J223" s="4">
        <f>G223+J158</f>
        <v>0</v>
      </c>
      <c r="K223" s="4">
        <f>H223+K158</f>
        <v>0</v>
      </c>
      <c r="L223" s="33" t="e">
        <f t="shared" ref="L223" si="162">+J223/E223</f>
        <v>#DIV/0!</v>
      </c>
      <c r="M223" s="105">
        <v>12.029500000000001</v>
      </c>
      <c r="N223" s="34">
        <f>M223*G223</f>
        <v>0</v>
      </c>
      <c r="O223" s="87">
        <f t="shared" ref="O223:O225" si="163">M223*J223</f>
        <v>0</v>
      </c>
      <c r="P223" s="1134"/>
    </row>
    <row r="224" spans="2:16" x14ac:dyDescent="0.3">
      <c r="B224" s="1132"/>
      <c r="C224" s="35"/>
      <c r="D224" s="119" t="s">
        <v>62</v>
      </c>
      <c r="E224" s="99">
        <v>0</v>
      </c>
      <c r="F224" s="9">
        <f t="shared" si="160"/>
        <v>0</v>
      </c>
      <c r="G224" s="9">
        <v>0</v>
      </c>
      <c r="H224" s="10">
        <v>0</v>
      </c>
      <c r="I224" s="6">
        <f t="shared" si="161"/>
        <v>0</v>
      </c>
      <c r="J224" s="4">
        <f>G224+J159</f>
        <v>0</v>
      </c>
      <c r="K224" s="4">
        <f>H224+K159</f>
        <v>0</v>
      </c>
      <c r="L224" s="33"/>
      <c r="M224" s="106">
        <v>0</v>
      </c>
      <c r="N224" s="36"/>
      <c r="O224" s="88">
        <f t="shared" si="163"/>
        <v>0</v>
      </c>
      <c r="P224" s="1134"/>
    </row>
    <row r="225" spans="2:16" x14ac:dyDescent="0.3">
      <c r="B225" s="1132"/>
      <c r="C225" s="35"/>
      <c r="D225" s="119" t="s">
        <v>104</v>
      </c>
      <c r="E225" s="99">
        <v>0</v>
      </c>
      <c r="F225" s="9">
        <f t="shared" si="160"/>
        <v>0</v>
      </c>
      <c r="G225" s="9">
        <v>0</v>
      </c>
      <c r="H225" s="10">
        <v>0</v>
      </c>
      <c r="I225" s="6">
        <f t="shared" si="161"/>
        <v>0</v>
      </c>
      <c r="J225" s="4">
        <f t="shared" ref="J225:J227" si="164">G225+J160</f>
        <v>0</v>
      </c>
      <c r="K225" s="4">
        <f t="shared" ref="K225:K227" si="165">H225+K160</f>
        <v>0</v>
      </c>
      <c r="L225" s="33" t="e">
        <f t="shared" ref="L225:L227" si="166">+J225/E225</f>
        <v>#DIV/0!</v>
      </c>
      <c r="M225" s="106">
        <v>19.688600000000001</v>
      </c>
      <c r="N225" s="36">
        <f>M225*G225</f>
        <v>0</v>
      </c>
      <c r="O225" s="88">
        <f t="shared" si="163"/>
        <v>0</v>
      </c>
      <c r="P225" s="1134"/>
    </row>
    <row r="226" spans="2:16" x14ac:dyDescent="0.3">
      <c r="B226" s="1132"/>
      <c r="C226" s="35"/>
      <c r="D226" s="119" t="s">
        <v>64</v>
      </c>
      <c r="E226" s="99">
        <v>0</v>
      </c>
      <c r="F226" s="9">
        <f t="shared" si="160"/>
        <v>0</v>
      </c>
      <c r="G226" s="9">
        <v>0</v>
      </c>
      <c r="H226" s="10">
        <v>0</v>
      </c>
      <c r="I226" s="6">
        <f t="shared" si="161"/>
        <v>0</v>
      </c>
      <c r="J226" s="4">
        <f t="shared" si="164"/>
        <v>0</v>
      </c>
      <c r="K226" s="4">
        <f t="shared" si="165"/>
        <v>0</v>
      </c>
      <c r="L226" s="33" t="e">
        <f t="shared" si="166"/>
        <v>#DIV/0!</v>
      </c>
      <c r="M226" s="106">
        <v>1.2824</v>
      </c>
      <c r="N226" s="151">
        <f>M226*G226</f>
        <v>0</v>
      </c>
      <c r="O226" s="88">
        <f>M226*J226</f>
        <v>0</v>
      </c>
      <c r="P226" s="1134"/>
    </row>
    <row r="227" spans="2:16" ht="15" thickBot="1" x14ac:dyDescent="0.35">
      <c r="B227" s="1132"/>
      <c r="C227" s="82"/>
      <c r="D227" s="120" t="s">
        <v>63</v>
      </c>
      <c r="E227" s="108">
        <v>0</v>
      </c>
      <c r="F227" s="12">
        <v>0</v>
      </c>
      <c r="G227" s="12">
        <v>0</v>
      </c>
      <c r="H227" s="13">
        <v>0</v>
      </c>
      <c r="I227" s="21">
        <f t="shared" si="161"/>
        <v>0</v>
      </c>
      <c r="J227" s="4">
        <f t="shared" si="164"/>
        <v>0</v>
      </c>
      <c r="K227" s="4">
        <f t="shared" si="165"/>
        <v>0</v>
      </c>
      <c r="L227" s="81" t="e">
        <f t="shared" si="166"/>
        <v>#DIV/0!</v>
      </c>
      <c r="M227" s="107">
        <v>18.2316</v>
      </c>
      <c r="N227" s="75"/>
      <c r="O227" s="89">
        <f t="shared" ref="O227" si="167">M227*J227</f>
        <v>0</v>
      </c>
      <c r="P227" s="1136"/>
    </row>
    <row r="228" spans="2:16" ht="15" thickBot="1" x14ac:dyDescent="0.35">
      <c r="B228" s="1116" t="s">
        <v>112</v>
      </c>
      <c r="C228" s="1117"/>
      <c r="D228" s="1117"/>
      <c r="E228" s="124"/>
      <c r="F228" s="125">
        <f>+G228+H228</f>
        <v>0</v>
      </c>
      <c r="G228" s="125">
        <f>SUM(G223:G227)</f>
        <v>0</v>
      </c>
      <c r="H228" s="126">
        <f>SUM(H223:H227)</f>
        <v>0</v>
      </c>
      <c r="I228" s="121">
        <f>J228+K228</f>
        <v>0</v>
      </c>
      <c r="J228" s="122">
        <f>SUM(J223:J227)</f>
        <v>0</v>
      </c>
      <c r="K228" s="123">
        <f>SUM(K223:K227)</f>
        <v>0</v>
      </c>
      <c r="L228" s="138"/>
      <c r="M228" s="139"/>
      <c r="N228" s="140"/>
      <c r="O228" s="141">
        <f>SUM(O223:O227)</f>
        <v>0</v>
      </c>
      <c r="P228" s="175"/>
    </row>
    <row r="229" spans="2:16" ht="15" thickBot="1" x14ac:dyDescent="0.35">
      <c r="B229" s="1116" t="s">
        <v>105</v>
      </c>
      <c r="C229" s="1117"/>
      <c r="D229" s="1117"/>
      <c r="E229" s="1139"/>
      <c r="F229" s="1139"/>
      <c r="G229" s="1139"/>
      <c r="H229" s="1139"/>
      <c r="I229" s="1117"/>
      <c r="J229" s="1117"/>
      <c r="K229" s="1117"/>
      <c r="L229" s="1117"/>
      <c r="M229" s="1117"/>
      <c r="N229" s="1140"/>
      <c r="O229" s="83">
        <f>O222+O228</f>
        <v>1941434.7679999999</v>
      </c>
      <c r="P229" s="175"/>
    </row>
    <row r="230" spans="2:16" x14ac:dyDescent="0.3">
      <c r="B230" s="1131" t="s">
        <v>65</v>
      </c>
      <c r="C230" s="37" t="s">
        <v>66</v>
      </c>
      <c r="D230" s="28" t="s">
        <v>67</v>
      </c>
      <c r="E230" s="38">
        <v>0</v>
      </c>
      <c r="F230" s="14">
        <f>+G230+H230</f>
        <v>0</v>
      </c>
      <c r="G230" s="14">
        <v>0</v>
      </c>
      <c r="H230" s="5">
        <v>0</v>
      </c>
      <c r="I230" s="17">
        <f t="shared" ref="I230:I236" si="168">J230+K230</f>
        <v>0</v>
      </c>
      <c r="J230" s="4">
        <f>G230+J165</f>
        <v>0</v>
      </c>
      <c r="K230" s="4">
        <f>H230+K165</f>
        <v>0</v>
      </c>
      <c r="L230" s="30" t="e">
        <f>+J230/E230</f>
        <v>#DIV/0!</v>
      </c>
      <c r="M230" s="146">
        <v>2.2141000000000002</v>
      </c>
      <c r="N230" s="15">
        <f>+M230*G230</f>
        <v>0</v>
      </c>
      <c r="O230" s="90">
        <f>+M230*J230</f>
        <v>0</v>
      </c>
      <c r="P230" s="1142"/>
    </row>
    <row r="231" spans="2:16" x14ac:dyDescent="0.3">
      <c r="B231" s="1132"/>
      <c r="C231" s="39"/>
      <c r="D231" s="22" t="s">
        <v>68</v>
      </c>
      <c r="E231" s="3">
        <v>0</v>
      </c>
      <c r="F231" s="9">
        <f t="shared" ref="F231:F236" si="169">+G231+H231</f>
        <v>0</v>
      </c>
      <c r="G231" s="4">
        <v>0</v>
      </c>
      <c r="H231" s="8">
        <v>0</v>
      </c>
      <c r="I231" s="6">
        <f t="shared" si="168"/>
        <v>0</v>
      </c>
      <c r="J231" s="4">
        <f>+G231+J166</f>
        <v>0</v>
      </c>
      <c r="K231" s="4">
        <f>+H231+K166</f>
        <v>0</v>
      </c>
      <c r="L231" s="40" t="e">
        <f t="shared" ref="L231:L232" si="170">+J231/E231</f>
        <v>#DIV/0!</v>
      </c>
      <c r="M231" s="145">
        <v>2.4565999999999999</v>
      </c>
      <c r="N231" s="11">
        <f t="shared" ref="N231:N233" si="171">+M231*G231</f>
        <v>0</v>
      </c>
      <c r="O231" s="91">
        <f t="shared" ref="O231:O233" si="172">+M231*J231</f>
        <v>0</v>
      </c>
      <c r="P231" s="1143"/>
    </row>
    <row r="232" spans="2:16" x14ac:dyDescent="0.3">
      <c r="B232" s="1132"/>
      <c r="C232" s="39"/>
      <c r="D232" s="23" t="s">
        <v>133</v>
      </c>
      <c r="E232" s="3">
        <v>0</v>
      </c>
      <c r="F232" s="9">
        <f t="shared" si="169"/>
        <v>0</v>
      </c>
      <c r="G232" s="4">
        <v>0</v>
      </c>
      <c r="H232" s="8">
        <v>0</v>
      </c>
      <c r="I232" s="6">
        <f t="shared" si="168"/>
        <v>0</v>
      </c>
      <c r="J232" s="4">
        <f t="shared" ref="J232:J236" si="173">+G232+J167</f>
        <v>0</v>
      </c>
      <c r="K232" s="4">
        <f t="shared" ref="K232:K236" si="174">+H232+K167</f>
        <v>0</v>
      </c>
      <c r="L232" s="40" t="e">
        <f t="shared" si="170"/>
        <v>#DIV/0!</v>
      </c>
      <c r="M232" s="145">
        <v>2.2907000000000002</v>
      </c>
      <c r="N232" s="11">
        <f t="shared" si="171"/>
        <v>0</v>
      </c>
      <c r="O232" s="91">
        <f t="shared" si="172"/>
        <v>0</v>
      </c>
      <c r="P232" s="1143"/>
    </row>
    <row r="233" spans="2:16" x14ac:dyDescent="0.3">
      <c r="B233" s="1132"/>
      <c r="C233" s="39"/>
      <c r="D233" s="22" t="s">
        <v>138</v>
      </c>
      <c r="E233" s="3"/>
      <c r="F233" s="9">
        <f t="shared" si="169"/>
        <v>0</v>
      </c>
      <c r="G233" s="4">
        <v>0</v>
      </c>
      <c r="H233" s="8">
        <v>0</v>
      </c>
      <c r="I233" s="6">
        <f t="shared" si="168"/>
        <v>0</v>
      </c>
      <c r="J233" s="4">
        <f t="shared" si="173"/>
        <v>0</v>
      </c>
      <c r="K233" s="4">
        <f t="shared" si="174"/>
        <v>0</v>
      </c>
      <c r="L233" s="33"/>
      <c r="M233" s="150">
        <v>2.544</v>
      </c>
      <c r="N233" s="11">
        <f t="shared" si="171"/>
        <v>0</v>
      </c>
      <c r="O233" s="91">
        <f t="shared" si="172"/>
        <v>0</v>
      </c>
      <c r="P233" s="1143"/>
    </row>
    <row r="234" spans="2:16" x14ac:dyDescent="0.3">
      <c r="B234" s="1132"/>
      <c r="C234" s="39" t="s">
        <v>69</v>
      </c>
      <c r="D234" s="22" t="s">
        <v>140</v>
      </c>
      <c r="E234" s="3">
        <v>0</v>
      </c>
      <c r="F234" s="9">
        <f t="shared" si="169"/>
        <v>53810</v>
      </c>
      <c r="G234" s="4">
        <v>52250</v>
      </c>
      <c r="H234" s="8">
        <v>1560</v>
      </c>
      <c r="I234" s="6">
        <f t="shared" si="168"/>
        <v>93882</v>
      </c>
      <c r="J234" s="4">
        <f t="shared" si="173"/>
        <v>90750</v>
      </c>
      <c r="K234" s="4">
        <f t="shared" si="174"/>
        <v>3132</v>
      </c>
      <c r="L234" s="33" t="e">
        <f>+J234/E234</f>
        <v>#DIV/0!</v>
      </c>
      <c r="M234" s="144">
        <v>2.2141000000000002</v>
      </c>
      <c r="N234" s="7">
        <f>+M234*G234</f>
        <v>115686.72500000001</v>
      </c>
      <c r="O234" s="85">
        <f>+M234*J234</f>
        <v>200929.57500000001</v>
      </c>
      <c r="P234" s="1143"/>
    </row>
    <row r="235" spans="2:16" x14ac:dyDescent="0.3">
      <c r="B235" s="1132"/>
      <c r="C235" s="39"/>
      <c r="D235" s="22" t="s">
        <v>68</v>
      </c>
      <c r="E235" s="3">
        <v>0</v>
      </c>
      <c r="F235" s="9">
        <f t="shared" si="169"/>
        <v>0</v>
      </c>
      <c r="G235" s="4">
        <v>0</v>
      </c>
      <c r="H235" s="8">
        <v>0</v>
      </c>
      <c r="I235" s="6">
        <f t="shared" si="168"/>
        <v>0</v>
      </c>
      <c r="J235" s="4">
        <f t="shared" si="173"/>
        <v>0</v>
      </c>
      <c r="K235" s="4">
        <f t="shared" si="174"/>
        <v>0</v>
      </c>
      <c r="L235" s="40" t="e">
        <f t="shared" ref="L235:L236" si="175">+J235/E235</f>
        <v>#DIV/0!</v>
      </c>
      <c r="M235" s="145">
        <v>2.4565999999999999</v>
      </c>
      <c r="N235" s="11">
        <f t="shared" ref="N235:N236" si="176">+M235*G235</f>
        <v>0</v>
      </c>
      <c r="O235" s="91">
        <f t="shared" ref="O235" si="177">+M235*J235</f>
        <v>0</v>
      </c>
      <c r="P235" s="1143"/>
    </row>
    <row r="236" spans="2:16" ht="15" thickBot="1" x14ac:dyDescent="0.35">
      <c r="B236" s="1132"/>
      <c r="C236" s="39"/>
      <c r="D236" s="22" t="s">
        <v>133</v>
      </c>
      <c r="E236" s="3">
        <v>0</v>
      </c>
      <c r="F236" s="9">
        <f t="shared" si="169"/>
        <v>0</v>
      </c>
      <c r="G236" s="4">
        <v>0</v>
      </c>
      <c r="H236" s="8">
        <v>0</v>
      </c>
      <c r="I236" s="6">
        <f t="shared" si="168"/>
        <v>0</v>
      </c>
      <c r="J236" s="4">
        <f t="shared" si="173"/>
        <v>0</v>
      </c>
      <c r="K236" s="4">
        <f t="shared" si="174"/>
        <v>0</v>
      </c>
      <c r="L236" s="40" t="e">
        <f t="shared" si="175"/>
        <v>#DIV/0!</v>
      </c>
      <c r="M236" s="145">
        <v>2.2907000000000002</v>
      </c>
      <c r="N236" s="11">
        <f t="shared" si="176"/>
        <v>0</v>
      </c>
      <c r="O236" s="154">
        <f>+M236*J236</f>
        <v>0</v>
      </c>
      <c r="P236" s="1144"/>
    </row>
    <row r="237" spans="2:16" ht="15" thickBot="1" x14ac:dyDescent="0.35">
      <c r="B237" s="1132"/>
      <c r="C237" s="41" t="s">
        <v>29</v>
      </c>
      <c r="D237" s="27" t="str">
        <f>+C237</f>
        <v>TOTAL 1/2</v>
      </c>
      <c r="E237" s="42">
        <f>SUM(E230:E236)</f>
        <v>0</v>
      </c>
      <c r="F237" s="43">
        <f>SUM(F230:F236)</f>
        <v>53810</v>
      </c>
      <c r="G237" s="43">
        <f>SUM(G230:G236)</f>
        <v>52250</v>
      </c>
      <c r="H237" s="44">
        <f>SUM(H230:H236)</f>
        <v>1560</v>
      </c>
      <c r="I237" s="45">
        <f>SUM(I234:I236)</f>
        <v>93882</v>
      </c>
      <c r="J237" s="43">
        <f>SUM(J230:J236)</f>
        <v>90750</v>
      </c>
      <c r="K237" s="43">
        <f>SUM(K230:K236)</f>
        <v>3132</v>
      </c>
      <c r="L237" s="46" t="e">
        <f>+J237/E237</f>
        <v>#DIV/0!</v>
      </c>
      <c r="M237" s="47"/>
      <c r="N237" s="48">
        <f>SUM(N234:N236)</f>
        <v>115686.72500000001</v>
      </c>
      <c r="O237" s="49">
        <f>SUM(O230:O236)</f>
        <v>200929.57500000001</v>
      </c>
      <c r="P237" s="172"/>
    </row>
    <row r="238" spans="2:16" x14ac:dyDescent="0.3">
      <c r="B238" s="1132"/>
      <c r="C238" s="1145" t="s">
        <v>70</v>
      </c>
      <c r="D238" s="22" t="s">
        <v>67</v>
      </c>
      <c r="E238" s="3">
        <v>0</v>
      </c>
      <c r="F238" s="4">
        <f>G238+H238</f>
        <v>0</v>
      </c>
      <c r="G238" s="4">
        <v>0</v>
      </c>
      <c r="H238" s="8">
        <v>0</v>
      </c>
      <c r="I238" s="16">
        <f>J238+K238</f>
        <v>109220</v>
      </c>
      <c r="J238" s="4">
        <f>G238+J173</f>
        <v>105750</v>
      </c>
      <c r="K238" s="4">
        <f>H238+K173</f>
        <v>3470</v>
      </c>
      <c r="L238" s="50" t="e">
        <f>+J238/E238</f>
        <v>#DIV/0!</v>
      </c>
      <c r="M238" s="144">
        <v>4.1712999999999996</v>
      </c>
      <c r="N238" s="7">
        <f>+M238*G238</f>
        <v>0</v>
      </c>
      <c r="O238" s="93">
        <f>+M238*J238</f>
        <v>441114.97499999998</v>
      </c>
      <c r="P238" s="1142"/>
    </row>
    <row r="239" spans="2:16" x14ac:dyDescent="0.3">
      <c r="B239" s="1132"/>
      <c r="C239" s="1146"/>
      <c r="D239" s="22" t="s">
        <v>68</v>
      </c>
      <c r="E239" s="3">
        <v>0</v>
      </c>
      <c r="F239" s="4">
        <f>G239+H239</f>
        <v>61630</v>
      </c>
      <c r="G239" s="4">
        <v>60000</v>
      </c>
      <c r="H239" s="8">
        <v>1630</v>
      </c>
      <c r="I239" s="6">
        <f>+R1283+F239</f>
        <v>61630</v>
      </c>
      <c r="J239" s="4">
        <f>G239+J174</f>
        <v>120000</v>
      </c>
      <c r="K239" s="4">
        <f>H239+K174</f>
        <v>3230</v>
      </c>
      <c r="L239" s="51" t="e">
        <f t="shared" ref="L239:L243" si="178">+J239/E239</f>
        <v>#DIV/0!</v>
      </c>
      <c r="M239" s="145">
        <v>4.8285999999999998</v>
      </c>
      <c r="N239" s="11">
        <f t="shared" ref="N239:N241" si="179">+M239*G239</f>
        <v>289716</v>
      </c>
      <c r="O239" s="94">
        <f t="shared" ref="O239:O241" si="180">+M239*J239</f>
        <v>579432</v>
      </c>
      <c r="P239" s="1143"/>
    </row>
    <row r="240" spans="2:16" x14ac:dyDescent="0.3">
      <c r="B240" s="1132"/>
      <c r="C240" s="1146"/>
      <c r="D240" s="22" t="s">
        <v>134</v>
      </c>
      <c r="E240" s="3"/>
      <c r="F240" s="4">
        <f>G240+H240</f>
        <v>0</v>
      </c>
      <c r="G240" s="4">
        <v>0</v>
      </c>
      <c r="H240" s="8">
        <v>0</v>
      </c>
      <c r="I240" s="6">
        <f>+R1284+F240</f>
        <v>0</v>
      </c>
      <c r="J240" s="4">
        <f t="shared" ref="J240:J241" si="181">G240+J175</f>
        <v>0</v>
      </c>
      <c r="K240" s="4">
        <f t="shared" ref="K240:K241" si="182">H240+K175</f>
        <v>0</v>
      </c>
      <c r="L240" s="51" t="e">
        <f t="shared" si="178"/>
        <v>#DIV/0!</v>
      </c>
      <c r="M240" s="144">
        <v>4.5023</v>
      </c>
      <c r="N240" s="11">
        <f t="shared" si="179"/>
        <v>0</v>
      </c>
      <c r="O240" s="94">
        <f t="shared" si="180"/>
        <v>0</v>
      </c>
      <c r="P240" s="1143"/>
    </row>
    <row r="241" spans="2:16" ht="15" thickBot="1" x14ac:dyDescent="0.35">
      <c r="B241" s="1132"/>
      <c r="C241" s="1146"/>
      <c r="D241" s="22" t="s">
        <v>118</v>
      </c>
      <c r="E241" s="3">
        <v>0</v>
      </c>
      <c r="F241" s="4">
        <f t="shared" ref="F241" si="183">G241+H241</f>
        <v>0</v>
      </c>
      <c r="G241" s="4">
        <v>0</v>
      </c>
      <c r="H241" s="8">
        <v>0</v>
      </c>
      <c r="I241" s="6">
        <f>+R1284+F241</f>
        <v>0</v>
      </c>
      <c r="J241" s="4">
        <f t="shared" si="181"/>
        <v>0</v>
      </c>
      <c r="K241" s="4">
        <f t="shared" si="182"/>
        <v>0</v>
      </c>
      <c r="L241" s="51" t="e">
        <f t="shared" si="178"/>
        <v>#DIV/0!</v>
      </c>
      <c r="M241" s="144">
        <v>4.4065000000000003</v>
      </c>
      <c r="N241" s="11">
        <f t="shared" si="179"/>
        <v>0</v>
      </c>
      <c r="O241" s="94">
        <f t="shared" si="180"/>
        <v>0</v>
      </c>
      <c r="P241" s="1143"/>
    </row>
    <row r="242" spans="2:16" ht="15" thickBot="1" x14ac:dyDescent="0.35">
      <c r="B242" s="1132"/>
      <c r="C242" s="41" t="s">
        <v>31</v>
      </c>
      <c r="D242" s="18" t="str">
        <f>+C242</f>
        <v>TOTAL 4/4</v>
      </c>
      <c r="E242" s="42">
        <f t="shared" ref="E242:K242" si="184">SUM(E238:E241)</f>
        <v>0</v>
      </c>
      <c r="F242" s="43">
        <f t="shared" si="184"/>
        <v>61630</v>
      </c>
      <c r="G242" s="43">
        <f t="shared" si="184"/>
        <v>60000</v>
      </c>
      <c r="H242" s="44">
        <f t="shared" si="184"/>
        <v>1630</v>
      </c>
      <c r="I242" s="45">
        <f t="shared" si="184"/>
        <v>170850</v>
      </c>
      <c r="J242" s="43">
        <f t="shared" si="184"/>
        <v>225750</v>
      </c>
      <c r="K242" s="43">
        <f t="shared" si="184"/>
        <v>6700</v>
      </c>
      <c r="L242" s="46" t="e">
        <f t="shared" si="178"/>
        <v>#DIV/0!</v>
      </c>
      <c r="M242" s="47"/>
      <c r="N242" s="48">
        <f>SUM(N238:N241)</f>
        <v>289716</v>
      </c>
      <c r="O242" s="92">
        <f>SUM(O238:O241)</f>
        <v>1020546.975</v>
      </c>
      <c r="P242" s="1144"/>
    </row>
    <row r="243" spans="2:16" ht="15" thickBot="1" x14ac:dyDescent="0.35">
      <c r="B243" s="1141"/>
      <c r="C243" s="41" t="s">
        <v>71</v>
      </c>
      <c r="D243" s="27" t="s">
        <v>67</v>
      </c>
      <c r="E243" s="25">
        <v>0</v>
      </c>
      <c r="F243" s="20">
        <f>G243+H243</f>
        <v>0</v>
      </c>
      <c r="G243" s="20">
        <v>0</v>
      </c>
      <c r="H243" s="24">
        <v>0</v>
      </c>
      <c r="I243" s="19">
        <f>J243+K243</f>
        <v>0</v>
      </c>
      <c r="J243" s="4">
        <f>G243+J178</f>
        <v>0</v>
      </c>
      <c r="K243" s="4">
        <f>H243+K178</f>
        <v>0</v>
      </c>
      <c r="L243" s="52" t="e">
        <f t="shared" si="178"/>
        <v>#DIV/0!</v>
      </c>
      <c r="M243" s="149">
        <v>1.4086000000000001</v>
      </c>
      <c r="N243" s="26">
        <f t="shared" ref="N243" si="185">+M243*G243</f>
        <v>0</v>
      </c>
      <c r="O243" s="95">
        <f t="shared" ref="O243" si="186">+M243*J243</f>
        <v>0</v>
      </c>
      <c r="P243" s="53"/>
    </row>
    <row r="244" spans="2:16" ht="15" thickBot="1" x14ac:dyDescent="0.35">
      <c r="B244" s="1116" t="s">
        <v>102</v>
      </c>
      <c r="C244" s="1117"/>
      <c r="D244" s="1117"/>
      <c r="E244" s="1117"/>
      <c r="F244" s="1117"/>
      <c r="G244" s="1117"/>
      <c r="H244" s="1117"/>
      <c r="I244" s="110">
        <f>J244+K244</f>
        <v>326332</v>
      </c>
      <c r="J244" s="110">
        <f>J237+J242+J243</f>
        <v>316500</v>
      </c>
      <c r="K244" s="110">
        <f>K237+K242+K243</f>
        <v>9832</v>
      </c>
      <c r="L244" s="111"/>
      <c r="M244" s="112"/>
      <c r="N244" s="109"/>
      <c r="O244" s="77">
        <f>+O243+O242+O237</f>
        <v>1221476.55</v>
      </c>
      <c r="P244" s="84"/>
    </row>
    <row r="245" spans="2:16" x14ac:dyDescent="0.3">
      <c r="B245" s="1118" t="s">
        <v>72</v>
      </c>
      <c r="C245" s="1121" t="s">
        <v>73</v>
      </c>
      <c r="D245" s="54" t="s">
        <v>74</v>
      </c>
      <c r="E245" s="55">
        <v>0</v>
      </c>
      <c r="F245" s="56">
        <f>G245+H245</f>
        <v>0</v>
      </c>
      <c r="G245" s="56">
        <v>0</v>
      </c>
      <c r="H245" s="57">
        <v>0</v>
      </c>
      <c r="I245" s="78">
        <f>J245+K245</f>
        <v>0</v>
      </c>
      <c r="J245" s="4">
        <f>G245+J180</f>
        <v>0</v>
      </c>
      <c r="K245" s="4">
        <f>H245+K180</f>
        <v>0</v>
      </c>
      <c r="L245" s="58" t="e">
        <f t="shared" ref="L245" si="187">+J245/E245</f>
        <v>#DIV/0!</v>
      </c>
      <c r="M245" s="59">
        <v>32.946300000000001</v>
      </c>
      <c r="N245" s="60">
        <f>+M245*G245</f>
        <v>0</v>
      </c>
      <c r="O245" s="60">
        <f>M245*J245</f>
        <v>0</v>
      </c>
      <c r="P245" s="1123"/>
    </row>
    <row r="246" spans="2:16" x14ac:dyDescent="0.3">
      <c r="B246" s="1119"/>
      <c r="C246" s="1122"/>
      <c r="D246" s="61" t="s">
        <v>75</v>
      </c>
      <c r="E246" s="62">
        <v>0</v>
      </c>
      <c r="F246" s="63">
        <f>G246+H246</f>
        <v>5080</v>
      </c>
      <c r="G246" s="63">
        <v>5000</v>
      </c>
      <c r="H246" s="64">
        <v>80</v>
      </c>
      <c r="I246" s="79">
        <f>J246+K246</f>
        <v>5080</v>
      </c>
      <c r="J246" s="4">
        <f>G246+J181</f>
        <v>5000</v>
      </c>
      <c r="K246" s="4">
        <f>H246+K181</f>
        <v>80</v>
      </c>
      <c r="L246" s="65" t="e">
        <f>+J246/E246</f>
        <v>#DIV/0!</v>
      </c>
      <c r="M246" s="66">
        <v>35.398400000000002</v>
      </c>
      <c r="N246" s="67">
        <f>+M246*G246</f>
        <v>176992</v>
      </c>
      <c r="O246" s="67">
        <f>M246*J246</f>
        <v>176992</v>
      </c>
      <c r="P246" s="1124"/>
    </row>
    <row r="247" spans="2:16" x14ac:dyDescent="0.3">
      <c r="B247" s="1119"/>
      <c r="C247" s="1122"/>
      <c r="D247" s="61" t="s">
        <v>76</v>
      </c>
      <c r="E247" s="62">
        <v>0</v>
      </c>
      <c r="F247" s="63">
        <f t="shared" ref="F247:F250" si="188">G247+H247</f>
        <v>0</v>
      </c>
      <c r="G247" s="63">
        <v>0</v>
      </c>
      <c r="H247" s="64">
        <v>0</v>
      </c>
      <c r="I247" s="79">
        <f t="shared" ref="I247:I256" si="189">J247+K247</f>
        <v>0</v>
      </c>
      <c r="J247" s="4">
        <f t="shared" ref="J247:J272" si="190">G247+J182</f>
        <v>0</v>
      </c>
      <c r="K247" s="4">
        <f t="shared" ref="K247:K251" si="191">H247+K182</f>
        <v>0</v>
      </c>
      <c r="L247" s="65" t="e">
        <f t="shared" ref="L247:L260" si="192">+J247/E247</f>
        <v>#DIV/0!</v>
      </c>
      <c r="M247" s="66">
        <v>32.946300000000001</v>
      </c>
      <c r="N247" s="67">
        <f t="shared" ref="N247:N267" si="193">+M247*G247</f>
        <v>0</v>
      </c>
      <c r="O247" s="67">
        <f t="shared" ref="O247:O255" si="194">M247*J247</f>
        <v>0</v>
      </c>
      <c r="P247" s="1124"/>
    </row>
    <row r="248" spans="2:16" x14ac:dyDescent="0.3">
      <c r="B248" s="1119"/>
      <c r="C248" s="1122" t="s">
        <v>77</v>
      </c>
      <c r="D248" s="61" t="s">
        <v>78</v>
      </c>
      <c r="E248" s="62">
        <v>0</v>
      </c>
      <c r="F248" s="63">
        <f t="shared" si="188"/>
        <v>0</v>
      </c>
      <c r="G248" s="63">
        <v>0</v>
      </c>
      <c r="H248" s="64">
        <v>0</v>
      </c>
      <c r="I248" s="79">
        <f t="shared" si="189"/>
        <v>4976</v>
      </c>
      <c r="J248" s="4">
        <f t="shared" si="190"/>
        <v>4800</v>
      </c>
      <c r="K248" s="4">
        <f t="shared" si="191"/>
        <v>176</v>
      </c>
      <c r="L248" s="65" t="e">
        <f t="shared" si="192"/>
        <v>#DIV/0!</v>
      </c>
      <c r="M248" s="66">
        <v>55.4758</v>
      </c>
      <c r="N248" s="67">
        <f t="shared" si="193"/>
        <v>0</v>
      </c>
      <c r="O248" s="67">
        <f t="shared" si="194"/>
        <v>266283.84000000003</v>
      </c>
      <c r="P248" s="1124"/>
    </row>
    <row r="249" spans="2:16" x14ac:dyDescent="0.3">
      <c r="B249" s="1119"/>
      <c r="C249" s="1122"/>
      <c r="D249" s="61" t="s">
        <v>141</v>
      </c>
      <c r="E249" s="62">
        <v>0</v>
      </c>
      <c r="F249" s="63">
        <f t="shared" si="188"/>
        <v>0</v>
      </c>
      <c r="G249" s="63">
        <v>0</v>
      </c>
      <c r="H249" s="64">
        <v>0</v>
      </c>
      <c r="I249" s="79">
        <f t="shared" si="189"/>
        <v>0</v>
      </c>
      <c r="J249" s="4">
        <f t="shared" si="190"/>
        <v>0</v>
      </c>
      <c r="K249" s="4">
        <f t="shared" si="191"/>
        <v>0</v>
      </c>
      <c r="L249" s="65" t="e">
        <f t="shared" si="192"/>
        <v>#DIV/0!</v>
      </c>
      <c r="M249" s="66">
        <v>53.515999999999998</v>
      </c>
      <c r="N249" s="67">
        <f t="shared" si="193"/>
        <v>0</v>
      </c>
      <c r="O249" s="67">
        <f t="shared" si="194"/>
        <v>0</v>
      </c>
      <c r="P249" s="1124"/>
    </row>
    <row r="250" spans="2:16" x14ac:dyDescent="0.3">
      <c r="B250" s="1119"/>
      <c r="C250" s="1122"/>
      <c r="D250" s="61" t="s">
        <v>75</v>
      </c>
      <c r="E250" s="62">
        <v>0</v>
      </c>
      <c r="F250" s="63">
        <f t="shared" si="188"/>
        <v>0</v>
      </c>
      <c r="G250" s="63">
        <v>0</v>
      </c>
      <c r="H250" s="64">
        <v>0</v>
      </c>
      <c r="I250" s="79">
        <f t="shared" si="189"/>
        <v>0</v>
      </c>
      <c r="J250" s="4">
        <f t="shared" si="190"/>
        <v>0</v>
      </c>
      <c r="K250" s="4">
        <f t="shared" si="191"/>
        <v>0</v>
      </c>
      <c r="L250" s="65" t="e">
        <f t="shared" si="192"/>
        <v>#DIV/0!</v>
      </c>
      <c r="M250" s="66">
        <v>58.836300000000001</v>
      </c>
      <c r="N250" s="67">
        <f t="shared" si="193"/>
        <v>0</v>
      </c>
      <c r="O250" s="67">
        <f t="shared" si="194"/>
        <v>0</v>
      </c>
      <c r="P250" s="1124"/>
    </row>
    <row r="251" spans="2:16" x14ac:dyDescent="0.3">
      <c r="B251" s="1119"/>
      <c r="C251" s="1126" t="s">
        <v>79</v>
      </c>
      <c r="D251" s="61" t="s">
        <v>80</v>
      </c>
      <c r="E251" s="62">
        <v>0</v>
      </c>
      <c r="F251" s="63">
        <f>G251+H251</f>
        <v>3675</v>
      </c>
      <c r="G251" s="63">
        <v>3575</v>
      </c>
      <c r="H251" s="64">
        <v>100</v>
      </c>
      <c r="I251" s="79">
        <f t="shared" si="189"/>
        <v>3675</v>
      </c>
      <c r="J251" s="4">
        <f t="shared" si="190"/>
        <v>3575</v>
      </c>
      <c r="K251" s="4">
        <f t="shared" si="191"/>
        <v>100</v>
      </c>
      <c r="L251" s="65" t="e">
        <f t="shared" si="192"/>
        <v>#DIV/0!</v>
      </c>
      <c r="M251" s="66">
        <v>25.687200000000001</v>
      </c>
      <c r="N251" s="67">
        <f t="shared" si="193"/>
        <v>91831.74</v>
      </c>
      <c r="O251" s="67">
        <f t="shared" si="194"/>
        <v>91831.74</v>
      </c>
      <c r="P251" s="1124"/>
    </row>
    <row r="252" spans="2:16" x14ac:dyDescent="0.3">
      <c r="B252" s="1119"/>
      <c r="C252" s="1127"/>
      <c r="D252" s="61" t="s">
        <v>124</v>
      </c>
      <c r="E252" s="62">
        <v>0</v>
      </c>
      <c r="F252" s="63">
        <f>G252+H252</f>
        <v>0</v>
      </c>
      <c r="G252" s="63">
        <v>0</v>
      </c>
      <c r="H252" s="64">
        <v>0</v>
      </c>
      <c r="I252" s="79">
        <f t="shared" si="189"/>
        <v>0</v>
      </c>
      <c r="J252" s="4">
        <f t="shared" si="190"/>
        <v>0</v>
      </c>
      <c r="K252" s="4">
        <f>H252+K187</f>
        <v>0</v>
      </c>
      <c r="L252" s="65" t="e">
        <f t="shared" si="192"/>
        <v>#DIV/0!</v>
      </c>
      <c r="M252" s="66">
        <v>25.033899999999999</v>
      </c>
      <c r="N252" s="67">
        <f t="shared" si="193"/>
        <v>0</v>
      </c>
      <c r="O252" s="67">
        <f t="shared" si="194"/>
        <v>0</v>
      </c>
      <c r="P252" s="1124"/>
    </row>
    <row r="253" spans="2:16" x14ac:dyDescent="0.3">
      <c r="B253" s="1119"/>
      <c r="C253" s="1126" t="s">
        <v>81</v>
      </c>
      <c r="D253" s="61" t="s">
        <v>82</v>
      </c>
      <c r="E253" s="62">
        <v>0</v>
      </c>
      <c r="F253" s="63">
        <f t="shared" ref="F253:F272" si="195">G253+H253</f>
        <v>6048</v>
      </c>
      <c r="G253" s="63">
        <v>6000</v>
      </c>
      <c r="H253" s="64">
        <v>48</v>
      </c>
      <c r="I253" s="79">
        <f t="shared" si="189"/>
        <v>8113</v>
      </c>
      <c r="J253" s="4">
        <f t="shared" si="190"/>
        <v>8000</v>
      </c>
      <c r="K253" s="4">
        <f t="shared" ref="K253:K272" si="196">H253+K188</f>
        <v>113</v>
      </c>
      <c r="L253" s="65" t="e">
        <f t="shared" si="192"/>
        <v>#DIV/0!</v>
      </c>
      <c r="M253" s="66">
        <v>41.992699999999999</v>
      </c>
      <c r="N253" s="67">
        <f t="shared" si="193"/>
        <v>251956.19999999998</v>
      </c>
      <c r="O253" s="67">
        <f t="shared" si="194"/>
        <v>335941.6</v>
      </c>
      <c r="P253" s="1124"/>
    </row>
    <row r="254" spans="2:16" x14ac:dyDescent="0.3">
      <c r="B254" s="1119"/>
      <c r="C254" s="1127"/>
      <c r="D254" s="61" t="s">
        <v>75</v>
      </c>
      <c r="E254" s="62">
        <v>0</v>
      </c>
      <c r="F254" s="63">
        <f t="shared" si="195"/>
        <v>0</v>
      </c>
      <c r="G254" s="63">
        <v>0</v>
      </c>
      <c r="H254" s="64">
        <v>0</v>
      </c>
      <c r="I254" s="79">
        <f t="shared" si="189"/>
        <v>0</v>
      </c>
      <c r="J254" s="4">
        <f t="shared" si="190"/>
        <v>0</v>
      </c>
      <c r="K254" s="4">
        <f t="shared" si="196"/>
        <v>0</v>
      </c>
      <c r="L254" s="65" t="e">
        <f t="shared" si="192"/>
        <v>#DIV/0!</v>
      </c>
      <c r="M254" s="66">
        <v>42.283799999999999</v>
      </c>
      <c r="N254" s="67">
        <f t="shared" si="193"/>
        <v>0</v>
      </c>
      <c r="O254" s="67">
        <f t="shared" si="194"/>
        <v>0</v>
      </c>
      <c r="P254" s="1124"/>
    </row>
    <row r="255" spans="2:16" x14ac:dyDescent="0.3">
      <c r="B255" s="1119"/>
      <c r="C255" s="173" t="s">
        <v>83</v>
      </c>
      <c r="D255" s="61" t="s">
        <v>84</v>
      </c>
      <c r="E255" s="62">
        <v>0</v>
      </c>
      <c r="F255" s="63">
        <f t="shared" si="195"/>
        <v>0</v>
      </c>
      <c r="G255" s="63">
        <v>0</v>
      </c>
      <c r="H255" s="64">
        <v>0</v>
      </c>
      <c r="I255" s="79">
        <f t="shared" si="189"/>
        <v>0</v>
      </c>
      <c r="J255" s="4">
        <f t="shared" si="190"/>
        <v>0</v>
      </c>
      <c r="K255" s="4">
        <f t="shared" si="196"/>
        <v>0</v>
      </c>
      <c r="L255" s="65" t="e">
        <f t="shared" si="192"/>
        <v>#DIV/0!</v>
      </c>
      <c r="M255" s="66">
        <v>4.3535000000000004</v>
      </c>
      <c r="N255" s="67">
        <f t="shared" si="193"/>
        <v>0</v>
      </c>
      <c r="O255" s="67">
        <f t="shared" si="194"/>
        <v>0</v>
      </c>
      <c r="P255" s="1124"/>
    </row>
    <row r="256" spans="2:16" x14ac:dyDescent="0.3">
      <c r="B256" s="1119"/>
      <c r="C256" s="1122" t="s">
        <v>85</v>
      </c>
      <c r="D256" s="61" t="s">
        <v>80</v>
      </c>
      <c r="E256" s="62">
        <v>0</v>
      </c>
      <c r="F256" s="63">
        <f t="shared" si="195"/>
        <v>0</v>
      </c>
      <c r="G256" s="63">
        <v>0</v>
      </c>
      <c r="H256" s="64">
        <v>0</v>
      </c>
      <c r="I256" s="79">
        <f t="shared" si="189"/>
        <v>0</v>
      </c>
      <c r="J256" s="4">
        <f t="shared" si="190"/>
        <v>0</v>
      </c>
      <c r="K256" s="4">
        <f t="shared" si="196"/>
        <v>0</v>
      </c>
      <c r="L256" s="65" t="e">
        <f t="shared" si="192"/>
        <v>#DIV/0!</v>
      </c>
      <c r="M256" s="66">
        <v>4.6184000000000003</v>
      </c>
      <c r="N256" s="67">
        <f t="shared" si="193"/>
        <v>0</v>
      </c>
      <c r="O256" s="67">
        <f>M256*J256</f>
        <v>0</v>
      </c>
      <c r="P256" s="1124"/>
    </row>
    <row r="257" spans="2:16" x14ac:dyDescent="0.3">
      <c r="B257" s="1119"/>
      <c r="C257" s="1122"/>
      <c r="D257" s="61" t="s">
        <v>126</v>
      </c>
      <c r="E257" s="62">
        <v>0</v>
      </c>
      <c r="F257" s="63">
        <f t="shared" si="195"/>
        <v>0</v>
      </c>
      <c r="G257" s="63">
        <v>0</v>
      </c>
      <c r="H257" s="64">
        <v>0</v>
      </c>
      <c r="I257" s="79">
        <f>J257+K257</f>
        <v>0</v>
      </c>
      <c r="J257" s="4">
        <f t="shared" si="190"/>
        <v>0</v>
      </c>
      <c r="K257" s="4">
        <f t="shared" si="196"/>
        <v>0</v>
      </c>
      <c r="L257" s="65" t="e">
        <f t="shared" si="192"/>
        <v>#DIV/0!</v>
      </c>
      <c r="M257" s="153">
        <v>4.6184000000000003</v>
      </c>
      <c r="N257" s="67">
        <f t="shared" si="193"/>
        <v>0</v>
      </c>
      <c r="O257" s="67">
        <f>M257*J257</f>
        <v>0</v>
      </c>
      <c r="P257" s="1124"/>
    </row>
    <row r="258" spans="2:16" x14ac:dyDescent="0.3">
      <c r="B258" s="1119"/>
      <c r="C258" s="1122"/>
      <c r="D258" s="61" t="s">
        <v>130</v>
      </c>
      <c r="E258" s="62">
        <v>0</v>
      </c>
      <c r="F258" s="63">
        <f t="shared" si="195"/>
        <v>0</v>
      </c>
      <c r="G258" s="63">
        <v>0</v>
      </c>
      <c r="H258" s="64">
        <v>0</v>
      </c>
      <c r="I258" s="79">
        <f t="shared" ref="I258:I272" si="197">J258+K258</f>
        <v>0</v>
      </c>
      <c r="J258" s="4">
        <f t="shared" si="190"/>
        <v>0</v>
      </c>
      <c r="K258" s="4">
        <f t="shared" si="196"/>
        <v>0</v>
      </c>
      <c r="L258" s="65" t="e">
        <f t="shared" si="192"/>
        <v>#DIV/0!</v>
      </c>
      <c r="M258" s="153">
        <v>4.6184000000000003</v>
      </c>
      <c r="N258" s="67">
        <f t="shared" si="193"/>
        <v>0</v>
      </c>
      <c r="O258" s="67">
        <f t="shared" ref="O258:O263" si="198">M258*J258</f>
        <v>0</v>
      </c>
      <c r="P258" s="1124"/>
    </row>
    <row r="259" spans="2:16" x14ac:dyDescent="0.3">
      <c r="B259" s="1119"/>
      <c r="C259" s="1122"/>
      <c r="D259" s="61" t="s">
        <v>131</v>
      </c>
      <c r="E259" s="62">
        <v>0</v>
      </c>
      <c r="F259" s="63">
        <f t="shared" si="195"/>
        <v>15000</v>
      </c>
      <c r="G259" s="63">
        <v>14000</v>
      </c>
      <c r="H259" s="64">
        <v>1000</v>
      </c>
      <c r="I259" s="79">
        <f t="shared" si="197"/>
        <v>79869</v>
      </c>
      <c r="J259" s="4">
        <f t="shared" si="190"/>
        <v>76500</v>
      </c>
      <c r="K259" s="4">
        <f t="shared" si="196"/>
        <v>3369</v>
      </c>
      <c r="L259" s="65" t="e">
        <f t="shared" si="192"/>
        <v>#DIV/0!</v>
      </c>
      <c r="M259" s="153">
        <v>4.7636000000000003</v>
      </c>
      <c r="N259" s="67">
        <f t="shared" si="193"/>
        <v>66690.400000000009</v>
      </c>
      <c r="O259" s="67">
        <f t="shared" si="198"/>
        <v>364415.4</v>
      </c>
      <c r="P259" s="1124"/>
    </row>
    <row r="260" spans="2:16" x14ac:dyDescent="0.3">
      <c r="B260" s="1119"/>
      <c r="C260" s="1122"/>
      <c r="D260" s="61" t="s">
        <v>86</v>
      </c>
      <c r="E260" s="62">
        <v>0</v>
      </c>
      <c r="F260" s="63">
        <f t="shared" si="195"/>
        <v>0</v>
      </c>
      <c r="G260" s="63">
        <v>0</v>
      </c>
      <c r="H260" s="64">
        <v>0</v>
      </c>
      <c r="I260" s="79">
        <f t="shared" si="197"/>
        <v>0</v>
      </c>
      <c r="J260" s="4">
        <f t="shared" si="190"/>
        <v>0</v>
      </c>
      <c r="K260" s="4">
        <f t="shared" si="196"/>
        <v>0</v>
      </c>
      <c r="L260" s="65" t="e">
        <f t="shared" si="192"/>
        <v>#DIV/0!</v>
      </c>
      <c r="M260" s="66">
        <v>4.8738000000000001</v>
      </c>
      <c r="N260" s="67">
        <f t="shared" si="193"/>
        <v>0</v>
      </c>
      <c r="O260" s="67">
        <f t="shared" si="198"/>
        <v>0</v>
      </c>
      <c r="P260" s="1124"/>
    </row>
    <row r="261" spans="2:16" x14ac:dyDescent="0.3">
      <c r="B261" s="1119"/>
      <c r="C261" s="173" t="s">
        <v>135</v>
      </c>
      <c r="D261" s="61" t="s">
        <v>131</v>
      </c>
      <c r="E261" s="62"/>
      <c r="F261" s="63">
        <f t="shared" si="195"/>
        <v>0</v>
      </c>
      <c r="G261" s="63">
        <v>0</v>
      </c>
      <c r="H261" s="64">
        <v>0</v>
      </c>
      <c r="I261" s="79">
        <f t="shared" si="197"/>
        <v>0</v>
      </c>
      <c r="J261" s="4">
        <f t="shared" si="190"/>
        <v>0</v>
      </c>
      <c r="K261" s="4">
        <f t="shared" si="196"/>
        <v>0</v>
      </c>
      <c r="L261" s="65"/>
      <c r="M261" s="66">
        <v>4.8738000000000001</v>
      </c>
      <c r="N261" s="67">
        <f t="shared" si="193"/>
        <v>0</v>
      </c>
      <c r="O261" s="67">
        <f t="shared" si="198"/>
        <v>0</v>
      </c>
      <c r="P261" s="1124"/>
    </row>
    <row r="262" spans="2:16" x14ac:dyDescent="0.3">
      <c r="B262" s="1119"/>
      <c r="C262" s="1122" t="s">
        <v>87</v>
      </c>
      <c r="D262" s="61" t="s">
        <v>80</v>
      </c>
      <c r="E262" s="62">
        <v>0</v>
      </c>
      <c r="F262" s="63">
        <f t="shared" si="195"/>
        <v>21700</v>
      </c>
      <c r="G262" s="63">
        <v>21300</v>
      </c>
      <c r="H262" s="64">
        <v>400</v>
      </c>
      <c r="I262" s="79">
        <f t="shared" si="197"/>
        <v>98229</v>
      </c>
      <c r="J262" s="4">
        <f t="shared" si="190"/>
        <v>96850</v>
      </c>
      <c r="K262" s="4">
        <f t="shared" si="196"/>
        <v>1379</v>
      </c>
      <c r="L262" s="65" t="e">
        <f t="shared" ref="L262:L272" si="199">+J262/E262</f>
        <v>#DIV/0!</v>
      </c>
      <c r="M262" s="66">
        <v>4.9344999999999999</v>
      </c>
      <c r="N262" s="67">
        <f t="shared" si="193"/>
        <v>105104.84999999999</v>
      </c>
      <c r="O262" s="67">
        <f t="shared" si="198"/>
        <v>477906.32500000001</v>
      </c>
      <c r="P262" s="1124"/>
    </row>
    <row r="263" spans="2:16" x14ac:dyDescent="0.3">
      <c r="B263" s="1119"/>
      <c r="C263" s="1122"/>
      <c r="D263" s="61" t="s">
        <v>142</v>
      </c>
      <c r="E263" s="62"/>
      <c r="F263" s="63">
        <f t="shared" si="195"/>
        <v>0</v>
      </c>
      <c r="G263" s="63">
        <v>0</v>
      </c>
      <c r="H263" s="64">
        <v>0</v>
      </c>
      <c r="I263" s="79">
        <f t="shared" si="197"/>
        <v>0</v>
      </c>
      <c r="J263" s="4">
        <f t="shared" si="190"/>
        <v>0</v>
      </c>
      <c r="K263" s="4">
        <f t="shared" si="196"/>
        <v>0</v>
      </c>
      <c r="L263" s="65" t="e">
        <f t="shared" si="199"/>
        <v>#DIV/0!</v>
      </c>
      <c r="M263" s="66">
        <v>4.9344999999999999</v>
      </c>
      <c r="N263" s="67">
        <f t="shared" si="193"/>
        <v>0</v>
      </c>
      <c r="O263" s="67">
        <f t="shared" si="198"/>
        <v>0</v>
      </c>
      <c r="P263" s="1124"/>
    </row>
    <row r="264" spans="2:16" x14ac:dyDescent="0.3">
      <c r="B264" s="1119"/>
      <c r="C264" s="1122"/>
      <c r="D264" s="61" t="s">
        <v>136</v>
      </c>
      <c r="E264" s="62">
        <v>0</v>
      </c>
      <c r="F264" s="63">
        <f t="shared" si="195"/>
        <v>0</v>
      </c>
      <c r="G264" s="155">
        <v>0</v>
      </c>
      <c r="H264" s="156">
        <v>0</v>
      </c>
      <c r="I264" s="157">
        <f t="shared" si="197"/>
        <v>0</v>
      </c>
      <c r="J264" s="4">
        <f t="shared" si="190"/>
        <v>0</v>
      </c>
      <c r="K264" s="4">
        <f t="shared" si="196"/>
        <v>0</v>
      </c>
      <c r="L264" s="158" t="e">
        <f t="shared" si="199"/>
        <v>#DIV/0!</v>
      </c>
      <c r="M264" s="66">
        <v>4.9344999999999999</v>
      </c>
      <c r="N264" s="159">
        <f t="shared" si="193"/>
        <v>0</v>
      </c>
      <c r="O264" s="67">
        <f>M264*J264</f>
        <v>0</v>
      </c>
      <c r="P264" s="1124"/>
    </row>
    <row r="265" spans="2:16" x14ac:dyDescent="0.3">
      <c r="B265" s="1119"/>
      <c r="C265" s="1122" t="s">
        <v>88</v>
      </c>
      <c r="D265" s="61" t="s">
        <v>80</v>
      </c>
      <c r="E265" s="62">
        <v>0</v>
      </c>
      <c r="F265" s="63">
        <f t="shared" si="195"/>
        <v>19900</v>
      </c>
      <c r="G265" s="63">
        <v>18900</v>
      </c>
      <c r="H265" s="64">
        <v>1000</v>
      </c>
      <c r="I265" s="79">
        <f t="shared" si="197"/>
        <v>67923</v>
      </c>
      <c r="J265" s="4">
        <f t="shared" si="190"/>
        <v>62550</v>
      </c>
      <c r="K265" s="4">
        <f t="shared" si="196"/>
        <v>5373</v>
      </c>
      <c r="L265" s="65" t="e">
        <f t="shared" si="199"/>
        <v>#DIV/0!</v>
      </c>
      <c r="M265" s="148">
        <v>5.5069999999999997</v>
      </c>
      <c r="N265" s="67">
        <f t="shared" si="193"/>
        <v>104082.29999999999</v>
      </c>
      <c r="O265" s="67">
        <f>M265*J265</f>
        <v>344462.85</v>
      </c>
      <c r="P265" s="1124"/>
    </row>
    <row r="266" spans="2:16" x14ac:dyDescent="0.3">
      <c r="B266" s="1119"/>
      <c r="C266" s="1122"/>
      <c r="D266" s="61" t="s">
        <v>119</v>
      </c>
      <c r="E266" s="62">
        <v>0</v>
      </c>
      <c r="F266" s="63">
        <f t="shared" si="195"/>
        <v>0</v>
      </c>
      <c r="G266" s="63">
        <v>0</v>
      </c>
      <c r="H266" s="64">
        <v>0</v>
      </c>
      <c r="I266" s="79">
        <f t="shared" si="197"/>
        <v>0</v>
      </c>
      <c r="J266" s="4">
        <f t="shared" si="190"/>
        <v>0</v>
      </c>
      <c r="K266" s="4">
        <f t="shared" si="196"/>
        <v>0</v>
      </c>
      <c r="L266" s="65" t="e">
        <f t="shared" si="199"/>
        <v>#DIV/0!</v>
      </c>
      <c r="M266" s="147">
        <v>5.6550000000000002</v>
      </c>
      <c r="N266" s="67">
        <f t="shared" si="193"/>
        <v>0</v>
      </c>
      <c r="O266" s="67">
        <f>M266*J266</f>
        <v>0</v>
      </c>
      <c r="P266" s="1124"/>
    </row>
    <row r="267" spans="2:16" x14ac:dyDescent="0.3">
      <c r="B267" s="1119"/>
      <c r="C267" s="1122"/>
      <c r="D267" s="61" t="s">
        <v>125</v>
      </c>
      <c r="E267" s="62">
        <v>0</v>
      </c>
      <c r="F267" s="63">
        <f t="shared" si="195"/>
        <v>0</v>
      </c>
      <c r="G267" s="63">
        <v>0</v>
      </c>
      <c r="H267" s="64">
        <v>0</v>
      </c>
      <c r="I267" s="79">
        <f t="shared" si="197"/>
        <v>0</v>
      </c>
      <c r="J267" s="4">
        <f t="shared" si="190"/>
        <v>0</v>
      </c>
      <c r="K267" s="4">
        <f t="shared" si="196"/>
        <v>0</v>
      </c>
      <c r="L267" s="65" t="e">
        <f t="shared" si="199"/>
        <v>#DIV/0!</v>
      </c>
      <c r="M267" s="152">
        <v>5.6550000000000002</v>
      </c>
      <c r="N267" s="67">
        <f t="shared" si="193"/>
        <v>0</v>
      </c>
      <c r="O267" s="67">
        <f>M267*J267</f>
        <v>0</v>
      </c>
      <c r="P267" s="1124"/>
    </row>
    <row r="268" spans="2:16" x14ac:dyDescent="0.3">
      <c r="B268" s="1119"/>
      <c r="C268" s="1122"/>
      <c r="D268" s="61" t="s">
        <v>128</v>
      </c>
      <c r="E268" s="62">
        <v>0</v>
      </c>
      <c r="F268" s="63">
        <f t="shared" si="195"/>
        <v>0</v>
      </c>
      <c r="G268" s="63">
        <v>0</v>
      </c>
      <c r="H268" s="64">
        <v>0</v>
      </c>
      <c r="I268" s="79">
        <f t="shared" si="197"/>
        <v>9700</v>
      </c>
      <c r="J268" s="4">
        <f t="shared" si="190"/>
        <v>8200</v>
      </c>
      <c r="K268" s="4">
        <f t="shared" si="196"/>
        <v>1500</v>
      </c>
      <c r="L268" s="65" t="e">
        <f t="shared" si="199"/>
        <v>#DIV/0!</v>
      </c>
      <c r="M268" s="66">
        <v>5.7885299999999997</v>
      </c>
      <c r="N268" s="67">
        <f>+M268*G268</f>
        <v>0</v>
      </c>
      <c r="O268" s="67">
        <f>M268*J268</f>
        <v>47465.945999999996</v>
      </c>
      <c r="P268" s="1124"/>
    </row>
    <row r="269" spans="2:16" x14ac:dyDescent="0.3">
      <c r="B269" s="1119"/>
      <c r="C269" s="1122"/>
      <c r="D269" s="61" t="s">
        <v>143</v>
      </c>
      <c r="E269" s="62">
        <v>0</v>
      </c>
      <c r="F269" s="63">
        <f t="shared" si="195"/>
        <v>0</v>
      </c>
      <c r="G269" s="63">
        <v>0</v>
      </c>
      <c r="H269" s="64">
        <v>0</v>
      </c>
      <c r="I269" s="79">
        <f t="shared" si="197"/>
        <v>0</v>
      </c>
      <c r="J269" s="4">
        <f t="shared" si="190"/>
        <v>0</v>
      </c>
      <c r="K269" s="4">
        <f t="shared" si="196"/>
        <v>0</v>
      </c>
      <c r="L269" s="65" t="e">
        <f t="shared" si="199"/>
        <v>#DIV/0!</v>
      </c>
      <c r="M269" s="152">
        <v>5.6550000000000002</v>
      </c>
      <c r="N269" s="67">
        <f t="shared" ref="N269:N271" si="200">+M269*G269</f>
        <v>0</v>
      </c>
      <c r="O269" s="67">
        <f t="shared" ref="O269:O272" si="201">M269*J269</f>
        <v>0</v>
      </c>
      <c r="P269" s="1124"/>
    </row>
    <row r="270" spans="2:16" x14ac:dyDescent="0.3">
      <c r="B270" s="1119"/>
      <c r="C270" s="173" t="s">
        <v>89</v>
      </c>
      <c r="D270" s="61" t="s">
        <v>80</v>
      </c>
      <c r="E270" s="62">
        <v>0</v>
      </c>
      <c r="F270" s="63">
        <f t="shared" si="195"/>
        <v>0</v>
      </c>
      <c r="G270" s="63">
        <v>0</v>
      </c>
      <c r="H270" s="64">
        <v>0</v>
      </c>
      <c r="I270" s="79">
        <f t="shared" si="197"/>
        <v>0</v>
      </c>
      <c r="J270" s="4">
        <f t="shared" si="190"/>
        <v>0</v>
      </c>
      <c r="K270" s="4">
        <f t="shared" si="196"/>
        <v>0</v>
      </c>
      <c r="L270" s="65" t="e">
        <f t="shared" si="199"/>
        <v>#DIV/0!</v>
      </c>
      <c r="M270" s="66">
        <v>3.2963</v>
      </c>
      <c r="N270" s="67">
        <f t="shared" si="200"/>
        <v>0</v>
      </c>
      <c r="O270" s="67">
        <f t="shared" si="201"/>
        <v>0</v>
      </c>
      <c r="P270" s="1124"/>
    </row>
    <row r="271" spans="2:16" x14ac:dyDescent="0.3">
      <c r="B271" s="1119"/>
      <c r="C271" s="173" t="s">
        <v>90</v>
      </c>
      <c r="D271" s="61" t="s">
        <v>80</v>
      </c>
      <c r="E271" s="62">
        <v>0</v>
      </c>
      <c r="F271" s="63">
        <f t="shared" si="195"/>
        <v>0</v>
      </c>
      <c r="G271" s="63">
        <v>0</v>
      </c>
      <c r="H271" s="64">
        <v>0</v>
      </c>
      <c r="I271" s="79">
        <f t="shared" si="197"/>
        <v>0</v>
      </c>
      <c r="J271" s="4">
        <f t="shared" si="190"/>
        <v>0</v>
      </c>
      <c r="K271" s="4">
        <f t="shared" si="196"/>
        <v>0</v>
      </c>
      <c r="L271" s="65" t="e">
        <f t="shared" si="199"/>
        <v>#DIV/0!</v>
      </c>
      <c r="M271" s="66">
        <v>3.2963</v>
      </c>
      <c r="N271" s="67">
        <f t="shared" si="200"/>
        <v>0</v>
      </c>
      <c r="O271" s="67">
        <f t="shared" si="201"/>
        <v>0</v>
      </c>
      <c r="P271" s="1124"/>
    </row>
    <row r="272" spans="2:16" ht="15" thickBot="1" x14ac:dyDescent="0.35">
      <c r="B272" s="1119"/>
      <c r="C272" s="68" t="s">
        <v>91</v>
      </c>
      <c r="D272" s="69" t="s">
        <v>92</v>
      </c>
      <c r="E272" s="70">
        <v>0</v>
      </c>
      <c r="F272" s="71">
        <f t="shared" si="195"/>
        <v>0</v>
      </c>
      <c r="G272" s="71">
        <v>0</v>
      </c>
      <c r="H272" s="72">
        <v>0</v>
      </c>
      <c r="I272" s="80">
        <f t="shared" si="197"/>
        <v>0</v>
      </c>
      <c r="J272" s="4">
        <f t="shared" si="190"/>
        <v>0</v>
      </c>
      <c r="K272" s="4">
        <f t="shared" si="196"/>
        <v>0</v>
      </c>
      <c r="L272" s="65" t="e">
        <f t="shared" si="199"/>
        <v>#DIV/0!</v>
      </c>
      <c r="M272" s="73">
        <v>2.3201000000000001</v>
      </c>
      <c r="N272" s="74">
        <f t="shared" ref="N272" si="202">M272*G272</f>
        <v>0</v>
      </c>
      <c r="O272" s="74">
        <f t="shared" si="201"/>
        <v>0</v>
      </c>
      <c r="P272" s="1125"/>
    </row>
    <row r="273" spans="2:16" ht="15" thickBot="1" x14ac:dyDescent="0.35">
      <c r="B273" s="1120"/>
      <c r="C273" s="1128" t="s">
        <v>106</v>
      </c>
      <c r="D273" s="1129"/>
      <c r="E273" s="1129"/>
      <c r="F273" s="1129"/>
      <c r="G273" s="1129"/>
      <c r="H273" s="1130"/>
      <c r="I273" s="116">
        <f>J273+K273</f>
        <v>277565</v>
      </c>
      <c r="J273" s="115">
        <f>SUM(J245:J272)</f>
        <v>265475</v>
      </c>
      <c r="K273" s="115">
        <f>SUM(K245:K272)</f>
        <v>12090</v>
      </c>
      <c r="L273" s="114"/>
      <c r="M273" s="113"/>
      <c r="N273" s="114"/>
      <c r="O273" s="97">
        <f>SUM(O245:O272)</f>
        <v>2105299.7009999999</v>
      </c>
      <c r="P273" s="96"/>
    </row>
    <row r="274" spans="2:16" ht="15" thickBot="1" x14ac:dyDescent="0.35">
      <c r="B274" s="100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2"/>
    </row>
    <row r="275" spans="2:16" ht="15" thickBot="1" x14ac:dyDescent="0.35">
      <c r="B275" s="1113" t="s">
        <v>107</v>
      </c>
      <c r="C275" s="1114"/>
      <c r="D275" s="1114"/>
      <c r="E275" s="1114"/>
      <c r="F275" s="1114"/>
      <c r="G275" s="1114"/>
      <c r="H275" s="1114"/>
      <c r="I275" s="1114"/>
      <c r="J275" s="1114"/>
      <c r="K275" s="1114"/>
      <c r="L275" s="1114"/>
      <c r="M275" s="1114"/>
      <c r="N275" s="1115"/>
      <c r="O275" s="103">
        <f>+O273+O244+O229</f>
        <v>5268211.0190000003</v>
      </c>
      <c r="P275" s="96"/>
    </row>
    <row r="276" spans="2:16" ht="15" thickBot="1" x14ac:dyDescent="0.35"/>
    <row r="277" spans="2:16" x14ac:dyDescent="0.3">
      <c r="B277" s="1147" t="s">
        <v>1</v>
      </c>
      <c r="C277" s="1149" t="s">
        <v>2</v>
      </c>
      <c r="D277" s="1152" t="s">
        <v>3</v>
      </c>
      <c r="E277" s="1155" t="s">
        <v>4</v>
      </c>
      <c r="F277" s="1156"/>
      <c r="G277" s="1156"/>
      <c r="H277" s="1156"/>
      <c r="I277" s="1156"/>
      <c r="J277" s="1156"/>
      <c r="K277" s="1156"/>
      <c r="L277" s="1157"/>
      <c r="M277" s="1158" t="s">
        <v>5</v>
      </c>
      <c r="N277" s="1159"/>
      <c r="O277" s="1160"/>
      <c r="P277" s="1152" t="s">
        <v>6</v>
      </c>
    </row>
    <row r="278" spans="2:16" x14ac:dyDescent="0.3">
      <c r="B278" s="1148"/>
      <c r="C278" s="1150"/>
      <c r="D278" s="1153"/>
      <c r="E278" s="1161" t="s">
        <v>7</v>
      </c>
      <c r="F278" s="1163" t="s">
        <v>152</v>
      </c>
      <c r="G278" s="1163"/>
      <c r="H278" s="1164"/>
      <c r="I278" s="1165" t="s">
        <v>8</v>
      </c>
      <c r="J278" s="1163"/>
      <c r="K278" s="1163"/>
      <c r="L278" s="1164" t="s">
        <v>9</v>
      </c>
      <c r="M278" s="1167" t="s">
        <v>10</v>
      </c>
      <c r="N278" s="1169" t="s">
        <v>11</v>
      </c>
      <c r="O278" s="1171" t="s">
        <v>12</v>
      </c>
      <c r="P278" s="1153"/>
    </row>
    <row r="279" spans="2:16" ht="15" thickBot="1" x14ac:dyDescent="0.35">
      <c r="B279" s="1148"/>
      <c r="C279" s="1151"/>
      <c r="D279" s="1154"/>
      <c r="E279" s="1162"/>
      <c r="F279" s="2" t="s">
        <v>13</v>
      </c>
      <c r="G279" s="2" t="s">
        <v>14</v>
      </c>
      <c r="H279" s="179" t="s">
        <v>15</v>
      </c>
      <c r="I279" s="142" t="s">
        <v>13</v>
      </c>
      <c r="J279" s="2" t="s">
        <v>14</v>
      </c>
      <c r="K279" s="2" t="s">
        <v>15</v>
      </c>
      <c r="L279" s="1166"/>
      <c r="M279" s="1168"/>
      <c r="N279" s="1170"/>
      <c r="O279" s="1172"/>
      <c r="P279" s="1154"/>
    </row>
    <row r="280" spans="2:16" x14ac:dyDescent="0.3">
      <c r="B280" s="1131" t="s">
        <v>56</v>
      </c>
      <c r="C280" s="29"/>
      <c r="D280" s="117" t="s">
        <v>151</v>
      </c>
      <c r="E280" s="98">
        <v>0</v>
      </c>
      <c r="F280" s="4">
        <f>+G280+H280</f>
        <v>43254</v>
      </c>
      <c r="G280" s="4">
        <v>42280</v>
      </c>
      <c r="H280" s="8">
        <v>974</v>
      </c>
      <c r="I280" s="6">
        <f>J280+K280</f>
        <v>157068</v>
      </c>
      <c r="J280" s="4">
        <f>G280+J215</f>
        <v>155120</v>
      </c>
      <c r="K280" s="4">
        <f>H280+K215</f>
        <v>1948</v>
      </c>
      <c r="L280" s="33" t="e">
        <f>+J280/E280</f>
        <v>#DIV/0!</v>
      </c>
      <c r="M280" s="104">
        <v>1.3652</v>
      </c>
      <c r="N280" s="31">
        <f>G280*M280</f>
        <v>57720.655999999995</v>
      </c>
      <c r="O280" s="86">
        <f>M280*J280</f>
        <v>211769.82399999999</v>
      </c>
      <c r="P280" s="1133"/>
    </row>
    <row r="281" spans="2:16" x14ac:dyDescent="0.3">
      <c r="B281" s="1132"/>
      <c r="C281" s="32"/>
      <c r="D281" s="118" t="s">
        <v>116</v>
      </c>
      <c r="E281" s="99">
        <v>0</v>
      </c>
      <c r="F281" s="9">
        <f>+G281+H281</f>
        <v>0</v>
      </c>
      <c r="G281" s="9">
        <v>0</v>
      </c>
      <c r="H281" s="10">
        <v>0</v>
      </c>
      <c r="I281" s="6">
        <f>J281+K281</f>
        <v>0</v>
      </c>
      <c r="J281" s="4">
        <f>+G281+J216</f>
        <v>0</v>
      </c>
      <c r="K281" s="4">
        <f>+H281+K216</f>
        <v>0</v>
      </c>
      <c r="L281" s="33"/>
      <c r="M281" s="105">
        <v>5.9917999999999996</v>
      </c>
      <c r="N281" s="34">
        <f>M281*G281</f>
        <v>0</v>
      </c>
      <c r="O281" s="87">
        <f>M281*J281</f>
        <v>0</v>
      </c>
      <c r="P281" s="1134"/>
    </row>
    <row r="282" spans="2:16" x14ac:dyDescent="0.3">
      <c r="B282" s="1132"/>
      <c r="C282" s="35"/>
      <c r="D282" s="119" t="s">
        <v>58</v>
      </c>
      <c r="E282" s="99">
        <v>0</v>
      </c>
      <c r="F282" s="9">
        <f t="shared" ref="F282:F286" si="203">+G282+H282</f>
        <v>174116</v>
      </c>
      <c r="G282" s="9">
        <f>57500+115000</f>
        <v>172500</v>
      </c>
      <c r="H282" s="10">
        <f>774+842</f>
        <v>1616</v>
      </c>
      <c r="I282" s="6">
        <f t="shared" ref="I282:I286" si="204">J282+K282</f>
        <v>931077</v>
      </c>
      <c r="J282" s="4">
        <f t="shared" ref="J282:J286" si="205">+G282+J217</f>
        <v>923250</v>
      </c>
      <c r="K282" s="4">
        <f t="shared" ref="K282:K286" si="206">+H282+K217</f>
        <v>7827</v>
      </c>
      <c r="L282" s="33" t="e">
        <f t="shared" ref="L282" si="207">+J282/E282</f>
        <v>#DIV/0!</v>
      </c>
      <c r="M282" s="106">
        <v>2.3807999999999998</v>
      </c>
      <c r="N282" s="36">
        <f>G282*M282</f>
        <v>410687.99999999994</v>
      </c>
      <c r="O282" s="88">
        <f>M282*J282</f>
        <v>2198073.5999999996</v>
      </c>
      <c r="P282" s="1134"/>
    </row>
    <row r="283" spans="2:16" x14ac:dyDescent="0.3">
      <c r="B283" s="1132"/>
      <c r="C283" s="35"/>
      <c r="D283" s="119" t="s">
        <v>59</v>
      </c>
      <c r="E283" s="99">
        <v>0</v>
      </c>
      <c r="F283" s="9">
        <f t="shared" si="203"/>
        <v>0</v>
      </c>
      <c r="G283" s="9">
        <v>0</v>
      </c>
      <c r="H283" s="10">
        <v>0</v>
      </c>
      <c r="I283" s="6">
        <f t="shared" si="204"/>
        <v>0</v>
      </c>
      <c r="J283" s="4">
        <f t="shared" si="205"/>
        <v>0</v>
      </c>
      <c r="K283" s="4">
        <f t="shared" si="206"/>
        <v>0</v>
      </c>
      <c r="L283" s="33"/>
      <c r="M283" s="106">
        <v>2.1457999999999999</v>
      </c>
      <c r="N283" s="36">
        <f t="shared" ref="N283:N286" si="208">G283*M283</f>
        <v>0</v>
      </c>
      <c r="O283" s="88">
        <f>M283*J283</f>
        <v>0</v>
      </c>
      <c r="P283" s="1134"/>
    </row>
    <row r="284" spans="2:16" x14ac:dyDescent="0.3">
      <c r="B284" s="1132"/>
      <c r="C284" s="35"/>
      <c r="D284" s="119" t="s">
        <v>113</v>
      </c>
      <c r="E284" s="99">
        <v>0</v>
      </c>
      <c r="F284" s="9">
        <f t="shared" si="203"/>
        <v>0</v>
      </c>
      <c r="G284" s="9">
        <v>0</v>
      </c>
      <c r="H284" s="10">
        <v>0</v>
      </c>
      <c r="I284" s="6">
        <f t="shared" si="204"/>
        <v>0</v>
      </c>
      <c r="J284" s="4">
        <f t="shared" si="205"/>
        <v>0</v>
      </c>
      <c r="K284" s="4">
        <f t="shared" si="206"/>
        <v>0</v>
      </c>
      <c r="L284" s="33" t="e">
        <f t="shared" ref="L284:L285" si="209">+J284/E284</f>
        <v>#DIV/0!</v>
      </c>
      <c r="M284" s="143">
        <v>4.0426000000000002</v>
      </c>
      <c r="N284" s="36">
        <f t="shared" si="208"/>
        <v>0</v>
      </c>
      <c r="O284" s="88">
        <f>M284*J284</f>
        <v>0</v>
      </c>
      <c r="P284" s="1134"/>
    </row>
    <row r="285" spans="2:16" x14ac:dyDescent="0.3">
      <c r="B285" s="1132"/>
      <c r="C285" s="35"/>
      <c r="D285" s="119" t="s">
        <v>117</v>
      </c>
      <c r="E285" s="99">
        <v>0</v>
      </c>
      <c r="F285" s="9">
        <f t="shared" si="203"/>
        <v>0</v>
      </c>
      <c r="G285" s="9">
        <v>0</v>
      </c>
      <c r="H285" s="10">
        <v>0</v>
      </c>
      <c r="I285" s="6">
        <f t="shared" si="204"/>
        <v>0</v>
      </c>
      <c r="J285" s="4">
        <f t="shared" si="205"/>
        <v>0</v>
      </c>
      <c r="K285" s="4">
        <f t="shared" si="206"/>
        <v>0</v>
      </c>
      <c r="L285" s="33" t="e">
        <f t="shared" si="209"/>
        <v>#DIV/0!</v>
      </c>
      <c r="M285" s="143">
        <v>3.8715000000000002</v>
      </c>
      <c r="N285" s="36">
        <f t="shared" si="208"/>
        <v>0</v>
      </c>
      <c r="O285" s="88">
        <f t="shared" ref="O285:O286" si="210">M285*J285</f>
        <v>0</v>
      </c>
      <c r="P285" s="1134"/>
    </row>
    <row r="286" spans="2:16" ht="15" thickBot="1" x14ac:dyDescent="0.35">
      <c r="B286" s="1132"/>
      <c r="C286" s="82"/>
      <c r="D286" s="120" t="s">
        <v>60</v>
      </c>
      <c r="E286" s="108">
        <v>0</v>
      </c>
      <c r="F286" s="12">
        <f t="shared" si="203"/>
        <v>0</v>
      </c>
      <c r="G286" s="12">
        <v>0</v>
      </c>
      <c r="H286" s="13">
        <v>0</v>
      </c>
      <c r="I286" s="21">
        <f t="shared" si="204"/>
        <v>0</v>
      </c>
      <c r="J286" s="4">
        <f t="shared" si="205"/>
        <v>0</v>
      </c>
      <c r="K286" s="4">
        <f t="shared" si="206"/>
        <v>0</v>
      </c>
      <c r="L286" s="81"/>
      <c r="M286" s="127">
        <v>12.284700000000001</v>
      </c>
      <c r="N286" s="36">
        <f t="shared" si="208"/>
        <v>0</v>
      </c>
      <c r="O286" s="128">
        <f t="shared" si="210"/>
        <v>0</v>
      </c>
      <c r="P286" s="1134"/>
    </row>
    <row r="287" spans="2:16" ht="15" thickBot="1" x14ac:dyDescent="0.35">
      <c r="B287" s="1132"/>
      <c r="C287" s="1137" t="s">
        <v>111</v>
      </c>
      <c r="D287" s="1138"/>
      <c r="E287" s="129"/>
      <c r="F287" s="130">
        <f>SUM(F280:F286)</f>
        <v>217370</v>
      </c>
      <c r="G287" s="130">
        <f>SUM(G280:G286)</f>
        <v>214780</v>
      </c>
      <c r="H287" s="131">
        <f>SUM(H280:H286)</f>
        <v>2590</v>
      </c>
      <c r="I287" s="132">
        <f>+J287+K287</f>
        <v>1088145</v>
      </c>
      <c r="J287" s="133">
        <f>SUM(J280:J286)</f>
        <v>1078370</v>
      </c>
      <c r="K287" s="133">
        <f>SUM(K280:K286)</f>
        <v>9775</v>
      </c>
      <c r="L287" s="134"/>
      <c r="M287" s="135"/>
      <c r="N287" s="136"/>
      <c r="O287" s="137">
        <f>SUM(O280:O286)</f>
        <v>2409843.4239999996</v>
      </c>
      <c r="P287" s="1135"/>
    </row>
    <row r="288" spans="2:16" x14ac:dyDescent="0.3">
      <c r="B288" s="1132"/>
      <c r="C288" s="32"/>
      <c r="D288" s="118" t="s">
        <v>61</v>
      </c>
      <c r="E288" s="98">
        <v>0</v>
      </c>
      <c r="F288" s="4">
        <f t="shared" ref="F288:F291" si="211">+G288+H288</f>
        <v>0</v>
      </c>
      <c r="G288" s="4">
        <v>0</v>
      </c>
      <c r="H288" s="8">
        <v>0</v>
      </c>
      <c r="I288" s="6">
        <f t="shared" ref="I288:I292" si="212">J288+K288</f>
        <v>0</v>
      </c>
      <c r="J288" s="4">
        <f>G288+J223</f>
        <v>0</v>
      </c>
      <c r="K288" s="4">
        <f>H288+K223</f>
        <v>0</v>
      </c>
      <c r="L288" s="33" t="e">
        <f t="shared" ref="L288" si="213">+J288/E288</f>
        <v>#DIV/0!</v>
      </c>
      <c r="M288" s="105">
        <v>12.029500000000001</v>
      </c>
      <c r="N288" s="34">
        <f>M288*G288</f>
        <v>0</v>
      </c>
      <c r="O288" s="87">
        <f t="shared" ref="O288:O290" si="214">M288*J288</f>
        <v>0</v>
      </c>
      <c r="P288" s="1134"/>
    </row>
    <row r="289" spans="2:16" x14ac:dyDescent="0.3">
      <c r="B289" s="1132"/>
      <c r="C289" s="35"/>
      <c r="D289" s="119" t="s">
        <v>62</v>
      </c>
      <c r="E289" s="99">
        <v>0</v>
      </c>
      <c r="F289" s="9">
        <f t="shared" si="211"/>
        <v>0</v>
      </c>
      <c r="G289" s="9">
        <v>0</v>
      </c>
      <c r="H289" s="10">
        <v>0</v>
      </c>
      <c r="I289" s="6">
        <f t="shared" si="212"/>
        <v>0</v>
      </c>
      <c r="J289" s="4">
        <f>G289+J224</f>
        <v>0</v>
      </c>
      <c r="K289" s="4">
        <f>H289+K224</f>
        <v>0</v>
      </c>
      <c r="L289" s="33"/>
      <c r="M289" s="106">
        <v>0</v>
      </c>
      <c r="N289" s="36"/>
      <c r="O289" s="88">
        <f t="shared" si="214"/>
        <v>0</v>
      </c>
      <c r="P289" s="1134"/>
    </row>
    <row r="290" spans="2:16" x14ac:dyDescent="0.3">
      <c r="B290" s="1132"/>
      <c r="C290" s="35"/>
      <c r="D290" s="119" t="s">
        <v>104</v>
      </c>
      <c r="E290" s="99">
        <v>0</v>
      </c>
      <c r="F290" s="9">
        <f t="shared" si="211"/>
        <v>0</v>
      </c>
      <c r="G290" s="9">
        <v>0</v>
      </c>
      <c r="H290" s="10">
        <v>0</v>
      </c>
      <c r="I290" s="6">
        <f t="shared" si="212"/>
        <v>0</v>
      </c>
      <c r="J290" s="4">
        <f t="shared" ref="J290:J292" si="215">G290+J225</f>
        <v>0</v>
      </c>
      <c r="K290" s="4">
        <f t="shared" ref="K290:K292" si="216">H290+K225</f>
        <v>0</v>
      </c>
      <c r="L290" s="33" t="e">
        <f t="shared" ref="L290:L292" si="217">+J290/E290</f>
        <v>#DIV/0!</v>
      </c>
      <c r="M290" s="106">
        <v>19.688600000000001</v>
      </c>
      <c r="N290" s="36">
        <f>M290*G290</f>
        <v>0</v>
      </c>
      <c r="O290" s="88">
        <f t="shared" si="214"/>
        <v>0</v>
      </c>
      <c r="P290" s="1134"/>
    </row>
    <row r="291" spans="2:16" x14ac:dyDescent="0.3">
      <c r="B291" s="1132"/>
      <c r="C291" s="35"/>
      <c r="D291" s="119" t="s">
        <v>64</v>
      </c>
      <c r="E291" s="99">
        <v>0</v>
      </c>
      <c r="F291" s="9">
        <f t="shared" si="211"/>
        <v>0</v>
      </c>
      <c r="G291" s="9">
        <v>0</v>
      </c>
      <c r="H291" s="10">
        <v>0</v>
      </c>
      <c r="I291" s="6">
        <f t="shared" si="212"/>
        <v>0</v>
      </c>
      <c r="J291" s="4">
        <f t="shared" si="215"/>
        <v>0</v>
      </c>
      <c r="K291" s="4">
        <f t="shared" si="216"/>
        <v>0</v>
      </c>
      <c r="L291" s="33" t="e">
        <f t="shared" si="217"/>
        <v>#DIV/0!</v>
      </c>
      <c r="M291" s="106">
        <v>1.2824</v>
      </c>
      <c r="N291" s="151">
        <f>M291*G291</f>
        <v>0</v>
      </c>
      <c r="O291" s="88">
        <f>M291*J291</f>
        <v>0</v>
      </c>
      <c r="P291" s="1134"/>
    </row>
    <row r="292" spans="2:16" ht="15" thickBot="1" x14ac:dyDescent="0.35">
      <c r="B292" s="1132"/>
      <c r="C292" s="82"/>
      <c r="D292" s="120" t="s">
        <v>63</v>
      </c>
      <c r="E292" s="108">
        <v>0</v>
      </c>
      <c r="F292" s="12">
        <v>0</v>
      </c>
      <c r="G292" s="12">
        <v>0</v>
      </c>
      <c r="H292" s="13">
        <v>0</v>
      </c>
      <c r="I292" s="21">
        <f t="shared" si="212"/>
        <v>0</v>
      </c>
      <c r="J292" s="4">
        <f t="shared" si="215"/>
        <v>0</v>
      </c>
      <c r="K292" s="4">
        <f t="shared" si="216"/>
        <v>0</v>
      </c>
      <c r="L292" s="81" t="e">
        <f t="shared" si="217"/>
        <v>#DIV/0!</v>
      </c>
      <c r="M292" s="107">
        <v>18.2316</v>
      </c>
      <c r="N292" s="75"/>
      <c r="O292" s="89">
        <f t="shared" ref="O292" si="218">M292*J292</f>
        <v>0</v>
      </c>
      <c r="P292" s="1136"/>
    </row>
    <row r="293" spans="2:16" ht="15" thickBot="1" x14ac:dyDescent="0.35">
      <c r="B293" s="1116" t="s">
        <v>112</v>
      </c>
      <c r="C293" s="1117"/>
      <c r="D293" s="1117"/>
      <c r="E293" s="124"/>
      <c r="F293" s="125">
        <f>+G293+H293</f>
        <v>0</v>
      </c>
      <c r="G293" s="125">
        <f>SUM(G288:G292)</f>
        <v>0</v>
      </c>
      <c r="H293" s="126">
        <f>SUM(H288:H292)</f>
        <v>0</v>
      </c>
      <c r="I293" s="121">
        <f>J293+K293</f>
        <v>0</v>
      </c>
      <c r="J293" s="122">
        <f>SUM(J288:J292)</f>
        <v>0</v>
      </c>
      <c r="K293" s="123">
        <f>SUM(K288:K292)</f>
        <v>0</v>
      </c>
      <c r="L293" s="138"/>
      <c r="M293" s="139"/>
      <c r="N293" s="140"/>
      <c r="O293" s="141">
        <f>SUM(O288:O292)</f>
        <v>0</v>
      </c>
      <c r="P293" s="177"/>
    </row>
    <row r="294" spans="2:16" ht="15" thickBot="1" x14ac:dyDescent="0.35">
      <c r="B294" s="1116" t="s">
        <v>105</v>
      </c>
      <c r="C294" s="1117"/>
      <c r="D294" s="1117"/>
      <c r="E294" s="1139"/>
      <c r="F294" s="1139"/>
      <c r="G294" s="1139"/>
      <c r="H294" s="1139"/>
      <c r="I294" s="1117"/>
      <c r="J294" s="1117"/>
      <c r="K294" s="1117"/>
      <c r="L294" s="1117"/>
      <c r="M294" s="1117"/>
      <c r="N294" s="1140"/>
      <c r="O294" s="83">
        <f>O287+O293</f>
        <v>2409843.4239999996</v>
      </c>
      <c r="P294" s="177"/>
    </row>
    <row r="295" spans="2:16" x14ac:dyDescent="0.3">
      <c r="B295" s="1131" t="s">
        <v>65</v>
      </c>
      <c r="C295" s="37" t="s">
        <v>66</v>
      </c>
      <c r="D295" s="28" t="s">
        <v>67</v>
      </c>
      <c r="E295" s="38">
        <v>0</v>
      </c>
      <c r="F295" s="14">
        <f>+G295+H295</f>
        <v>0</v>
      </c>
      <c r="G295" s="14">
        <v>0</v>
      </c>
      <c r="H295" s="5">
        <v>0</v>
      </c>
      <c r="I295" s="17">
        <f t="shared" ref="I295:I301" si="219">J295+K295</f>
        <v>0</v>
      </c>
      <c r="J295" s="4">
        <f>G295+J230</f>
        <v>0</v>
      </c>
      <c r="K295" s="4">
        <f>H295+K230</f>
        <v>0</v>
      </c>
      <c r="L295" s="30" t="e">
        <f>+J295/E295</f>
        <v>#DIV/0!</v>
      </c>
      <c r="M295" s="146">
        <v>2.2141000000000002</v>
      </c>
      <c r="N295" s="15">
        <f>+M295*G295</f>
        <v>0</v>
      </c>
      <c r="O295" s="90">
        <f>+M295*J295</f>
        <v>0</v>
      </c>
      <c r="P295" s="1142"/>
    </row>
    <row r="296" spans="2:16" x14ac:dyDescent="0.3">
      <c r="B296" s="1132"/>
      <c r="C296" s="39"/>
      <c r="D296" s="22" t="s">
        <v>68</v>
      </c>
      <c r="E296" s="3">
        <v>0</v>
      </c>
      <c r="F296" s="9">
        <f t="shared" ref="F296:F301" si="220">+G296+H296</f>
        <v>0</v>
      </c>
      <c r="G296" s="4">
        <v>0</v>
      </c>
      <c r="H296" s="8">
        <v>0</v>
      </c>
      <c r="I296" s="6">
        <f t="shared" si="219"/>
        <v>0</v>
      </c>
      <c r="J296" s="4">
        <f>+G296+J231</f>
        <v>0</v>
      </c>
      <c r="K296" s="4">
        <f>+H296+K231</f>
        <v>0</v>
      </c>
      <c r="L296" s="40" t="e">
        <f t="shared" ref="L296:L297" si="221">+J296/E296</f>
        <v>#DIV/0!</v>
      </c>
      <c r="M296" s="145">
        <v>2.4565999999999999</v>
      </c>
      <c r="N296" s="11">
        <f t="shared" ref="N296:N298" si="222">+M296*G296</f>
        <v>0</v>
      </c>
      <c r="O296" s="91">
        <f t="shared" ref="O296:O298" si="223">+M296*J296</f>
        <v>0</v>
      </c>
      <c r="P296" s="1143"/>
    </row>
    <row r="297" spans="2:16" x14ac:dyDescent="0.3">
      <c r="B297" s="1132"/>
      <c r="C297" s="39"/>
      <c r="D297" s="23" t="s">
        <v>133</v>
      </c>
      <c r="E297" s="3">
        <v>0</v>
      </c>
      <c r="F297" s="9">
        <f t="shared" si="220"/>
        <v>0</v>
      </c>
      <c r="G297" s="4">
        <v>0</v>
      </c>
      <c r="H297" s="8">
        <v>0</v>
      </c>
      <c r="I297" s="6">
        <f t="shared" si="219"/>
        <v>0</v>
      </c>
      <c r="J297" s="4">
        <f t="shared" ref="J297:J301" si="224">+G297+J232</f>
        <v>0</v>
      </c>
      <c r="K297" s="4">
        <f t="shared" ref="K297:K301" si="225">+H297+K232</f>
        <v>0</v>
      </c>
      <c r="L297" s="40" t="e">
        <f t="shared" si="221"/>
        <v>#DIV/0!</v>
      </c>
      <c r="M297" s="145">
        <v>2.2907000000000002</v>
      </c>
      <c r="N297" s="11">
        <f t="shared" si="222"/>
        <v>0</v>
      </c>
      <c r="O297" s="91">
        <f t="shared" si="223"/>
        <v>0</v>
      </c>
      <c r="P297" s="1143"/>
    </row>
    <row r="298" spans="2:16" x14ac:dyDescent="0.3">
      <c r="B298" s="1132"/>
      <c r="C298" s="39"/>
      <c r="D298" s="22" t="s">
        <v>138</v>
      </c>
      <c r="E298" s="3"/>
      <c r="F298" s="9">
        <f t="shared" si="220"/>
        <v>0</v>
      </c>
      <c r="G298" s="4">
        <v>0</v>
      </c>
      <c r="H298" s="8">
        <v>0</v>
      </c>
      <c r="I298" s="6">
        <f t="shared" si="219"/>
        <v>0</v>
      </c>
      <c r="J298" s="4">
        <f t="shared" si="224"/>
        <v>0</v>
      </c>
      <c r="K298" s="4">
        <f t="shared" si="225"/>
        <v>0</v>
      </c>
      <c r="L298" s="33"/>
      <c r="M298" s="150">
        <v>2.544</v>
      </c>
      <c r="N298" s="11">
        <f t="shared" si="222"/>
        <v>0</v>
      </c>
      <c r="O298" s="91">
        <f t="shared" si="223"/>
        <v>0</v>
      </c>
      <c r="P298" s="1143"/>
    </row>
    <row r="299" spans="2:16" x14ac:dyDescent="0.3">
      <c r="B299" s="1132"/>
      <c r="C299" s="39" t="s">
        <v>69</v>
      </c>
      <c r="D299" s="22" t="s">
        <v>140</v>
      </c>
      <c r="E299" s="3">
        <v>0</v>
      </c>
      <c r="F299" s="9">
        <f t="shared" si="220"/>
        <v>78150</v>
      </c>
      <c r="G299" s="4">
        <v>76500</v>
      </c>
      <c r="H299" s="8">
        <v>1650</v>
      </c>
      <c r="I299" s="6">
        <f t="shared" si="219"/>
        <v>172032</v>
      </c>
      <c r="J299" s="4">
        <f t="shared" si="224"/>
        <v>167250</v>
      </c>
      <c r="K299" s="4">
        <f t="shared" si="225"/>
        <v>4782</v>
      </c>
      <c r="L299" s="33" t="e">
        <f>+J299/E299</f>
        <v>#DIV/0!</v>
      </c>
      <c r="M299" s="144">
        <v>2.2141000000000002</v>
      </c>
      <c r="N299" s="7">
        <f>+M299*G299</f>
        <v>169378.65000000002</v>
      </c>
      <c r="O299" s="85">
        <f>+M299*J299</f>
        <v>370308.22500000003</v>
      </c>
      <c r="P299" s="1143"/>
    </row>
    <row r="300" spans="2:16" x14ac:dyDescent="0.3">
      <c r="B300" s="1132"/>
      <c r="C300" s="39"/>
      <c r="D300" s="22" t="s">
        <v>68</v>
      </c>
      <c r="E300" s="3">
        <v>0</v>
      </c>
      <c r="F300" s="9">
        <f t="shared" si="220"/>
        <v>0</v>
      </c>
      <c r="G300" s="4">
        <v>0</v>
      </c>
      <c r="H300" s="8">
        <v>0</v>
      </c>
      <c r="I300" s="6">
        <f t="shared" si="219"/>
        <v>0</v>
      </c>
      <c r="J300" s="4">
        <f t="shared" si="224"/>
        <v>0</v>
      </c>
      <c r="K300" s="4">
        <f t="shared" si="225"/>
        <v>0</v>
      </c>
      <c r="L300" s="40" t="e">
        <f t="shared" ref="L300:L301" si="226">+J300/E300</f>
        <v>#DIV/0!</v>
      </c>
      <c r="M300" s="145">
        <v>2.4565999999999999</v>
      </c>
      <c r="N300" s="11">
        <f t="shared" ref="N300:N301" si="227">+M300*G300</f>
        <v>0</v>
      </c>
      <c r="O300" s="91">
        <f t="shared" ref="O300" si="228">+M300*J300</f>
        <v>0</v>
      </c>
      <c r="P300" s="1143"/>
    </row>
    <row r="301" spans="2:16" ht="15" thickBot="1" x14ac:dyDescent="0.35">
      <c r="B301" s="1132"/>
      <c r="C301" s="39"/>
      <c r="D301" s="22" t="s">
        <v>133</v>
      </c>
      <c r="E301" s="3">
        <v>0</v>
      </c>
      <c r="F301" s="9">
        <f t="shared" si="220"/>
        <v>0</v>
      </c>
      <c r="G301" s="4">
        <v>0</v>
      </c>
      <c r="H301" s="8">
        <v>0</v>
      </c>
      <c r="I301" s="6">
        <f t="shared" si="219"/>
        <v>0</v>
      </c>
      <c r="J301" s="4">
        <f t="shared" si="224"/>
        <v>0</v>
      </c>
      <c r="K301" s="4">
        <f t="shared" si="225"/>
        <v>0</v>
      </c>
      <c r="L301" s="40" t="e">
        <f t="shared" si="226"/>
        <v>#DIV/0!</v>
      </c>
      <c r="M301" s="145">
        <v>2.2907000000000002</v>
      </c>
      <c r="N301" s="11">
        <f t="shared" si="227"/>
        <v>0</v>
      </c>
      <c r="O301" s="154">
        <f>+M301*J301</f>
        <v>0</v>
      </c>
      <c r="P301" s="1144"/>
    </row>
    <row r="302" spans="2:16" ht="15" thickBot="1" x14ac:dyDescent="0.35">
      <c r="B302" s="1132"/>
      <c r="C302" s="41" t="s">
        <v>29</v>
      </c>
      <c r="D302" s="27" t="str">
        <f>+C302</f>
        <v>TOTAL 1/2</v>
      </c>
      <c r="E302" s="42">
        <f>SUM(E295:E301)</f>
        <v>0</v>
      </c>
      <c r="F302" s="43">
        <f>SUM(F295:F301)</f>
        <v>78150</v>
      </c>
      <c r="G302" s="43">
        <f>SUM(G295:G301)</f>
        <v>76500</v>
      </c>
      <c r="H302" s="44">
        <f>SUM(H295:H301)</f>
        <v>1650</v>
      </c>
      <c r="I302" s="45">
        <f>SUM(I299:I301)</f>
        <v>172032</v>
      </c>
      <c r="J302" s="43">
        <f>SUM(J295:J301)</f>
        <v>167250</v>
      </c>
      <c r="K302" s="43">
        <f>SUM(K295:K301)</f>
        <v>4782</v>
      </c>
      <c r="L302" s="46" t="e">
        <f>+J302/E302</f>
        <v>#DIV/0!</v>
      </c>
      <c r="M302" s="47"/>
      <c r="N302" s="48">
        <f>SUM(N299:N301)</f>
        <v>169378.65000000002</v>
      </c>
      <c r="O302" s="49">
        <f>SUM(O295:O301)</f>
        <v>370308.22500000003</v>
      </c>
      <c r="P302" s="178"/>
    </row>
    <row r="303" spans="2:16" x14ac:dyDescent="0.3">
      <c r="B303" s="1132"/>
      <c r="C303" s="1145" t="s">
        <v>70</v>
      </c>
      <c r="D303" s="22" t="s">
        <v>67</v>
      </c>
      <c r="E303" s="3">
        <v>0</v>
      </c>
      <c r="F303" s="4">
        <f>G303+H303</f>
        <v>0</v>
      </c>
      <c r="G303" s="4">
        <v>0</v>
      </c>
      <c r="H303" s="8">
        <v>0</v>
      </c>
      <c r="I303" s="16">
        <f>J303+K303</f>
        <v>109220</v>
      </c>
      <c r="J303" s="4">
        <f>G303+J238</f>
        <v>105750</v>
      </c>
      <c r="K303" s="4">
        <f>H303+K238</f>
        <v>3470</v>
      </c>
      <c r="L303" s="50" t="e">
        <f>+J303/E303</f>
        <v>#DIV/0!</v>
      </c>
      <c r="M303" s="144">
        <v>4.1712999999999996</v>
      </c>
      <c r="N303" s="7">
        <f>+M303*G303</f>
        <v>0</v>
      </c>
      <c r="O303" s="93">
        <f>+M303*J303</f>
        <v>441114.97499999998</v>
      </c>
      <c r="P303" s="1142"/>
    </row>
    <row r="304" spans="2:16" x14ac:dyDescent="0.3">
      <c r="B304" s="1132"/>
      <c r="C304" s="1146"/>
      <c r="D304" s="22" t="s">
        <v>68</v>
      </c>
      <c r="E304" s="3">
        <v>0</v>
      </c>
      <c r="F304" s="4">
        <f>G304+H304</f>
        <v>0</v>
      </c>
      <c r="G304" s="4">
        <v>0</v>
      </c>
      <c r="H304" s="8">
        <v>0</v>
      </c>
      <c r="I304" s="6">
        <f>+R1348+F304</f>
        <v>0</v>
      </c>
      <c r="J304" s="4">
        <f>G304+J239</f>
        <v>120000</v>
      </c>
      <c r="K304" s="4">
        <f>H304+K239</f>
        <v>3230</v>
      </c>
      <c r="L304" s="51" t="e">
        <f t="shared" ref="L304:L308" si="229">+J304/E304</f>
        <v>#DIV/0!</v>
      </c>
      <c r="M304" s="145">
        <v>4.8285999999999998</v>
      </c>
      <c r="N304" s="11">
        <f t="shared" ref="N304:N306" si="230">+M304*G304</f>
        <v>0</v>
      </c>
      <c r="O304" s="94">
        <f t="shared" ref="O304:O306" si="231">+M304*J304</f>
        <v>579432</v>
      </c>
      <c r="P304" s="1143"/>
    </row>
    <row r="305" spans="2:16" x14ac:dyDescent="0.3">
      <c r="B305" s="1132"/>
      <c r="C305" s="1146"/>
      <c r="D305" s="22" t="s">
        <v>134</v>
      </c>
      <c r="E305" s="3"/>
      <c r="F305" s="4">
        <f>G305+H305</f>
        <v>0</v>
      </c>
      <c r="G305" s="4">
        <v>0</v>
      </c>
      <c r="H305" s="8">
        <v>0</v>
      </c>
      <c r="I305" s="6">
        <f>+R1349+F305</f>
        <v>0</v>
      </c>
      <c r="J305" s="4">
        <f t="shared" ref="J305:J306" si="232">G305+J240</f>
        <v>0</v>
      </c>
      <c r="K305" s="4">
        <f t="shared" ref="K305:K306" si="233">H305+K240</f>
        <v>0</v>
      </c>
      <c r="L305" s="51" t="e">
        <f t="shared" si="229"/>
        <v>#DIV/0!</v>
      </c>
      <c r="M305" s="144">
        <v>4.5023</v>
      </c>
      <c r="N305" s="11">
        <f t="shared" si="230"/>
        <v>0</v>
      </c>
      <c r="O305" s="94">
        <f t="shared" si="231"/>
        <v>0</v>
      </c>
      <c r="P305" s="1143"/>
    </row>
    <row r="306" spans="2:16" ht="15" thickBot="1" x14ac:dyDescent="0.35">
      <c r="B306" s="1132"/>
      <c r="C306" s="1146"/>
      <c r="D306" s="22" t="s">
        <v>118</v>
      </c>
      <c r="E306" s="3">
        <v>0</v>
      </c>
      <c r="F306" s="4">
        <f t="shared" ref="F306" si="234">G306+H306</f>
        <v>0</v>
      </c>
      <c r="G306" s="4">
        <v>0</v>
      </c>
      <c r="H306" s="8">
        <v>0</v>
      </c>
      <c r="I306" s="6">
        <f>+R1349+F306</f>
        <v>0</v>
      </c>
      <c r="J306" s="4">
        <f t="shared" si="232"/>
        <v>0</v>
      </c>
      <c r="K306" s="4">
        <f t="shared" si="233"/>
        <v>0</v>
      </c>
      <c r="L306" s="51" t="e">
        <f t="shared" si="229"/>
        <v>#DIV/0!</v>
      </c>
      <c r="M306" s="144">
        <v>4.4065000000000003</v>
      </c>
      <c r="N306" s="11">
        <f t="shared" si="230"/>
        <v>0</v>
      </c>
      <c r="O306" s="94">
        <f t="shared" si="231"/>
        <v>0</v>
      </c>
      <c r="P306" s="1143"/>
    </row>
    <row r="307" spans="2:16" ht="15" thickBot="1" x14ac:dyDescent="0.35">
      <c r="B307" s="1132"/>
      <c r="C307" s="41" t="s">
        <v>31</v>
      </c>
      <c r="D307" s="18" t="str">
        <f>+C307</f>
        <v>TOTAL 4/4</v>
      </c>
      <c r="E307" s="42">
        <f t="shared" ref="E307:K307" si="235">SUM(E303:E306)</f>
        <v>0</v>
      </c>
      <c r="F307" s="43">
        <f t="shared" si="235"/>
        <v>0</v>
      </c>
      <c r="G307" s="43">
        <f t="shared" si="235"/>
        <v>0</v>
      </c>
      <c r="H307" s="44">
        <f t="shared" si="235"/>
        <v>0</v>
      </c>
      <c r="I307" s="45">
        <f t="shared" si="235"/>
        <v>109220</v>
      </c>
      <c r="J307" s="43">
        <f t="shared" si="235"/>
        <v>225750</v>
      </c>
      <c r="K307" s="43">
        <f t="shared" si="235"/>
        <v>6700</v>
      </c>
      <c r="L307" s="46" t="e">
        <f t="shared" si="229"/>
        <v>#DIV/0!</v>
      </c>
      <c r="M307" s="47"/>
      <c r="N307" s="48">
        <f>SUM(N303:N306)</f>
        <v>0</v>
      </c>
      <c r="O307" s="92">
        <f>SUM(O303:O306)</f>
        <v>1020546.975</v>
      </c>
      <c r="P307" s="1144"/>
    </row>
    <row r="308" spans="2:16" ht="15" thickBot="1" x14ac:dyDescent="0.35">
      <c r="B308" s="1141"/>
      <c r="C308" s="41" t="s">
        <v>71</v>
      </c>
      <c r="D308" s="27" t="s">
        <v>67</v>
      </c>
      <c r="E308" s="25">
        <v>0</v>
      </c>
      <c r="F308" s="20">
        <f>G308+H308</f>
        <v>0</v>
      </c>
      <c r="G308" s="20">
        <v>0</v>
      </c>
      <c r="H308" s="24">
        <v>0</v>
      </c>
      <c r="I308" s="19">
        <f>J308+K308</f>
        <v>0</v>
      </c>
      <c r="J308" s="4">
        <f>G308+J243</f>
        <v>0</v>
      </c>
      <c r="K308" s="4">
        <f>H308+K243</f>
        <v>0</v>
      </c>
      <c r="L308" s="52" t="e">
        <f t="shared" si="229"/>
        <v>#DIV/0!</v>
      </c>
      <c r="M308" s="149">
        <v>1.4086000000000001</v>
      </c>
      <c r="N308" s="26">
        <f t="shared" ref="N308" si="236">+M308*G308</f>
        <v>0</v>
      </c>
      <c r="O308" s="95">
        <f t="shared" ref="O308" si="237">+M308*J308</f>
        <v>0</v>
      </c>
      <c r="P308" s="53"/>
    </row>
    <row r="309" spans="2:16" ht="15" thickBot="1" x14ac:dyDescent="0.35">
      <c r="B309" s="1116" t="s">
        <v>102</v>
      </c>
      <c r="C309" s="1117"/>
      <c r="D309" s="1117"/>
      <c r="E309" s="1117"/>
      <c r="F309" s="1117"/>
      <c r="G309" s="1117"/>
      <c r="H309" s="1117"/>
      <c r="I309" s="110">
        <f>J309+K309</f>
        <v>404482</v>
      </c>
      <c r="J309" s="110">
        <f>J302+J307+J308</f>
        <v>393000</v>
      </c>
      <c r="K309" s="110">
        <f>K302+K307+K308</f>
        <v>11482</v>
      </c>
      <c r="L309" s="111"/>
      <c r="M309" s="112"/>
      <c r="N309" s="109"/>
      <c r="O309" s="77">
        <f>+O308+O307+O302</f>
        <v>1390855.2</v>
      </c>
      <c r="P309" s="84"/>
    </row>
    <row r="310" spans="2:16" x14ac:dyDescent="0.3">
      <c r="B310" s="1118" t="s">
        <v>72</v>
      </c>
      <c r="C310" s="1121" t="s">
        <v>73</v>
      </c>
      <c r="D310" s="54" t="s">
        <v>74</v>
      </c>
      <c r="E310" s="55">
        <v>0</v>
      </c>
      <c r="F310" s="56">
        <f>G310+H310</f>
        <v>0</v>
      </c>
      <c r="G310" s="56">
        <v>0</v>
      </c>
      <c r="H310" s="57">
        <v>0</v>
      </c>
      <c r="I310" s="78">
        <f>J310+K310</f>
        <v>0</v>
      </c>
      <c r="J310" s="4">
        <f>G310+J245</f>
        <v>0</v>
      </c>
      <c r="K310" s="4">
        <f>H310+K245</f>
        <v>0</v>
      </c>
      <c r="L310" s="58" t="e">
        <f t="shared" ref="L310" si="238">+J310/E310</f>
        <v>#DIV/0!</v>
      </c>
      <c r="M310" s="59">
        <v>32.946300000000001</v>
      </c>
      <c r="N310" s="60">
        <f>+M310*G310</f>
        <v>0</v>
      </c>
      <c r="O310" s="60">
        <f>M310*J310</f>
        <v>0</v>
      </c>
      <c r="P310" s="1123"/>
    </row>
    <row r="311" spans="2:16" x14ac:dyDescent="0.3">
      <c r="B311" s="1119"/>
      <c r="C311" s="1122"/>
      <c r="D311" s="61" t="s">
        <v>75</v>
      </c>
      <c r="E311" s="62">
        <v>0</v>
      </c>
      <c r="F311" s="63">
        <f>G311+H311</f>
        <v>5070</v>
      </c>
      <c r="G311" s="63">
        <v>5000</v>
      </c>
      <c r="H311" s="64">
        <v>70</v>
      </c>
      <c r="I311" s="79">
        <f>J311+K311</f>
        <v>10150</v>
      </c>
      <c r="J311" s="4">
        <f>G311+J246</f>
        <v>10000</v>
      </c>
      <c r="K311" s="4">
        <f>H311+K246</f>
        <v>150</v>
      </c>
      <c r="L311" s="65" t="e">
        <f>+J311/E311</f>
        <v>#DIV/0!</v>
      </c>
      <c r="M311" s="66">
        <v>35.398400000000002</v>
      </c>
      <c r="N311" s="67">
        <f>+M311*G311</f>
        <v>176992</v>
      </c>
      <c r="O311" s="67">
        <f>M311*J311</f>
        <v>353984</v>
      </c>
      <c r="P311" s="1124"/>
    </row>
    <row r="312" spans="2:16" x14ac:dyDescent="0.3">
      <c r="B312" s="1119"/>
      <c r="C312" s="1122"/>
      <c r="D312" s="61" t="s">
        <v>76</v>
      </c>
      <c r="E312" s="62">
        <v>0</v>
      </c>
      <c r="F312" s="63">
        <f t="shared" ref="F312:F315" si="239">G312+H312</f>
        <v>0</v>
      </c>
      <c r="G312" s="63">
        <v>0</v>
      </c>
      <c r="H312" s="64">
        <v>0</v>
      </c>
      <c r="I312" s="79">
        <f t="shared" ref="I312:I321" si="240">J312+K312</f>
        <v>0</v>
      </c>
      <c r="J312" s="4">
        <f t="shared" ref="J312:J337" si="241">G312+J247</f>
        <v>0</v>
      </c>
      <c r="K312" s="4">
        <f t="shared" ref="K312:K316" si="242">H312+K247</f>
        <v>0</v>
      </c>
      <c r="L312" s="65" t="e">
        <f t="shared" ref="L312:L325" si="243">+J312/E312</f>
        <v>#DIV/0!</v>
      </c>
      <c r="M312" s="66">
        <v>32.946300000000001</v>
      </c>
      <c r="N312" s="67">
        <f t="shared" ref="N312:N332" si="244">+M312*G312</f>
        <v>0</v>
      </c>
      <c r="O312" s="67">
        <f t="shared" ref="O312:O320" si="245">M312*J312</f>
        <v>0</v>
      </c>
      <c r="P312" s="1124"/>
    </row>
    <row r="313" spans="2:16" x14ac:dyDescent="0.3">
      <c r="B313" s="1119"/>
      <c r="C313" s="1122" t="s">
        <v>77</v>
      </c>
      <c r="D313" s="61" t="s">
        <v>78</v>
      </c>
      <c r="E313" s="62">
        <v>0</v>
      </c>
      <c r="F313" s="63">
        <f t="shared" si="239"/>
        <v>0</v>
      </c>
      <c r="G313" s="63">
        <v>0</v>
      </c>
      <c r="H313" s="64">
        <v>0</v>
      </c>
      <c r="I313" s="79">
        <f t="shared" si="240"/>
        <v>4976</v>
      </c>
      <c r="J313" s="4">
        <f t="shared" si="241"/>
        <v>4800</v>
      </c>
      <c r="K313" s="4">
        <f t="shared" si="242"/>
        <v>176</v>
      </c>
      <c r="L313" s="65" t="e">
        <f t="shared" si="243"/>
        <v>#DIV/0!</v>
      </c>
      <c r="M313" s="66">
        <v>55.4758</v>
      </c>
      <c r="N313" s="67">
        <f t="shared" si="244"/>
        <v>0</v>
      </c>
      <c r="O313" s="67">
        <f t="shared" si="245"/>
        <v>266283.84000000003</v>
      </c>
      <c r="P313" s="1124"/>
    </row>
    <row r="314" spans="2:16" x14ac:dyDescent="0.3">
      <c r="B314" s="1119"/>
      <c r="C314" s="1122"/>
      <c r="D314" s="61" t="s">
        <v>141</v>
      </c>
      <c r="E314" s="62">
        <v>0</v>
      </c>
      <c r="F314" s="63">
        <f t="shared" si="239"/>
        <v>0</v>
      </c>
      <c r="G314" s="63">
        <v>0</v>
      </c>
      <c r="H314" s="64">
        <v>0</v>
      </c>
      <c r="I314" s="79">
        <f t="shared" si="240"/>
        <v>0</v>
      </c>
      <c r="J314" s="4">
        <f t="shared" si="241"/>
        <v>0</v>
      </c>
      <c r="K314" s="4">
        <f t="shared" si="242"/>
        <v>0</v>
      </c>
      <c r="L314" s="65" t="e">
        <f t="shared" si="243"/>
        <v>#DIV/0!</v>
      </c>
      <c r="M314" s="66">
        <v>53.515999999999998</v>
      </c>
      <c r="N314" s="67">
        <f t="shared" si="244"/>
        <v>0</v>
      </c>
      <c r="O314" s="67">
        <f t="shared" si="245"/>
        <v>0</v>
      </c>
      <c r="P314" s="1124"/>
    </row>
    <row r="315" spans="2:16" x14ac:dyDescent="0.3">
      <c r="B315" s="1119"/>
      <c r="C315" s="1122"/>
      <c r="D315" s="61" t="s">
        <v>75</v>
      </c>
      <c r="E315" s="62">
        <v>0</v>
      </c>
      <c r="F315" s="63">
        <f t="shared" si="239"/>
        <v>2440</v>
      </c>
      <c r="G315" s="63">
        <v>2400</v>
      </c>
      <c r="H315" s="64">
        <v>40</v>
      </c>
      <c r="I315" s="79">
        <f t="shared" si="240"/>
        <v>2440</v>
      </c>
      <c r="J315" s="4">
        <f t="shared" si="241"/>
        <v>2400</v>
      </c>
      <c r="K315" s="4">
        <f t="shared" si="242"/>
        <v>40</v>
      </c>
      <c r="L315" s="65" t="e">
        <f t="shared" si="243"/>
        <v>#DIV/0!</v>
      </c>
      <c r="M315" s="66">
        <v>58.836300000000001</v>
      </c>
      <c r="N315" s="67">
        <f t="shared" si="244"/>
        <v>141207.12</v>
      </c>
      <c r="O315" s="67">
        <f t="shared" si="245"/>
        <v>141207.12</v>
      </c>
      <c r="P315" s="1124"/>
    </row>
    <row r="316" spans="2:16" x14ac:dyDescent="0.3">
      <c r="B316" s="1119"/>
      <c r="C316" s="1126" t="s">
        <v>79</v>
      </c>
      <c r="D316" s="61" t="s">
        <v>80</v>
      </c>
      <c r="E316" s="62">
        <v>0</v>
      </c>
      <c r="F316" s="63">
        <f>G316+H316</f>
        <v>0</v>
      </c>
      <c r="G316" s="63">
        <v>0</v>
      </c>
      <c r="H316" s="64">
        <v>0</v>
      </c>
      <c r="I316" s="79">
        <f t="shared" si="240"/>
        <v>3675</v>
      </c>
      <c r="J316" s="4">
        <f t="shared" si="241"/>
        <v>3575</v>
      </c>
      <c r="K316" s="4">
        <f t="shared" si="242"/>
        <v>100</v>
      </c>
      <c r="L316" s="65" t="e">
        <f t="shared" si="243"/>
        <v>#DIV/0!</v>
      </c>
      <c r="M316" s="66">
        <v>25.687200000000001</v>
      </c>
      <c r="N316" s="67">
        <f t="shared" si="244"/>
        <v>0</v>
      </c>
      <c r="O316" s="67">
        <f t="shared" si="245"/>
        <v>91831.74</v>
      </c>
      <c r="P316" s="1124"/>
    </row>
    <row r="317" spans="2:16" x14ac:dyDescent="0.3">
      <c r="B317" s="1119"/>
      <c r="C317" s="1127"/>
      <c r="D317" s="61" t="s">
        <v>124</v>
      </c>
      <c r="E317" s="62">
        <v>0</v>
      </c>
      <c r="F317" s="63">
        <f>G317+H317</f>
        <v>0</v>
      </c>
      <c r="G317" s="63">
        <v>0</v>
      </c>
      <c r="H317" s="64">
        <v>0</v>
      </c>
      <c r="I317" s="79">
        <f t="shared" si="240"/>
        <v>0</v>
      </c>
      <c r="J317" s="4">
        <f t="shared" si="241"/>
        <v>0</v>
      </c>
      <c r="K317" s="4">
        <f>H317+K252</f>
        <v>0</v>
      </c>
      <c r="L317" s="65" t="e">
        <f t="shared" si="243"/>
        <v>#DIV/0!</v>
      </c>
      <c r="M317" s="66">
        <v>25.033899999999999</v>
      </c>
      <c r="N317" s="67">
        <f t="shared" si="244"/>
        <v>0</v>
      </c>
      <c r="O317" s="67">
        <f t="shared" si="245"/>
        <v>0</v>
      </c>
      <c r="P317" s="1124"/>
    </row>
    <row r="318" spans="2:16" x14ac:dyDescent="0.3">
      <c r="B318" s="1119"/>
      <c r="C318" s="1126" t="s">
        <v>81</v>
      </c>
      <c r="D318" s="61" t="s">
        <v>82</v>
      </c>
      <c r="E318" s="62">
        <v>0</v>
      </c>
      <c r="F318" s="63">
        <f t="shared" ref="F318:F337" si="246">G318+H318</f>
        <v>0</v>
      </c>
      <c r="G318" s="63">
        <v>0</v>
      </c>
      <c r="H318" s="64">
        <v>0</v>
      </c>
      <c r="I318" s="79">
        <f t="shared" si="240"/>
        <v>8113</v>
      </c>
      <c r="J318" s="4">
        <f t="shared" si="241"/>
        <v>8000</v>
      </c>
      <c r="K318" s="4">
        <f t="shared" ref="K318:K337" si="247">H318+K253</f>
        <v>113</v>
      </c>
      <c r="L318" s="65" t="e">
        <f t="shared" si="243"/>
        <v>#DIV/0!</v>
      </c>
      <c r="M318" s="66">
        <v>41.992699999999999</v>
      </c>
      <c r="N318" s="67">
        <f t="shared" si="244"/>
        <v>0</v>
      </c>
      <c r="O318" s="67">
        <f t="shared" si="245"/>
        <v>335941.6</v>
      </c>
      <c r="P318" s="1124"/>
    </row>
    <row r="319" spans="2:16" x14ac:dyDescent="0.3">
      <c r="B319" s="1119"/>
      <c r="C319" s="1127"/>
      <c r="D319" s="61" t="s">
        <v>75</v>
      </c>
      <c r="E319" s="62">
        <v>0</v>
      </c>
      <c r="F319" s="63">
        <f t="shared" si="246"/>
        <v>0</v>
      </c>
      <c r="G319" s="63">
        <v>0</v>
      </c>
      <c r="H319" s="64">
        <v>0</v>
      </c>
      <c r="I319" s="79">
        <f t="shared" si="240"/>
        <v>0</v>
      </c>
      <c r="J319" s="4">
        <f t="shared" si="241"/>
        <v>0</v>
      </c>
      <c r="K319" s="4">
        <f t="shared" si="247"/>
        <v>0</v>
      </c>
      <c r="L319" s="65" t="e">
        <f t="shared" si="243"/>
        <v>#DIV/0!</v>
      </c>
      <c r="M319" s="66">
        <v>42.283799999999999</v>
      </c>
      <c r="N319" s="67">
        <f t="shared" si="244"/>
        <v>0</v>
      </c>
      <c r="O319" s="67">
        <f t="shared" si="245"/>
        <v>0</v>
      </c>
      <c r="P319" s="1124"/>
    </row>
    <row r="320" spans="2:16" x14ac:dyDescent="0.3">
      <c r="B320" s="1119"/>
      <c r="C320" s="176" t="s">
        <v>83</v>
      </c>
      <c r="D320" s="61" t="s">
        <v>84</v>
      </c>
      <c r="E320" s="62">
        <v>0</v>
      </c>
      <c r="F320" s="63">
        <f t="shared" si="246"/>
        <v>10898</v>
      </c>
      <c r="G320" s="63">
        <v>10500</v>
      </c>
      <c r="H320" s="64">
        <v>398</v>
      </c>
      <c r="I320" s="79">
        <f t="shared" si="240"/>
        <v>10898</v>
      </c>
      <c r="J320" s="4">
        <f t="shared" si="241"/>
        <v>10500</v>
      </c>
      <c r="K320" s="4">
        <f t="shared" si="247"/>
        <v>398</v>
      </c>
      <c r="L320" s="65" t="e">
        <f t="shared" si="243"/>
        <v>#DIV/0!</v>
      </c>
      <c r="M320" s="66">
        <v>4.3535000000000004</v>
      </c>
      <c r="N320" s="67">
        <f t="shared" si="244"/>
        <v>45711.750000000007</v>
      </c>
      <c r="O320" s="67">
        <f t="shared" si="245"/>
        <v>45711.750000000007</v>
      </c>
      <c r="P320" s="1124"/>
    </row>
    <row r="321" spans="2:16" x14ac:dyDescent="0.3">
      <c r="B321" s="1119"/>
      <c r="C321" s="1122" t="s">
        <v>85</v>
      </c>
      <c r="D321" s="61" t="s">
        <v>80</v>
      </c>
      <c r="E321" s="62">
        <v>0</v>
      </c>
      <c r="F321" s="63">
        <f t="shared" si="246"/>
        <v>0</v>
      </c>
      <c r="G321" s="63">
        <v>0</v>
      </c>
      <c r="H321" s="64">
        <v>0</v>
      </c>
      <c r="I321" s="79">
        <f t="shared" si="240"/>
        <v>0</v>
      </c>
      <c r="J321" s="4">
        <f t="shared" si="241"/>
        <v>0</v>
      </c>
      <c r="K321" s="4">
        <f t="shared" si="247"/>
        <v>0</v>
      </c>
      <c r="L321" s="65" t="e">
        <f t="shared" si="243"/>
        <v>#DIV/0!</v>
      </c>
      <c r="M321" s="66">
        <v>4.6184000000000003</v>
      </c>
      <c r="N321" s="67">
        <f t="shared" si="244"/>
        <v>0</v>
      </c>
      <c r="O321" s="67">
        <f>M321*J321</f>
        <v>0</v>
      </c>
      <c r="P321" s="1124"/>
    </row>
    <row r="322" spans="2:16" x14ac:dyDescent="0.3">
      <c r="B322" s="1119"/>
      <c r="C322" s="1122"/>
      <c r="D322" s="61" t="s">
        <v>126</v>
      </c>
      <c r="E322" s="62">
        <v>0</v>
      </c>
      <c r="F322" s="63">
        <f t="shared" si="246"/>
        <v>0</v>
      </c>
      <c r="G322" s="63">
        <v>0</v>
      </c>
      <c r="H322" s="64">
        <v>0</v>
      </c>
      <c r="I322" s="79">
        <f>J322+K322</f>
        <v>0</v>
      </c>
      <c r="J322" s="4">
        <f t="shared" si="241"/>
        <v>0</v>
      </c>
      <c r="K322" s="4">
        <f t="shared" si="247"/>
        <v>0</v>
      </c>
      <c r="L322" s="65" t="e">
        <f t="shared" si="243"/>
        <v>#DIV/0!</v>
      </c>
      <c r="M322" s="153">
        <v>4.6184000000000003</v>
      </c>
      <c r="N322" s="67">
        <f t="shared" si="244"/>
        <v>0</v>
      </c>
      <c r="O322" s="67">
        <f>M322*J322</f>
        <v>0</v>
      </c>
      <c r="P322" s="1124"/>
    </row>
    <row r="323" spans="2:16" x14ac:dyDescent="0.3">
      <c r="B323" s="1119"/>
      <c r="C323" s="1122"/>
      <c r="D323" s="61" t="s">
        <v>130</v>
      </c>
      <c r="E323" s="62">
        <v>0</v>
      </c>
      <c r="F323" s="63">
        <f t="shared" si="246"/>
        <v>0</v>
      </c>
      <c r="G323" s="63">
        <v>0</v>
      </c>
      <c r="H323" s="64">
        <v>0</v>
      </c>
      <c r="I323" s="79">
        <f t="shared" ref="I323:I337" si="248">J323+K323</f>
        <v>0</v>
      </c>
      <c r="J323" s="4">
        <f t="shared" si="241"/>
        <v>0</v>
      </c>
      <c r="K323" s="4">
        <f t="shared" si="247"/>
        <v>0</v>
      </c>
      <c r="L323" s="65" t="e">
        <f t="shared" si="243"/>
        <v>#DIV/0!</v>
      </c>
      <c r="M323" s="153">
        <v>4.6184000000000003</v>
      </c>
      <c r="N323" s="67">
        <f t="shared" si="244"/>
        <v>0</v>
      </c>
      <c r="O323" s="67">
        <f t="shared" ref="O323:O328" si="249">M323*J323</f>
        <v>0</v>
      </c>
      <c r="P323" s="1124"/>
    </row>
    <row r="324" spans="2:16" x14ac:dyDescent="0.3">
      <c r="B324" s="1119"/>
      <c r="C324" s="1122"/>
      <c r="D324" s="61" t="s">
        <v>131</v>
      </c>
      <c r="E324" s="62">
        <v>0</v>
      </c>
      <c r="F324" s="63">
        <f t="shared" si="246"/>
        <v>23055</v>
      </c>
      <c r="G324" s="63">
        <v>22755</v>
      </c>
      <c r="H324" s="64">
        <v>300</v>
      </c>
      <c r="I324" s="79">
        <f t="shared" si="248"/>
        <v>102924</v>
      </c>
      <c r="J324" s="4">
        <f t="shared" si="241"/>
        <v>99255</v>
      </c>
      <c r="K324" s="4">
        <f t="shared" si="247"/>
        <v>3669</v>
      </c>
      <c r="L324" s="65" t="e">
        <f t="shared" si="243"/>
        <v>#DIV/0!</v>
      </c>
      <c r="M324" s="153">
        <v>4.7636000000000003</v>
      </c>
      <c r="N324" s="67">
        <f t="shared" si="244"/>
        <v>108395.71800000001</v>
      </c>
      <c r="O324" s="67">
        <f t="shared" si="249"/>
        <v>472811.11800000002</v>
      </c>
      <c r="P324" s="1124"/>
    </row>
    <row r="325" spans="2:16" x14ac:dyDescent="0.3">
      <c r="B325" s="1119"/>
      <c r="C325" s="1122"/>
      <c r="D325" s="61" t="s">
        <v>86</v>
      </c>
      <c r="E325" s="62">
        <v>0</v>
      </c>
      <c r="F325" s="63">
        <f t="shared" si="246"/>
        <v>0</v>
      </c>
      <c r="G325" s="63">
        <v>0</v>
      </c>
      <c r="H325" s="64">
        <v>0</v>
      </c>
      <c r="I325" s="79">
        <f t="shared" si="248"/>
        <v>0</v>
      </c>
      <c r="J325" s="4">
        <f t="shared" si="241"/>
        <v>0</v>
      </c>
      <c r="K325" s="4">
        <f t="shared" si="247"/>
        <v>0</v>
      </c>
      <c r="L325" s="65" t="e">
        <f t="shared" si="243"/>
        <v>#DIV/0!</v>
      </c>
      <c r="M325" s="66">
        <v>4.8738000000000001</v>
      </c>
      <c r="N325" s="67">
        <f t="shared" si="244"/>
        <v>0</v>
      </c>
      <c r="O325" s="67">
        <f t="shared" si="249"/>
        <v>0</v>
      </c>
      <c r="P325" s="1124"/>
    </row>
    <row r="326" spans="2:16" x14ac:dyDescent="0.3">
      <c r="B326" s="1119"/>
      <c r="C326" s="176" t="s">
        <v>135</v>
      </c>
      <c r="D326" s="61" t="s">
        <v>131</v>
      </c>
      <c r="E326" s="62"/>
      <c r="F326" s="63">
        <f t="shared" si="246"/>
        <v>0</v>
      </c>
      <c r="G326" s="63">
        <v>0</v>
      </c>
      <c r="H326" s="64">
        <v>0</v>
      </c>
      <c r="I326" s="79">
        <f t="shared" si="248"/>
        <v>0</v>
      </c>
      <c r="J326" s="4">
        <f t="shared" si="241"/>
        <v>0</v>
      </c>
      <c r="K326" s="4">
        <f t="shared" si="247"/>
        <v>0</v>
      </c>
      <c r="L326" s="65"/>
      <c r="M326" s="66">
        <v>4.8738000000000001</v>
      </c>
      <c r="N326" s="67">
        <f t="shared" si="244"/>
        <v>0</v>
      </c>
      <c r="O326" s="67">
        <f t="shared" si="249"/>
        <v>0</v>
      </c>
      <c r="P326" s="1124"/>
    </row>
    <row r="327" spans="2:16" x14ac:dyDescent="0.3">
      <c r="B327" s="1119"/>
      <c r="C327" s="1122" t="s">
        <v>87</v>
      </c>
      <c r="D327" s="61" t="s">
        <v>80</v>
      </c>
      <c r="E327" s="62">
        <v>0</v>
      </c>
      <c r="F327" s="63">
        <f t="shared" si="246"/>
        <v>0</v>
      </c>
      <c r="G327" s="63">
        <v>0</v>
      </c>
      <c r="H327" s="64">
        <v>0</v>
      </c>
      <c r="I327" s="79">
        <f t="shared" si="248"/>
        <v>98229</v>
      </c>
      <c r="J327" s="4">
        <f t="shared" si="241"/>
        <v>96850</v>
      </c>
      <c r="K327" s="4">
        <f t="shared" si="247"/>
        <v>1379</v>
      </c>
      <c r="L327" s="65" t="e">
        <f t="shared" ref="L327:L337" si="250">+J327/E327</f>
        <v>#DIV/0!</v>
      </c>
      <c r="M327" s="66">
        <v>4.9344999999999999</v>
      </c>
      <c r="N327" s="67">
        <f t="shared" si="244"/>
        <v>0</v>
      </c>
      <c r="O327" s="67">
        <f t="shared" si="249"/>
        <v>477906.32500000001</v>
      </c>
      <c r="P327" s="1124"/>
    </row>
    <row r="328" spans="2:16" x14ac:dyDescent="0.3">
      <c r="B328" s="1119"/>
      <c r="C328" s="1122"/>
      <c r="D328" s="61" t="s">
        <v>142</v>
      </c>
      <c r="E328" s="62"/>
      <c r="F328" s="63">
        <f t="shared" si="246"/>
        <v>0</v>
      </c>
      <c r="G328" s="63">
        <v>0</v>
      </c>
      <c r="H328" s="64">
        <v>0</v>
      </c>
      <c r="I328" s="79">
        <f t="shared" si="248"/>
        <v>0</v>
      </c>
      <c r="J328" s="4">
        <f t="shared" si="241"/>
        <v>0</v>
      </c>
      <c r="K328" s="4">
        <f t="shared" si="247"/>
        <v>0</v>
      </c>
      <c r="L328" s="65" t="e">
        <f t="shared" si="250"/>
        <v>#DIV/0!</v>
      </c>
      <c r="M328" s="66">
        <v>4.9344999999999999</v>
      </c>
      <c r="N328" s="67">
        <f t="shared" si="244"/>
        <v>0</v>
      </c>
      <c r="O328" s="67">
        <f t="shared" si="249"/>
        <v>0</v>
      </c>
      <c r="P328" s="1124"/>
    </row>
    <row r="329" spans="2:16" x14ac:dyDescent="0.3">
      <c r="B329" s="1119"/>
      <c r="C329" s="1122"/>
      <c r="D329" s="61" t="s">
        <v>136</v>
      </c>
      <c r="E329" s="62">
        <v>0</v>
      </c>
      <c r="F329" s="63">
        <f t="shared" si="246"/>
        <v>0</v>
      </c>
      <c r="G329" s="155">
        <v>0</v>
      </c>
      <c r="H329" s="156">
        <v>0</v>
      </c>
      <c r="I329" s="157">
        <f t="shared" si="248"/>
        <v>0</v>
      </c>
      <c r="J329" s="4">
        <f t="shared" si="241"/>
        <v>0</v>
      </c>
      <c r="K329" s="4">
        <f t="shared" si="247"/>
        <v>0</v>
      </c>
      <c r="L329" s="158" t="e">
        <f t="shared" si="250"/>
        <v>#DIV/0!</v>
      </c>
      <c r="M329" s="66">
        <v>4.9344999999999999</v>
      </c>
      <c r="N329" s="159">
        <f t="shared" si="244"/>
        <v>0</v>
      </c>
      <c r="O329" s="67">
        <f>M329*J329</f>
        <v>0</v>
      </c>
      <c r="P329" s="1124"/>
    </row>
    <row r="330" spans="2:16" x14ac:dyDescent="0.3">
      <c r="B330" s="1119"/>
      <c r="C330" s="1122" t="s">
        <v>88</v>
      </c>
      <c r="D330" s="61" t="s">
        <v>80</v>
      </c>
      <c r="E330" s="62">
        <v>0</v>
      </c>
      <c r="F330" s="63">
        <f t="shared" si="246"/>
        <v>14800</v>
      </c>
      <c r="G330" s="63">
        <v>14400</v>
      </c>
      <c r="H330" s="64">
        <v>400</v>
      </c>
      <c r="I330" s="79">
        <f t="shared" si="248"/>
        <v>82723</v>
      </c>
      <c r="J330" s="4">
        <f t="shared" si="241"/>
        <v>76950</v>
      </c>
      <c r="K330" s="4">
        <f t="shared" si="247"/>
        <v>5773</v>
      </c>
      <c r="L330" s="65" t="e">
        <f t="shared" si="250"/>
        <v>#DIV/0!</v>
      </c>
      <c r="M330" s="148">
        <v>5.5069999999999997</v>
      </c>
      <c r="N330" s="67">
        <f t="shared" si="244"/>
        <v>79300.799999999988</v>
      </c>
      <c r="O330" s="67">
        <f>M330*J330</f>
        <v>423763.64999999997</v>
      </c>
      <c r="P330" s="1124"/>
    </row>
    <row r="331" spans="2:16" x14ac:dyDescent="0.3">
      <c r="B331" s="1119"/>
      <c r="C331" s="1122"/>
      <c r="D331" s="61" t="s">
        <v>119</v>
      </c>
      <c r="E331" s="62">
        <v>0</v>
      </c>
      <c r="F331" s="63">
        <f t="shared" si="246"/>
        <v>0</v>
      </c>
      <c r="G331" s="63">
        <v>0</v>
      </c>
      <c r="H331" s="64">
        <v>0</v>
      </c>
      <c r="I331" s="79">
        <f t="shared" si="248"/>
        <v>0</v>
      </c>
      <c r="J331" s="4">
        <f t="shared" si="241"/>
        <v>0</v>
      </c>
      <c r="K331" s="4">
        <f t="shared" si="247"/>
        <v>0</v>
      </c>
      <c r="L331" s="65" t="e">
        <f t="shared" si="250"/>
        <v>#DIV/0!</v>
      </c>
      <c r="M331" s="147">
        <v>5.6550000000000002</v>
      </c>
      <c r="N331" s="67">
        <f t="shared" si="244"/>
        <v>0</v>
      </c>
      <c r="O331" s="67">
        <f>M331*J331</f>
        <v>0</v>
      </c>
      <c r="P331" s="1124"/>
    </row>
    <row r="332" spans="2:16" x14ac:dyDescent="0.3">
      <c r="B332" s="1119"/>
      <c r="C332" s="1122"/>
      <c r="D332" s="61" t="s">
        <v>125</v>
      </c>
      <c r="E332" s="62">
        <v>0</v>
      </c>
      <c r="F332" s="63">
        <f t="shared" si="246"/>
        <v>0</v>
      </c>
      <c r="G332" s="63">
        <v>0</v>
      </c>
      <c r="H332" s="64">
        <v>0</v>
      </c>
      <c r="I332" s="79">
        <f t="shared" si="248"/>
        <v>0</v>
      </c>
      <c r="J332" s="4">
        <f t="shared" si="241"/>
        <v>0</v>
      </c>
      <c r="K332" s="4">
        <f t="shared" si="247"/>
        <v>0</v>
      </c>
      <c r="L332" s="65" t="e">
        <f t="shared" si="250"/>
        <v>#DIV/0!</v>
      </c>
      <c r="M332" s="152">
        <v>5.6550000000000002</v>
      </c>
      <c r="N332" s="67">
        <f t="shared" si="244"/>
        <v>0</v>
      </c>
      <c r="O332" s="67">
        <f>M332*J332</f>
        <v>0</v>
      </c>
      <c r="P332" s="1124"/>
    </row>
    <row r="333" spans="2:16" x14ac:dyDescent="0.3">
      <c r="B333" s="1119"/>
      <c r="C333" s="1122"/>
      <c r="D333" s="61" t="s">
        <v>128</v>
      </c>
      <c r="E333" s="62">
        <v>0</v>
      </c>
      <c r="F333" s="63">
        <f t="shared" si="246"/>
        <v>0</v>
      </c>
      <c r="G333" s="63">
        <v>0</v>
      </c>
      <c r="H333" s="64">
        <v>0</v>
      </c>
      <c r="I333" s="79">
        <f t="shared" si="248"/>
        <v>9700</v>
      </c>
      <c r="J333" s="4">
        <f t="shared" si="241"/>
        <v>8200</v>
      </c>
      <c r="K333" s="4">
        <f t="shared" si="247"/>
        <v>1500</v>
      </c>
      <c r="L333" s="65" t="e">
        <f t="shared" si="250"/>
        <v>#DIV/0!</v>
      </c>
      <c r="M333" s="66">
        <v>5.7885299999999997</v>
      </c>
      <c r="N333" s="67">
        <f>+M333*G333</f>
        <v>0</v>
      </c>
      <c r="O333" s="67">
        <f>M333*J333</f>
        <v>47465.945999999996</v>
      </c>
      <c r="P333" s="1124"/>
    </row>
    <row r="334" spans="2:16" x14ac:dyDescent="0.3">
      <c r="B334" s="1119"/>
      <c r="C334" s="1122"/>
      <c r="D334" s="61" t="s">
        <v>143</v>
      </c>
      <c r="E334" s="62">
        <v>0</v>
      </c>
      <c r="F334" s="63">
        <f t="shared" si="246"/>
        <v>0</v>
      </c>
      <c r="G334" s="63">
        <v>0</v>
      </c>
      <c r="H334" s="64">
        <v>0</v>
      </c>
      <c r="I334" s="79">
        <f t="shared" si="248"/>
        <v>0</v>
      </c>
      <c r="J334" s="4">
        <f t="shared" si="241"/>
        <v>0</v>
      </c>
      <c r="K334" s="4">
        <f t="shared" si="247"/>
        <v>0</v>
      </c>
      <c r="L334" s="65" t="e">
        <f t="shared" si="250"/>
        <v>#DIV/0!</v>
      </c>
      <c r="M334" s="152">
        <v>5.6550000000000002</v>
      </c>
      <c r="N334" s="67">
        <f t="shared" ref="N334:N336" si="251">+M334*G334</f>
        <v>0</v>
      </c>
      <c r="O334" s="67">
        <f t="shared" ref="O334:O337" si="252">M334*J334</f>
        <v>0</v>
      </c>
      <c r="P334" s="1124"/>
    </row>
    <row r="335" spans="2:16" x14ac:dyDescent="0.3">
      <c r="B335" s="1119"/>
      <c r="C335" s="176" t="s">
        <v>89</v>
      </c>
      <c r="D335" s="61" t="s">
        <v>80</v>
      </c>
      <c r="E335" s="62">
        <v>0</v>
      </c>
      <c r="F335" s="63">
        <f t="shared" si="246"/>
        <v>0</v>
      </c>
      <c r="G335" s="63">
        <v>0</v>
      </c>
      <c r="H335" s="64">
        <v>0</v>
      </c>
      <c r="I335" s="79">
        <f t="shared" si="248"/>
        <v>0</v>
      </c>
      <c r="J335" s="4">
        <f t="shared" si="241"/>
        <v>0</v>
      </c>
      <c r="K335" s="4">
        <f t="shared" si="247"/>
        <v>0</v>
      </c>
      <c r="L335" s="65" t="e">
        <f t="shared" si="250"/>
        <v>#DIV/0!</v>
      </c>
      <c r="M335" s="66">
        <v>3.2963</v>
      </c>
      <c r="N335" s="67">
        <f t="shared" si="251"/>
        <v>0</v>
      </c>
      <c r="O335" s="67">
        <f t="shared" si="252"/>
        <v>0</v>
      </c>
      <c r="P335" s="1124"/>
    </row>
    <row r="336" spans="2:16" x14ac:dyDescent="0.3">
      <c r="B336" s="1119"/>
      <c r="C336" s="176" t="s">
        <v>90</v>
      </c>
      <c r="D336" s="61" t="s">
        <v>80</v>
      </c>
      <c r="E336" s="62">
        <v>0</v>
      </c>
      <c r="F336" s="63">
        <f t="shared" si="246"/>
        <v>0</v>
      </c>
      <c r="G336" s="63">
        <v>0</v>
      </c>
      <c r="H336" s="64">
        <v>0</v>
      </c>
      <c r="I336" s="79">
        <f t="shared" si="248"/>
        <v>0</v>
      </c>
      <c r="J336" s="4">
        <f t="shared" si="241"/>
        <v>0</v>
      </c>
      <c r="K336" s="4">
        <f t="shared" si="247"/>
        <v>0</v>
      </c>
      <c r="L336" s="65" t="e">
        <f t="shared" si="250"/>
        <v>#DIV/0!</v>
      </c>
      <c r="M336" s="66">
        <v>3.2963</v>
      </c>
      <c r="N336" s="67">
        <f t="shared" si="251"/>
        <v>0</v>
      </c>
      <c r="O336" s="67">
        <f t="shared" si="252"/>
        <v>0</v>
      </c>
      <c r="P336" s="1124"/>
    </row>
    <row r="337" spans="2:16" ht="15" thickBot="1" x14ac:dyDescent="0.35">
      <c r="B337" s="1119"/>
      <c r="C337" s="68" t="s">
        <v>91</v>
      </c>
      <c r="D337" s="69" t="s">
        <v>92</v>
      </c>
      <c r="E337" s="70">
        <v>0</v>
      </c>
      <c r="F337" s="71">
        <f t="shared" si="246"/>
        <v>0</v>
      </c>
      <c r="G337" s="71">
        <v>0</v>
      </c>
      <c r="H337" s="72">
        <v>0</v>
      </c>
      <c r="I337" s="80">
        <f t="shared" si="248"/>
        <v>0</v>
      </c>
      <c r="J337" s="4">
        <f t="shared" si="241"/>
        <v>0</v>
      </c>
      <c r="K337" s="4">
        <f t="shared" si="247"/>
        <v>0</v>
      </c>
      <c r="L337" s="65" t="e">
        <f t="shared" si="250"/>
        <v>#DIV/0!</v>
      </c>
      <c r="M337" s="73">
        <v>2.3201000000000001</v>
      </c>
      <c r="N337" s="74">
        <f t="shared" ref="N337" si="253">M337*G337</f>
        <v>0</v>
      </c>
      <c r="O337" s="74">
        <f t="shared" si="252"/>
        <v>0</v>
      </c>
      <c r="P337" s="1125"/>
    </row>
    <row r="338" spans="2:16" ht="15" thickBot="1" x14ac:dyDescent="0.35">
      <c r="B338" s="1120"/>
      <c r="C338" s="1128" t="s">
        <v>106</v>
      </c>
      <c r="D338" s="1129"/>
      <c r="E338" s="1129"/>
      <c r="F338" s="1129"/>
      <c r="G338" s="1129"/>
      <c r="H338" s="1130"/>
      <c r="I338" s="116">
        <f>J338+K338</f>
        <v>333828</v>
      </c>
      <c r="J338" s="115">
        <f>SUM(J310:J337)</f>
        <v>320530</v>
      </c>
      <c r="K338" s="115">
        <f>SUM(K310:K337)</f>
        <v>13298</v>
      </c>
      <c r="L338" s="114"/>
      <c r="M338" s="113"/>
      <c r="N338" s="114"/>
      <c r="O338" s="97">
        <f>SUM(O310:O337)</f>
        <v>2656907.0890000002</v>
      </c>
      <c r="P338" s="96"/>
    </row>
    <row r="339" spans="2:16" ht="15" thickBot="1" x14ac:dyDescent="0.35">
      <c r="B339" s="100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2"/>
    </row>
    <row r="340" spans="2:16" ht="15" thickBot="1" x14ac:dyDescent="0.35">
      <c r="B340" s="1113" t="s">
        <v>107</v>
      </c>
      <c r="C340" s="1114"/>
      <c r="D340" s="1114"/>
      <c r="E340" s="1114"/>
      <c r="F340" s="1114"/>
      <c r="G340" s="1114"/>
      <c r="H340" s="1114"/>
      <c r="I340" s="1114"/>
      <c r="J340" s="1114"/>
      <c r="K340" s="1114"/>
      <c r="L340" s="1114"/>
      <c r="M340" s="1114"/>
      <c r="N340" s="1115"/>
      <c r="O340" s="103">
        <f>+O338+O309+O294</f>
        <v>6457605.7129999995</v>
      </c>
      <c r="P340" s="96"/>
    </row>
    <row r="341" spans="2:16" ht="15" thickBot="1" x14ac:dyDescent="0.35"/>
    <row r="342" spans="2:16" x14ac:dyDescent="0.3">
      <c r="B342" s="1147" t="s">
        <v>1</v>
      </c>
      <c r="C342" s="1149" t="s">
        <v>2</v>
      </c>
      <c r="D342" s="1152" t="s">
        <v>3</v>
      </c>
      <c r="E342" s="1155" t="s">
        <v>4</v>
      </c>
      <c r="F342" s="1156"/>
      <c r="G342" s="1156"/>
      <c r="H342" s="1156"/>
      <c r="I342" s="1156"/>
      <c r="J342" s="1156"/>
      <c r="K342" s="1156"/>
      <c r="L342" s="1157"/>
      <c r="M342" s="1158" t="s">
        <v>5</v>
      </c>
      <c r="N342" s="1159"/>
      <c r="O342" s="1160"/>
      <c r="P342" s="1152" t="s">
        <v>6</v>
      </c>
    </row>
    <row r="343" spans="2:16" x14ac:dyDescent="0.3">
      <c r="B343" s="1148"/>
      <c r="C343" s="1150"/>
      <c r="D343" s="1153"/>
      <c r="E343" s="1161" t="s">
        <v>7</v>
      </c>
      <c r="F343" s="1163" t="s">
        <v>153</v>
      </c>
      <c r="G343" s="1163"/>
      <c r="H343" s="1164"/>
      <c r="I343" s="1165" t="s">
        <v>8</v>
      </c>
      <c r="J343" s="1163"/>
      <c r="K343" s="1163"/>
      <c r="L343" s="1164" t="s">
        <v>9</v>
      </c>
      <c r="M343" s="1167" t="s">
        <v>10</v>
      </c>
      <c r="N343" s="1169" t="s">
        <v>11</v>
      </c>
      <c r="O343" s="1171" t="s">
        <v>12</v>
      </c>
      <c r="P343" s="1153"/>
    </row>
    <row r="344" spans="2:16" ht="15" thickBot="1" x14ac:dyDescent="0.35">
      <c r="B344" s="1148"/>
      <c r="C344" s="1151"/>
      <c r="D344" s="1154"/>
      <c r="E344" s="1162"/>
      <c r="F344" s="2" t="s">
        <v>13</v>
      </c>
      <c r="G344" s="2" t="s">
        <v>14</v>
      </c>
      <c r="H344" s="183" t="s">
        <v>15</v>
      </c>
      <c r="I344" s="142" t="s">
        <v>13</v>
      </c>
      <c r="J344" s="2" t="s">
        <v>14</v>
      </c>
      <c r="K344" s="2" t="s">
        <v>15</v>
      </c>
      <c r="L344" s="1166"/>
      <c r="M344" s="1168"/>
      <c r="N344" s="1170"/>
      <c r="O344" s="1172"/>
      <c r="P344" s="1154"/>
    </row>
    <row r="345" spans="2:16" x14ac:dyDescent="0.3">
      <c r="B345" s="1131" t="s">
        <v>56</v>
      </c>
      <c r="C345" s="29"/>
      <c r="D345" s="117" t="s">
        <v>151</v>
      </c>
      <c r="E345" s="98">
        <v>0</v>
      </c>
      <c r="F345" s="4">
        <f>+G345+H345</f>
        <v>874</v>
      </c>
      <c r="G345" s="4">
        <v>0</v>
      </c>
      <c r="H345" s="8">
        <v>874</v>
      </c>
      <c r="I345" s="6">
        <f>J345+K345</f>
        <v>157942</v>
      </c>
      <c r="J345" s="4">
        <f>G345+J280</f>
        <v>155120</v>
      </c>
      <c r="K345" s="4">
        <f>H345+K280</f>
        <v>2822</v>
      </c>
      <c r="L345" s="33" t="e">
        <f>+J345/E345</f>
        <v>#DIV/0!</v>
      </c>
      <c r="M345" s="104">
        <v>1.3652</v>
      </c>
      <c r="N345" s="31">
        <f>G345*M345</f>
        <v>0</v>
      </c>
      <c r="O345" s="86">
        <f>M345*J345</f>
        <v>211769.82399999999</v>
      </c>
      <c r="P345" s="1133"/>
    </row>
    <row r="346" spans="2:16" x14ac:dyDescent="0.3">
      <c r="B346" s="1132"/>
      <c r="C346" s="32"/>
      <c r="D346" s="118" t="s">
        <v>116</v>
      </c>
      <c r="E346" s="99">
        <v>0</v>
      </c>
      <c r="F346" s="9">
        <f>+G346+H346</f>
        <v>0</v>
      </c>
      <c r="G346" s="9">
        <v>0</v>
      </c>
      <c r="H346" s="10">
        <v>0</v>
      </c>
      <c r="I346" s="6">
        <f>J346+K346</f>
        <v>0</v>
      </c>
      <c r="J346" s="4">
        <f>+G346+J281</f>
        <v>0</v>
      </c>
      <c r="K346" s="4">
        <f>+H346+K281</f>
        <v>0</v>
      </c>
      <c r="L346" s="33"/>
      <c r="M346" s="105">
        <v>5.9917999999999996</v>
      </c>
      <c r="N346" s="34">
        <f>M346*G346</f>
        <v>0</v>
      </c>
      <c r="O346" s="87">
        <f>M346*J346</f>
        <v>0</v>
      </c>
      <c r="P346" s="1134"/>
    </row>
    <row r="347" spans="2:16" x14ac:dyDescent="0.3">
      <c r="B347" s="1132"/>
      <c r="C347" s="35"/>
      <c r="D347" s="119" t="s">
        <v>58</v>
      </c>
      <c r="E347" s="99">
        <v>0</v>
      </c>
      <c r="F347" s="9">
        <f t="shared" ref="F347:F351" si="254">+G347+H347</f>
        <v>231610</v>
      </c>
      <c r="G347" s="9">
        <v>230000</v>
      </c>
      <c r="H347" s="10">
        <f>876+734</f>
        <v>1610</v>
      </c>
      <c r="I347" s="6">
        <f t="shared" ref="I347:I351" si="255">J347+K347</f>
        <v>1162687</v>
      </c>
      <c r="J347" s="4">
        <f t="shared" ref="J347:J351" si="256">+G347+J282</f>
        <v>1153250</v>
      </c>
      <c r="K347" s="4">
        <f t="shared" ref="K347:K351" si="257">+H347+K282</f>
        <v>9437</v>
      </c>
      <c r="L347" s="33" t="e">
        <f t="shared" ref="L347" si="258">+J347/E347</f>
        <v>#DIV/0!</v>
      </c>
      <c r="M347" s="106">
        <v>2.3807999999999998</v>
      </c>
      <c r="N347" s="36">
        <f>G347*M347</f>
        <v>547584</v>
      </c>
      <c r="O347" s="88">
        <f>M347*J347</f>
        <v>2745657.5999999996</v>
      </c>
      <c r="P347" s="1134"/>
    </row>
    <row r="348" spans="2:16" x14ac:dyDescent="0.3">
      <c r="B348" s="1132"/>
      <c r="C348" s="35"/>
      <c r="D348" s="119" t="s">
        <v>59</v>
      </c>
      <c r="E348" s="99">
        <v>0</v>
      </c>
      <c r="F348" s="9">
        <f t="shared" si="254"/>
        <v>0</v>
      </c>
      <c r="G348" s="9">
        <v>0</v>
      </c>
      <c r="H348" s="10">
        <v>0</v>
      </c>
      <c r="I348" s="6">
        <f t="shared" si="255"/>
        <v>0</v>
      </c>
      <c r="J348" s="4">
        <f t="shared" si="256"/>
        <v>0</v>
      </c>
      <c r="K348" s="4">
        <f t="shared" si="257"/>
        <v>0</v>
      </c>
      <c r="L348" s="33"/>
      <c r="M348" s="106">
        <v>2.1457999999999999</v>
      </c>
      <c r="N348" s="36">
        <f t="shared" ref="N348:N351" si="259">G348*M348</f>
        <v>0</v>
      </c>
      <c r="O348" s="88">
        <f>M348*J348</f>
        <v>0</v>
      </c>
      <c r="P348" s="1134"/>
    </row>
    <row r="349" spans="2:16" x14ac:dyDescent="0.3">
      <c r="B349" s="1132"/>
      <c r="C349" s="35"/>
      <c r="D349" s="119" t="s">
        <v>113</v>
      </c>
      <c r="E349" s="99">
        <v>0</v>
      </c>
      <c r="F349" s="9">
        <f t="shared" si="254"/>
        <v>0</v>
      </c>
      <c r="G349" s="9">
        <v>0</v>
      </c>
      <c r="H349" s="10">
        <v>0</v>
      </c>
      <c r="I349" s="6">
        <f t="shared" si="255"/>
        <v>0</v>
      </c>
      <c r="J349" s="4">
        <f t="shared" si="256"/>
        <v>0</v>
      </c>
      <c r="K349" s="4">
        <f t="shared" si="257"/>
        <v>0</v>
      </c>
      <c r="L349" s="33" t="e">
        <f t="shared" ref="L349:L350" si="260">+J349/E349</f>
        <v>#DIV/0!</v>
      </c>
      <c r="M349" s="143">
        <v>4.0426000000000002</v>
      </c>
      <c r="N349" s="36">
        <f t="shared" si="259"/>
        <v>0</v>
      </c>
      <c r="O349" s="88">
        <f>M349*J349</f>
        <v>0</v>
      </c>
      <c r="P349" s="1134"/>
    </row>
    <row r="350" spans="2:16" x14ac:dyDescent="0.3">
      <c r="B350" s="1132"/>
      <c r="C350" s="35"/>
      <c r="D350" s="119" t="s">
        <v>117</v>
      </c>
      <c r="E350" s="99">
        <v>0</v>
      </c>
      <c r="F350" s="9">
        <f t="shared" si="254"/>
        <v>0</v>
      </c>
      <c r="G350" s="9">
        <v>0</v>
      </c>
      <c r="H350" s="10">
        <v>0</v>
      </c>
      <c r="I350" s="6">
        <f t="shared" si="255"/>
        <v>0</v>
      </c>
      <c r="J350" s="4">
        <f t="shared" si="256"/>
        <v>0</v>
      </c>
      <c r="K350" s="4">
        <f t="shared" si="257"/>
        <v>0</v>
      </c>
      <c r="L350" s="33" t="e">
        <f t="shared" si="260"/>
        <v>#DIV/0!</v>
      </c>
      <c r="M350" s="143">
        <v>3.8715000000000002</v>
      </c>
      <c r="N350" s="36">
        <f t="shared" si="259"/>
        <v>0</v>
      </c>
      <c r="O350" s="88">
        <f t="shared" ref="O350:O351" si="261">M350*J350</f>
        <v>0</v>
      </c>
      <c r="P350" s="1134"/>
    </row>
    <row r="351" spans="2:16" ht="15" thickBot="1" x14ac:dyDescent="0.35">
      <c r="B351" s="1132"/>
      <c r="C351" s="82"/>
      <c r="D351" s="120" t="s">
        <v>60</v>
      </c>
      <c r="E351" s="108">
        <v>0</v>
      </c>
      <c r="F351" s="12">
        <f t="shared" si="254"/>
        <v>0</v>
      </c>
      <c r="G351" s="12">
        <v>0</v>
      </c>
      <c r="H351" s="13">
        <v>0</v>
      </c>
      <c r="I351" s="21">
        <f t="shared" si="255"/>
        <v>0</v>
      </c>
      <c r="J351" s="4">
        <f t="shared" si="256"/>
        <v>0</v>
      </c>
      <c r="K351" s="4">
        <f t="shared" si="257"/>
        <v>0</v>
      </c>
      <c r="L351" s="81"/>
      <c r="M351" s="127">
        <v>12.284700000000001</v>
      </c>
      <c r="N351" s="36">
        <f t="shared" si="259"/>
        <v>0</v>
      </c>
      <c r="O351" s="128">
        <f t="shared" si="261"/>
        <v>0</v>
      </c>
      <c r="P351" s="1134"/>
    </row>
    <row r="352" spans="2:16" ht="15" thickBot="1" x14ac:dyDescent="0.35">
      <c r="B352" s="1132"/>
      <c r="C352" s="1137" t="s">
        <v>111</v>
      </c>
      <c r="D352" s="1138"/>
      <c r="E352" s="129"/>
      <c r="F352" s="130">
        <f>SUM(F345:F351)</f>
        <v>232484</v>
      </c>
      <c r="G352" s="130">
        <f>SUM(G345:G351)</f>
        <v>230000</v>
      </c>
      <c r="H352" s="131">
        <f>SUM(H345:H351)</f>
        <v>2484</v>
      </c>
      <c r="I352" s="132">
        <f>+J352+K352</f>
        <v>1320629</v>
      </c>
      <c r="J352" s="133">
        <f>SUM(J345:J351)</f>
        <v>1308370</v>
      </c>
      <c r="K352" s="133">
        <f>SUM(K345:K351)</f>
        <v>12259</v>
      </c>
      <c r="L352" s="134"/>
      <c r="M352" s="135"/>
      <c r="N352" s="136"/>
      <c r="O352" s="137">
        <f>SUM(O345:O351)</f>
        <v>2957427.4239999996</v>
      </c>
      <c r="P352" s="1135"/>
    </row>
    <row r="353" spans="2:16" x14ac:dyDescent="0.3">
      <c r="B353" s="1132"/>
      <c r="C353" s="32"/>
      <c r="D353" s="118" t="s">
        <v>61</v>
      </c>
      <c r="E353" s="98">
        <v>0</v>
      </c>
      <c r="F353" s="4">
        <f t="shared" ref="F353:F356" si="262">+G353+H353</f>
        <v>0</v>
      </c>
      <c r="G353" s="4">
        <v>0</v>
      </c>
      <c r="H353" s="8">
        <v>0</v>
      </c>
      <c r="I353" s="6">
        <f t="shared" ref="I353:I357" si="263">J353+K353</f>
        <v>0</v>
      </c>
      <c r="J353" s="4">
        <f>G353+J288</f>
        <v>0</v>
      </c>
      <c r="K353" s="4">
        <f>H353+K288</f>
        <v>0</v>
      </c>
      <c r="L353" s="33" t="e">
        <f t="shared" ref="L353" si="264">+J353/E353</f>
        <v>#DIV/0!</v>
      </c>
      <c r="M353" s="105">
        <v>12.029500000000001</v>
      </c>
      <c r="N353" s="34">
        <f>M353*G353</f>
        <v>0</v>
      </c>
      <c r="O353" s="87">
        <f t="shared" ref="O353:O355" si="265">M353*J353</f>
        <v>0</v>
      </c>
      <c r="P353" s="1134"/>
    </row>
    <row r="354" spans="2:16" x14ac:dyDescent="0.3">
      <c r="B354" s="1132"/>
      <c r="C354" s="35"/>
      <c r="D354" s="119" t="s">
        <v>62</v>
      </c>
      <c r="E354" s="99">
        <v>0</v>
      </c>
      <c r="F354" s="9">
        <f t="shared" si="262"/>
        <v>0</v>
      </c>
      <c r="G354" s="9">
        <v>0</v>
      </c>
      <c r="H354" s="10">
        <v>0</v>
      </c>
      <c r="I354" s="6">
        <f t="shared" si="263"/>
        <v>0</v>
      </c>
      <c r="J354" s="4">
        <f>G354+J289</f>
        <v>0</v>
      </c>
      <c r="K354" s="4">
        <f>H354+K289</f>
        <v>0</v>
      </c>
      <c r="L354" s="33"/>
      <c r="M354" s="106">
        <v>0</v>
      </c>
      <c r="N354" s="36"/>
      <c r="O354" s="88">
        <f t="shared" si="265"/>
        <v>0</v>
      </c>
      <c r="P354" s="1134"/>
    </row>
    <row r="355" spans="2:16" x14ac:dyDescent="0.3">
      <c r="B355" s="1132"/>
      <c r="C355" s="35"/>
      <c r="D355" s="119" t="s">
        <v>104</v>
      </c>
      <c r="E355" s="99">
        <v>0</v>
      </c>
      <c r="F355" s="9">
        <f t="shared" si="262"/>
        <v>0</v>
      </c>
      <c r="G355" s="9">
        <v>0</v>
      </c>
      <c r="H355" s="10">
        <v>0</v>
      </c>
      <c r="I355" s="6">
        <f t="shared" si="263"/>
        <v>0</v>
      </c>
      <c r="J355" s="4">
        <f t="shared" ref="J355:J357" si="266">G355+J290</f>
        <v>0</v>
      </c>
      <c r="K355" s="4">
        <f t="shared" ref="K355:K357" si="267">H355+K290</f>
        <v>0</v>
      </c>
      <c r="L355" s="33" t="e">
        <f t="shared" ref="L355:L357" si="268">+J355/E355</f>
        <v>#DIV/0!</v>
      </c>
      <c r="M355" s="106">
        <v>19.688600000000001</v>
      </c>
      <c r="N355" s="36">
        <f>M355*G355</f>
        <v>0</v>
      </c>
      <c r="O355" s="88">
        <f t="shared" si="265"/>
        <v>0</v>
      </c>
      <c r="P355" s="1134"/>
    </row>
    <row r="356" spans="2:16" x14ac:dyDescent="0.3">
      <c r="B356" s="1132"/>
      <c r="C356" s="35"/>
      <c r="D356" s="119" t="s">
        <v>64</v>
      </c>
      <c r="E356" s="99">
        <v>0</v>
      </c>
      <c r="F356" s="9">
        <f t="shared" si="262"/>
        <v>0</v>
      </c>
      <c r="G356" s="9">
        <v>0</v>
      </c>
      <c r="H356" s="10">
        <v>0</v>
      </c>
      <c r="I356" s="6">
        <f t="shared" si="263"/>
        <v>0</v>
      </c>
      <c r="J356" s="4">
        <f t="shared" si="266"/>
        <v>0</v>
      </c>
      <c r="K356" s="4">
        <f t="shared" si="267"/>
        <v>0</v>
      </c>
      <c r="L356" s="33" t="e">
        <f t="shared" si="268"/>
        <v>#DIV/0!</v>
      </c>
      <c r="M356" s="106">
        <v>1.2824</v>
      </c>
      <c r="N356" s="151">
        <f>M356*G356</f>
        <v>0</v>
      </c>
      <c r="O356" s="88">
        <f>M356*J356</f>
        <v>0</v>
      </c>
      <c r="P356" s="1134"/>
    </row>
    <row r="357" spans="2:16" ht="15" thickBot="1" x14ac:dyDescent="0.35">
      <c r="B357" s="1132"/>
      <c r="C357" s="82"/>
      <c r="D357" s="120" t="s">
        <v>63</v>
      </c>
      <c r="E357" s="108">
        <v>0</v>
      </c>
      <c r="F357" s="12">
        <v>0</v>
      </c>
      <c r="G357" s="12">
        <v>0</v>
      </c>
      <c r="H357" s="13">
        <v>0</v>
      </c>
      <c r="I357" s="21">
        <f t="shared" si="263"/>
        <v>0</v>
      </c>
      <c r="J357" s="4">
        <f t="shared" si="266"/>
        <v>0</v>
      </c>
      <c r="K357" s="4">
        <f t="shared" si="267"/>
        <v>0</v>
      </c>
      <c r="L357" s="81" t="e">
        <f t="shared" si="268"/>
        <v>#DIV/0!</v>
      </c>
      <c r="M357" s="107">
        <v>18.2316</v>
      </c>
      <c r="N357" s="75"/>
      <c r="O357" s="89">
        <f t="shared" ref="O357" si="269">M357*J357</f>
        <v>0</v>
      </c>
      <c r="P357" s="1136"/>
    </row>
    <row r="358" spans="2:16" ht="15" thickBot="1" x14ac:dyDescent="0.35">
      <c r="B358" s="1116" t="s">
        <v>112</v>
      </c>
      <c r="C358" s="1117"/>
      <c r="D358" s="1117"/>
      <c r="E358" s="124"/>
      <c r="F358" s="125">
        <f>+G358+H358</f>
        <v>0</v>
      </c>
      <c r="G358" s="125">
        <f>SUM(G353:G357)</f>
        <v>0</v>
      </c>
      <c r="H358" s="126">
        <f>SUM(H353:H357)</f>
        <v>0</v>
      </c>
      <c r="I358" s="121">
        <f>J358+K358</f>
        <v>0</v>
      </c>
      <c r="J358" s="122">
        <f>SUM(J353:J357)</f>
        <v>0</v>
      </c>
      <c r="K358" s="123">
        <f>SUM(K353:K357)</f>
        <v>0</v>
      </c>
      <c r="L358" s="138"/>
      <c r="M358" s="139"/>
      <c r="N358" s="140"/>
      <c r="O358" s="141">
        <f>SUM(O353:O357)</f>
        <v>0</v>
      </c>
      <c r="P358" s="182"/>
    </row>
    <row r="359" spans="2:16" ht="15" thickBot="1" x14ac:dyDescent="0.35">
      <c r="B359" s="1116" t="s">
        <v>105</v>
      </c>
      <c r="C359" s="1117"/>
      <c r="D359" s="1117"/>
      <c r="E359" s="1139"/>
      <c r="F359" s="1139"/>
      <c r="G359" s="1139"/>
      <c r="H359" s="1139"/>
      <c r="I359" s="1117"/>
      <c r="J359" s="1117"/>
      <c r="K359" s="1117"/>
      <c r="L359" s="1117"/>
      <c r="M359" s="1117"/>
      <c r="N359" s="1140"/>
      <c r="O359" s="83">
        <f>O352+O358</f>
        <v>2957427.4239999996</v>
      </c>
      <c r="P359" s="182"/>
    </row>
    <row r="360" spans="2:16" x14ac:dyDescent="0.3">
      <c r="B360" s="1131" t="s">
        <v>65</v>
      </c>
      <c r="C360" s="37" t="s">
        <v>66</v>
      </c>
      <c r="D360" s="28" t="s">
        <v>67</v>
      </c>
      <c r="E360" s="38">
        <v>0</v>
      </c>
      <c r="F360" s="14">
        <f>+G360+H360</f>
        <v>0</v>
      </c>
      <c r="G360" s="14">
        <v>0</v>
      </c>
      <c r="H360" s="5">
        <v>0</v>
      </c>
      <c r="I360" s="17">
        <f t="shared" ref="I360:I366" si="270">J360+K360</f>
        <v>0</v>
      </c>
      <c r="J360" s="4">
        <f>G360+J295</f>
        <v>0</v>
      </c>
      <c r="K360" s="4">
        <f>H360+K295</f>
        <v>0</v>
      </c>
      <c r="L360" s="30" t="e">
        <f>+J360/E360</f>
        <v>#DIV/0!</v>
      </c>
      <c r="M360" s="146">
        <v>2.2141000000000002</v>
      </c>
      <c r="N360" s="15">
        <f>+M360*G360</f>
        <v>0</v>
      </c>
      <c r="O360" s="90">
        <f>+M360*J360</f>
        <v>0</v>
      </c>
      <c r="P360" s="1142"/>
    </row>
    <row r="361" spans="2:16" x14ac:dyDescent="0.3">
      <c r="B361" s="1132"/>
      <c r="C361" s="39"/>
      <c r="D361" s="22" t="s">
        <v>68</v>
      </c>
      <c r="E361" s="3">
        <v>0</v>
      </c>
      <c r="F361" s="9">
        <f t="shared" ref="F361:F366" si="271">+G361+H361</f>
        <v>0</v>
      </c>
      <c r="G361" s="4">
        <v>0</v>
      </c>
      <c r="H361" s="8">
        <v>0</v>
      </c>
      <c r="I361" s="6">
        <f t="shared" si="270"/>
        <v>0</v>
      </c>
      <c r="J361" s="4">
        <f>+G361+J296</f>
        <v>0</v>
      </c>
      <c r="K361" s="4">
        <f>+H361+K296</f>
        <v>0</v>
      </c>
      <c r="L361" s="40" t="e">
        <f t="shared" ref="L361:L362" si="272">+J361/E361</f>
        <v>#DIV/0!</v>
      </c>
      <c r="M361" s="145">
        <v>2.4565999999999999</v>
      </c>
      <c r="N361" s="11">
        <f t="shared" ref="N361:N363" si="273">+M361*G361</f>
        <v>0</v>
      </c>
      <c r="O361" s="91">
        <f t="shared" ref="O361:O363" si="274">+M361*J361</f>
        <v>0</v>
      </c>
      <c r="P361" s="1143"/>
    </row>
    <row r="362" spans="2:16" x14ac:dyDescent="0.3">
      <c r="B362" s="1132"/>
      <c r="C362" s="39"/>
      <c r="D362" s="23" t="s">
        <v>133</v>
      </c>
      <c r="E362" s="3">
        <v>0</v>
      </c>
      <c r="F362" s="9">
        <f t="shared" si="271"/>
        <v>0</v>
      </c>
      <c r="G362" s="4">
        <v>0</v>
      </c>
      <c r="H362" s="8">
        <v>0</v>
      </c>
      <c r="I362" s="6">
        <f t="shared" si="270"/>
        <v>0</v>
      </c>
      <c r="J362" s="4">
        <f t="shared" ref="J362:J366" si="275">+G362+J297</f>
        <v>0</v>
      </c>
      <c r="K362" s="4">
        <f t="shared" ref="K362:K366" si="276">+H362+K297</f>
        <v>0</v>
      </c>
      <c r="L362" s="40" t="e">
        <f t="shared" si="272"/>
        <v>#DIV/0!</v>
      </c>
      <c r="M362" s="145">
        <v>2.2907000000000002</v>
      </c>
      <c r="N362" s="11">
        <f t="shared" si="273"/>
        <v>0</v>
      </c>
      <c r="O362" s="91">
        <f t="shared" si="274"/>
        <v>0</v>
      </c>
      <c r="P362" s="1143"/>
    </row>
    <row r="363" spans="2:16" x14ac:dyDescent="0.3">
      <c r="B363" s="1132"/>
      <c r="C363" s="39"/>
      <c r="D363" s="22" t="s">
        <v>138</v>
      </c>
      <c r="E363" s="3"/>
      <c r="F363" s="9">
        <f t="shared" si="271"/>
        <v>0</v>
      </c>
      <c r="G363" s="4">
        <v>0</v>
      </c>
      <c r="H363" s="8">
        <v>0</v>
      </c>
      <c r="I363" s="6">
        <f t="shared" si="270"/>
        <v>0</v>
      </c>
      <c r="J363" s="4">
        <f t="shared" si="275"/>
        <v>0</v>
      </c>
      <c r="K363" s="4">
        <f t="shared" si="276"/>
        <v>0</v>
      </c>
      <c r="L363" s="33"/>
      <c r="M363" s="150">
        <v>2.544</v>
      </c>
      <c r="N363" s="11">
        <f t="shared" si="273"/>
        <v>0</v>
      </c>
      <c r="O363" s="91">
        <f t="shared" si="274"/>
        <v>0</v>
      </c>
      <c r="P363" s="1143"/>
    </row>
    <row r="364" spans="2:16" x14ac:dyDescent="0.3">
      <c r="B364" s="1132"/>
      <c r="C364" s="39" t="s">
        <v>69</v>
      </c>
      <c r="D364" s="22" t="s">
        <v>140</v>
      </c>
      <c r="E364" s="3">
        <v>0</v>
      </c>
      <c r="F364" s="9">
        <f t="shared" si="271"/>
        <v>91045</v>
      </c>
      <c r="G364" s="4">
        <v>89500</v>
      </c>
      <c r="H364" s="8">
        <v>1545</v>
      </c>
      <c r="I364" s="6">
        <f t="shared" si="270"/>
        <v>263077</v>
      </c>
      <c r="J364" s="4">
        <f>+G364+J299</f>
        <v>256750</v>
      </c>
      <c r="K364" s="4">
        <f t="shared" si="276"/>
        <v>6327</v>
      </c>
      <c r="L364" s="33" t="e">
        <f>+J364/E364</f>
        <v>#DIV/0!</v>
      </c>
      <c r="M364" s="144">
        <v>2.2141000000000002</v>
      </c>
      <c r="N364" s="7">
        <f>+M364*G364</f>
        <v>198161.95</v>
      </c>
      <c r="O364" s="85">
        <f>+M364*J364</f>
        <v>568470.17500000005</v>
      </c>
      <c r="P364" s="1143"/>
    </row>
    <row r="365" spans="2:16" x14ac:dyDescent="0.3">
      <c r="B365" s="1132"/>
      <c r="C365" s="39"/>
      <c r="D365" s="22" t="s">
        <v>68</v>
      </c>
      <c r="E365" s="3">
        <v>0</v>
      </c>
      <c r="F365" s="9">
        <f t="shared" si="271"/>
        <v>0</v>
      </c>
      <c r="G365" s="4">
        <v>0</v>
      </c>
      <c r="H365" s="8">
        <v>0</v>
      </c>
      <c r="I365" s="6">
        <f t="shared" si="270"/>
        <v>0</v>
      </c>
      <c r="J365" s="4">
        <f t="shared" si="275"/>
        <v>0</v>
      </c>
      <c r="K365" s="4">
        <f t="shared" si="276"/>
        <v>0</v>
      </c>
      <c r="L365" s="40" t="e">
        <f t="shared" ref="L365:L366" si="277">+J365/E365</f>
        <v>#DIV/0!</v>
      </c>
      <c r="M365" s="145">
        <v>2.4565999999999999</v>
      </c>
      <c r="N365" s="11">
        <f t="shared" ref="N365:N366" si="278">+M365*G365</f>
        <v>0</v>
      </c>
      <c r="O365" s="91">
        <f t="shared" ref="O365" si="279">+M365*J365</f>
        <v>0</v>
      </c>
      <c r="P365" s="1143"/>
    </row>
    <row r="366" spans="2:16" ht="15" thickBot="1" x14ac:dyDescent="0.35">
      <c r="B366" s="1132"/>
      <c r="C366" s="39"/>
      <c r="D366" s="22" t="s">
        <v>133</v>
      </c>
      <c r="E366" s="3">
        <v>0</v>
      </c>
      <c r="F366" s="9">
        <f t="shared" si="271"/>
        <v>0</v>
      </c>
      <c r="G366" s="4">
        <v>0</v>
      </c>
      <c r="H366" s="8">
        <v>0</v>
      </c>
      <c r="I366" s="6">
        <f t="shared" si="270"/>
        <v>0</v>
      </c>
      <c r="J366" s="4">
        <f t="shared" si="275"/>
        <v>0</v>
      </c>
      <c r="K366" s="4">
        <f t="shared" si="276"/>
        <v>0</v>
      </c>
      <c r="L366" s="40" t="e">
        <f t="shared" si="277"/>
        <v>#DIV/0!</v>
      </c>
      <c r="M366" s="145">
        <v>2.2907000000000002</v>
      </c>
      <c r="N366" s="11">
        <f t="shared" si="278"/>
        <v>0</v>
      </c>
      <c r="O366" s="154">
        <f>+M366*J366</f>
        <v>0</v>
      </c>
      <c r="P366" s="1144"/>
    </row>
    <row r="367" spans="2:16" ht="15" thickBot="1" x14ac:dyDescent="0.35">
      <c r="B367" s="1132"/>
      <c r="C367" s="41" t="s">
        <v>29</v>
      </c>
      <c r="D367" s="27" t="str">
        <f>+C367</f>
        <v>TOTAL 1/2</v>
      </c>
      <c r="E367" s="42">
        <f>SUM(E360:E366)</f>
        <v>0</v>
      </c>
      <c r="F367" s="43">
        <f>SUM(F360:F366)</f>
        <v>91045</v>
      </c>
      <c r="G367" s="43">
        <f>SUM(G360:G366)</f>
        <v>89500</v>
      </c>
      <c r="H367" s="44">
        <f>SUM(H360:H366)</f>
        <v>1545</v>
      </c>
      <c r="I367" s="45">
        <f>SUM(I364:I366)</f>
        <v>263077</v>
      </c>
      <c r="J367" s="43">
        <f>SUM(J360:J366)</f>
        <v>256750</v>
      </c>
      <c r="K367" s="43">
        <f>SUM(K360:K366)</f>
        <v>6327</v>
      </c>
      <c r="L367" s="46" t="e">
        <f>+J367/E367</f>
        <v>#DIV/0!</v>
      </c>
      <c r="M367" s="47"/>
      <c r="N367" s="48">
        <f>SUM(N364:N366)</f>
        <v>198161.95</v>
      </c>
      <c r="O367" s="49">
        <f>SUM(O360:O366)</f>
        <v>568470.17500000005</v>
      </c>
      <c r="P367" s="181"/>
    </row>
    <row r="368" spans="2:16" x14ac:dyDescent="0.3">
      <c r="B368" s="1132"/>
      <c r="C368" s="1145" t="s">
        <v>70</v>
      </c>
      <c r="D368" s="22" t="s">
        <v>67</v>
      </c>
      <c r="E368" s="3">
        <v>0</v>
      </c>
      <c r="F368" s="4">
        <f>G368+H368</f>
        <v>0</v>
      </c>
      <c r="G368" s="4">
        <v>0</v>
      </c>
      <c r="H368" s="8">
        <v>0</v>
      </c>
      <c r="I368" s="16">
        <f>J368+K368</f>
        <v>109220</v>
      </c>
      <c r="J368" s="4">
        <f>G368+J303</f>
        <v>105750</v>
      </c>
      <c r="K368" s="4">
        <f>H368+K303</f>
        <v>3470</v>
      </c>
      <c r="L368" s="50" t="e">
        <f>+J368/E368</f>
        <v>#DIV/0!</v>
      </c>
      <c r="M368" s="144">
        <v>4.1712999999999996</v>
      </c>
      <c r="N368" s="7">
        <f>+M368*G368</f>
        <v>0</v>
      </c>
      <c r="O368" s="93">
        <f>+M368*J368</f>
        <v>441114.97499999998</v>
      </c>
      <c r="P368" s="1142"/>
    </row>
    <row r="369" spans="2:16" x14ac:dyDescent="0.3">
      <c r="B369" s="1132"/>
      <c r="C369" s="1146"/>
      <c r="D369" s="22" t="s">
        <v>68</v>
      </c>
      <c r="E369" s="3">
        <v>0</v>
      </c>
      <c r="F369" s="4">
        <f>G369+H369</f>
        <v>0</v>
      </c>
      <c r="G369" s="4">
        <v>0</v>
      </c>
      <c r="H369" s="8">
        <v>0</v>
      </c>
      <c r="I369" s="6">
        <f>+R1413+F369</f>
        <v>0</v>
      </c>
      <c r="J369" s="4">
        <f>G369+J304</f>
        <v>120000</v>
      </c>
      <c r="K369" s="4">
        <f>H369+K304</f>
        <v>3230</v>
      </c>
      <c r="L369" s="51" t="e">
        <f t="shared" ref="L369:L373" si="280">+J369/E369</f>
        <v>#DIV/0!</v>
      </c>
      <c r="M369" s="145">
        <v>4.8285999999999998</v>
      </c>
      <c r="N369" s="11">
        <f t="shared" ref="N369:N371" si="281">+M369*G369</f>
        <v>0</v>
      </c>
      <c r="O369" s="94">
        <f t="shared" ref="O369:O371" si="282">+M369*J369</f>
        <v>579432</v>
      </c>
      <c r="P369" s="1143"/>
    </row>
    <row r="370" spans="2:16" x14ac:dyDescent="0.3">
      <c r="B370" s="1132"/>
      <c r="C370" s="1146"/>
      <c r="D370" s="22" t="s">
        <v>134</v>
      </c>
      <c r="E370" s="3"/>
      <c r="F370" s="4">
        <f>G370+H370</f>
        <v>0</v>
      </c>
      <c r="G370" s="4">
        <v>0</v>
      </c>
      <c r="H370" s="8">
        <v>0</v>
      </c>
      <c r="I370" s="6">
        <f>+R1414+F370</f>
        <v>0</v>
      </c>
      <c r="J370" s="4">
        <f t="shared" ref="J370:J371" si="283">G370+J305</f>
        <v>0</v>
      </c>
      <c r="K370" s="4">
        <f t="shared" ref="K370:K371" si="284">H370+K305</f>
        <v>0</v>
      </c>
      <c r="L370" s="51" t="e">
        <f t="shared" si="280"/>
        <v>#DIV/0!</v>
      </c>
      <c r="M370" s="144">
        <v>4.5023</v>
      </c>
      <c r="N370" s="11">
        <f t="shared" si="281"/>
        <v>0</v>
      </c>
      <c r="O370" s="94">
        <f t="shared" si="282"/>
        <v>0</v>
      </c>
      <c r="P370" s="1143"/>
    </row>
    <row r="371" spans="2:16" ht="15" thickBot="1" x14ac:dyDescent="0.35">
      <c r="B371" s="1132"/>
      <c r="C371" s="1146"/>
      <c r="D371" s="22" t="s">
        <v>118</v>
      </c>
      <c r="E371" s="3">
        <v>0</v>
      </c>
      <c r="F371" s="4">
        <f t="shared" ref="F371" si="285">G371+H371</f>
        <v>0</v>
      </c>
      <c r="G371" s="4">
        <v>0</v>
      </c>
      <c r="H371" s="8">
        <v>0</v>
      </c>
      <c r="I371" s="6">
        <f>+R1414+F371</f>
        <v>0</v>
      </c>
      <c r="J371" s="4">
        <f t="shared" si="283"/>
        <v>0</v>
      </c>
      <c r="K371" s="4">
        <f t="shared" si="284"/>
        <v>0</v>
      </c>
      <c r="L371" s="51" t="e">
        <f t="shared" si="280"/>
        <v>#DIV/0!</v>
      </c>
      <c r="M371" s="144">
        <v>4.4065000000000003</v>
      </c>
      <c r="N371" s="11">
        <f t="shared" si="281"/>
        <v>0</v>
      </c>
      <c r="O371" s="94">
        <f t="shared" si="282"/>
        <v>0</v>
      </c>
      <c r="P371" s="1143"/>
    </row>
    <row r="372" spans="2:16" ht="15" thickBot="1" x14ac:dyDescent="0.35">
      <c r="B372" s="1132"/>
      <c r="C372" s="41" t="s">
        <v>31</v>
      </c>
      <c r="D372" s="18" t="str">
        <f>+C372</f>
        <v>TOTAL 4/4</v>
      </c>
      <c r="E372" s="42">
        <f t="shared" ref="E372:K372" si="286">SUM(E368:E371)</f>
        <v>0</v>
      </c>
      <c r="F372" s="43">
        <f t="shared" si="286"/>
        <v>0</v>
      </c>
      <c r="G372" s="43">
        <f t="shared" si="286"/>
        <v>0</v>
      </c>
      <c r="H372" s="44">
        <f t="shared" si="286"/>
        <v>0</v>
      </c>
      <c r="I372" s="45">
        <f t="shared" si="286"/>
        <v>109220</v>
      </c>
      <c r="J372" s="43">
        <f t="shared" si="286"/>
        <v>225750</v>
      </c>
      <c r="K372" s="43">
        <f t="shared" si="286"/>
        <v>6700</v>
      </c>
      <c r="L372" s="46" t="e">
        <f t="shared" si="280"/>
        <v>#DIV/0!</v>
      </c>
      <c r="M372" s="47"/>
      <c r="N372" s="48">
        <f>SUM(N368:N371)</f>
        <v>0</v>
      </c>
      <c r="O372" s="92">
        <f>SUM(O368:O371)</f>
        <v>1020546.975</v>
      </c>
      <c r="P372" s="1144"/>
    </row>
    <row r="373" spans="2:16" ht="15" thickBot="1" x14ac:dyDescent="0.35">
      <c r="B373" s="1141"/>
      <c r="C373" s="41" t="s">
        <v>71</v>
      </c>
      <c r="D373" s="27" t="s">
        <v>67</v>
      </c>
      <c r="E373" s="25">
        <v>0</v>
      </c>
      <c r="F373" s="20">
        <f>G373+H373</f>
        <v>0</v>
      </c>
      <c r="G373" s="20">
        <v>0</v>
      </c>
      <c r="H373" s="24">
        <v>0</v>
      </c>
      <c r="I373" s="19">
        <f>J373+K373</f>
        <v>0</v>
      </c>
      <c r="J373" s="4">
        <f>G373+J308</f>
        <v>0</v>
      </c>
      <c r="K373" s="4">
        <f>H373+K308</f>
        <v>0</v>
      </c>
      <c r="L373" s="52" t="e">
        <f t="shared" si="280"/>
        <v>#DIV/0!</v>
      </c>
      <c r="M373" s="149">
        <v>1.4086000000000001</v>
      </c>
      <c r="N373" s="26">
        <f t="shared" ref="N373" si="287">+M373*G373</f>
        <v>0</v>
      </c>
      <c r="O373" s="95">
        <f t="shared" ref="O373" si="288">+M373*J373</f>
        <v>0</v>
      </c>
      <c r="P373" s="53"/>
    </row>
    <row r="374" spans="2:16" ht="15" thickBot="1" x14ac:dyDescent="0.35">
      <c r="B374" s="1116" t="s">
        <v>102</v>
      </c>
      <c r="C374" s="1117"/>
      <c r="D374" s="1117"/>
      <c r="E374" s="1117"/>
      <c r="F374" s="1117"/>
      <c r="G374" s="1117"/>
      <c r="H374" s="1117"/>
      <c r="I374" s="110">
        <f>J374+K374</f>
        <v>495527</v>
      </c>
      <c r="J374" s="110">
        <f>J367+J372+J373</f>
        <v>482500</v>
      </c>
      <c r="K374" s="110">
        <f>K367+K372+K373</f>
        <v>13027</v>
      </c>
      <c r="L374" s="111"/>
      <c r="M374" s="112"/>
      <c r="N374" s="109"/>
      <c r="O374" s="77">
        <f>+O373+O372+O367</f>
        <v>1589017.15</v>
      </c>
      <c r="P374" s="84"/>
    </row>
    <row r="375" spans="2:16" x14ac:dyDescent="0.3">
      <c r="B375" s="1118" t="s">
        <v>72</v>
      </c>
      <c r="C375" s="1121" t="s">
        <v>73</v>
      </c>
      <c r="D375" s="54" t="s">
        <v>74</v>
      </c>
      <c r="E375" s="55">
        <v>0</v>
      </c>
      <c r="F375" s="56">
        <f>G375+H375</f>
        <v>0</v>
      </c>
      <c r="G375" s="56">
        <v>0</v>
      </c>
      <c r="H375" s="57">
        <v>0</v>
      </c>
      <c r="I375" s="78">
        <f>J375+K375</f>
        <v>0</v>
      </c>
      <c r="J375" s="4">
        <f>G375+J310</f>
        <v>0</v>
      </c>
      <c r="K375" s="4">
        <f>H375+K310</f>
        <v>0</v>
      </c>
      <c r="L375" s="58" t="e">
        <f t="shared" ref="L375" si="289">+J375/E375</f>
        <v>#DIV/0!</v>
      </c>
      <c r="M375" s="59">
        <v>32.946300000000001</v>
      </c>
      <c r="N375" s="60">
        <f>+M375*G375</f>
        <v>0</v>
      </c>
      <c r="O375" s="60">
        <f>M375*J375</f>
        <v>0</v>
      </c>
      <c r="P375" s="1123"/>
    </row>
    <row r="376" spans="2:16" x14ac:dyDescent="0.3">
      <c r="B376" s="1119"/>
      <c r="C376" s="1122"/>
      <c r="D376" s="61" t="s">
        <v>75</v>
      </c>
      <c r="E376" s="62">
        <v>0</v>
      </c>
      <c r="F376" s="63">
        <f>G376+H376</f>
        <v>10145</v>
      </c>
      <c r="G376" s="63">
        <v>10000</v>
      </c>
      <c r="H376" s="64">
        <v>145</v>
      </c>
      <c r="I376" s="79">
        <f>J376+K376</f>
        <v>20295</v>
      </c>
      <c r="J376" s="4">
        <f>G376+J311</f>
        <v>20000</v>
      </c>
      <c r="K376" s="4">
        <f>H376+K311</f>
        <v>295</v>
      </c>
      <c r="L376" s="65" t="e">
        <f>+J376/E376</f>
        <v>#DIV/0!</v>
      </c>
      <c r="M376" s="66">
        <v>35.398400000000002</v>
      </c>
      <c r="N376" s="67">
        <f>+M376*G376</f>
        <v>353984</v>
      </c>
      <c r="O376" s="67">
        <f>M376*J376</f>
        <v>707968</v>
      </c>
      <c r="P376" s="1124"/>
    </row>
    <row r="377" spans="2:16" x14ac:dyDescent="0.3">
      <c r="B377" s="1119"/>
      <c r="C377" s="1122"/>
      <c r="D377" s="61" t="s">
        <v>76</v>
      </c>
      <c r="E377" s="62">
        <v>0</v>
      </c>
      <c r="F377" s="63">
        <f t="shared" ref="F377:F380" si="290">G377+H377</f>
        <v>0</v>
      </c>
      <c r="G377" s="63">
        <v>0</v>
      </c>
      <c r="H377" s="64">
        <v>0</v>
      </c>
      <c r="I377" s="79">
        <f t="shared" ref="I377:I386" si="291">J377+K377</f>
        <v>0</v>
      </c>
      <c r="J377" s="4">
        <f t="shared" ref="J377:J402" si="292">G377+J312</f>
        <v>0</v>
      </c>
      <c r="K377" s="4">
        <f t="shared" ref="K377:K381" si="293">H377+K312</f>
        <v>0</v>
      </c>
      <c r="L377" s="65" t="e">
        <f t="shared" ref="L377:L390" si="294">+J377/E377</f>
        <v>#DIV/0!</v>
      </c>
      <c r="M377" s="66">
        <v>32.946300000000001</v>
      </c>
      <c r="N377" s="67">
        <f t="shared" ref="N377:N397" si="295">+M377*G377</f>
        <v>0</v>
      </c>
      <c r="O377" s="67">
        <f t="shared" ref="O377:O385" si="296">M377*J377</f>
        <v>0</v>
      </c>
      <c r="P377" s="1124"/>
    </row>
    <row r="378" spans="2:16" x14ac:dyDescent="0.3">
      <c r="B378" s="1119"/>
      <c r="C378" s="1122" t="s">
        <v>77</v>
      </c>
      <c r="D378" s="61" t="s">
        <v>78</v>
      </c>
      <c r="E378" s="62">
        <v>0</v>
      </c>
      <c r="F378" s="63">
        <f t="shared" si="290"/>
        <v>0</v>
      </c>
      <c r="G378" s="63">
        <v>0</v>
      </c>
      <c r="H378" s="64">
        <v>0</v>
      </c>
      <c r="I378" s="79">
        <f t="shared" si="291"/>
        <v>4976</v>
      </c>
      <c r="J378" s="4">
        <f t="shared" si="292"/>
        <v>4800</v>
      </c>
      <c r="K378" s="4">
        <f t="shared" si="293"/>
        <v>176</v>
      </c>
      <c r="L378" s="65" t="e">
        <f t="shared" si="294"/>
        <v>#DIV/0!</v>
      </c>
      <c r="M378" s="66">
        <v>55.4758</v>
      </c>
      <c r="N378" s="67">
        <f t="shared" si="295"/>
        <v>0</v>
      </c>
      <c r="O378" s="67">
        <f t="shared" si="296"/>
        <v>266283.84000000003</v>
      </c>
      <c r="P378" s="1124"/>
    </row>
    <row r="379" spans="2:16" x14ac:dyDescent="0.3">
      <c r="B379" s="1119"/>
      <c r="C379" s="1122"/>
      <c r="D379" s="61" t="s">
        <v>141</v>
      </c>
      <c r="E379" s="62">
        <v>0</v>
      </c>
      <c r="F379" s="63">
        <f t="shared" si="290"/>
        <v>0</v>
      </c>
      <c r="G379" s="63">
        <v>0</v>
      </c>
      <c r="H379" s="64">
        <v>0</v>
      </c>
      <c r="I379" s="79">
        <f t="shared" si="291"/>
        <v>0</v>
      </c>
      <c r="J379" s="4">
        <f t="shared" si="292"/>
        <v>0</v>
      </c>
      <c r="K379" s="4">
        <f t="shared" si="293"/>
        <v>0</v>
      </c>
      <c r="L379" s="65" t="e">
        <f t="shared" si="294"/>
        <v>#DIV/0!</v>
      </c>
      <c r="M379" s="66">
        <v>53.515999999999998</v>
      </c>
      <c r="N379" s="67">
        <f t="shared" si="295"/>
        <v>0</v>
      </c>
      <c r="O379" s="67">
        <f t="shared" si="296"/>
        <v>0</v>
      </c>
      <c r="P379" s="1124"/>
    </row>
    <row r="380" spans="2:16" x14ac:dyDescent="0.3">
      <c r="B380" s="1119"/>
      <c r="C380" s="1122"/>
      <c r="D380" s="61" t="s">
        <v>75</v>
      </c>
      <c r="E380" s="62">
        <v>0</v>
      </c>
      <c r="F380" s="63">
        <f t="shared" si="290"/>
        <v>4885</v>
      </c>
      <c r="G380" s="63">
        <v>4800</v>
      </c>
      <c r="H380" s="64">
        <v>85</v>
      </c>
      <c r="I380" s="79">
        <f t="shared" si="291"/>
        <v>7325</v>
      </c>
      <c r="J380" s="4">
        <f t="shared" si="292"/>
        <v>7200</v>
      </c>
      <c r="K380" s="4">
        <f t="shared" si="293"/>
        <v>125</v>
      </c>
      <c r="L380" s="65" t="e">
        <f t="shared" si="294"/>
        <v>#DIV/0!</v>
      </c>
      <c r="M380" s="66">
        <v>58.836300000000001</v>
      </c>
      <c r="N380" s="67">
        <f t="shared" si="295"/>
        <v>282414.24</v>
      </c>
      <c r="O380" s="67">
        <f t="shared" si="296"/>
        <v>423621.36</v>
      </c>
      <c r="P380" s="1124"/>
    </row>
    <row r="381" spans="2:16" x14ac:dyDescent="0.3">
      <c r="B381" s="1119"/>
      <c r="C381" s="1126" t="s">
        <v>79</v>
      </c>
      <c r="D381" s="61" t="s">
        <v>80</v>
      </c>
      <c r="E381" s="62">
        <v>0</v>
      </c>
      <c r="F381" s="63">
        <f>G381+H381</f>
        <v>0</v>
      </c>
      <c r="G381" s="63">
        <v>0</v>
      </c>
      <c r="H381" s="64">
        <v>0</v>
      </c>
      <c r="I381" s="79">
        <f t="shared" si="291"/>
        <v>3675</v>
      </c>
      <c r="J381" s="4">
        <f t="shared" si="292"/>
        <v>3575</v>
      </c>
      <c r="K381" s="4">
        <f t="shared" si="293"/>
        <v>100</v>
      </c>
      <c r="L381" s="65" t="e">
        <f t="shared" si="294"/>
        <v>#DIV/0!</v>
      </c>
      <c r="M381" s="66">
        <v>25.687200000000001</v>
      </c>
      <c r="N381" s="67">
        <f t="shared" si="295"/>
        <v>0</v>
      </c>
      <c r="O381" s="67">
        <f t="shared" si="296"/>
        <v>91831.74</v>
      </c>
      <c r="P381" s="1124"/>
    </row>
    <row r="382" spans="2:16" x14ac:dyDescent="0.3">
      <c r="B382" s="1119"/>
      <c r="C382" s="1127"/>
      <c r="D382" s="61" t="s">
        <v>124</v>
      </c>
      <c r="E382" s="62">
        <v>0</v>
      </c>
      <c r="F382" s="63">
        <f>G382+H382</f>
        <v>0</v>
      </c>
      <c r="G382" s="63">
        <v>0</v>
      </c>
      <c r="H382" s="64">
        <v>0</v>
      </c>
      <c r="I382" s="79">
        <f t="shared" si="291"/>
        <v>0</v>
      </c>
      <c r="J382" s="4">
        <f t="shared" si="292"/>
        <v>0</v>
      </c>
      <c r="K382" s="4">
        <f>H382+K317</f>
        <v>0</v>
      </c>
      <c r="L382" s="65" t="e">
        <f t="shared" si="294"/>
        <v>#DIV/0!</v>
      </c>
      <c r="M382" s="66">
        <v>25.033899999999999</v>
      </c>
      <c r="N382" s="67">
        <f t="shared" si="295"/>
        <v>0</v>
      </c>
      <c r="O382" s="67">
        <f t="shared" si="296"/>
        <v>0</v>
      </c>
      <c r="P382" s="1124"/>
    </row>
    <row r="383" spans="2:16" x14ac:dyDescent="0.3">
      <c r="B383" s="1119"/>
      <c r="C383" s="1126" t="s">
        <v>81</v>
      </c>
      <c r="D383" s="61" t="s">
        <v>82</v>
      </c>
      <c r="E383" s="62">
        <v>0</v>
      </c>
      <c r="F383" s="63">
        <f t="shared" ref="F383:F402" si="297">G383+H383</f>
        <v>0</v>
      </c>
      <c r="G383" s="63">
        <v>0</v>
      </c>
      <c r="H383" s="64">
        <v>0</v>
      </c>
      <c r="I383" s="79">
        <f t="shared" si="291"/>
        <v>8113</v>
      </c>
      <c r="J383" s="4">
        <f t="shared" si="292"/>
        <v>8000</v>
      </c>
      <c r="K383" s="4">
        <f t="shared" ref="K383:K402" si="298">H383+K318</f>
        <v>113</v>
      </c>
      <c r="L383" s="65" t="e">
        <f t="shared" si="294"/>
        <v>#DIV/0!</v>
      </c>
      <c r="M383" s="66">
        <v>41.992699999999999</v>
      </c>
      <c r="N383" s="67">
        <f t="shared" si="295"/>
        <v>0</v>
      </c>
      <c r="O383" s="67">
        <f t="shared" si="296"/>
        <v>335941.6</v>
      </c>
      <c r="P383" s="1124"/>
    </row>
    <row r="384" spans="2:16" x14ac:dyDescent="0.3">
      <c r="B384" s="1119"/>
      <c r="C384" s="1127"/>
      <c r="D384" s="61" t="s">
        <v>75</v>
      </c>
      <c r="E384" s="62">
        <v>0</v>
      </c>
      <c r="F384" s="63">
        <f t="shared" si="297"/>
        <v>0</v>
      </c>
      <c r="G384" s="63">
        <v>0</v>
      </c>
      <c r="H384" s="64">
        <v>0</v>
      </c>
      <c r="I384" s="79">
        <f t="shared" si="291"/>
        <v>0</v>
      </c>
      <c r="J384" s="4">
        <f t="shared" si="292"/>
        <v>0</v>
      </c>
      <c r="K384" s="4">
        <f t="shared" si="298"/>
        <v>0</v>
      </c>
      <c r="L384" s="65" t="e">
        <f t="shared" si="294"/>
        <v>#DIV/0!</v>
      </c>
      <c r="M384" s="66">
        <v>42.283799999999999</v>
      </c>
      <c r="N384" s="67">
        <f t="shared" si="295"/>
        <v>0</v>
      </c>
      <c r="O384" s="67">
        <f t="shared" si="296"/>
        <v>0</v>
      </c>
      <c r="P384" s="1124"/>
    </row>
    <row r="385" spans="2:16" x14ac:dyDescent="0.3">
      <c r="B385" s="1119"/>
      <c r="C385" s="180" t="s">
        <v>83</v>
      </c>
      <c r="D385" s="61" t="s">
        <v>84</v>
      </c>
      <c r="E385" s="62">
        <v>0</v>
      </c>
      <c r="F385" s="63">
        <f t="shared" si="297"/>
        <v>0</v>
      </c>
      <c r="G385" s="63">
        <v>0</v>
      </c>
      <c r="H385" s="64">
        <v>0</v>
      </c>
      <c r="I385" s="79">
        <f t="shared" si="291"/>
        <v>10898</v>
      </c>
      <c r="J385" s="4">
        <f t="shared" si="292"/>
        <v>10500</v>
      </c>
      <c r="K385" s="4">
        <f t="shared" si="298"/>
        <v>398</v>
      </c>
      <c r="L385" s="65" t="e">
        <f t="shared" si="294"/>
        <v>#DIV/0!</v>
      </c>
      <c r="M385" s="66">
        <v>4.3535000000000004</v>
      </c>
      <c r="N385" s="67">
        <f t="shared" si="295"/>
        <v>0</v>
      </c>
      <c r="O385" s="67">
        <f t="shared" si="296"/>
        <v>45711.750000000007</v>
      </c>
      <c r="P385" s="1124"/>
    </row>
    <row r="386" spans="2:16" x14ac:dyDescent="0.3">
      <c r="B386" s="1119"/>
      <c r="C386" s="1122" t="s">
        <v>85</v>
      </c>
      <c r="D386" s="61" t="s">
        <v>80</v>
      </c>
      <c r="E386" s="62">
        <v>0</v>
      </c>
      <c r="F386" s="63">
        <f t="shared" si="297"/>
        <v>0</v>
      </c>
      <c r="G386" s="63">
        <v>0</v>
      </c>
      <c r="H386" s="64">
        <v>0</v>
      </c>
      <c r="I386" s="79">
        <f t="shared" si="291"/>
        <v>0</v>
      </c>
      <c r="J386" s="4">
        <f t="shared" si="292"/>
        <v>0</v>
      </c>
      <c r="K386" s="4">
        <f t="shared" si="298"/>
        <v>0</v>
      </c>
      <c r="L386" s="65" t="e">
        <f t="shared" si="294"/>
        <v>#DIV/0!</v>
      </c>
      <c r="M386" s="66">
        <v>4.6184000000000003</v>
      </c>
      <c r="N386" s="67">
        <f t="shared" si="295"/>
        <v>0</v>
      </c>
      <c r="O386" s="67">
        <f>M386*J386</f>
        <v>0</v>
      </c>
      <c r="P386" s="1124"/>
    </row>
    <row r="387" spans="2:16" x14ac:dyDescent="0.3">
      <c r="B387" s="1119"/>
      <c r="C387" s="1122"/>
      <c r="D387" s="61" t="s">
        <v>126</v>
      </c>
      <c r="E387" s="62">
        <v>0</v>
      </c>
      <c r="F387" s="63">
        <f t="shared" si="297"/>
        <v>0</v>
      </c>
      <c r="G387" s="63">
        <v>0</v>
      </c>
      <c r="H387" s="64">
        <v>0</v>
      </c>
      <c r="I387" s="79">
        <f>J387+K387</f>
        <v>0</v>
      </c>
      <c r="J387" s="4">
        <f t="shared" si="292"/>
        <v>0</v>
      </c>
      <c r="K387" s="4">
        <f t="shared" si="298"/>
        <v>0</v>
      </c>
      <c r="L387" s="65" t="e">
        <f t="shared" si="294"/>
        <v>#DIV/0!</v>
      </c>
      <c r="M387" s="153">
        <v>4.6184000000000003</v>
      </c>
      <c r="N387" s="67">
        <f t="shared" si="295"/>
        <v>0</v>
      </c>
      <c r="O387" s="67">
        <f>M387*J387</f>
        <v>0</v>
      </c>
      <c r="P387" s="1124"/>
    </row>
    <row r="388" spans="2:16" x14ac:dyDescent="0.3">
      <c r="B388" s="1119"/>
      <c r="C388" s="1122"/>
      <c r="D388" s="61" t="s">
        <v>130</v>
      </c>
      <c r="E388" s="62">
        <v>0</v>
      </c>
      <c r="F388" s="63">
        <f t="shared" si="297"/>
        <v>0</v>
      </c>
      <c r="G388" s="63">
        <v>0</v>
      </c>
      <c r="H388" s="64">
        <v>0</v>
      </c>
      <c r="I388" s="79">
        <f t="shared" ref="I388:I402" si="299">J388+K388</f>
        <v>0</v>
      </c>
      <c r="J388" s="4">
        <f t="shared" si="292"/>
        <v>0</v>
      </c>
      <c r="K388" s="4">
        <f t="shared" si="298"/>
        <v>0</v>
      </c>
      <c r="L388" s="65" t="e">
        <f t="shared" si="294"/>
        <v>#DIV/0!</v>
      </c>
      <c r="M388" s="153">
        <v>4.6184000000000003</v>
      </c>
      <c r="N388" s="67">
        <f t="shared" si="295"/>
        <v>0</v>
      </c>
      <c r="O388" s="67">
        <f t="shared" ref="O388:O393" si="300">M388*J388</f>
        <v>0</v>
      </c>
      <c r="P388" s="1124"/>
    </row>
    <row r="389" spans="2:16" x14ac:dyDescent="0.3">
      <c r="B389" s="1119"/>
      <c r="C389" s="1122"/>
      <c r="D389" s="61" t="s">
        <v>131</v>
      </c>
      <c r="E389" s="62">
        <v>0</v>
      </c>
      <c r="F389" s="63">
        <f t="shared" si="297"/>
        <v>24600</v>
      </c>
      <c r="G389" s="63">
        <v>24200</v>
      </c>
      <c r="H389" s="64">
        <v>400</v>
      </c>
      <c r="I389" s="79">
        <f t="shared" si="299"/>
        <v>127524</v>
      </c>
      <c r="J389" s="4">
        <f t="shared" si="292"/>
        <v>123455</v>
      </c>
      <c r="K389" s="4">
        <f t="shared" si="298"/>
        <v>4069</v>
      </c>
      <c r="L389" s="65" t="e">
        <f t="shared" si="294"/>
        <v>#DIV/0!</v>
      </c>
      <c r="M389" s="153">
        <v>4.7636000000000003</v>
      </c>
      <c r="N389" s="67">
        <f t="shared" si="295"/>
        <v>115279.12000000001</v>
      </c>
      <c r="O389" s="67">
        <f t="shared" si="300"/>
        <v>588090.23800000001</v>
      </c>
      <c r="P389" s="1124"/>
    </row>
    <row r="390" spans="2:16" x14ac:dyDescent="0.3">
      <c r="B390" s="1119"/>
      <c r="C390" s="1122"/>
      <c r="D390" s="61" t="s">
        <v>86</v>
      </c>
      <c r="E390" s="62">
        <v>0</v>
      </c>
      <c r="F390" s="63">
        <f t="shared" si="297"/>
        <v>0</v>
      </c>
      <c r="G390" s="63">
        <v>0</v>
      </c>
      <c r="H390" s="64">
        <v>0</v>
      </c>
      <c r="I390" s="79">
        <f t="shared" si="299"/>
        <v>0</v>
      </c>
      <c r="J390" s="4">
        <f t="shared" si="292"/>
        <v>0</v>
      </c>
      <c r="K390" s="4">
        <f t="shared" si="298"/>
        <v>0</v>
      </c>
      <c r="L390" s="65" t="e">
        <f t="shared" si="294"/>
        <v>#DIV/0!</v>
      </c>
      <c r="M390" s="66">
        <v>4.8738000000000001</v>
      </c>
      <c r="N390" s="67">
        <f t="shared" si="295"/>
        <v>0</v>
      </c>
      <c r="O390" s="67">
        <f t="shared" si="300"/>
        <v>0</v>
      </c>
      <c r="P390" s="1124"/>
    </row>
    <row r="391" spans="2:16" x14ac:dyDescent="0.3">
      <c r="B391" s="1119"/>
      <c r="C391" s="180" t="s">
        <v>135</v>
      </c>
      <c r="D391" s="61" t="s">
        <v>131</v>
      </c>
      <c r="E391" s="62"/>
      <c r="F391" s="63">
        <f t="shared" si="297"/>
        <v>0</v>
      </c>
      <c r="G391" s="63">
        <v>0</v>
      </c>
      <c r="H391" s="64">
        <v>0</v>
      </c>
      <c r="I391" s="79">
        <f t="shared" si="299"/>
        <v>0</v>
      </c>
      <c r="J391" s="4">
        <f t="shared" si="292"/>
        <v>0</v>
      </c>
      <c r="K391" s="4">
        <f t="shared" si="298"/>
        <v>0</v>
      </c>
      <c r="L391" s="65"/>
      <c r="M391" s="66">
        <v>4.8738000000000001</v>
      </c>
      <c r="N391" s="67">
        <f t="shared" si="295"/>
        <v>0</v>
      </c>
      <c r="O391" s="67">
        <f t="shared" si="300"/>
        <v>0</v>
      </c>
      <c r="P391" s="1124"/>
    </row>
    <row r="392" spans="2:16" x14ac:dyDescent="0.3">
      <c r="B392" s="1119"/>
      <c r="C392" s="1122" t="s">
        <v>87</v>
      </c>
      <c r="D392" s="61" t="s">
        <v>80</v>
      </c>
      <c r="E392" s="62">
        <v>0</v>
      </c>
      <c r="F392" s="63">
        <f t="shared" si="297"/>
        <v>32250</v>
      </c>
      <c r="G392" s="63">
        <v>31950</v>
      </c>
      <c r="H392" s="64">
        <v>300</v>
      </c>
      <c r="I392" s="79">
        <f t="shared" si="299"/>
        <v>130479</v>
      </c>
      <c r="J392" s="4">
        <f t="shared" si="292"/>
        <v>128800</v>
      </c>
      <c r="K392" s="4">
        <f t="shared" si="298"/>
        <v>1679</v>
      </c>
      <c r="L392" s="65" t="e">
        <f t="shared" ref="L392:L402" si="301">+J392/E392</f>
        <v>#DIV/0!</v>
      </c>
      <c r="M392" s="66">
        <v>4.9344999999999999</v>
      </c>
      <c r="N392" s="67">
        <f t="shared" si="295"/>
        <v>157657.27499999999</v>
      </c>
      <c r="O392" s="67">
        <f t="shared" si="300"/>
        <v>635563.6</v>
      </c>
      <c r="P392" s="1124"/>
    </row>
    <row r="393" spans="2:16" x14ac:dyDescent="0.3">
      <c r="B393" s="1119"/>
      <c r="C393" s="1122"/>
      <c r="D393" s="61" t="s">
        <v>142</v>
      </c>
      <c r="E393" s="62"/>
      <c r="F393" s="63">
        <f t="shared" si="297"/>
        <v>0</v>
      </c>
      <c r="G393" s="63">
        <v>0</v>
      </c>
      <c r="H393" s="64">
        <v>0</v>
      </c>
      <c r="I393" s="79">
        <f t="shared" si="299"/>
        <v>0</v>
      </c>
      <c r="J393" s="4">
        <f t="shared" si="292"/>
        <v>0</v>
      </c>
      <c r="K393" s="4">
        <f t="shared" si="298"/>
        <v>0</v>
      </c>
      <c r="L393" s="65" t="e">
        <f t="shared" si="301"/>
        <v>#DIV/0!</v>
      </c>
      <c r="M393" s="66">
        <v>4.9344999999999999</v>
      </c>
      <c r="N393" s="67">
        <f t="shared" si="295"/>
        <v>0</v>
      </c>
      <c r="O393" s="67">
        <f t="shared" si="300"/>
        <v>0</v>
      </c>
      <c r="P393" s="1124"/>
    </row>
    <row r="394" spans="2:16" x14ac:dyDescent="0.3">
      <c r="B394" s="1119"/>
      <c r="C394" s="1122"/>
      <c r="D394" s="61" t="s">
        <v>136</v>
      </c>
      <c r="E394" s="62">
        <v>0</v>
      </c>
      <c r="F394" s="63">
        <f t="shared" si="297"/>
        <v>0</v>
      </c>
      <c r="G394" s="155">
        <v>0</v>
      </c>
      <c r="H394" s="156">
        <v>0</v>
      </c>
      <c r="I394" s="157">
        <f t="shared" si="299"/>
        <v>0</v>
      </c>
      <c r="J394" s="4">
        <f t="shared" si="292"/>
        <v>0</v>
      </c>
      <c r="K394" s="4">
        <f t="shared" si="298"/>
        <v>0</v>
      </c>
      <c r="L394" s="158" t="e">
        <f t="shared" si="301"/>
        <v>#DIV/0!</v>
      </c>
      <c r="M394" s="66">
        <v>4.9344999999999999</v>
      </c>
      <c r="N394" s="159">
        <f t="shared" si="295"/>
        <v>0</v>
      </c>
      <c r="O394" s="67">
        <f>M394*J394</f>
        <v>0</v>
      </c>
      <c r="P394" s="1124"/>
    </row>
    <row r="395" spans="2:16" x14ac:dyDescent="0.3">
      <c r="B395" s="1119"/>
      <c r="C395" s="1122" t="s">
        <v>88</v>
      </c>
      <c r="D395" s="61" t="s">
        <v>80</v>
      </c>
      <c r="E395" s="62">
        <v>0</v>
      </c>
      <c r="F395" s="63">
        <f t="shared" si="297"/>
        <v>29400</v>
      </c>
      <c r="G395" s="63">
        <v>29000</v>
      </c>
      <c r="H395" s="64">
        <v>400</v>
      </c>
      <c r="I395" s="79">
        <f t="shared" si="299"/>
        <v>112123</v>
      </c>
      <c r="J395" s="4">
        <f t="shared" si="292"/>
        <v>105950</v>
      </c>
      <c r="K395" s="4">
        <f t="shared" si="298"/>
        <v>6173</v>
      </c>
      <c r="L395" s="65" t="e">
        <f t="shared" si="301"/>
        <v>#DIV/0!</v>
      </c>
      <c r="M395" s="148">
        <v>5.5069999999999997</v>
      </c>
      <c r="N395" s="67">
        <f t="shared" si="295"/>
        <v>159703</v>
      </c>
      <c r="O395" s="67">
        <f>M395*J395</f>
        <v>583466.65</v>
      </c>
      <c r="P395" s="1124"/>
    </row>
    <row r="396" spans="2:16" x14ac:dyDescent="0.3">
      <c r="B396" s="1119"/>
      <c r="C396" s="1122"/>
      <c r="D396" s="61" t="s">
        <v>119</v>
      </c>
      <c r="E396" s="62">
        <v>0</v>
      </c>
      <c r="F396" s="63">
        <f t="shared" si="297"/>
        <v>0</v>
      </c>
      <c r="G396" s="63">
        <v>0</v>
      </c>
      <c r="H396" s="64">
        <v>0</v>
      </c>
      <c r="I396" s="79">
        <f t="shared" si="299"/>
        <v>0</v>
      </c>
      <c r="J396" s="4">
        <f t="shared" si="292"/>
        <v>0</v>
      </c>
      <c r="K396" s="4">
        <f t="shared" si="298"/>
        <v>0</v>
      </c>
      <c r="L396" s="65" t="e">
        <f t="shared" si="301"/>
        <v>#DIV/0!</v>
      </c>
      <c r="M396" s="147">
        <v>5.6550000000000002</v>
      </c>
      <c r="N396" s="67">
        <f t="shared" si="295"/>
        <v>0</v>
      </c>
      <c r="O396" s="67">
        <f>M396*J396</f>
        <v>0</v>
      </c>
      <c r="P396" s="1124"/>
    </row>
    <row r="397" spans="2:16" x14ac:dyDescent="0.3">
      <c r="B397" s="1119"/>
      <c r="C397" s="1122"/>
      <c r="D397" s="61" t="s">
        <v>125</v>
      </c>
      <c r="E397" s="62">
        <v>0</v>
      </c>
      <c r="F397" s="63">
        <f t="shared" si="297"/>
        <v>0</v>
      </c>
      <c r="G397" s="63">
        <v>0</v>
      </c>
      <c r="H397" s="64">
        <v>0</v>
      </c>
      <c r="I397" s="79">
        <f t="shared" si="299"/>
        <v>0</v>
      </c>
      <c r="J397" s="4">
        <f t="shared" si="292"/>
        <v>0</v>
      </c>
      <c r="K397" s="4">
        <f t="shared" si="298"/>
        <v>0</v>
      </c>
      <c r="L397" s="65" t="e">
        <f t="shared" si="301"/>
        <v>#DIV/0!</v>
      </c>
      <c r="M397" s="152">
        <v>5.6550000000000002</v>
      </c>
      <c r="N397" s="67">
        <f t="shared" si="295"/>
        <v>0</v>
      </c>
      <c r="O397" s="67">
        <f>M397*J397</f>
        <v>0</v>
      </c>
      <c r="P397" s="1124"/>
    </row>
    <row r="398" spans="2:16" x14ac:dyDescent="0.3">
      <c r="B398" s="1119"/>
      <c r="C398" s="1122"/>
      <c r="D398" s="61" t="s">
        <v>128</v>
      </c>
      <c r="E398" s="62">
        <v>0</v>
      </c>
      <c r="F398" s="63">
        <f t="shared" si="297"/>
        <v>2700</v>
      </c>
      <c r="G398" s="63">
        <v>2700</v>
      </c>
      <c r="H398" s="64">
        <v>0</v>
      </c>
      <c r="I398" s="79">
        <f t="shared" si="299"/>
        <v>12400</v>
      </c>
      <c r="J398" s="4">
        <f t="shared" si="292"/>
        <v>10900</v>
      </c>
      <c r="K398" s="4">
        <f t="shared" si="298"/>
        <v>1500</v>
      </c>
      <c r="L398" s="65" t="e">
        <f t="shared" si="301"/>
        <v>#DIV/0!</v>
      </c>
      <c r="M398" s="66">
        <v>5.7885299999999997</v>
      </c>
      <c r="N398" s="67">
        <f>+M398*G398</f>
        <v>15629.030999999999</v>
      </c>
      <c r="O398" s="67">
        <f>M398*J398</f>
        <v>63094.976999999999</v>
      </c>
      <c r="P398" s="1124"/>
    </row>
    <row r="399" spans="2:16" x14ac:dyDescent="0.3">
      <c r="B399" s="1119"/>
      <c r="C399" s="1122"/>
      <c r="D399" s="61" t="s">
        <v>143</v>
      </c>
      <c r="E399" s="62">
        <v>0</v>
      </c>
      <c r="F399" s="63">
        <f t="shared" si="297"/>
        <v>0</v>
      </c>
      <c r="G399" s="63">
        <v>0</v>
      </c>
      <c r="H399" s="64">
        <v>0</v>
      </c>
      <c r="I399" s="79">
        <f t="shared" si="299"/>
        <v>0</v>
      </c>
      <c r="J399" s="4">
        <f t="shared" si="292"/>
        <v>0</v>
      </c>
      <c r="K399" s="4">
        <f t="shared" si="298"/>
        <v>0</v>
      </c>
      <c r="L399" s="65" t="e">
        <f t="shared" si="301"/>
        <v>#DIV/0!</v>
      </c>
      <c r="M399" s="152">
        <v>5.6550000000000002</v>
      </c>
      <c r="N399" s="67">
        <f t="shared" ref="N399:N401" si="302">+M399*G399</f>
        <v>0</v>
      </c>
      <c r="O399" s="67">
        <f t="shared" ref="O399:O402" si="303">M399*J399</f>
        <v>0</v>
      </c>
      <c r="P399" s="1124"/>
    </row>
    <row r="400" spans="2:16" x14ac:dyDescent="0.3">
      <c r="B400" s="1119"/>
      <c r="C400" s="180" t="s">
        <v>89</v>
      </c>
      <c r="D400" s="61" t="s">
        <v>80</v>
      </c>
      <c r="E400" s="62">
        <v>0</v>
      </c>
      <c r="F400" s="63">
        <f t="shared" si="297"/>
        <v>0</v>
      </c>
      <c r="G400" s="63">
        <v>0</v>
      </c>
      <c r="H400" s="64">
        <v>0</v>
      </c>
      <c r="I400" s="79">
        <f t="shared" si="299"/>
        <v>0</v>
      </c>
      <c r="J400" s="4">
        <f t="shared" si="292"/>
        <v>0</v>
      </c>
      <c r="K400" s="4">
        <f t="shared" si="298"/>
        <v>0</v>
      </c>
      <c r="L400" s="65" t="e">
        <f t="shared" si="301"/>
        <v>#DIV/0!</v>
      </c>
      <c r="M400" s="66">
        <v>3.2963</v>
      </c>
      <c r="N400" s="67">
        <f t="shared" si="302"/>
        <v>0</v>
      </c>
      <c r="O400" s="67">
        <f t="shared" si="303"/>
        <v>0</v>
      </c>
      <c r="P400" s="1124"/>
    </row>
    <row r="401" spans="2:16" x14ac:dyDescent="0.3">
      <c r="B401" s="1119"/>
      <c r="C401" s="180" t="s">
        <v>90</v>
      </c>
      <c r="D401" s="61" t="s">
        <v>80</v>
      </c>
      <c r="E401" s="62">
        <v>0</v>
      </c>
      <c r="F401" s="63">
        <f t="shared" si="297"/>
        <v>0</v>
      </c>
      <c r="G401" s="63">
        <v>0</v>
      </c>
      <c r="H401" s="64">
        <v>0</v>
      </c>
      <c r="I401" s="79">
        <f t="shared" si="299"/>
        <v>0</v>
      </c>
      <c r="J401" s="4">
        <f t="shared" si="292"/>
        <v>0</v>
      </c>
      <c r="K401" s="4">
        <f t="shared" si="298"/>
        <v>0</v>
      </c>
      <c r="L401" s="65" t="e">
        <f t="shared" si="301"/>
        <v>#DIV/0!</v>
      </c>
      <c r="M401" s="66">
        <v>3.2963</v>
      </c>
      <c r="N401" s="67">
        <f t="shared" si="302"/>
        <v>0</v>
      </c>
      <c r="O401" s="67">
        <f t="shared" si="303"/>
        <v>0</v>
      </c>
      <c r="P401" s="1124"/>
    </row>
    <row r="402" spans="2:16" ht="15" thickBot="1" x14ac:dyDescent="0.35">
      <c r="B402" s="1119"/>
      <c r="C402" s="68" t="s">
        <v>91</v>
      </c>
      <c r="D402" s="69" t="s">
        <v>92</v>
      </c>
      <c r="E402" s="70">
        <v>0</v>
      </c>
      <c r="F402" s="71">
        <f t="shared" si="297"/>
        <v>65030</v>
      </c>
      <c r="G402" s="71">
        <v>65000</v>
      </c>
      <c r="H402" s="72">
        <v>30</v>
      </c>
      <c r="I402" s="80">
        <f t="shared" si="299"/>
        <v>65030</v>
      </c>
      <c r="J402" s="4">
        <f t="shared" si="292"/>
        <v>65000</v>
      </c>
      <c r="K402" s="4">
        <f t="shared" si="298"/>
        <v>30</v>
      </c>
      <c r="L402" s="65" t="e">
        <f t="shared" si="301"/>
        <v>#DIV/0!</v>
      </c>
      <c r="M402" s="73">
        <v>2.3201000000000001</v>
      </c>
      <c r="N402" s="74">
        <f t="shared" ref="N402" si="304">M402*G402</f>
        <v>150806.5</v>
      </c>
      <c r="O402" s="74">
        <f t="shared" si="303"/>
        <v>150806.5</v>
      </c>
      <c r="P402" s="1125"/>
    </row>
    <row r="403" spans="2:16" ht="15" thickBot="1" x14ac:dyDescent="0.35">
      <c r="B403" s="1120"/>
      <c r="C403" s="1128" t="s">
        <v>106</v>
      </c>
      <c r="D403" s="1129"/>
      <c r="E403" s="1129"/>
      <c r="F403" s="1129"/>
      <c r="G403" s="1129"/>
      <c r="H403" s="1130"/>
      <c r="I403" s="116">
        <f>J403+K403</f>
        <v>502838</v>
      </c>
      <c r="J403" s="115">
        <f>SUM(J375:J402)</f>
        <v>488180</v>
      </c>
      <c r="K403" s="115">
        <f>SUM(K375:K402)</f>
        <v>14658</v>
      </c>
      <c r="L403" s="114"/>
      <c r="M403" s="113"/>
      <c r="N403" s="114"/>
      <c r="O403" s="97">
        <f>SUM(O375:O402)</f>
        <v>3892380.2549999999</v>
      </c>
      <c r="P403" s="96"/>
    </row>
    <row r="404" spans="2:16" ht="15" thickBot="1" x14ac:dyDescent="0.35">
      <c r="B404" s="100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2"/>
    </row>
    <row r="405" spans="2:16" ht="15" thickBot="1" x14ac:dyDescent="0.35">
      <c r="B405" s="1113" t="s">
        <v>107</v>
      </c>
      <c r="C405" s="1114"/>
      <c r="D405" s="1114"/>
      <c r="E405" s="1114"/>
      <c r="F405" s="1114"/>
      <c r="G405" s="1114"/>
      <c r="H405" s="1114"/>
      <c r="I405" s="1114"/>
      <c r="J405" s="1114"/>
      <c r="K405" s="1114"/>
      <c r="L405" s="1114"/>
      <c r="M405" s="1114"/>
      <c r="N405" s="1115"/>
      <c r="O405" s="103">
        <f>+O403+O374+O359</f>
        <v>8438824.8289999999</v>
      </c>
      <c r="P405" s="96"/>
    </row>
    <row r="406" spans="2:16" ht="15" thickBot="1" x14ac:dyDescent="0.35"/>
    <row r="407" spans="2:16" x14ac:dyDescent="0.3">
      <c r="B407" s="1147" t="s">
        <v>1</v>
      </c>
      <c r="C407" s="1149" t="s">
        <v>2</v>
      </c>
      <c r="D407" s="1152" t="s">
        <v>3</v>
      </c>
      <c r="E407" s="1155" t="s">
        <v>4</v>
      </c>
      <c r="F407" s="1156"/>
      <c r="G407" s="1156"/>
      <c r="H407" s="1156"/>
      <c r="I407" s="1156"/>
      <c r="J407" s="1156"/>
      <c r="K407" s="1156"/>
      <c r="L407" s="1157"/>
      <c r="M407" s="1158" t="s">
        <v>5</v>
      </c>
      <c r="N407" s="1159"/>
      <c r="O407" s="1160"/>
      <c r="P407" s="1152" t="s">
        <v>6</v>
      </c>
    </row>
    <row r="408" spans="2:16" x14ac:dyDescent="0.3">
      <c r="B408" s="1148"/>
      <c r="C408" s="1150"/>
      <c r="D408" s="1153"/>
      <c r="E408" s="1161" t="s">
        <v>7</v>
      </c>
      <c r="F408" s="1163" t="s">
        <v>154</v>
      </c>
      <c r="G408" s="1163"/>
      <c r="H408" s="1164"/>
      <c r="I408" s="1165" t="s">
        <v>8</v>
      </c>
      <c r="J408" s="1163"/>
      <c r="K408" s="1163"/>
      <c r="L408" s="1164" t="s">
        <v>9</v>
      </c>
      <c r="M408" s="1167" t="s">
        <v>10</v>
      </c>
      <c r="N408" s="1169" t="s">
        <v>11</v>
      </c>
      <c r="O408" s="1171" t="s">
        <v>12</v>
      </c>
      <c r="P408" s="1153"/>
    </row>
    <row r="409" spans="2:16" ht="15" thickBot="1" x14ac:dyDescent="0.35">
      <c r="B409" s="1148"/>
      <c r="C409" s="1151"/>
      <c r="D409" s="1154"/>
      <c r="E409" s="1162"/>
      <c r="F409" s="2" t="s">
        <v>13</v>
      </c>
      <c r="G409" s="2" t="s">
        <v>14</v>
      </c>
      <c r="H409" s="187" t="s">
        <v>15</v>
      </c>
      <c r="I409" s="142" t="s">
        <v>13</v>
      </c>
      <c r="J409" s="2" t="s">
        <v>14</v>
      </c>
      <c r="K409" s="2" t="s">
        <v>15</v>
      </c>
      <c r="L409" s="1166"/>
      <c r="M409" s="1168"/>
      <c r="N409" s="1170"/>
      <c r="O409" s="1172"/>
      <c r="P409" s="1154"/>
    </row>
    <row r="410" spans="2:16" x14ac:dyDescent="0.3">
      <c r="B410" s="1131" t="s">
        <v>56</v>
      </c>
      <c r="C410" s="29"/>
      <c r="D410" s="117" t="s">
        <v>151</v>
      </c>
      <c r="E410" s="98">
        <v>0</v>
      </c>
      <c r="F410" s="4">
        <f>+G410+H410</f>
        <v>66760</v>
      </c>
      <c r="G410" s="4">
        <v>65520</v>
      </c>
      <c r="H410" s="8">
        <v>1240</v>
      </c>
      <c r="I410" s="6">
        <f>J410+K410</f>
        <v>224702</v>
      </c>
      <c r="J410" s="4">
        <f>G410+J345</f>
        <v>220640</v>
      </c>
      <c r="K410" s="4">
        <f>H410+K345</f>
        <v>4062</v>
      </c>
      <c r="L410" s="33" t="e">
        <f>+J410/E410</f>
        <v>#DIV/0!</v>
      </c>
      <c r="M410" s="104">
        <v>1.3652</v>
      </c>
      <c r="N410" s="31">
        <f>G410*M410</f>
        <v>89447.903999999995</v>
      </c>
      <c r="O410" s="86">
        <f>M410*J410</f>
        <v>301217.728</v>
      </c>
      <c r="P410" s="1133"/>
    </row>
    <row r="411" spans="2:16" x14ac:dyDescent="0.3">
      <c r="B411" s="1132"/>
      <c r="C411" s="32"/>
      <c r="D411" s="118" t="s">
        <v>116</v>
      </c>
      <c r="E411" s="99">
        <v>0</v>
      </c>
      <c r="F411" s="9">
        <f>+G411+H411</f>
        <v>0</v>
      </c>
      <c r="G411" s="9">
        <v>0</v>
      </c>
      <c r="H411" s="10">
        <v>0</v>
      </c>
      <c r="I411" s="6">
        <f>J411+K411</f>
        <v>0</v>
      </c>
      <c r="J411" s="4">
        <f>+G411+J346</f>
        <v>0</v>
      </c>
      <c r="K411" s="4">
        <f>+H411+K346</f>
        <v>0</v>
      </c>
      <c r="L411" s="33"/>
      <c r="M411" s="105">
        <v>5.9917999999999996</v>
      </c>
      <c r="N411" s="34">
        <f>M411*G411</f>
        <v>0</v>
      </c>
      <c r="O411" s="87">
        <f>M411*J411</f>
        <v>0</v>
      </c>
      <c r="P411" s="1134"/>
    </row>
    <row r="412" spans="2:16" x14ac:dyDescent="0.3">
      <c r="B412" s="1132"/>
      <c r="C412" s="35"/>
      <c r="D412" s="119" t="s">
        <v>58</v>
      </c>
      <c r="E412" s="99">
        <v>0</v>
      </c>
      <c r="F412" s="9">
        <f t="shared" ref="F412:F416" si="305">+G412+H412</f>
        <v>173896</v>
      </c>
      <c r="G412" s="9">
        <f>57500+115000</f>
        <v>172500</v>
      </c>
      <c r="H412" s="10">
        <f>534+862</f>
        <v>1396</v>
      </c>
      <c r="I412" s="6">
        <f t="shared" ref="I412:I416" si="306">J412+K412</f>
        <v>1336583</v>
      </c>
      <c r="J412" s="4">
        <f t="shared" ref="J412:J416" si="307">+G412+J347</f>
        <v>1325750</v>
      </c>
      <c r="K412" s="4">
        <f t="shared" ref="K412:K416" si="308">+H412+K347</f>
        <v>10833</v>
      </c>
      <c r="L412" s="33" t="e">
        <f t="shared" ref="L412" si="309">+J412/E412</f>
        <v>#DIV/0!</v>
      </c>
      <c r="M412" s="106">
        <v>2.3807999999999998</v>
      </c>
      <c r="N412" s="36">
        <f>G412*M412</f>
        <v>410687.99999999994</v>
      </c>
      <c r="O412" s="88">
        <f>M412*J412</f>
        <v>3156345.5999999996</v>
      </c>
      <c r="P412" s="1134"/>
    </row>
    <row r="413" spans="2:16" x14ac:dyDescent="0.3">
      <c r="B413" s="1132"/>
      <c r="C413" s="35"/>
      <c r="D413" s="119" t="s">
        <v>59</v>
      </c>
      <c r="E413" s="99">
        <v>0</v>
      </c>
      <c r="F413" s="9">
        <f t="shared" si="305"/>
        <v>0</v>
      </c>
      <c r="G413" s="9">
        <v>0</v>
      </c>
      <c r="H413" s="10">
        <v>0</v>
      </c>
      <c r="I413" s="6">
        <f t="shared" si="306"/>
        <v>0</v>
      </c>
      <c r="J413" s="4">
        <f t="shared" si="307"/>
        <v>0</v>
      </c>
      <c r="K413" s="4">
        <f t="shared" si="308"/>
        <v>0</v>
      </c>
      <c r="L413" s="33"/>
      <c r="M413" s="106">
        <v>2.1457999999999999</v>
      </c>
      <c r="N413" s="36">
        <f t="shared" ref="N413:N416" si="310">G413*M413</f>
        <v>0</v>
      </c>
      <c r="O413" s="88">
        <f>M413*J413</f>
        <v>0</v>
      </c>
      <c r="P413" s="1134"/>
    </row>
    <row r="414" spans="2:16" x14ac:dyDescent="0.3">
      <c r="B414" s="1132"/>
      <c r="C414" s="35"/>
      <c r="D414" s="119" t="s">
        <v>113</v>
      </c>
      <c r="E414" s="99">
        <v>0</v>
      </c>
      <c r="F414" s="9">
        <f t="shared" si="305"/>
        <v>0</v>
      </c>
      <c r="G414" s="9">
        <v>0</v>
      </c>
      <c r="H414" s="10">
        <v>0</v>
      </c>
      <c r="I414" s="6">
        <f t="shared" si="306"/>
        <v>0</v>
      </c>
      <c r="J414" s="4">
        <f t="shared" si="307"/>
        <v>0</v>
      </c>
      <c r="K414" s="4">
        <f t="shared" si="308"/>
        <v>0</v>
      </c>
      <c r="L414" s="33" t="e">
        <f t="shared" ref="L414:L415" si="311">+J414/E414</f>
        <v>#DIV/0!</v>
      </c>
      <c r="M414" s="143">
        <v>4.0426000000000002</v>
      </c>
      <c r="N414" s="36">
        <f t="shared" si="310"/>
        <v>0</v>
      </c>
      <c r="O414" s="88">
        <f>M414*J414</f>
        <v>0</v>
      </c>
      <c r="P414" s="1134"/>
    </row>
    <row r="415" spans="2:16" x14ac:dyDescent="0.3">
      <c r="B415" s="1132"/>
      <c r="C415" s="35"/>
      <c r="D415" s="119" t="s">
        <v>117</v>
      </c>
      <c r="E415" s="99">
        <v>0</v>
      </c>
      <c r="F415" s="9">
        <f t="shared" si="305"/>
        <v>0</v>
      </c>
      <c r="G415" s="9">
        <v>0</v>
      </c>
      <c r="H415" s="10">
        <v>0</v>
      </c>
      <c r="I415" s="6">
        <f t="shared" si="306"/>
        <v>0</v>
      </c>
      <c r="J415" s="4">
        <f t="shared" si="307"/>
        <v>0</v>
      </c>
      <c r="K415" s="4">
        <f t="shared" si="308"/>
        <v>0</v>
      </c>
      <c r="L415" s="33" t="e">
        <f t="shared" si="311"/>
        <v>#DIV/0!</v>
      </c>
      <c r="M415" s="143">
        <v>3.8715000000000002</v>
      </c>
      <c r="N415" s="36">
        <f t="shared" si="310"/>
        <v>0</v>
      </c>
      <c r="O415" s="88">
        <f t="shared" ref="O415:O416" si="312">M415*J415</f>
        <v>0</v>
      </c>
      <c r="P415" s="1134"/>
    </row>
    <row r="416" spans="2:16" ht="15" thickBot="1" x14ac:dyDescent="0.35">
      <c r="B416" s="1132"/>
      <c r="C416" s="82"/>
      <c r="D416" s="120" t="s">
        <v>60</v>
      </c>
      <c r="E416" s="108">
        <v>0</v>
      </c>
      <c r="F416" s="12">
        <f t="shared" si="305"/>
        <v>0</v>
      </c>
      <c r="G416" s="12">
        <v>0</v>
      </c>
      <c r="H416" s="13">
        <v>0</v>
      </c>
      <c r="I416" s="21">
        <f t="shared" si="306"/>
        <v>0</v>
      </c>
      <c r="J416" s="4">
        <f t="shared" si="307"/>
        <v>0</v>
      </c>
      <c r="K416" s="4">
        <f t="shared" si="308"/>
        <v>0</v>
      </c>
      <c r="L416" s="81"/>
      <c r="M416" s="127">
        <v>12.284700000000001</v>
      </c>
      <c r="N416" s="36">
        <f t="shared" si="310"/>
        <v>0</v>
      </c>
      <c r="O416" s="128">
        <f t="shared" si="312"/>
        <v>0</v>
      </c>
      <c r="P416" s="1134"/>
    </row>
    <row r="417" spans="2:16" ht="15" thickBot="1" x14ac:dyDescent="0.35">
      <c r="B417" s="1132"/>
      <c r="C417" s="1137" t="s">
        <v>111</v>
      </c>
      <c r="D417" s="1138"/>
      <c r="E417" s="129"/>
      <c r="F417" s="130">
        <f>SUM(F410:F416)</f>
        <v>240656</v>
      </c>
      <c r="G417" s="130">
        <f>SUM(G410:G416)</f>
        <v>238020</v>
      </c>
      <c r="H417" s="131">
        <f>SUM(H410:H416)</f>
        <v>2636</v>
      </c>
      <c r="I417" s="132">
        <f>+J417+K417</f>
        <v>1561285</v>
      </c>
      <c r="J417" s="133">
        <f>SUM(J410:J416)</f>
        <v>1546390</v>
      </c>
      <c r="K417" s="133">
        <f>SUM(K410:K416)</f>
        <v>14895</v>
      </c>
      <c r="L417" s="134"/>
      <c r="M417" s="135"/>
      <c r="N417" s="136"/>
      <c r="O417" s="137">
        <f>SUM(O410:O416)</f>
        <v>3457563.3279999997</v>
      </c>
      <c r="P417" s="1135"/>
    </row>
    <row r="418" spans="2:16" x14ac:dyDescent="0.3">
      <c r="B418" s="1132"/>
      <c r="C418" s="32"/>
      <c r="D418" s="118" t="s">
        <v>61</v>
      </c>
      <c r="E418" s="98">
        <v>0</v>
      </c>
      <c r="F418" s="4">
        <f t="shared" ref="F418:F421" si="313">+G418+H418</f>
        <v>0</v>
      </c>
      <c r="G418" s="4">
        <v>0</v>
      </c>
      <c r="H418" s="8">
        <v>0</v>
      </c>
      <c r="I418" s="6">
        <f t="shared" ref="I418:I422" si="314">J418+K418</f>
        <v>0</v>
      </c>
      <c r="J418" s="4">
        <f>G418+J353</f>
        <v>0</v>
      </c>
      <c r="K418" s="4">
        <f>H418+K353</f>
        <v>0</v>
      </c>
      <c r="L418" s="33" t="e">
        <f t="shared" ref="L418" si="315">+J418/E418</f>
        <v>#DIV/0!</v>
      </c>
      <c r="M418" s="105">
        <v>12.029500000000001</v>
      </c>
      <c r="N418" s="34">
        <f>M418*G418</f>
        <v>0</v>
      </c>
      <c r="O418" s="87">
        <f t="shared" ref="O418:O420" si="316">M418*J418</f>
        <v>0</v>
      </c>
      <c r="P418" s="1134"/>
    </row>
    <row r="419" spans="2:16" x14ac:dyDescent="0.3">
      <c r="B419" s="1132"/>
      <c r="C419" s="35"/>
      <c r="D419" s="119" t="s">
        <v>62</v>
      </c>
      <c r="E419" s="99">
        <v>0</v>
      </c>
      <c r="F419" s="9">
        <f t="shared" si="313"/>
        <v>0</v>
      </c>
      <c r="G419" s="9">
        <v>0</v>
      </c>
      <c r="H419" s="10">
        <v>0</v>
      </c>
      <c r="I419" s="6">
        <f t="shared" si="314"/>
        <v>0</v>
      </c>
      <c r="J419" s="4">
        <f>G419+J354</f>
        <v>0</v>
      </c>
      <c r="K419" s="4">
        <f>H419+K354</f>
        <v>0</v>
      </c>
      <c r="L419" s="33"/>
      <c r="M419" s="106">
        <v>0</v>
      </c>
      <c r="N419" s="36"/>
      <c r="O419" s="88">
        <f t="shared" si="316"/>
        <v>0</v>
      </c>
      <c r="P419" s="1134"/>
    </row>
    <row r="420" spans="2:16" x14ac:dyDescent="0.3">
      <c r="B420" s="1132"/>
      <c r="C420" s="35"/>
      <c r="D420" s="119" t="s">
        <v>104</v>
      </c>
      <c r="E420" s="99">
        <v>0</v>
      </c>
      <c r="F420" s="9">
        <f t="shared" si="313"/>
        <v>0</v>
      </c>
      <c r="G420" s="9">
        <v>0</v>
      </c>
      <c r="H420" s="10">
        <v>0</v>
      </c>
      <c r="I420" s="6">
        <f t="shared" si="314"/>
        <v>0</v>
      </c>
      <c r="J420" s="4">
        <f t="shared" ref="J420:J422" si="317">G420+J355</f>
        <v>0</v>
      </c>
      <c r="K420" s="4">
        <f t="shared" ref="K420:K422" si="318">H420+K355</f>
        <v>0</v>
      </c>
      <c r="L420" s="33" t="e">
        <f t="shared" ref="L420:L422" si="319">+J420/E420</f>
        <v>#DIV/0!</v>
      </c>
      <c r="M420" s="106">
        <v>19.688600000000001</v>
      </c>
      <c r="N420" s="36">
        <f>M420*G420</f>
        <v>0</v>
      </c>
      <c r="O420" s="88">
        <f t="shared" si="316"/>
        <v>0</v>
      </c>
      <c r="P420" s="1134"/>
    </row>
    <row r="421" spans="2:16" x14ac:dyDescent="0.3">
      <c r="B421" s="1132"/>
      <c r="C421" s="35"/>
      <c r="D421" s="119" t="s">
        <v>64</v>
      </c>
      <c r="E421" s="99">
        <v>0</v>
      </c>
      <c r="F421" s="9">
        <f t="shared" si="313"/>
        <v>0</v>
      </c>
      <c r="G421" s="9">
        <v>0</v>
      </c>
      <c r="H421" s="10">
        <v>0</v>
      </c>
      <c r="I421" s="6">
        <f t="shared" si="314"/>
        <v>0</v>
      </c>
      <c r="J421" s="4">
        <f t="shared" si="317"/>
        <v>0</v>
      </c>
      <c r="K421" s="4">
        <f t="shared" si="318"/>
        <v>0</v>
      </c>
      <c r="L421" s="33" t="e">
        <f t="shared" si="319"/>
        <v>#DIV/0!</v>
      </c>
      <c r="M421" s="106">
        <v>1.2824</v>
      </c>
      <c r="N421" s="151">
        <f>M421*G421</f>
        <v>0</v>
      </c>
      <c r="O421" s="88">
        <f>M421*J421</f>
        <v>0</v>
      </c>
      <c r="P421" s="1134"/>
    </row>
    <row r="422" spans="2:16" ht="15" thickBot="1" x14ac:dyDescent="0.35">
      <c r="B422" s="1132"/>
      <c r="C422" s="82"/>
      <c r="D422" s="120" t="s">
        <v>63</v>
      </c>
      <c r="E422" s="108">
        <v>0</v>
      </c>
      <c r="F422" s="12">
        <v>0</v>
      </c>
      <c r="G422" s="12">
        <v>8640</v>
      </c>
      <c r="H422" s="13">
        <v>174</v>
      </c>
      <c r="I422" s="21">
        <f t="shared" si="314"/>
        <v>8814</v>
      </c>
      <c r="J422" s="4">
        <f t="shared" si="317"/>
        <v>8640</v>
      </c>
      <c r="K422" s="4">
        <f t="shared" si="318"/>
        <v>174</v>
      </c>
      <c r="L422" s="81" t="e">
        <f t="shared" si="319"/>
        <v>#DIV/0!</v>
      </c>
      <c r="M422" s="107">
        <v>18.2316</v>
      </c>
      <c r="N422" s="75"/>
      <c r="O422" s="89">
        <f t="shared" ref="O422" si="320">M422*J422</f>
        <v>157521.024</v>
      </c>
      <c r="P422" s="1136"/>
    </row>
    <row r="423" spans="2:16" ht="15" thickBot="1" x14ac:dyDescent="0.35">
      <c r="B423" s="1116" t="s">
        <v>112</v>
      </c>
      <c r="C423" s="1117"/>
      <c r="D423" s="1117"/>
      <c r="E423" s="124"/>
      <c r="F423" s="125">
        <f>+G423+H423</f>
        <v>8814</v>
      </c>
      <c r="G423" s="125">
        <f>SUM(G418:G422)</f>
        <v>8640</v>
      </c>
      <c r="H423" s="126">
        <f>SUM(H418:H422)</f>
        <v>174</v>
      </c>
      <c r="I423" s="121">
        <f>J423+K423</f>
        <v>8814</v>
      </c>
      <c r="J423" s="122">
        <f>SUM(J418:J422)</f>
        <v>8640</v>
      </c>
      <c r="K423" s="123">
        <f>SUM(K418:K422)</f>
        <v>174</v>
      </c>
      <c r="L423" s="138"/>
      <c r="M423" s="139"/>
      <c r="N423" s="140"/>
      <c r="O423" s="141">
        <f>SUM(O418:O422)</f>
        <v>157521.024</v>
      </c>
      <c r="P423" s="185"/>
    </row>
    <row r="424" spans="2:16" ht="15" thickBot="1" x14ac:dyDescent="0.35">
      <c r="B424" s="1116" t="s">
        <v>105</v>
      </c>
      <c r="C424" s="1117"/>
      <c r="D424" s="1117"/>
      <c r="E424" s="1139"/>
      <c r="F424" s="1139"/>
      <c r="G424" s="1139"/>
      <c r="H424" s="1139"/>
      <c r="I424" s="1117"/>
      <c r="J424" s="1117"/>
      <c r="K424" s="1117"/>
      <c r="L424" s="1117"/>
      <c r="M424" s="1117"/>
      <c r="N424" s="1140"/>
      <c r="O424" s="83">
        <f>O417+O423</f>
        <v>3615084.352</v>
      </c>
      <c r="P424" s="185"/>
    </row>
    <row r="425" spans="2:16" x14ac:dyDescent="0.3">
      <c r="B425" s="1131" t="s">
        <v>65</v>
      </c>
      <c r="C425" s="37" t="s">
        <v>66</v>
      </c>
      <c r="D425" s="28" t="s">
        <v>67</v>
      </c>
      <c r="E425" s="38">
        <v>0</v>
      </c>
      <c r="F425" s="14">
        <f>+G425+H425</f>
        <v>0</v>
      </c>
      <c r="G425" s="14">
        <v>0</v>
      </c>
      <c r="H425" s="5">
        <v>0</v>
      </c>
      <c r="I425" s="17">
        <f t="shared" ref="I425:I431" si="321">J425+K425</f>
        <v>0</v>
      </c>
      <c r="J425" s="4">
        <f>G425+J360</f>
        <v>0</v>
      </c>
      <c r="K425" s="4">
        <f>H425+K360</f>
        <v>0</v>
      </c>
      <c r="L425" s="30" t="e">
        <f>+J425/E425</f>
        <v>#DIV/0!</v>
      </c>
      <c r="M425" s="146">
        <v>2.2141000000000002</v>
      </c>
      <c r="N425" s="15">
        <f>+M425*G425</f>
        <v>0</v>
      </c>
      <c r="O425" s="90">
        <f>+M425*J425</f>
        <v>0</v>
      </c>
      <c r="P425" s="1142"/>
    </row>
    <row r="426" spans="2:16" x14ac:dyDescent="0.3">
      <c r="B426" s="1132"/>
      <c r="C426" s="39"/>
      <c r="D426" s="22" t="s">
        <v>68</v>
      </c>
      <c r="E426" s="3">
        <v>0</v>
      </c>
      <c r="F426" s="9">
        <f t="shared" ref="F426:F431" si="322">+G426+H426</f>
        <v>0</v>
      </c>
      <c r="G426" s="4">
        <v>0</v>
      </c>
      <c r="H426" s="8">
        <v>0</v>
      </c>
      <c r="I426" s="6">
        <f t="shared" si="321"/>
        <v>0</v>
      </c>
      <c r="J426" s="4">
        <f>+G426+J361</f>
        <v>0</v>
      </c>
      <c r="K426" s="4">
        <f>+H426+K361</f>
        <v>0</v>
      </c>
      <c r="L426" s="40" t="e">
        <f t="shared" ref="L426:L427" si="323">+J426/E426</f>
        <v>#DIV/0!</v>
      </c>
      <c r="M426" s="145">
        <v>2.4565999999999999</v>
      </c>
      <c r="N426" s="11">
        <f t="shared" ref="N426:N428" si="324">+M426*G426</f>
        <v>0</v>
      </c>
      <c r="O426" s="91">
        <f t="shared" ref="O426:O428" si="325">+M426*J426</f>
        <v>0</v>
      </c>
      <c r="P426" s="1143"/>
    </row>
    <row r="427" spans="2:16" x14ac:dyDescent="0.3">
      <c r="B427" s="1132"/>
      <c r="C427" s="39"/>
      <c r="D427" s="23" t="s">
        <v>133</v>
      </c>
      <c r="E427" s="3">
        <v>0</v>
      </c>
      <c r="F427" s="9">
        <f t="shared" si="322"/>
        <v>0</v>
      </c>
      <c r="G427" s="4">
        <v>0</v>
      </c>
      <c r="H427" s="8">
        <v>0</v>
      </c>
      <c r="I427" s="6">
        <f t="shared" si="321"/>
        <v>0</v>
      </c>
      <c r="J427" s="4">
        <f t="shared" ref="J427:J428" si="326">+G427+J362</f>
        <v>0</v>
      </c>
      <c r="K427" s="4">
        <f t="shared" ref="K427:K431" si="327">+H427+K362</f>
        <v>0</v>
      </c>
      <c r="L427" s="40" t="e">
        <f t="shared" si="323"/>
        <v>#DIV/0!</v>
      </c>
      <c r="M427" s="145">
        <v>2.2907000000000002</v>
      </c>
      <c r="N427" s="11">
        <f t="shared" si="324"/>
        <v>0</v>
      </c>
      <c r="O427" s="91">
        <f t="shared" si="325"/>
        <v>0</v>
      </c>
      <c r="P427" s="1143"/>
    </row>
    <row r="428" spans="2:16" x14ac:dyDescent="0.3">
      <c r="B428" s="1132"/>
      <c r="C428" s="39"/>
      <c r="D428" s="22" t="s">
        <v>138</v>
      </c>
      <c r="E428" s="3"/>
      <c r="F428" s="9">
        <f t="shared" si="322"/>
        <v>0</v>
      </c>
      <c r="G428" s="4">
        <v>0</v>
      </c>
      <c r="H428" s="8">
        <v>0</v>
      </c>
      <c r="I428" s="6">
        <f t="shared" si="321"/>
        <v>0</v>
      </c>
      <c r="J428" s="4">
        <f t="shared" si="326"/>
        <v>0</v>
      </c>
      <c r="K428" s="4">
        <f t="shared" si="327"/>
        <v>0</v>
      </c>
      <c r="L428" s="33"/>
      <c r="M428" s="150">
        <v>2.544</v>
      </c>
      <c r="N428" s="11">
        <f t="shared" si="324"/>
        <v>0</v>
      </c>
      <c r="O428" s="91">
        <f t="shared" si="325"/>
        <v>0</v>
      </c>
      <c r="P428" s="1143"/>
    </row>
    <row r="429" spans="2:16" x14ac:dyDescent="0.3">
      <c r="B429" s="1132"/>
      <c r="C429" s="39" t="s">
        <v>69</v>
      </c>
      <c r="D429" s="22" t="s">
        <v>140</v>
      </c>
      <c r="E429" s="3">
        <v>0</v>
      </c>
      <c r="F429" s="9">
        <f t="shared" si="322"/>
        <v>98540</v>
      </c>
      <c r="G429" s="4">
        <v>97000</v>
      </c>
      <c r="H429" s="8">
        <v>1540</v>
      </c>
      <c r="I429" s="6">
        <f t="shared" si="321"/>
        <v>361617</v>
      </c>
      <c r="J429" s="4">
        <f>+G429+J364</f>
        <v>353750</v>
      </c>
      <c r="K429" s="4">
        <f t="shared" si="327"/>
        <v>7867</v>
      </c>
      <c r="L429" s="33" t="e">
        <f>+J429/E429</f>
        <v>#DIV/0!</v>
      </c>
      <c r="M429" s="144">
        <v>2.2141000000000002</v>
      </c>
      <c r="N429" s="7">
        <f>+M429*G429</f>
        <v>214767.7</v>
      </c>
      <c r="O429" s="85">
        <f>+M429*J429</f>
        <v>783237.87500000012</v>
      </c>
      <c r="P429" s="1143"/>
    </row>
    <row r="430" spans="2:16" x14ac:dyDescent="0.3">
      <c r="B430" s="1132"/>
      <c r="C430" s="39"/>
      <c r="D430" s="22" t="s">
        <v>68</v>
      </c>
      <c r="E430" s="3">
        <v>0</v>
      </c>
      <c r="F430" s="9">
        <f t="shared" si="322"/>
        <v>0</v>
      </c>
      <c r="G430" s="4">
        <v>0</v>
      </c>
      <c r="H430" s="8">
        <v>0</v>
      </c>
      <c r="I430" s="6">
        <f t="shared" si="321"/>
        <v>0</v>
      </c>
      <c r="J430" s="4">
        <f t="shared" ref="J430:J431" si="328">+G430+J365</f>
        <v>0</v>
      </c>
      <c r="K430" s="4">
        <f t="shared" si="327"/>
        <v>0</v>
      </c>
      <c r="L430" s="40" t="e">
        <f t="shared" ref="L430:L431" si="329">+J430/E430</f>
        <v>#DIV/0!</v>
      </c>
      <c r="M430" s="145">
        <v>2.4565999999999999</v>
      </c>
      <c r="N430" s="11">
        <f t="shared" ref="N430:N431" si="330">+M430*G430</f>
        <v>0</v>
      </c>
      <c r="O430" s="91">
        <f t="shared" ref="O430" si="331">+M430*J430</f>
        <v>0</v>
      </c>
      <c r="P430" s="1143"/>
    </row>
    <row r="431" spans="2:16" ht="15" thickBot="1" x14ac:dyDescent="0.35">
      <c r="B431" s="1132"/>
      <c r="C431" s="39"/>
      <c r="D431" s="22" t="s">
        <v>133</v>
      </c>
      <c r="E431" s="3">
        <v>0</v>
      </c>
      <c r="F431" s="9">
        <f t="shared" si="322"/>
        <v>0</v>
      </c>
      <c r="G431" s="4">
        <v>0</v>
      </c>
      <c r="H431" s="8">
        <v>0</v>
      </c>
      <c r="I431" s="6">
        <f t="shared" si="321"/>
        <v>0</v>
      </c>
      <c r="J431" s="4">
        <f t="shared" si="328"/>
        <v>0</v>
      </c>
      <c r="K431" s="4">
        <f t="shared" si="327"/>
        <v>0</v>
      </c>
      <c r="L431" s="40" t="e">
        <f t="shared" si="329"/>
        <v>#DIV/0!</v>
      </c>
      <c r="M431" s="145">
        <v>2.2907000000000002</v>
      </c>
      <c r="N431" s="11">
        <f t="shared" si="330"/>
        <v>0</v>
      </c>
      <c r="O431" s="154">
        <f>+M431*J431</f>
        <v>0</v>
      </c>
      <c r="P431" s="1144"/>
    </row>
    <row r="432" spans="2:16" ht="15" thickBot="1" x14ac:dyDescent="0.35">
      <c r="B432" s="1132"/>
      <c r="C432" s="41" t="s">
        <v>29</v>
      </c>
      <c r="D432" s="27" t="str">
        <f>+C432</f>
        <v>TOTAL 1/2</v>
      </c>
      <c r="E432" s="42">
        <f>SUM(E425:E431)</f>
        <v>0</v>
      </c>
      <c r="F432" s="43">
        <f>SUM(F425:F431)</f>
        <v>98540</v>
      </c>
      <c r="G432" s="43">
        <f>SUM(G425:G431)</f>
        <v>97000</v>
      </c>
      <c r="H432" s="44">
        <f>SUM(H425:H431)</f>
        <v>1540</v>
      </c>
      <c r="I432" s="45">
        <f>SUM(I429:I431)</f>
        <v>361617</v>
      </c>
      <c r="J432" s="43">
        <f>SUM(J425:J431)</f>
        <v>353750</v>
      </c>
      <c r="K432" s="43">
        <f>SUM(K425:K431)</f>
        <v>7867</v>
      </c>
      <c r="L432" s="46" t="e">
        <f>+J432/E432</f>
        <v>#DIV/0!</v>
      </c>
      <c r="M432" s="47"/>
      <c r="N432" s="48">
        <f>SUM(N429:N431)</f>
        <v>214767.7</v>
      </c>
      <c r="O432" s="49">
        <f>SUM(O425:O431)</f>
        <v>783237.87500000012</v>
      </c>
      <c r="P432" s="186"/>
    </row>
    <row r="433" spans="2:16" x14ac:dyDescent="0.3">
      <c r="B433" s="1132"/>
      <c r="C433" s="1145" t="s">
        <v>70</v>
      </c>
      <c r="D433" s="22" t="s">
        <v>67</v>
      </c>
      <c r="E433" s="3">
        <v>0</v>
      </c>
      <c r="F433" s="4">
        <f>G433+H433</f>
        <v>0</v>
      </c>
      <c r="G433" s="4">
        <v>0</v>
      </c>
      <c r="H433" s="8">
        <v>0</v>
      </c>
      <c r="I433" s="16">
        <f>J433+K433</f>
        <v>109220</v>
      </c>
      <c r="J433" s="4">
        <f>G433+J368</f>
        <v>105750</v>
      </c>
      <c r="K433" s="4">
        <f>H433+K368</f>
        <v>3470</v>
      </c>
      <c r="L433" s="50" t="e">
        <f>+J433/E433</f>
        <v>#DIV/0!</v>
      </c>
      <c r="M433" s="144">
        <v>4.1712999999999996</v>
      </c>
      <c r="N433" s="7">
        <f>+M433*G433</f>
        <v>0</v>
      </c>
      <c r="O433" s="93">
        <f>+M433*J433</f>
        <v>441114.97499999998</v>
      </c>
      <c r="P433" s="1142"/>
    </row>
    <row r="434" spans="2:16" x14ac:dyDescent="0.3">
      <c r="B434" s="1132"/>
      <c r="C434" s="1146"/>
      <c r="D434" s="22" t="s">
        <v>68</v>
      </c>
      <c r="E434" s="3">
        <v>0</v>
      </c>
      <c r="F434" s="4">
        <f>G434+H434</f>
        <v>0</v>
      </c>
      <c r="G434" s="4">
        <v>0</v>
      </c>
      <c r="H434" s="8">
        <v>0</v>
      </c>
      <c r="I434" s="6">
        <f>+R1478+F434</f>
        <v>0</v>
      </c>
      <c r="J434" s="4">
        <f>G434+J369</f>
        <v>120000</v>
      </c>
      <c r="K434" s="4">
        <f>H434+K369</f>
        <v>3230</v>
      </c>
      <c r="L434" s="51" t="e">
        <f t="shared" ref="L434:L438" si="332">+J434/E434</f>
        <v>#DIV/0!</v>
      </c>
      <c r="M434" s="145">
        <v>4.8285999999999998</v>
      </c>
      <c r="N434" s="11">
        <f t="shared" ref="N434:N436" si="333">+M434*G434</f>
        <v>0</v>
      </c>
      <c r="O434" s="94">
        <f t="shared" ref="O434:O436" si="334">+M434*J434</f>
        <v>579432</v>
      </c>
      <c r="P434" s="1143"/>
    </row>
    <row r="435" spans="2:16" x14ac:dyDescent="0.3">
      <c r="B435" s="1132"/>
      <c r="C435" s="1146"/>
      <c r="D435" s="22" t="s">
        <v>134</v>
      </c>
      <c r="E435" s="3"/>
      <c r="F435" s="4">
        <f>G435+H435</f>
        <v>0</v>
      </c>
      <c r="G435" s="4">
        <v>0</v>
      </c>
      <c r="H435" s="8">
        <v>0</v>
      </c>
      <c r="I435" s="6">
        <f>+R1479+F435</f>
        <v>0</v>
      </c>
      <c r="J435" s="4">
        <f t="shared" ref="J435:J436" si="335">G435+J370</f>
        <v>0</v>
      </c>
      <c r="K435" s="4">
        <f t="shared" ref="K435:K436" si="336">H435+K370</f>
        <v>0</v>
      </c>
      <c r="L435" s="51" t="e">
        <f t="shared" si="332"/>
        <v>#DIV/0!</v>
      </c>
      <c r="M435" s="144">
        <v>4.5023</v>
      </c>
      <c r="N435" s="11">
        <f t="shared" si="333"/>
        <v>0</v>
      </c>
      <c r="O435" s="94">
        <f t="shared" si="334"/>
        <v>0</v>
      </c>
      <c r="P435" s="1143"/>
    </row>
    <row r="436" spans="2:16" ht="15" thickBot="1" x14ac:dyDescent="0.35">
      <c r="B436" s="1132"/>
      <c r="C436" s="1146"/>
      <c r="D436" s="22" t="s">
        <v>118</v>
      </c>
      <c r="E436" s="3">
        <v>0</v>
      </c>
      <c r="F436" s="4">
        <f t="shared" ref="F436" si="337">G436+H436</f>
        <v>0</v>
      </c>
      <c r="G436" s="4">
        <v>0</v>
      </c>
      <c r="H436" s="8">
        <v>0</v>
      </c>
      <c r="I436" s="6">
        <f>+R1479+F436</f>
        <v>0</v>
      </c>
      <c r="J436" s="4">
        <f t="shared" si="335"/>
        <v>0</v>
      </c>
      <c r="K436" s="4">
        <f t="shared" si="336"/>
        <v>0</v>
      </c>
      <c r="L436" s="51" t="e">
        <f t="shared" si="332"/>
        <v>#DIV/0!</v>
      </c>
      <c r="M436" s="144">
        <v>4.4065000000000003</v>
      </c>
      <c r="N436" s="11">
        <f t="shared" si="333"/>
        <v>0</v>
      </c>
      <c r="O436" s="94">
        <f t="shared" si="334"/>
        <v>0</v>
      </c>
      <c r="P436" s="1143"/>
    </row>
    <row r="437" spans="2:16" ht="15" thickBot="1" x14ac:dyDescent="0.35">
      <c r="B437" s="1132"/>
      <c r="C437" s="41" t="s">
        <v>31</v>
      </c>
      <c r="D437" s="18" t="str">
        <f>+C437</f>
        <v>TOTAL 4/4</v>
      </c>
      <c r="E437" s="42">
        <f t="shared" ref="E437:K437" si="338">SUM(E433:E436)</f>
        <v>0</v>
      </c>
      <c r="F437" s="43">
        <f t="shared" si="338"/>
        <v>0</v>
      </c>
      <c r="G437" s="43">
        <f t="shared" si="338"/>
        <v>0</v>
      </c>
      <c r="H437" s="44">
        <f t="shared" si="338"/>
        <v>0</v>
      </c>
      <c r="I437" s="45">
        <f t="shared" si="338"/>
        <v>109220</v>
      </c>
      <c r="J437" s="43">
        <f t="shared" si="338"/>
        <v>225750</v>
      </c>
      <c r="K437" s="43">
        <f t="shared" si="338"/>
        <v>6700</v>
      </c>
      <c r="L437" s="46" t="e">
        <f t="shared" si="332"/>
        <v>#DIV/0!</v>
      </c>
      <c r="M437" s="47"/>
      <c r="N437" s="48">
        <f>SUM(N433:N436)</f>
        <v>0</v>
      </c>
      <c r="O437" s="92">
        <f>SUM(O433:O436)</f>
        <v>1020546.975</v>
      </c>
      <c r="P437" s="1144"/>
    </row>
    <row r="438" spans="2:16" ht="15" thickBot="1" x14ac:dyDescent="0.35">
      <c r="B438" s="1141"/>
      <c r="C438" s="41" t="s">
        <v>71</v>
      </c>
      <c r="D438" s="27" t="s">
        <v>67</v>
      </c>
      <c r="E438" s="25">
        <v>0</v>
      </c>
      <c r="F438" s="20">
        <f>G438+H438</f>
        <v>0</v>
      </c>
      <c r="G438" s="20">
        <v>0</v>
      </c>
      <c r="H438" s="24">
        <v>0</v>
      </c>
      <c r="I438" s="19">
        <f>J438+K438</f>
        <v>0</v>
      </c>
      <c r="J438" s="4">
        <f>G438+J373</f>
        <v>0</v>
      </c>
      <c r="K438" s="4">
        <f>H438+K373</f>
        <v>0</v>
      </c>
      <c r="L438" s="52" t="e">
        <f t="shared" si="332"/>
        <v>#DIV/0!</v>
      </c>
      <c r="M438" s="149">
        <v>1.4086000000000001</v>
      </c>
      <c r="N438" s="26">
        <f t="shared" ref="N438" si="339">+M438*G438</f>
        <v>0</v>
      </c>
      <c r="O438" s="95">
        <f t="shared" ref="O438" si="340">+M438*J438</f>
        <v>0</v>
      </c>
      <c r="P438" s="53"/>
    </row>
    <row r="439" spans="2:16" ht="15" thickBot="1" x14ac:dyDescent="0.35">
      <c r="B439" s="1116" t="s">
        <v>102</v>
      </c>
      <c r="C439" s="1117"/>
      <c r="D439" s="1117"/>
      <c r="E439" s="1117"/>
      <c r="F439" s="1117"/>
      <c r="G439" s="1117"/>
      <c r="H439" s="1117"/>
      <c r="I439" s="110">
        <f>J439+K439</f>
        <v>594067</v>
      </c>
      <c r="J439" s="110">
        <f>J432+J437+J438</f>
        <v>579500</v>
      </c>
      <c r="K439" s="110">
        <f>K432+K437+K438</f>
        <v>14567</v>
      </c>
      <c r="L439" s="111"/>
      <c r="M439" s="112"/>
      <c r="N439" s="109"/>
      <c r="O439" s="77">
        <f>+O438+O437+O432</f>
        <v>1803784.85</v>
      </c>
      <c r="P439" s="84"/>
    </row>
    <row r="440" spans="2:16" x14ac:dyDescent="0.3">
      <c r="B440" s="1118" t="s">
        <v>72</v>
      </c>
      <c r="C440" s="1121" t="s">
        <v>73</v>
      </c>
      <c r="D440" s="54" t="s">
        <v>74</v>
      </c>
      <c r="E440" s="55">
        <v>0</v>
      </c>
      <c r="F440" s="56">
        <f>G440+H440</f>
        <v>0</v>
      </c>
      <c r="G440" s="56">
        <v>0</v>
      </c>
      <c r="H440" s="57">
        <v>0</v>
      </c>
      <c r="I440" s="78">
        <f>J440+K440</f>
        <v>0</v>
      </c>
      <c r="J440" s="4">
        <f>G440+J375</f>
        <v>0</v>
      </c>
      <c r="K440" s="4">
        <f>H440+K375</f>
        <v>0</v>
      </c>
      <c r="L440" s="58" t="e">
        <f t="shared" ref="L440" si="341">+J440/E440</f>
        <v>#DIV/0!</v>
      </c>
      <c r="M440" s="59">
        <v>32.946300000000001</v>
      </c>
      <c r="N440" s="60">
        <f>+M440*G440</f>
        <v>0</v>
      </c>
      <c r="O440" s="60">
        <f>M440*J440</f>
        <v>0</v>
      </c>
      <c r="P440" s="1123"/>
    </row>
    <row r="441" spans="2:16" x14ac:dyDescent="0.3">
      <c r="B441" s="1119"/>
      <c r="C441" s="1122"/>
      <c r="D441" s="61" t="s">
        <v>75</v>
      </c>
      <c r="E441" s="62">
        <v>0</v>
      </c>
      <c r="F441" s="63">
        <f>G441+H441</f>
        <v>0</v>
      </c>
      <c r="G441" s="63">
        <v>0</v>
      </c>
      <c r="H441" s="64">
        <v>0</v>
      </c>
      <c r="I441" s="79">
        <f>J441+K441</f>
        <v>20295</v>
      </c>
      <c r="J441" s="4">
        <f>G441+J376</f>
        <v>20000</v>
      </c>
      <c r="K441" s="4">
        <f>H441+K376</f>
        <v>295</v>
      </c>
      <c r="L441" s="65" t="e">
        <f>+J441/E441</f>
        <v>#DIV/0!</v>
      </c>
      <c r="M441" s="66">
        <v>35.398400000000002</v>
      </c>
      <c r="N441" s="67">
        <f>+M441*G441</f>
        <v>0</v>
      </c>
      <c r="O441" s="67">
        <f>M441*J441</f>
        <v>707968</v>
      </c>
      <c r="P441" s="1124"/>
    </row>
    <row r="442" spans="2:16" x14ac:dyDescent="0.3">
      <c r="B442" s="1119"/>
      <c r="C442" s="1122"/>
      <c r="D442" s="61" t="s">
        <v>76</v>
      </c>
      <c r="E442" s="62">
        <v>0</v>
      </c>
      <c r="F442" s="63">
        <f t="shared" ref="F442:F445" si="342">G442+H442</f>
        <v>0</v>
      </c>
      <c r="G442" s="63">
        <v>0</v>
      </c>
      <c r="H442" s="64">
        <v>0</v>
      </c>
      <c r="I442" s="79">
        <f t="shared" ref="I442:I451" si="343">J442+K442</f>
        <v>0</v>
      </c>
      <c r="J442" s="4">
        <f t="shared" ref="J442:J467" si="344">G442+J377</f>
        <v>0</v>
      </c>
      <c r="K442" s="4">
        <f t="shared" ref="K442:K446" si="345">H442+K377</f>
        <v>0</v>
      </c>
      <c r="L442" s="65" t="e">
        <f t="shared" ref="L442:L455" si="346">+J442/E442</f>
        <v>#DIV/0!</v>
      </c>
      <c r="M442" s="66">
        <v>32.946300000000001</v>
      </c>
      <c r="N442" s="67">
        <f t="shared" ref="N442:N462" si="347">+M442*G442</f>
        <v>0</v>
      </c>
      <c r="O442" s="67">
        <f t="shared" ref="O442:O450" si="348">M442*J442</f>
        <v>0</v>
      </c>
      <c r="P442" s="1124"/>
    </row>
    <row r="443" spans="2:16" x14ac:dyDescent="0.3">
      <c r="B443" s="1119"/>
      <c r="C443" s="1122" t="s">
        <v>77</v>
      </c>
      <c r="D443" s="61" t="s">
        <v>78</v>
      </c>
      <c r="E443" s="62">
        <v>0</v>
      </c>
      <c r="F443" s="63">
        <f t="shared" si="342"/>
        <v>4903</v>
      </c>
      <c r="G443" s="63">
        <v>4800</v>
      </c>
      <c r="H443" s="64">
        <v>103</v>
      </c>
      <c r="I443" s="79">
        <f t="shared" si="343"/>
        <v>9879</v>
      </c>
      <c r="J443" s="4">
        <f t="shared" si="344"/>
        <v>9600</v>
      </c>
      <c r="K443" s="4">
        <f t="shared" si="345"/>
        <v>279</v>
      </c>
      <c r="L443" s="65" t="e">
        <f t="shared" si="346"/>
        <v>#DIV/0!</v>
      </c>
      <c r="M443" s="66">
        <v>55.4758</v>
      </c>
      <c r="N443" s="67">
        <f t="shared" si="347"/>
        <v>266283.84000000003</v>
      </c>
      <c r="O443" s="67">
        <f t="shared" si="348"/>
        <v>532567.68000000005</v>
      </c>
      <c r="P443" s="1124"/>
    </row>
    <row r="444" spans="2:16" x14ac:dyDescent="0.3">
      <c r="B444" s="1119"/>
      <c r="C444" s="1122"/>
      <c r="D444" s="61" t="s">
        <v>141</v>
      </c>
      <c r="E444" s="62">
        <v>0</v>
      </c>
      <c r="F444" s="63">
        <f t="shared" si="342"/>
        <v>0</v>
      </c>
      <c r="G444" s="63">
        <v>0</v>
      </c>
      <c r="H444" s="64">
        <v>0</v>
      </c>
      <c r="I444" s="79">
        <f t="shared" si="343"/>
        <v>0</v>
      </c>
      <c r="J444" s="4">
        <f t="shared" si="344"/>
        <v>0</v>
      </c>
      <c r="K444" s="4">
        <f t="shared" si="345"/>
        <v>0</v>
      </c>
      <c r="L444" s="65" t="e">
        <f t="shared" si="346"/>
        <v>#DIV/0!</v>
      </c>
      <c r="M444" s="66">
        <v>53.515999999999998</v>
      </c>
      <c r="N444" s="67">
        <f t="shared" si="347"/>
        <v>0</v>
      </c>
      <c r="O444" s="67">
        <f t="shared" si="348"/>
        <v>0</v>
      </c>
      <c r="P444" s="1124"/>
    </row>
    <row r="445" spans="2:16" x14ac:dyDescent="0.3">
      <c r="B445" s="1119"/>
      <c r="C445" s="1122"/>
      <c r="D445" s="61" t="s">
        <v>75</v>
      </c>
      <c r="E445" s="62">
        <v>0</v>
      </c>
      <c r="F445" s="63">
        <f t="shared" si="342"/>
        <v>2479</v>
      </c>
      <c r="G445" s="63">
        <v>2400</v>
      </c>
      <c r="H445" s="64">
        <v>79</v>
      </c>
      <c r="I445" s="79">
        <f t="shared" si="343"/>
        <v>9804</v>
      </c>
      <c r="J445" s="4">
        <f t="shared" si="344"/>
        <v>9600</v>
      </c>
      <c r="K445" s="4">
        <f t="shared" si="345"/>
        <v>204</v>
      </c>
      <c r="L445" s="65" t="e">
        <f t="shared" si="346"/>
        <v>#DIV/0!</v>
      </c>
      <c r="M445" s="66">
        <v>58.836300000000001</v>
      </c>
      <c r="N445" s="67">
        <f t="shared" si="347"/>
        <v>141207.12</v>
      </c>
      <c r="O445" s="67">
        <f t="shared" si="348"/>
        <v>564828.48</v>
      </c>
      <c r="P445" s="1124"/>
    </row>
    <row r="446" spans="2:16" x14ac:dyDescent="0.3">
      <c r="B446" s="1119"/>
      <c r="C446" s="1126" t="s">
        <v>79</v>
      </c>
      <c r="D446" s="61" t="s">
        <v>80</v>
      </c>
      <c r="E446" s="62">
        <v>0</v>
      </c>
      <c r="F446" s="63">
        <f>G446+H446</f>
        <v>0</v>
      </c>
      <c r="G446" s="63">
        <v>0</v>
      </c>
      <c r="H446" s="64">
        <v>0</v>
      </c>
      <c r="I446" s="79">
        <f t="shared" si="343"/>
        <v>3675</v>
      </c>
      <c r="J446" s="4">
        <f t="shared" si="344"/>
        <v>3575</v>
      </c>
      <c r="K446" s="4">
        <f t="shared" si="345"/>
        <v>100</v>
      </c>
      <c r="L446" s="65" t="e">
        <f t="shared" si="346"/>
        <v>#DIV/0!</v>
      </c>
      <c r="M446" s="66">
        <v>25.687200000000001</v>
      </c>
      <c r="N446" s="67">
        <f t="shared" si="347"/>
        <v>0</v>
      </c>
      <c r="O446" s="67">
        <f t="shared" si="348"/>
        <v>91831.74</v>
      </c>
      <c r="P446" s="1124"/>
    </row>
    <row r="447" spans="2:16" x14ac:dyDescent="0.3">
      <c r="B447" s="1119"/>
      <c r="C447" s="1127"/>
      <c r="D447" s="61" t="s">
        <v>124</v>
      </c>
      <c r="E447" s="62">
        <v>0</v>
      </c>
      <c r="F447" s="63">
        <f>G447+H447</f>
        <v>0</v>
      </c>
      <c r="G447" s="63">
        <v>0</v>
      </c>
      <c r="H447" s="64">
        <v>0</v>
      </c>
      <c r="I447" s="79">
        <f t="shared" si="343"/>
        <v>0</v>
      </c>
      <c r="J447" s="4">
        <f t="shared" si="344"/>
        <v>0</v>
      </c>
      <c r="K447" s="4">
        <f>H447+K382</f>
        <v>0</v>
      </c>
      <c r="L447" s="65" t="e">
        <f t="shared" si="346"/>
        <v>#DIV/0!</v>
      </c>
      <c r="M447" s="66">
        <v>25.033899999999999</v>
      </c>
      <c r="N447" s="67">
        <f t="shared" si="347"/>
        <v>0</v>
      </c>
      <c r="O447" s="67">
        <f t="shared" si="348"/>
        <v>0</v>
      </c>
      <c r="P447" s="1124"/>
    </row>
    <row r="448" spans="2:16" x14ac:dyDescent="0.3">
      <c r="B448" s="1119"/>
      <c r="C448" s="1126" t="s">
        <v>81</v>
      </c>
      <c r="D448" s="61" t="s">
        <v>82</v>
      </c>
      <c r="E448" s="62">
        <v>0</v>
      </c>
      <c r="F448" s="63">
        <f t="shared" ref="F448:F467" si="349">G448+H448</f>
        <v>0</v>
      </c>
      <c r="G448" s="63">
        <v>0</v>
      </c>
      <c r="H448" s="64">
        <v>0</v>
      </c>
      <c r="I448" s="79">
        <f t="shared" si="343"/>
        <v>8113</v>
      </c>
      <c r="J448" s="4">
        <f t="shared" si="344"/>
        <v>8000</v>
      </c>
      <c r="K448" s="4">
        <f t="shared" ref="K448:K467" si="350">H448+K383</f>
        <v>113</v>
      </c>
      <c r="L448" s="65" t="e">
        <f t="shared" si="346"/>
        <v>#DIV/0!</v>
      </c>
      <c r="M448" s="66">
        <v>41.992699999999999</v>
      </c>
      <c r="N448" s="67">
        <f t="shared" si="347"/>
        <v>0</v>
      </c>
      <c r="O448" s="67">
        <f t="shared" si="348"/>
        <v>335941.6</v>
      </c>
      <c r="P448" s="1124"/>
    </row>
    <row r="449" spans="2:16" x14ac:dyDescent="0.3">
      <c r="B449" s="1119"/>
      <c r="C449" s="1127"/>
      <c r="D449" s="61" t="s">
        <v>75</v>
      </c>
      <c r="E449" s="62">
        <v>0</v>
      </c>
      <c r="F449" s="63">
        <f t="shared" si="349"/>
        <v>0</v>
      </c>
      <c r="G449" s="63">
        <v>0</v>
      </c>
      <c r="H449" s="64">
        <v>0</v>
      </c>
      <c r="I449" s="79">
        <f t="shared" si="343"/>
        <v>0</v>
      </c>
      <c r="J449" s="4">
        <f t="shared" si="344"/>
        <v>0</v>
      </c>
      <c r="K449" s="4">
        <f t="shared" si="350"/>
        <v>0</v>
      </c>
      <c r="L449" s="65" t="e">
        <f t="shared" si="346"/>
        <v>#DIV/0!</v>
      </c>
      <c r="M449" s="66">
        <v>42.283799999999999</v>
      </c>
      <c r="N449" s="67">
        <f t="shared" si="347"/>
        <v>0</v>
      </c>
      <c r="O449" s="67">
        <f t="shared" si="348"/>
        <v>0</v>
      </c>
      <c r="P449" s="1124"/>
    </row>
    <row r="450" spans="2:16" x14ac:dyDescent="0.3">
      <c r="B450" s="1119"/>
      <c r="C450" s="184" t="s">
        <v>83</v>
      </c>
      <c r="D450" s="61" t="s">
        <v>84</v>
      </c>
      <c r="E450" s="62">
        <v>0</v>
      </c>
      <c r="F450" s="63">
        <f t="shared" si="349"/>
        <v>0</v>
      </c>
      <c r="G450" s="63">
        <v>0</v>
      </c>
      <c r="H450" s="64">
        <v>0</v>
      </c>
      <c r="I450" s="79">
        <f t="shared" si="343"/>
        <v>10898</v>
      </c>
      <c r="J450" s="4">
        <f t="shared" si="344"/>
        <v>10500</v>
      </c>
      <c r="K450" s="4">
        <f t="shared" si="350"/>
        <v>398</v>
      </c>
      <c r="L450" s="65" t="e">
        <f t="shared" si="346"/>
        <v>#DIV/0!</v>
      </c>
      <c r="M450" s="66">
        <v>4.3535000000000004</v>
      </c>
      <c r="N450" s="67">
        <f t="shared" si="347"/>
        <v>0</v>
      </c>
      <c r="O450" s="67">
        <f t="shared" si="348"/>
        <v>45711.750000000007</v>
      </c>
      <c r="P450" s="1124"/>
    </row>
    <row r="451" spans="2:16" x14ac:dyDescent="0.3">
      <c r="B451" s="1119"/>
      <c r="C451" s="1122" t="s">
        <v>85</v>
      </c>
      <c r="D451" s="61" t="s">
        <v>80</v>
      </c>
      <c r="E451" s="62">
        <v>0</v>
      </c>
      <c r="F451" s="63">
        <f t="shared" si="349"/>
        <v>0</v>
      </c>
      <c r="G451" s="63">
        <v>0</v>
      </c>
      <c r="H451" s="64">
        <v>0</v>
      </c>
      <c r="I451" s="79">
        <f t="shared" si="343"/>
        <v>0</v>
      </c>
      <c r="J451" s="4">
        <f t="shared" si="344"/>
        <v>0</v>
      </c>
      <c r="K451" s="4">
        <f t="shared" si="350"/>
        <v>0</v>
      </c>
      <c r="L451" s="65" t="e">
        <f t="shared" si="346"/>
        <v>#DIV/0!</v>
      </c>
      <c r="M451" s="66">
        <v>4.6184000000000003</v>
      </c>
      <c r="N451" s="67">
        <f t="shared" si="347"/>
        <v>0</v>
      </c>
      <c r="O451" s="67">
        <f>M451*J451</f>
        <v>0</v>
      </c>
      <c r="P451" s="1124"/>
    </row>
    <row r="452" spans="2:16" x14ac:dyDescent="0.3">
      <c r="B452" s="1119"/>
      <c r="C452" s="1122"/>
      <c r="D452" s="61" t="s">
        <v>126</v>
      </c>
      <c r="E452" s="62">
        <v>0</v>
      </c>
      <c r="F452" s="63">
        <f t="shared" si="349"/>
        <v>0</v>
      </c>
      <c r="G452" s="63">
        <v>0</v>
      </c>
      <c r="H452" s="64">
        <v>0</v>
      </c>
      <c r="I452" s="79">
        <f>J452+K452</f>
        <v>0</v>
      </c>
      <c r="J452" s="4">
        <f t="shared" si="344"/>
        <v>0</v>
      </c>
      <c r="K452" s="4">
        <f t="shared" si="350"/>
        <v>0</v>
      </c>
      <c r="L452" s="65" t="e">
        <f t="shared" si="346"/>
        <v>#DIV/0!</v>
      </c>
      <c r="M452" s="153">
        <v>4.6184000000000003</v>
      </c>
      <c r="N452" s="67">
        <f t="shared" si="347"/>
        <v>0</v>
      </c>
      <c r="O452" s="67">
        <f>M452*J452</f>
        <v>0</v>
      </c>
      <c r="P452" s="1124"/>
    </row>
    <row r="453" spans="2:16" x14ac:dyDescent="0.3">
      <c r="B453" s="1119"/>
      <c r="C453" s="1122"/>
      <c r="D453" s="61" t="s">
        <v>130</v>
      </c>
      <c r="E453" s="62">
        <v>0</v>
      </c>
      <c r="F453" s="63">
        <f t="shared" si="349"/>
        <v>0</v>
      </c>
      <c r="G453" s="63">
        <v>0</v>
      </c>
      <c r="H453" s="64">
        <v>0</v>
      </c>
      <c r="I453" s="79">
        <f t="shared" ref="I453:I467" si="351">J453+K453</f>
        <v>0</v>
      </c>
      <c r="J453" s="4">
        <f t="shared" si="344"/>
        <v>0</v>
      </c>
      <c r="K453" s="4">
        <f t="shared" si="350"/>
        <v>0</v>
      </c>
      <c r="L453" s="65" t="e">
        <f t="shared" si="346"/>
        <v>#DIV/0!</v>
      </c>
      <c r="M453" s="153">
        <v>4.6184000000000003</v>
      </c>
      <c r="N453" s="67">
        <f t="shared" si="347"/>
        <v>0</v>
      </c>
      <c r="O453" s="67">
        <f t="shared" ref="O453:O458" si="352">M453*J453</f>
        <v>0</v>
      </c>
      <c r="P453" s="1124"/>
    </row>
    <row r="454" spans="2:16" x14ac:dyDescent="0.3">
      <c r="B454" s="1119"/>
      <c r="C454" s="1122"/>
      <c r="D454" s="61" t="s">
        <v>131</v>
      </c>
      <c r="E454" s="62">
        <v>0</v>
      </c>
      <c r="F454" s="63">
        <f t="shared" si="349"/>
        <v>24589</v>
      </c>
      <c r="G454" s="63">
        <v>24200</v>
      </c>
      <c r="H454" s="64">
        <v>389</v>
      </c>
      <c r="I454" s="79">
        <f t="shared" si="351"/>
        <v>152113</v>
      </c>
      <c r="J454" s="4">
        <f t="shared" si="344"/>
        <v>147655</v>
      </c>
      <c r="K454" s="4">
        <f t="shared" si="350"/>
        <v>4458</v>
      </c>
      <c r="L454" s="65" t="e">
        <f t="shared" si="346"/>
        <v>#DIV/0!</v>
      </c>
      <c r="M454" s="153">
        <v>4.7636000000000003</v>
      </c>
      <c r="N454" s="67">
        <f t="shared" si="347"/>
        <v>115279.12000000001</v>
      </c>
      <c r="O454" s="67">
        <f t="shared" si="352"/>
        <v>703369.35800000001</v>
      </c>
      <c r="P454" s="1124"/>
    </row>
    <row r="455" spans="2:16" x14ac:dyDescent="0.3">
      <c r="B455" s="1119"/>
      <c r="C455" s="1122"/>
      <c r="D455" s="61" t="s">
        <v>86</v>
      </c>
      <c r="E455" s="62">
        <v>0</v>
      </c>
      <c r="F455" s="63">
        <f t="shared" si="349"/>
        <v>0</v>
      </c>
      <c r="G455" s="63">
        <v>0</v>
      </c>
      <c r="H455" s="64">
        <v>0</v>
      </c>
      <c r="I455" s="79">
        <f t="shared" si="351"/>
        <v>0</v>
      </c>
      <c r="J455" s="4">
        <f t="shared" si="344"/>
        <v>0</v>
      </c>
      <c r="K455" s="4">
        <f t="shared" si="350"/>
        <v>0</v>
      </c>
      <c r="L455" s="65" t="e">
        <f t="shared" si="346"/>
        <v>#DIV/0!</v>
      </c>
      <c r="M455" s="66">
        <v>4.8738000000000001</v>
      </c>
      <c r="N455" s="67">
        <f t="shared" si="347"/>
        <v>0</v>
      </c>
      <c r="O455" s="67">
        <f t="shared" si="352"/>
        <v>0</v>
      </c>
      <c r="P455" s="1124"/>
    </row>
    <row r="456" spans="2:16" x14ac:dyDescent="0.3">
      <c r="B456" s="1119"/>
      <c r="C456" s="184" t="s">
        <v>135</v>
      </c>
      <c r="D456" s="61" t="s">
        <v>131</v>
      </c>
      <c r="E456" s="62"/>
      <c r="F456" s="63">
        <f t="shared" si="349"/>
        <v>0</v>
      </c>
      <c r="G456" s="63">
        <v>0</v>
      </c>
      <c r="H456" s="64">
        <v>0</v>
      </c>
      <c r="I456" s="79">
        <f t="shared" si="351"/>
        <v>0</v>
      </c>
      <c r="J456" s="4">
        <f t="shared" si="344"/>
        <v>0</v>
      </c>
      <c r="K456" s="4">
        <f t="shared" si="350"/>
        <v>0</v>
      </c>
      <c r="L456" s="65"/>
      <c r="M456" s="66">
        <v>4.8738000000000001</v>
      </c>
      <c r="N456" s="67">
        <f t="shared" si="347"/>
        <v>0</v>
      </c>
      <c r="O456" s="67">
        <f t="shared" si="352"/>
        <v>0</v>
      </c>
      <c r="P456" s="1124"/>
    </row>
    <row r="457" spans="2:16" x14ac:dyDescent="0.3">
      <c r="B457" s="1119"/>
      <c r="C457" s="1122" t="s">
        <v>87</v>
      </c>
      <c r="D457" s="61" t="s">
        <v>80</v>
      </c>
      <c r="E457" s="62">
        <v>0</v>
      </c>
      <c r="F457" s="63">
        <f t="shared" si="349"/>
        <v>9848</v>
      </c>
      <c r="G457" s="63">
        <v>9750</v>
      </c>
      <c r="H457" s="64">
        <v>98</v>
      </c>
      <c r="I457" s="79">
        <f t="shared" si="351"/>
        <v>140327</v>
      </c>
      <c r="J457" s="4">
        <f t="shared" si="344"/>
        <v>138550</v>
      </c>
      <c r="K457" s="4">
        <f t="shared" si="350"/>
        <v>1777</v>
      </c>
      <c r="L457" s="65" t="e">
        <f t="shared" ref="L457:L467" si="353">+J457/E457</f>
        <v>#DIV/0!</v>
      </c>
      <c r="M457" s="66">
        <v>4.9344999999999999</v>
      </c>
      <c r="N457" s="67">
        <f t="shared" si="347"/>
        <v>48111.375</v>
      </c>
      <c r="O457" s="67">
        <f t="shared" si="352"/>
        <v>683674.97499999998</v>
      </c>
      <c r="P457" s="1124"/>
    </row>
    <row r="458" spans="2:16" x14ac:dyDescent="0.3">
      <c r="B458" s="1119"/>
      <c r="C458" s="1122"/>
      <c r="D458" s="61" t="s">
        <v>142</v>
      </c>
      <c r="E458" s="62"/>
      <c r="F458" s="63">
        <f t="shared" si="349"/>
        <v>0</v>
      </c>
      <c r="G458" s="63">
        <v>0</v>
      </c>
      <c r="H458" s="64">
        <v>0</v>
      </c>
      <c r="I458" s="79">
        <f t="shared" si="351"/>
        <v>0</v>
      </c>
      <c r="J458" s="4">
        <f t="shared" si="344"/>
        <v>0</v>
      </c>
      <c r="K458" s="4">
        <f t="shared" si="350"/>
        <v>0</v>
      </c>
      <c r="L458" s="65" t="e">
        <f t="shared" si="353"/>
        <v>#DIV/0!</v>
      </c>
      <c r="M458" s="66">
        <v>4.9344999999999999</v>
      </c>
      <c r="N458" s="67">
        <f t="shared" si="347"/>
        <v>0</v>
      </c>
      <c r="O458" s="67">
        <f t="shared" si="352"/>
        <v>0</v>
      </c>
      <c r="P458" s="1124"/>
    </row>
    <row r="459" spans="2:16" x14ac:dyDescent="0.3">
      <c r="B459" s="1119"/>
      <c r="C459" s="1122"/>
      <c r="D459" s="61" t="s">
        <v>136</v>
      </c>
      <c r="E459" s="62">
        <v>0</v>
      </c>
      <c r="F459" s="63">
        <f t="shared" si="349"/>
        <v>0</v>
      </c>
      <c r="G459" s="155">
        <v>0</v>
      </c>
      <c r="H459" s="156">
        <v>0</v>
      </c>
      <c r="I459" s="157">
        <f t="shared" si="351"/>
        <v>0</v>
      </c>
      <c r="J459" s="4">
        <f t="shared" si="344"/>
        <v>0</v>
      </c>
      <c r="K459" s="4">
        <f t="shared" si="350"/>
        <v>0</v>
      </c>
      <c r="L459" s="158" t="e">
        <f t="shared" si="353"/>
        <v>#DIV/0!</v>
      </c>
      <c r="M459" s="66">
        <v>4.9344999999999999</v>
      </c>
      <c r="N459" s="159">
        <f t="shared" si="347"/>
        <v>0</v>
      </c>
      <c r="O459" s="67">
        <f>M459*J459</f>
        <v>0</v>
      </c>
      <c r="P459" s="1124"/>
    </row>
    <row r="460" spans="2:16" x14ac:dyDescent="0.3">
      <c r="B460" s="1119"/>
      <c r="C460" s="1122" t="s">
        <v>88</v>
      </c>
      <c r="D460" s="61" t="s">
        <v>80</v>
      </c>
      <c r="E460" s="62">
        <v>0</v>
      </c>
      <c r="F460" s="63">
        <f t="shared" si="349"/>
        <v>1392</v>
      </c>
      <c r="G460" s="63">
        <v>1000</v>
      </c>
      <c r="H460" s="64">
        <v>392</v>
      </c>
      <c r="I460" s="79">
        <f t="shared" si="351"/>
        <v>113515</v>
      </c>
      <c r="J460" s="4">
        <f t="shared" si="344"/>
        <v>106950</v>
      </c>
      <c r="K460" s="4">
        <f t="shared" si="350"/>
        <v>6565</v>
      </c>
      <c r="L460" s="65" t="e">
        <f t="shared" si="353"/>
        <v>#DIV/0!</v>
      </c>
      <c r="M460" s="148">
        <v>5.5069999999999997</v>
      </c>
      <c r="N460" s="67">
        <f t="shared" si="347"/>
        <v>5507</v>
      </c>
      <c r="O460" s="67">
        <f>M460*J460</f>
        <v>588973.64999999991</v>
      </c>
      <c r="P460" s="1124"/>
    </row>
    <row r="461" spans="2:16" x14ac:dyDescent="0.3">
      <c r="B461" s="1119"/>
      <c r="C461" s="1122"/>
      <c r="D461" s="61" t="s">
        <v>119</v>
      </c>
      <c r="E461" s="62">
        <v>0</v>
      </c>
      <c r="F461" s="63">
        <f t="shared" si="349"/>
        <v>10950</v>
      </c>
      <c r="G461" s="63">
        <v>10900</v>
      </c>
      <c r="H461" s="64">
        <v>50</v>
      </c>
      <c r="I461" s="79">
        <f t="shared" si="351"/>
        <v>10950</v>
      </c>
      <c r="J461" s="4">
        <f t="shared" si="344"/>
        <v>10900</v>
      </c>
      <c r="K461" s="4">
        <f t="shared" si="350"/>
        <v>50</v>
      </c>
      <c r="L461" s="65" t="e">
        <f t="shared" si="353"/>
        <v>#DIV/0!</v>
      </c>
      <c r="M461" s="147">
        <v>5.6550000000000002</v>
      </c>
      <c r="N461" s="67">
        <f t="shared" si="347"/>
        <v>61639.5</v>
      </c>
      <c r="O461" s="67">
        <f>M461*J461</f>
        <v>61639.5</v>
      </c>
      <c r="P461" s="1124"/>
    </row>
    <row r="462" spans="2:16" x14ac:dyDescent="0.3">
      <c r="B462" s="1119"/>
      <c r="C462" s="1122"/>
      <c r="D462" s="61" t="s">
        <v>125</v>
      </c>
      <c r="E462" s="62">
        <v>0</v>
      </c>
      <c r="F462" s="63">
        <f t="shared" si="349"/>
        <v>0</v>
      </c>
      <c r="G462" s="63">
        <v>0</v>
      </c>
      <c r="H462" s="64">
        <v>0</v>
      </c>
      <c r="I462" s="79">
        <f t="shared" si="351"/>
        <v>0</v>
      </c>
      <c r="J462" s="4">
        <f t="shared" si="344"/>
        <v>0</v>
      </c>
      <c r="K462" s="4">
        <f t="shared" si="350"/>
        <v>0</v>
      </c>
      <c r="L462" s="65" t="e">
        <f t="shared" si="353"/>
        <v>#DIV/0!</v>
      </c>
      <c r="M462" s="152">
        <v>5.6550000000000002</v>
      </c>
      <c r="N462" s="67">
        <f t="shared" si="347"/>
        <v>0</v>
      </c>
      <c r="O462" s="67">
        <f>M462*J462</f>
        <v>0</v>
      </c>
      <c r="P462" s="1124"/>
    </row>
    <row r="463" spans="2:16" x14ac:dyDescent="0.3">
      <c r="B463" s="1119"/>
      <c r="C463" s="1122"/>
      <c r="D463" s="61" t="s">
        <v>128</v>
      </c>
      <c r="E463" s="62">
        <v>0</v>
      </c>
      <c r="F463" s="63">
        <f t="shared" si="349"/>
        <v>0</v>
      </c>
      <c r="G463" s="63">
        <v>0</v>
      </c>
      <c r="H463" s="64">
        <v>0</v>
      </c>
      <c r="I463" s="79">
        <f t="shared" si="351"/>
        <v>12400</v>
      </c>
      <c r="J463" s="4">
        <f t="shared" si="344"/>
        <v>10900</v>
      </c>
      <c r="K463" s="4">
        <f t="shared" si="350"/>
        <v>1500</v>
      </c>
      <c r="L463" s="65" t="e">
        <f t="shared" si="353"/>
        <v>#DIV/0!</v>
      </c>
      <c r="M463" s="66">
        <v>5.7885299999999997</v>
      </c>
      <c r="N463" s="67">
        <f>+M463*G463</f>
        <v>0</v>
      </c>
      <c r="O463" s="67">
        <f>M463*J463</f>
        <v>63094.976999999999</v>
      </c>
      <c r="P463" s="1124"/>
    </row>
    <row r="464" spans="2:16" x14ac:dyDescent="0.3">
      <c r="B464" s="1119"/>
      <c r="C464" s="1122"/>
      <c r="D464" s="61" t="s">
        <v>143</v>
      </c>
      <c r="E464" s="62">
        <v>0</v>
      </c>
      <c r="F464" s="63">
        <f t="shared" si="349"/>
        <v>0</v>
      </c>
      <c r="G464" s="63">
        <v>0</v>
      </c>
      <c r="H464" s="64">
        <v>0</v>
      </c>
      <c r="I464" s="79">
        <f t="shared" si="351"/>
        <v>0</v>
      </c>
      <c r="J464" s="4">
        <f t="shared" si="344"/>
        <v>0</v>
      </c>
      <c r="K464" s="4">
        <f t="shared" si="350"/>
        <v>0</v>
      </c>
      <c r="L464" s="65" t="e">
        <f t="shared" si="353"/>
        <v>#DIV/0!</v>
      </c>
      <c r="M464" s="152">
        <v>5.6550000000000002</v>
      </c>
      <c r="N464" s="67">
        <f t="shared" ref="N464:N466" si="354">+M464*G464</f>
        <v>0</v>
      </c>
      <c r="O464" s="67">
        <f t="shared" ref="O464:O467" si="355">M464*J464</f>
        <v>0</v>
      </c>
      <c r="P464" s="1124"/>
    </row>
    <row r="465" spans="2:16" x14ac:dyDescent="0.3">
      <c r="B465" s="1119"/>
      <c r="C465" s="184" t="s">
        <v>89</v>
      </c>
      <c r="D465" s="61" t="s">
        <v>80</v>
      </c>
      <c r="E465" s="62">
        <v>0</v>
      </c>
      <c r="F465" s="63">
        <f t="shared" si="349"/>
        <v>0</v>
      </c>
      <c r="G465" s="63">
        <v>0</v>
      </c>
      <c r="H465" s="64">
        <v>0</v>
      </c>
      <c r="I465" s="79">
        <f t="shared" si="351"/>
        <v>0</v>
      </c>
      <c r="J465" s="4">
        <f t="shared" si="344"/>
        <v>0</v>
      </c>
      <c r="K465" s="4">
        <f t="shared" si="350"/>
        <v>0</v>
      </c>
      <c r="L465" s="65" t="e">
        <f t="shared" si="353"/>
        <v>#DIV/0!</v>
      </c>
      <c r="M465" s="66">
        <v>3.2963</v>
      </c>
      <c r="N465" s="67">
        <f t="shared" si="354"/>
        <v>0</v>
      </c>
      <c r="O465" s="67">
        <f t="shared" si="355"/>
        <v>0</v>
      </c>
      <c r="P465" s="1124"/>
    </row>
    <row r="466" spans="2:16" x14ac:dyDescent="0.3">
      <c r="B466" s="1119"/>
      <c r="C466" s="184" t="s">
        <v>90</v>
      </c>
      <c r="D466" s="61" t="s">
        <v>80</v>
      </c>
      <c r="E466" s="62">
        <v>0</v>
      </c>
      <c r="F466" s="63">
        <f t="shared" si="349"/>
        <v>0</v>
      </c>
      <c r="G466" s="63">
        <v>0</v>
      </c>
      <c r="H466" s="64">
        <v>0</v>
      </c>
      <c r="I466" s="79">
        <f t="shared" si="351"/>
        <v>0</v>
      </c>
      <c r="J466" s="4">
        <f t="shared" si="344"/>
        <v>0</v>
      </c>
      <c r="K466" s="4">
        <f t="shared" si="350"/>
        <v>0</v>
      </c>
      <c r="L466" s="65" t="e">
        <f t="shared" si="353"/>
        <v>#DIV/0!</v>
      </c>
      <c r="M466" s="66">
        <v>3.2963</v>
      </c>
      <c r="N466" s="67">
        <f t="shared" si="354"/>
        <v>0</v>
      </c>
      <c r="O466" s="67">
        <f t="shared" si="355"/>
        <v>0</v>
      </c>
      <c r="P466" s="1124"/>
    </row>
    <row r="467" spans="2:16" ht="15" thickBot="1" x14ac:dyDescent="0.35">
      <c r="B467" s="1119"/>
      <c r="C467" s="68" t="s">
        <v>91</v>
      </c>
      <c r="D467" s="69" t="s">
        <v>92</v>
      </c>
      <c r="E467" s="70">
        <v>0</v>
      </c>
      <c r="F467" s="71">
        <f t="shared" si="349"/>
        <v>0</v>
      </c>
      <c r="G467" s="71">
        <v>0</v>
      </c>
      <c r="H467" s="72">
        <v>0</v>
      </c>
      <c r="I467" s="80">
        <f t="shared" si="351"/>
        <v>65030</v>
      </c>
      <c r="J467" s="4">
        <f t="shared" si="344"/>
        <v>65000</v>
      </c>
      <c r="K467" s="4">
        <f t="shared" si="350"/>
        <v>30</v>
      </c>
      <c r="L467" s="65" t="e">
        <f t="shared" si="353"/>
        <v>#DIV/0!</v>
      </c>
      <c r="M467" s="73">
        <v>2.3201000000000001</v>
      </c>
      <c r="N467" s="74">
        <f t="shared" ref="N467" si="356">M467*G467</f>
        <v>0</v>
      </c>
      <c r="O467" s="74">
        <f t="shared" si="355"/>
        <v>150806.5</v>
      </c>
      <c r="P467" s="1125"/>
    </row>
    <row r="468" spans="2:16" ht="15" thickBot="1" x14ac:dyDescent="0.35">
      <c r="B468" s="1120"/>
      <c r="C468" s="1128" t="s">
        <v>106</v>
      </c>
      <c r="D468" s="1129"/>
      <c r="E468" s="1129"/>
      <c r="F468" s="1129"/>
      <c r="G468" s="1129"/>
      <c r="H468" s="1130"/>
      <c r="I468" s="116">
        <f>J468+K468</f>
        <v>556999</v>
      </c>
      <c r="J468" s="115">
        <f>SUM(J440:J467)</f>
        <v>541230</v>
      </c>
      <c r="K468" s="115">
        <f>SUM(K440:K467)</f>
        <v>15769</v>
      </c>
      <c r="L468" s="114"/>
      <c r="M468" s="113"/>
      <c r="N468" s="114"/>
      <c r="O468" s="97">
        <f>SUM(O440:O467)</f>
        <v>4530408.21</v>
      </c>
      <c r="P468" s="96"/>
    </row>
    <row r="469" spans="2:16" ht="15" thickBot="1" x14ac:dyDescent="0.35">
      <c r="B469" s="100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2"/>
    </row>
    <row r="470" spans="2:16" ht="15" thickBot="1" x14ac:dyDescent="0.35">
      <c r="B470" s="1113" t="s">
        <v>107</v>
      </c>
      <c r="C470" s="1114"/>
      <c r="D470" s="1114"/>
      <c r="E470" s="1114"/>
      <c r="F470" s="1114"/>
      <c r="G470" s="1114"/>
      <c r="H470" s="1114"/>
      <c r="I470" s="1114"/>
      <c r="J470" s="1114"/>
      <c r="K470" s="1114"/>
      <c r="L470" s="1114"/>
      <c r="M470" s="1114"/>
      <c r="N470" s="1115"/>
      <c r="O470" s="103">
        <f>+O468+O439+O424</f>
        <v>9949277.4120000005</v>
      </c>
      <c r="P470" s="96"/>
    </row>
    <row r="471" spans="2:16" ht="15" thickBot="1" x14ac:dyDescent="0.35"/>
    <row r="472" spans="2:16" x14ac:dyDescent="0.3">
      <c r="B472" s="1147" t="s">
        <v>1</v>
      </c>
      <c r="C472" s="1149" t="s">
        <v>2</v>
      </c>
      <c r="D472" s="1152" t="s">
        <v>3</v>
      </c>
      <c r="E472" s="1155" t="s">
        <v>4</v>
      </c>
      <c r="F472" s="1156"/>
      <c r="G472" s="1156"/>
      <c r="H472" s="1156"/>
      <c r="I472" s="1156"/>
      <c r="J472" s="1156"/>
      <c r="K472" s="1156"/>
      <c r="L472" s="1157"/>
      <c r="M472" s="1158" t="s">
        <v>5</v>
      </c>
      <c r="N472" s="1159"/>
      <c r="O472" s="1160"/>
      <c r="P472" s="1152" t="s">
        <v>6</v>
      </c>
    </row>
    <row r="473" spans="2:16" x14ac:dyDescent="0.3">
      <c r="B473" s="1148"/>
      <c r="C473" s="1150"/>
      <c r="D473" s="1153"/>
      <c r="E473" s="1161" t="s">
        <v>7</v>
      </c>
      <c r="F473" s="1163" t="s">
        <v>155</v>
      </c>
      <c r="G473" s="1163"/>
      <c r="H473" s="1164"/>
      <c r="I473" s="1165" t="s">
        <v>8</v>
      </c>
      <c r="J473" s="1163"/>
      <c r="K473" s="1163"/>
      <c r="L473" s="1164" t="s">
        <v>9</v>
      </c>
      <c r="M473" s="1167" t="s">
        <v>10</v>
      </c>
      <c r="N473" s="1169" t="s">
        <v>11</v>
      </c>
      <c r="O473" s="1171" t="s">
        <v>12</v>
      </c>
      <c r="P473" s="1153"/>
    </row>
    <row r="474" spans="2:16" ht="15" thickBot="1" x14ac:dyDescent="0.35">
      <c r="B474" s="1148"/>
      <c r="C474" s="1151"/>
      <c r="D474" s="1154"/>
      <c r="E474" s="1162"/>
      <c r="F474" s="2" t="s">
        <v>13</v>
      </c>
      <c r="G474" s="2" t="s">
        <v>14</v>
      </c>
      <c r="H474" s="187" t="s">
        <v>15</v>
      </c>
      <c r="I474" s="142" t="s">
        <v>13</v>
      </c>
      <c r="J474" s="2" t="s">
        <v>14</v>
      </c>
      <c r="K474" s="2" t="s">
        <v>15</v>
      </c>
      <c r="L474" s="1166"/>
      <c r="M474" s="1168"/>
      <c r="N474" s="1170"/>
      <c r="O474" s="1172"/>
      <c r="P474" s="1154"/>
    </row>
    <row r="475" spans="2:16" x14ac:dyDescent="0.3">
      <c r="B475" s="1131" t="s">
        <v>56</v>
      </c>
      <c r="C475" s="29"/>
      <c r="D475" s="117" t="s">
        <v>151</v>
      </c>
      <c r="E475" s="98">
        <v>0</v>
      </c>
      <c r="F475" s="4">
        <f>+G475+H475</f>
        <v>0</v>
      </c>
      <c r="G475" s="4">
        <v>0</v>
      </c>
      <c r="H475" s="8">
        <v>0</v>
      </c>
      <c r="I475" s="6">
        <f>J475+K475</f>
        <v>224702</v>
      </c>
      <c r="J475" s="4">
        <f>G475+J410</f>
        <v>220640</v>
      </c>
      <c r="K475" s="4">
        <f>H475+K410</f>
        <v>4062</v>
      </c>
      <c r="L475" s="33" t="e">
        <f>+J475/E475</f>
        <v>#DIV/0!</v>
      </c>
      <c r="M475" s="104">
        <v>1.3652</v>
      </c>
      <c r="N475" s="31">
        <f>G475*M475</f>
        <v>0</v>
      </c>
      <c r="O475" s="86">
        <f>M475*J475</f>
        <v>301217.728</v>
      </c>
      <c r="P475" s="1133"/>
    </row>
    <row r="476" spans="2:16" x14ac:dyDescent="0.3">
      <c r="B476" s="1132"/>
      <c r="C476" s="32"/>
      <c r="D476" s="118" t="s">
        <v>116</v>
      </c>
      <c r="E476" s="99">
        <v>0</v>
      </c>
      <c r="F476" s="9">
        <f>+G476+H476</f>
        <v>0</v>
      </c>
      <c r="G476" s="9">
        <v>0</v>
      </c>
      <c r="H476" s="10">
        <v>0</v>
      </c>
      <c r="I476" s="6">
        <f>J476+K476</f>
        <v>0</v>
      </c>
      <c r="J476" s="4">
        <f>+G476+J411</f>
        <v>0</v>
      </c>
      <c r="K476" s="4">
        <f>+H476+K411</f>
        <v>0</v>
      </c>
      <c r="L476" s="33"/>
      <c r="M476" s="105">
        <v>5.9917999999999996</v>
      </c>
      <c r="N476" s="34">
        <f>M476*G476</f>
        <v>0</v>
      </c>
      <c r="O476" s="87">
        <f>M476*J476</f>
        <v>0</v>
      </c>
      <c r="P476" s="1134"/>
    </row>
    <row r="477" spans="2:16" x14ac:dyDescent="0.3">
      <c r="B477" s="1132"/>
      <c r="C477" s="35"/>
      <c r="D477" s="119" t="s">
        <v>58</v>
      </c>
      <c r="E477" s="99">
        <v>0</v>
      </c>
      <c r="F477" s="9">
        <f t="shared" ref="F477:F481" si="357">+G477+H477</f>
        <v>0</v>
      </c>
      <c r="G477" s="9">
        <v>0</v>
      </c>
      <c r="H477" s="10">
        <v>0</v>
      </c>
      <c r="I477" s="6">
        <f t="shared" ref="I477:I481" si="358">J477+K477</f>
        <v>1336583</v>
      </c>
      <c r="J477" s="4">
        <f t="shared" ref="J477:J481" si="359">+G477+J412</f>
        <v>1325750</v>
      </c>
      <c r="K477" s="4">
        <f t="shared" ref="K477:K481" si="360">+H477+K412</f>
        <v>10833</v>
      </c>
      <c r="L477" s="33" t="e">
        <f t="shared" ref="L477" si="361">+J477/E477</f>
        <v>#DIV/0!</v>
      </c>
      <c r="M477" s="106">
        <v>2.3807999999999998</v>
      </c>
      <c r="N477" s="36">
        <f>G477*M477</f>
        <v>0</v>
      </c>
      <c r="O477" s="88">
        <f>M477*J477</f>
        <v>3156345.5999999996</v>
      </c>
      <c r="P477" s="1134"/>
    </row>
    <row r="478" spans="2:16" x14ac:dyDescent="0.3">
      <c r="B478" s="1132"/>
      <c r="C478" s="35"/>
      <c r="D478" s="119" t="s">
        <v>59</v>
      </c>
      <c r="E478" s="99">
        <v>0</v>
      </c>
      <c r="F478" s="9">
        <f t="shared" si="357"/>
        <v>0</v>
      </c>
      <c r="G478" s="9">
        <v>0</v>
      </c>
      <c r="H478" s="10">
        <v>0</v>
      </c>
      <c r="I478" s="6">
        <f t="shared" si="358"/>
        <v>0</v>
      </c>
      <c r="J478" s="4">
        <f t="shared" si="359"/>
        <v>0</v>
      </c>
      <c r="K478" s="4">
        <f t="shared" si="360"/>
        <v>0</v>
      </c>
      <c r="L478" s="33"/>
      <c r="M478" s="106">
        <v>2.1457999999999999</v>
      </c>
      <c r="N478" s="36">
        <f t="shared" ref="N478:N481" si="362">G478*M478</f>
        <v>0</v>
      </c>
      <c r="O478" s="88">
        <f>M478*J478</f>
        <v>0</v>
      </c>
      <c r="P478" s="1134"/>
    </row>
    <row r="479" spans="2:16" x14ac:dyDescent="0.3">
      <c r="B479" s="1132"/>
      <c r="C479" s="35"/>
      <c r="D479" s="119" t="s">
        <v>113</v>
      </c>
      <c r="E479" s="99">
        <v>0</v>
      </c>
      <c r="F479" s="9">
        <f t="shared" si="357"/>
        <v>0</v>
      </c>
      <c r="G479" s="9">
        <v>0</v>
      </c>
      <c r="H479" s="10">
        <v>0</v>
      </c>
      <c r="I479" s="6">
        <f t="shared" si="358"/>
        <v>0</v>
      </c>
      <c r="J479" s="4">
        <f t="shared" si="359"/>
        <v>0</v>
      </c>
      <c r="K479" s="4">
        <f t="shared" si="360"/>
        <v>0</v>
      </c>
      <c r="L479" s="33" t="e">
        <f t="shared" ref="L479:L480" si="363">+J479/E479</f>
        <v>#DIV/0!</v>
      </c>
      <c r="M479" s="143">
        <v>4.0426000000000002</v>
      </c>
      <c r="N479" s="36">
        <f t="shared" si="362"/>
        <v>0</v>
      </c>
      <c r="O479" s="88">
        <f>M479*J479</f>
        <v>0</v>
      </c>
      <c r="P479" s="1134"/>
    </row>
    <row r="480" spans="2:16" x14ac:dyDescent="0.3">
      <c r="B480" s="1132"/>
      <c r="C480" s="35"/>
      <c r="D480" s="119" t="s">
        <v>117</v>
      </c>
      <c r="E480" s="99">
        <v>0</v>
      </c>
      <c r="F480" s="9">
        <f t="shared" si="357"/>
        <v>0</v>
      </c>
      <c r="G480" s="9">
        <v>0</v>
      </c>
      <c r="H480" s="10">
        <v>0</v>
      </c>
      <c r="I480" s="6">
        <f t="shared" si="358"/>
        <v>0</v>
      </c>
      <c r="J480" s="4">
        <f t="shared" si="359"/>
        <v>0</v>
      </c>
      <c r="K480" s="4">
        <f t="shared" si="360"/>
        <v>0</v>
      </c>
      <c r="L480" s="33" t="e">
        <f t="shared" si="363"/>
        <v>#DIV/0!</v>
      </c>
      <c r="M480" s="143">
        <v>3.8715000000000002</v>
      </c>
      <c r="N480" s="36">
        <f t="shared" si="362"/>
        <v>0</v>
      </c>
      <c r="O480" s="88">
        <f t="shared" ref="O480:O481" si="364">M480*J480</f>
        <v>0</v>
      </c>
      <c r="P480" s="1134"/>
    </row>
    <row r="481" spans="2:16" ht="15" thickBot="1" x14ac:dyDescent="0.35">
      <c r="B481" s="1132"/>
      <c r="C481" s="82"/>
      <c r="D481" s="120" t="s">
        <v>60</v>
      </c>
      <c r="E481" s="108">
        <v>0</v>
      </c>
      <c r="F481" s="12">
        <f t="shared" si="357"/>
        <v>0</v>
      </c>
      <c r="G481" s="12">
        <v>0</v>
      </c>
      <c r="H481" s="13">
        <v>0</v>
      </c>
      <c r="I481" s="21">
        <f t="shared" si="358"/>
        <v>0</v>
      </c>
      <c r="J481" s="4">
        <f t="shared" si="359"/>
        <v>0</v>
      </c>
      <c r="K481" s="4">
        <f t="shared" si="360"/>
        <v>0</v>
      </c>
      <c r="L481" s="81"/>
      <c r="M481" s="127">
        <v>12.284700000000001</v>
      </c>
      <c r="N481" s="36">
        <f t="shared" si="362"/>
        <v>0</v>
      </c>
      <c r="O481" s="128">
        <f t="shared" si="364"/>
        <v>0</v>
      </c>
      <c r="P481" s="1134"/>
    </row>
    <row r="482" spans="2:16" ht="15" thickBot="1" x14ac:dyDescent="0.35">
      <c r="B482" s="1132"/>
      <c r="C482" s="1137" t="s">
        <v>111</v>
      </c>
      <c r="D482" s="1138"/>
      <c r="E482" s="129"/>
      <c r="F482" s="130">
        <f>SUM(F475:F481)</f>
        <v>0</v>
      </c>
      <c r="G482" s="130">
        <f>SUM(G475:G481)</f>
        <v>0</v>
      </c>
      <c r="H482" s="131">
        <f>SUM(H475:H481)</f>
        <v>0</v>
      </c>
      <c r="I482" s="132">
        <f>+J482+K482</f>
        <v>1561285</v>
      </c>
      <c r="J482" s="133">
        <f>SUM(J475:J481)</f>
        <v>1546390</v>
      </c>
      <c r="K482" s="133">
        <f>SUM(K475:K481)</f>
        <v>14895</v>
      </c>
      <c r="L482" s="134"/>
      <c r="M482" s="135"/>
      <c r="N482" s="136"/>
      <c r="O482" s="137">
        <f>SUM(O475:O481)</f>
        <v>3457563.3279999997</v>
      </c>
      <c r="P482" s="1135"/>
    </row>
    <row r="483" spans="2:16" x14ac:dyDescent="0.3">
      <c r="B483" s="1132"/>
      <c r="C483" s="32"/>
      <c r="D483" s="118" t="s">
        <v>61</v>
      </c>
      <c r="E483" s="98">
        <v>0</v>
      </c>
      <c r="F483" s="4">
        <f t="shared" ref="F483:F486" si="365">+G483+H483</f>
        <v>0</v>
      </c>
      <c r="G483" s="4">
        <v>0</v>
      </c>
      <c r="H483" s="8">
        <v>0</v>
      </c>
      <c r="I483" s="6">
        <f t="shared" ref="I483:I487" si="366">J483+K483</f>
        <v>0</v>
      </c>
      <c r="J483" s="4">
        <f>G483+J418</f>
        <v>0</v>
      </c>
      <c r="K483" s="4">
        <f>H483+K418</f>
        <v>0</v>
      </c>
      <c r="L483" s="33" t="e">
        <f t="shared" ref="L483" si="367">+J483/E483</f>
        <v>#DIV/0!</v>
      </c>
      <c r="M483" s="105">
        <v>12.029500000000001</v>
      </c>
      <c r="N483" s="34">
        <f>M483*G483</f>
        <v>0</v>
      </c>
      <c r="O483" s="87">
        <f t="shared" ref="O483:O485" si="368">M483*J483</f>
        <v>0</v>
      </c>
      <c r="P483" s="1134"/>
    </row>
    <row r="484" spans="2:16" x14ac:dyDescent="0.3">
      <c r="B484" s="1132"/>
      <c r="C484" s="35"/>
      <c r="D484" s="119" t="s">
        <v>62</v>
      </c>
      <c r="E484" s="99">
        <v>0</v>
      </c>
      <c r="F484" s="9">
        <f t="shared" si="365"/>
        <v>0</v>
      </c>
      <c r="G484" s="9">
        <v>0</v>
      </c>
      <c r="H484" s="10">
        <v>0</v>
      </c>
      <c r="I484" s="6">
        <f t="shared" si="366"/>
        <v>0</v>
      </c>
      <c r="J484" s="4">
        <f>G484+J419</f>
        <v>0</v>
      </c>
      <c r="K484" s="4">
        <f>H484+K419</f>
        <v>0</v>
      </c>
      <c r="L484" s="33"/>
      <c r="M484" s="106">
        <v>0</v>
      </c>
      <c r="N484" s="36"/>
      <c r="O484" s="88">
        <f t="shared" si="368"/>
        <v>0</v>
      </c>
      <c r="P484" s="1134"/>
    </row>
    <row r="485" spans="2:16" x14ac:dyDescent="0.3">
      <c r="B485" s="1132"/>
      <c r="C485" s="35"/>
      <c r="D485" s="119" t="s">
        <v>104</v>
      </c>
      <c r="E485" s="99">
        <v>0</v>
      </c>
      <c r="F485" s="9">
        <f t="shared" si="365"/>
        <v>0</v>
      </c>
      <c r="G485" s="9">
        <v>0</v>
      </c>
      <c r="H485" s="10">
        <v>0</v>
      </c>
      <c r="I485" s="6">
        <f t="shared" si="366"/>
        <v>0</v>
      </c>
      <c r="J485" s="4">
        <f t="shared" ref="J485:J487" si="369">G485+J420</f>
        <v>0</v>
      </c>
      <c r="K485" s="4">
        <f t="shared" ref="K485:K487" si="370">H485+K420</f>
        <v>0</v>
      </c>
      <c r="L485" s="33" t="e">
        <f t="shared" ref="L485:L487" si="371">+J485/E485</f>
        <v>#DIV/0!</v>
      </c>
      <c r="M485" s="106">
        <v>19.688600000000001</v>
      </c>
      <c r="N485" s="36">
        <f>M485*G485</f>
        <v>0</v>
      </c>
      <c r="O485" s="88">
        <f t="shared" si="368"/>
        <v>0</v>
      </c>
      <c r="P485" s="1134"/>
    </row>
    <row r="486" spans="2:16" x14ac:dyDescent="0.3">
      <c r="B486" s="1132"/>
      <c r="C486" s="35"/>
      <c r="D486" s="119" t="s">
        <v>64</v>
      </c>
      <c r="E486" s="99">
        <v>0</v>
      </c>
      <c r="F486" s="9">
        <f t="shared" si="365"/>
        <v>0</v>
      </c>
      <c r="G486" s="9">
        <v>0</v>
      </c>
      <c r="H486" s="10">
        <v>0</v>
      </c>
      <c r="I486" s="6">
        <f t="shared" si="366"/>
        <v>0</v>
      </c>
      <c r="J486" s="4">
        <f t="shared" si="369"/>
        <v>0</v>
      </c>
      <c r="K486" s="4">
        <f t="shared" si="370"/>
        <v>0</v>
      </c>
      <c r="L486" s="33" t="e">
        <f t="shared" si="371"/>
        <v>#DIV/0!</v>
      </c>
      <c r="M486" s="106">
        <v>1.2824</v>
      </c>
      <c r="N486" s="151">
        <f>M486*G486</f>
        <v>0</v>
      </c>
      <c r="O486" s="88">
        <f>M486*J486</f>
        <v>0</v>
      </c>
      <c r="P486" s="1134"/>
    </row>
    <row r="487" spans="2:16" ht="15" thickBot="1" x14ac:dyDescent="0.35">
      <c r="B487" s="1132"/>
      <c r="C487" s="82"/>
      <c r="D487" s="120" t="s">
        <v>63</v>
      </c>
      <c r="E487" s="108">
        <v>0</v>
      </c>
      <c r="F487" s="12">
        <v>0</v>
      </c>
      <c r="G487" s="12">
        <v>0</v>
      </c>
      <c r="H487" s="13">
        <v>0</v>
      </c>
      <c r="I487" s="21">
        <f t="shared" si="366"/>
        <v>8814</v>
      </c>
      <c r="J487" s="4">
        <f t="shared" si="369"/>
        <v>8640</v>
      </c>
      <c r="K487" s="4">
        <f t="shared" si="370"/>
        <v>174</v>
      </c>
      <c r="L487" s="81" t="e">
        <f t="shared" si="371"/>
        <v>#DIV/0!</v>
      </c>
      <c r="M487" s="107">
        <v>18.2316</v>
      </c>
      <c r="N487" s="75"/>
      <c r="O487" s="89">
        <f t="shared" ref="O487" si="372">M487*J487</f>
        <v>157521.024</v>
      </c>
      <c r="P487" s="1136"/>
    </row>
    <row r="488" spans="2:16" ht="15" thickBot="1" x14ac:dyDescent="0.35">
      <c r="B488" s="1116" t="s">
        <v>112</v>
      </c>
      <c r="C488" s="1117"/>
      <c r="D488" s="1117"/>
      <c r="E488" s="124"/>
      <c r="F488" s="125">
        <f>+G488+H488</f>
        <v>0</v>
      </c>
      <c r="G488" s="125">
        <f>SUM(G483:G487)</f>
        <v>0</v>
      </c>
      <c r="H488" s="126">
        <f>SUM(H483:H487)</f>
        <v>0</v>
      </c>
      <c r="I488" s="121">
        <f>J488+K488</f>
        <v>8814</v>
      </c>
      <c r="J488" s="122">
        <f>SUM(J483:J487)</f>
        <v>8640</v>
      </c>
      <c r="K488" s="123">
        <f>SUM(K483:K487)</f>
        <v>174</v>
      </c>
      <c r="L488" s="138"/>
      <c r="M488" s="139"/>
      <c r="N488" s="140"/>
      <c r="O488" s="141">
        <f>SUM(O483:O487)</f>
        <v>157521.024</v>
      </c>
      <c r="P488" s="185"/>
    </row>
    <row r="489" spans="2:16" ht="15" thickBot="1" x14ac:dyDescent="0.35">
      <c r="B489" s="1116" t="s">
        <v>105</v>
      </c>
      <c r="C489" s="1117"/>
      <c r="D489" s="1117"/>
      <c r="E489" s="1139"/>
      <c r="F489" s="1139"/>
      <c r="G489" s="1139"/>
      <c r="H489" s="1139"/>
      <c r="I489" s="1117"/>
      <c r="J489" s="1117"/>
      <c r="K489" s="1117"/>
      <c r="L489" s="1117"/>
      <c r="M489" s="1117"/>
      <c r="N489" s="1140"/>
      <c r="O489" s="83">
        <f>O482+O488</f>
        <v>3615084.352</v>
      </c>
      <c r="P489" s="185"/>
    </row>
    <row r="490" spans="2:16" x14ac:dyDescent="0.3">
      <c r="B490" s="1131" t="s">
        <v>65</v>
      </c>
      <c r="C490" s="37" t="s">
        <v>66</v>
      </c>
      <c r="D490" s="28" t="s">
        <v>67</v>
      </c>
      <c r="E490" s="38">
        <v>0</v>
      </c>
      <c r="F490" s="14">
        <f>+G490+H490</f>
        <v>0</v>
      </c>
      <c r="G490" s="14">
        <v>0</v>
      </c>
      <c r="H490" s="5">
        <v>0</v>
      </c>
      <c r="I490" s="17">
        <f t="shared" ref="I490:I496" si="373">J490+K490</f>
        <v>0</v>
      </c>
      <c r="J490" s="4">
        <f>G490+J425</f>
        <v>0</v>
      </c>
      <c r="K490" s="4">
        <f>H490+K425</f>
        <v>0</v>
      </c>
      <c r="L490" s="30" t="e">
        <f>+J490/E490</f>
        <v>#DIV/0!</v>
      </c>
      <c r="M490" s="146">
        <v>2.2141000000000002</v>
      </c>
      <c r="N490" s="15">
        <f>+M490*G490</f>
        <v>0</v>
      </c>
      <c r="O490" s="90">
        <f>+M490*J490</f>
        <v>0</v>
      </c>
      <c r="P490" s="1142"/>
    </row>
    <row r="491" spans="2:16" x14ac:dyDescent="0.3">
      <c r="B491" s="1132"/>
      <c r="C491" s="39"/>
      <c r="D491" s="22" t="s">
        <v>68</v>
      </c>
      <c r="E491" s="3">
        <v>0</v>
      </c>
      <c r="F491" s="9">
        <f t="shared" ref="F491:F496" si="374">+G491+H491</f>
        <v>0</v>
      </c>
      <c r="G491" s="4">
        <v>0</v>
      </c>
      <c r="H491" s="8">
        <v>0</v>
      </c>
      <c r="I491" s="6">
        <f t="shared" si="373"/>
        <v>0</v>
      </c>
      <c r="J491" s="4">
        <f>+G491+J426</f>
        <v>0</v>
      </c>
      <c r="K491" s="4">
        <f>+H491+K426</f>
        <v>0</v>
      </c>
      <c r="L491" s="40" t="e">
        <f t="shared" ref="L491:L492" si="375">+J491/E491</f>
        <v>#DIV/0!</v>
      </c>
      <c r="M491" s="145">
        <v>2.4565999999999999</v>
      </c>
      <c r="N491" s="11">
        <f t="shared" ref="N491:N493" si="376">+M491*G491</f>
        <v>0</v>
      </c>
      <c r="O491" s="91">
        <f t="shared" ref="O491:O493" si="377">+M491*J491</f>
        <v>0</v>
      </c>
      <c r="P491" s="1143"/>
    </row>
    <row r="492" spans="2:16" x14ac:dyDescent="0.3">
      <c r="B492" s="1132"/>
      <c r="C492" s="39"/>
      <c r="D492" s="23" t="s">
        <v>133</v>
      </c>
      <c r="E492" s="3">
        <v>0</v>
      </c>
      <c r="F492" s="9">
        <f t="shared" si="374"/>
        <v>0</v>
      </c>
      <c r="G492" s="4">
        <v>0</v>
      </c>
      <c r="H492" s="8">
        <v>0</v>
      </c>
      <c r="I492" s="6">
        <f t="shared" si="373"/>
        <v>0</v>
      </c>
      <c r="J492" s="4">
        <f t="shared" ref="J492:J493" si="378">+G492+J427</f>
        <v>0</v>
      </c>
      <c r="K492" s="4">
        <f t="shared" ref="K492:K496" si="379">+H492+K427</f>
        <v>0</v>
      </c>
      <c r="L492" s="40" t="e">
        <f t="shared" si="375"/>
        <v>#DIV/0!</v>
      </c>
      <c r="M492" s="145">
        <v>2.2907000000000002</v>
      </c>
      <c r="N492" s="11">
        <f t="shared" si="376"/>
        <v>0</v>
      </c>
      <c r="O492" s="91">
        <f t="shared" si="377"/>
        <v>0</v>
      </c>
      <c r="P492" s="1143"/>
    </row>
    <row r="493" spans="2:16" x14ac:dyDescent="0.3">
      <c r="B493" s="1132"/>
      <c r="C493" s="39"/>
      <c r="D493" s="22" t="s">
        <v>138</v>
      </c>
      <c r="E493" s="3"/>
      <c r="F493" s="9">
        <f t="shared" si="374"/>
        <v>0</v>
      </c>
      <c r="G493" s="4">
        <v>0</v>
      </c>
      <c r="H493" s="8">
        <v>0</v>
      </c>
      <c r="I493" s="6">
        <f t="shared" si="373"/>
        <v>0</v>
      </c>
      <c r="J493" s="4">
        <f t="shared" si="378"/>
        <v>0</v>
      </c>
      <c r="K493" s="4">
        <f t="shared" si="379"/>
        <v>0</v>
      </c>
      <c r="L493" s="33"/>
      <c r="M493" s="150">
        <v>2.544</v>
      </c>
      <c r="N493" s="11">
        <f t="shared" si="376"/>
        <v>0</v>
      </c>
      <c r="O493" s="91">
        <f t="shared" si="377"/>
        <v>0</v>
      </c>
      <c r="P493" s="1143"/>
    </row>
    <row r="494" spans="2:16" x14ac:dyDescent="0.3">
      <c r="B494" s="1132"/>
      <c r="C494" s="39" t="s">
        <v>69</v>
      </c>
      <c r="D494" s="22" t="s">
        <v>140</v>
      </c>
      <c r="E494" s="3">
        <v>0</v>
      </c>
      <c r="F494" s="9">
        <f t="shared" si="374"/>
        <v>0</v>
      </c>
      <c r="G494" s="4">
        <v>0</v>
      </c>
      <c r="H494" s="8">
        <v>0</v>
      </c>
      <c r="I494" s="6">
        <f t="shared" si="373"/>
        <v>361617</v>
      </c>
      <c r="J494" s="4">
        <f>+G494+J429</f>
        <v>353750</v>
      </c>
      <c r="K494" s="4">
        <f t="shared" si="379"/>
        <v>7867</v>
      </c>
      <c r="L494" s="33" t="e">
        <f>+J494/E494</f>
        <v>#DIV/0!</v>
      </c>
      <c r="M494" s="144">
        <v>2.2141000000000002</v>
      </c>
      <c r="N494" s="7">
        <f>+M494*G494</f>
        <v>0</v>
      </c>
      <c r="O494" s="85">
        <f>+M494*J494</f>
        <v>783237.87500000012</v>
      </c>
      <c r="P494" s="1143"/>
    </row>
    <row r="495" spans="2:16" x14ac:dyDescent="0.3">
      <c r="B495" s="1132"/>
      <c r="C495" s="39"/>
      <c r="D495" s="22" t="s">
        <v>68</v>
      </c>
      <c r="E495" s="3">
        <v>0</v>
      </c>
      <c r="F495" s="9">
        <f t="shared" si="374"/>
        <v>0</v>
      </c>
      <c r="G495" s="4">
        <v>0</v>
      </c>
      <c r="H495" s="8">
        <v>0</v>
      </c>
      <c r="I495" s="6">
        <f t="shared" si="373"/>
        <v>0</v>
      </c>
      <c r="J495" s="4">
        <f t="shared" ref="J495:J496" si="380">+G495+J430</f>
        <v>0</v>
      </c>
      <c r="K495" s="4">
        <f t="shared" si="379"/>
        <v>0</v>
      </c>
      <c r="L495" s="40" t="e">
        <f t="shared" ref="L495:L496" si="381">+J495/E495</f>
        <v>#DIV/0!</v>
      </c>
      <c r="M495" s="145">
        <v>2.4565999999999999</v>
      </c>
      <c r="N495" s="11">
        <f t="shared" ref="N495:N496" si="382">+M495*G495</f>
        <v>0</v>
      </c>
      <c r="O495" s="91">
        <f t="shared" ref="O495" si="383">+M495*J495</f>
        <v>0</v>
      </c>
      <c r="P495" s="1143"/>
    </row>
    <row r="496" spans="2:16" ht="15" thickBot="1" x14ac:dyDescent="0.35">
      <c r="B496" s="1132"/>
      <c r="C496" s="39"/>
      <c r="D496" s="22" t="s">
        <v>133</v>
      </c>
      <c r="E496" s="3">
        <v>0</v>
      </c>
      <c r="F496" s="9">
        <f t="shared" si="374"/>
        <v>0</v>
      </c>
      <c r="G496" s="4">
        <v>0</v>
      </c>
      <c r="H496" s="8">
        <v>0</v>
      </c>
      <c r="I496" s="6">
        <f t="shared" si="373"/>
        <v>0</v>
      </c>
      <c r="J496" s="4">
        <f t="shared" si="380"/>
        <v>0</v>
      </c>
      <c r="K496" s="4">
        <f t="shared" si="379"/>
        <v>0</v>
      </c>
      <c r="L496" s="40" t="e">
        <f t="shared" si="381"/>
        <v>#DIV/0!</v>
      </c>
      <c r="M496" s="145">
        <v>2.2907000000000002</v>
      </c>
      <c r="N496" s="11">
        <f t="shared" si="382"/>
        <v>0</v>
      </c>
      <c r="O496" s="154">
        <f>+M496*J496</f>
        <v>0</v>
      </c>
      <c r="P496" s="1144"/>
    </row>
    <row r="497" spans="2:16" ht="15" thickBot="1" x14ac:dyDescent="0.35">
      <c r="B497" s="1132"/>
      <c r="C497" s="41" t="s">
        <v>29</v>
      </c>
      <c r="D497" s="27" t="str">
        <f>+C497</f>
        <v>TOTAL 1/2</v>
      </c>
      <c r="E497" s="42">
        <f>SUM(E490:E496)</f>
        <v>0</v>
      </c>
      <c r="F497" s="43">
        <f>SUM(F490:F496)</f>
        <v>0</v>
      </c>
      <c r="G497" s="43">
        <f>SUM(G490:G496)</f>
        <v>0</v>
      </c>
      <c r="H497" s="44">
        <f>SUM(H490:H496)</f>
        <v>0</v>
      </c>
      <c r="I497" s="45">
        <f>SUM(I494:I496)</f>
        <v>361617</v>
      </c>
      <c r="J497" s="43">
        <f>SUM(J490:J496)</f>
        <v>353750</v>
      </c>
      <c r="K497" s="43">
        <f>SUM(K490:K496)</f>
        <v>7867</v>
      </c>
      <c r="L497" s="46" t="e">
        <f>+J497/E497</f>
        <v>#DIV/0!</v>
      </c>
      <c r="M497" s="47"/>
      <c r="N497" s="48">
        <f>SUM(N494:N496)</f>
        <v>0</v>
      </c>
      <c r="O497" s="49">
        <f>SUM(O490:O496)</f>
        <v>783237.87500000012</v>
      </c>
      <c r="P497" s="186"/>
    </row>
    <row r="498" spans="2:16" x14ac:dyDescent="0.3">
      <c r="B498" s="1132"/>
      <c r="C498" s="1145" t="s">
        <v>70</v>
      </c>
      <c r="D498" s="22" t="s">
        <v>67</v>
      </c>
      <c r="E498" s="3">
        <v>0</v>
      </c>
      <c r="F498" s="4">
        <f>G498+H498</f>
        <v>0</v>
      </c>
      <c r="G498" s="4">
        <v>0</v>
      </c>
      <c r="H498" s="8">
        <v>0</v>
      </c>
      <c r="I498" s="16">
        <f>J498+K498</f>
        <v>109220</v>
      </c>
      <c r="J498" s="4">
        <f>G498+J433</f>
        <v>105750</v>
      </c>
      <c r="K498" s="4">
        <f>H498+K433</f>
        <v>3470</v>
      </c>
      <c r="L498" s="50" t="e">
        <f>+J498/E498</f>
        <v>#DIV/0!</v>
      </c>
      <c r="M498" s="144">
        <v>4.1712999999999996</v>
      </c>
      <c r="N498" s="7">
        <f>+M498*G498</f>
        <v>0</v>
      </c>
      <c r="O498" s="93">
        <f>+M498*J498</f>
        <v>441114.97499999998</v>
      </c>
      <c r="P498" s="1142"/>
    </row>
    <row r="499" spans="2:16" x14ac:dyDescent="0.3">
      <c r="B499" s="1132"/>
      <c r="C499" s="1146"/>
      <c r="D499" s="22" t="s">
        <v>68</v>
      </c>
      <c r="E499" s="3">
        <v>0</v>
      </c>
      <c r="F499" s="4">
        <f>G499+H499</f>
        <v>0</v>
      </c>
      <c r="G499" s="4">
        <v>0</v>
      </c>
      <c r="H499" s="8">
        <v>0</v>
      </c>
      <c r="I499" s="6">
        <f>+R1543+F499</f>
        <v>0</v>
      </c>
      <c r="J499" s="4">
        <f>G499+J434</f>
        <v>120000</v>
      </c>
      <c r="K499" s="4">
        <f>H499+K434</f>
        <v>3230</v>
      </c>
      <c r="L499" s="51" t="e">
        <f t="shared" ref="L499:L503" si="384">+J499/E499</f>
        <v>#DIV/0!</v>
      </c>
      <c r="M499" s="145">
        <v>4.8285999999999998</v>
      </c>
      <c r="N499" s="11">
        <f t="shared" ref="N499:N501" si="385">+M499*G499</f>
        <v>0</v>
      </c>
      <c r="O499" s="94">
        <f t="shared" ref="O499:O501" si="386">+M499*J499</f>
        <v>579432</v>
      </c>
      <c r="P499" s="1143"/>
    </row>
    <row r="500" spans="2:16" x14ac:dyDescent="0.3">
      <c r="B500" s="1132"/>
      <c r="C500" s="1146"/>
      <c r="D500" s="22" t="s">
        <v>134</v>
      </c>
      <c r="E500" s="3"/>
      <c r="F500" s="4">
        <f>G500+H500</f>
        <v>0</v>
      </c>
      <c r="G500" s="4">
        <v>0</v>
      </c>
      <c r="H500" s="8">
        <v>0</v>
      </c>
      <c r="I500" s="6">
        <f>+R1544+F500</f>
        <v>0</v>
      </c>
      <c r="J500" s="4">
        <f t="shared" ref="J500:J501" si="387">G500+J435</f>
        <v>0</v>
      </c>
      <c r="K500" s="4">
        <f t="shared" ref="K500:K501" si="388">H500+K435</f>
        <v>0</v>
      </c>
      <c r="L500" s="51" t="e">
        <f t="shared" si="384"/>
        <v>#DIV/0!</v>
      </c>
      <c r="M500" s="144">
        <v>4.5023</v>
      </c>
      <c r="N500" s="11">
        <f t="shared" si="385"/>
        <v>0</v>
      </c>
      <c r="O500" s="94">
        <f t="shared" si="386"/>
        <v>0</v>
      </c>
      <c r="P500" s="1143"/>
    </row>
    <row r="501" spans="2:16" ht="15" thickBot="1" x14ac:dyDescent="0.35">
      <c r="B501" s="1132"/>
      <c r="C501" s="1146"/>
      <c r="D501" s="22" t="s">
        <v>118</v>
      </c>
      <c r="E501" s="3">
        <v>0</v>
      </c>
      <c r="F501" s="4">
        <f t="shared" ref="F501" si="389">G501+H501</f>
        <v>0</v>
      </c>
      <c r="G501" s="4">
        <v>0</v>
      </c>
      <c r="H501" s="8">
        <v>0</v>
      </c>
      <c r="I501" s="6">
        <f>+R1544+F501</f>
        <v>0</v>
      </c>
      <c r="J501" s="4">
        <f t="shared" si="387"/>
        <v>0</v>
      </c>
      <c r="K501" s="4">
        <f t="shared" si="388"/>
        <v>0</v>
      </c>
      <c r="L501" s="51" t="e">
        <f t="shared" si="384"/>
        <v>#DIV/0!</v>
      </c>
      <c r="M501" s="144">
        <v>4.4065000000000003</v>
      </c>
      <c r="N501" s="11">
        <f t="shared" si="385"/>
        <v>0</v>
      </c>
      <c r="O501" s="94">
        <f t="shared" si="386"/>
        <v>0</v>
      </c>
      <c r="P501" s="1143"/>
    </row>
    <row r="502" spans="2:16" ht="15" thickBot="1" x14ac:dyDescent="0.35">
      <c r="B502" s="1132"/>
      <c r="C502" s="41" t="s">
        <v>31</v>
      </c>
      <c r="D502" s="18" t="str">
        <f>+C502</f>
        <v>TOTAL 4/4</v>
      </c>
      <c r="E502" s="42">
        <f t="shared" ref="E502:K502" si="390">SUM(E498:E501)</f>
        <v>0</v>
      </c>
      <c r="F502" s="43">
        <f t="shared" si="390"/>
        <v>0</v>
      </c>
      <c r="G502" s="43">
        <f t="shared" si="390"/>
        <v>0</v>
      </c>
      <c r="H502" s="44">
        <f t="shared" si="390"/>
        <v>0</v>
      </c>
      <c r="I502" s="45">
        <f t="shared" si="390"/>
        <v>109220</v>
      </c>
      <c r="J502" s="43">
        <f t="shared" si="390"/>
        <v>225750</v>
      </c>
      <c r="K502" s="43">
        <f t="shared" si="390"/>
        <v>6700</v>
      </c>
      <c r="L502" s="46" t="e">
        <f t="shared" si="384"/>
        <v>#DIV/0!</v>
      </c>
      <c r="M502" s="47"/>
      <c r="N502" s="48">
        <f>SUM(N498:N501)</f>
        <v>0</v>
      </c>
      <c r="O502" s="92">
        <f>SUM(O498:O501)</f>
        <v>1020546.975</v>
      </c>
      <c r="P502" s="1144"/>
    </row>
    <row r="503" spans="2:16" ht="15" thickBot="1" x14ac:dyDescent="0.35">
      <c r="B503" s="1141"/>
      <c r="C503" s="41" t="s">
        <v>71</v>
      </c>
      <c r="D503" s="27" t="s">
        <v>67</v>
      </c>
      <c r="E503" s="25">
        <v>0</v>
      </c>
      <c r="F503" s="20">
        <f>G503+H503</f>
        <v>0</v>
      </c>
      <c r="G503" s="20">
        <v>0</v>
      </c>
      <c r="H503" s="24">
        <v>0</v>
      </c>
      <c r="I503" s="19">
        <f>J503+K503</f>
        <v>0</v>
      </c>
      <c r="J503" s="4">
        <f>G503+J438</f>
        <v>0</v>
      </c>
      <c r="K503" s="4">
        <f>H503+K438</f>
        <v>0</v>
      </c>
      <c r="L503" s="52" t="e">
        <f t="shared" si="384"/>
        <v>#DIV/0!</v>
      </c>
      <c r="M503" s="149">
        <v>1.4086000000000001</v>
      </c>
      <c r="N503" s="26">
        <f t="shared" ref="N503" si="391">+M503*G503</f>
        <v>0</v>
      </c>
      <c r="O503" s="95">
        <f t="shared" ref="O503" si="392">+M503*J503</f>
        <v>0</v>
      </c>
      <c r="P503" s="53"/>
    </row>
    <row r="504" spans="2:16" ht="15" thickBot="1" x14ac:dyDescent="0.35">
      <c r="B504" s="1116" t="s">
        <v>102</v>
      </c>
      <c r="C504" s="1117"/>
      <c r="D504" s="1117"/>
      <c r="E504" s="1117"/>
      <c r="F504" s="1117"/>
      <c r="G504" s="1117"/>
      <c r="H504" s="1117"/>
      <c r="I504" s="110">
        <f>J504+K504</f>
        <v>594067</v>
      </c>
      <c r="J504" s="110">
        <f>J497+J502+J503</f>
        <v>579500</v>
      </c>
      <c r="K504" s="110">
        <f>K497+K502+K503</f>
        <v>14567</v>
      </c>
      <c r="L504" s="111"/>
      <c r="M504" s="112"/>
      <c r="N504" s="109"/>
      <c r="O504" s="77">
        <f>+O503+O502+O497</f>
        <v>1803784.85</v>
      </c>
      <c r="P504" s="84"/>
    </row>
    <row r="505" spans="2:16" x14ac:dyDescent="0.3">
      <c r="B505" s="1118" t="s">
        <v>72</v>
      </c>
      <c r="C505" s="1121" t="s">
        <v>73</v>
      </c>
      <c r="D505" s="54" t="s">
        <v>74</v>
      </c>
      <c r="E505" s="55">
        <v>0</v>
      </c>
      <c r="F505" s="56">
        <f>G505+H505</f>
        <v>0</v>
      </c>
      <c r="G505" s="56">
        <v>0</v>
      </c>
      <c r="H505" s="57">
        <v>0</v>
      </c>
      <c r="I505" s="78">
        <f>J505+K505</f>
        <v>0</v>
      </c>
      <c r="J505" s="4">
        <f>G505+J440</f>
        <v>0</v>
      </c>
      <c r="K505" s="4">
        <f>H505+K440</f>
        <v>0</v>
      </c>
      <c r="L505" s="58" t="e">
        <f t="shared" ref="L505" si="393">+J505/E505</f>
        <v>#DIV/0!</v>
      </c>
      <c r="M505" s="59">
        <v>32.946300000000001</v>
      </c>
      <c r="N505" s="60">
        <f>+M505*G505</f>
        <v>0</v>
      </c>
      <c r="O505" s="60">
        <f>M505*J505</f>
        <v>0</v>
      </c>
      <c r="P505" s="1123"/>
    </row>
    <row r="506" spans="2:16" x14ac:dyDescent="0.3">
      <c r="B506" s="1119"/>
      <c r="C506" s="1122"/>
      <c r="D506" s="61" t="s">
        <v>75</v>
      </c>
      <c r="E506" s="62">
        <v>0</v>
      </c>
      <c r="F506" s="63">
        <f>G506+H506</f>
        <v>0</v>
      </c>
      <c r="G506" s="63">
        <v>0</v>
      </c>
      <c r="H506" s="64">
        <v>0</v>
      </c>
      <c r="I506" s="79">
        <f>J506+K506</f>
        <v>20295</v>
      </c>
      <c r="J506" s="4">
        <f>G506+J441</f>
        <v>20000</v>
      </c>
      <c r="K506" s="4">
        <f>H506+K441</f>
        <v>295</v>
      </c>
      <c r="L506" s="65" t="e">
        <f>+J506/E506</f>
        <v>#DIV/0!</v>
      </c>
      <c r="M506" s="66">
        <v>35.398400000000002</v>
      </c>
      <c r="N506" s="67">
        <f>+M506*G506</f>
        <v>0</v>
      </c>
      <c r="O506" s="67">
        <f>M506*J506</f>
        <v>707968</v>
      </c>
      <c r="P506" s="1124"/>
    </row>
    <row r="507" spans="2:16" x14ac:dyDescent="0.3">
      <c r="B507" s="1119"/>
      <c r="C507" s="1122"/>
      <c r="D507" s="61" t="s">
        <v>76</v>
      </c>
      <c r="E507" s="62">
        <v>0</v>
      </c>
      <c r="F507" s="63">
        <f t="shared" ref="F507:F510" si="394">G507+H507</f>
        <v>0</v>
      </c>
      <c r="G507" s="63">
        <v>0</v>
      </c>
      <c r="H507" s="64">
        <v>0</v>
      </c>
      <c r="I507" s="79">
        <f t="shared" ref="I507:I516" si="395">J507+K507</f>
        <v>0</v>
      </c>
      <c r="J507" s="4">
        <f t="shared" ref="J507:J532" si="396">G507+J442</f>
        <v>0</v>
      </c>
      <c r="K507" s="4">
        <f t="shared" ref="K507:K511" si="397">H507+K442</f>
        <v>0</v>
      </c>
      <c r="L507" s="65" t="e">
        <f t="shared" ref="L507:L520" si="398">+J507/E507</f>
        <v>#DIV/0!</v>
      </c>
      <c r="M507" s="66">
        <v>32.946300000000001</v>
      </c>
      <c r="N507" s="67">
        <f t="shared" ref="N507:N527" si="399">+M507*G507</f>
        <v>0</v>
      </c>
      <c r="O507" s="67">
        <f t="shared" ref="O507:O515" si="400">M507*J507</f>
        <v>0</v>
      </c>
      <c r="P507" s="1124"/>
    </row>
    <row r="508" spans="2:16" x14ac:dyDescent="0.3">
      <c r="B508" s="1119"/>
      <c r="C508" s="1122" t="s">
        <v>77</v>
      </c>
      <c r="D508" s="61" t="s">
        <v>78</v>
      </c>
      <c r="E508" s="62">
        <v>0</v>
      </c>
      <c r="F508" s="63">
        <f t="shared" si="394"/>
        <v>0</v>
      </c>
      <c r="G508" s="63">
        <v>0</v>
      </c>
      <c r="H508" s="64">
        <v>0</v>
      </c>
      <c r="I508" s="79">
        <f t="shared" si="395"/>
        <v>9879</v>
      </c>
      <c r="J508" s="4">
        <f t="shared" si="396"/>
        <v>9600</v>
      </c>
      <c r="K508" s="4">
        <f t="shared" si="397"/>
        <v>279</v>
      </c>
      <c r="L508" s="65" t="e">
        <f t="shared" si="398"/>
        <v>#DIV/0!</v>
      </c>
      <c r="M508" s="66">
        <v>55.4758</v>
      </c>
      <c r="N508" s="67">
        <f t="shared" si="399"/>
        <v>0</v>
      </c>
      <c r="O508" s="67">
        <f t="shared" si="400"/>
        <v>532567.68000000005</v>
      </c>
      <c r="P508" s="1124"/>
    </row>
    <row r="509" spans="2:16" x14ac:dyDescent="0.3">
      <c r="B509" s="1119"/>
      <c r="C509" s="1122"/>
      <c r="D509" s="61" t="s">
        <v>141</v>
      </c>
      <c r="E509" s="62">
        <v>0</v>
      </c>
      <c r="F509" s="63">
        <f t="shared" si="394"/>
        <v>0</v>
      </c>
      <c r="G509" s="63">
        <v>0</v>
      </c>
      <c r="H509" s="64">
        <v>0</v>
      </c>
      <c r="I509" s="79">
        <f t="shared" si="395"/>
        <v>0</v>
      </c>
      <c r="J509" s="4">
        <f t="shared" si="396"/>
        <v>0</v>
      </c>
      <c r="K509" s="4">
        <f t="shared" si="397"/>
        <v>0</v>
      </c>
      <c r="L509" s="65" t="e">
        <f t="shared" si="398"/>
        <v>#DIV/0!</v>
      </c>
      <c r="M509" s="66">
        <v>53.515999999999998</v>
      </c>
      <c r="N509" s="67">
        <f t="shared" si="399"/>
        <v>0</v>
      </c>
      <c r="O509" s="67">
        <f t="shared" si="400"/>
        <v>0</v>
      </c>
      <c r="P509" s="1124"/>
    </row>
    <row r="510" spans="2:16" x14ac:dyDescent="0.3">
      <c r="B510" s="1119"/>
      <c r="C510" s="1122"/>
      <c r="D510" s="61" t="s">
        <v>75</v>
      </c>
      <c r="E510" s="62">
        <v>0</v>
      </c>
      <c r="F510" s="63">
        <f t="shared" si="394"/>
        <v>0</v>
      </c>
      <c r="G510" s="63">
        <v>0</v>
      </c>
      <c r="H510" s="64">
        <v>0</v>
      </c>
      <c r="I510" s="79">
        <f t="shared" si="395"/>
        <v>9804</v>
      </c>
      <c r="J510" s="4">
        <f t="shared" si="396"/>
        <v>9600</v>
      </c>
      <c r="K510" s="4">
        <f t="shared" si="397"/>
        <v>204</v>
      </c>
      <c r="L510" s="65" t="e">
        <f t="shared" si="398"/>
        <v>#DIV/0!</v>
      </c>
      <c r="M510" s="66">
        <v>58.836300000000001</v>
      </c>
      <c r="N510" s="67">
        <f t="shared" si="399"/>
        <v>0</v>
      </c>
      <c r="O510" s="67">
        <f t="shared" si="400"/>
        <v>564828.48</v>
      </c>
      <c r="P510" s="1124"/>
    </row>
    <row r="511" spans="2:16" x14ac:dyDescent="0.3">
      <c r="B511" s="1119"/>
      <c r="C511" s="1126" t="s">
        <v>79</v>
      </c>
      <c r="D511" s="61" t="s">
        <v>80</v>
      </c>
      <c r="E511" s="62">
        <v>0</v>
      </c>
      <c r="F511" s="63">
        <f>G511+H511</f>
        <v>0</v>
      </c>
      <c r="G511" s="63">
        <v>0</v>
      </c>
      <c r="H511" s="64">
        <v>0</v>
      </c>
      <c r="I511" s="79">
        <f t="shared" si="395"/>
        <v>3675</v>
      </c>
      <c r="J511" s="4">
        <f t="shared" si="396"/>
        <v>3575</v>
      </c>
      <c r="K511" s="4">
        <f t="shared" si="397"/>
        <v>100</v>
      </c>
      <c r="L511" s="65" t="e">
        <f t="shared" si="398"/>
        <v>#DIV/0!</v>
      </c>
      <c r="M511" s="66">
        <v>25.687200000000001</v>
      </c>
      <c r="N511" s="67">
        <f t="shared" si="399"/>
        <v>0</v>
      </c>
      <c r="O511" s="67">
        <f t="shared" si="400"/>
        <v>91831.74</v>
      </c>
      <c r="P511" s="1124"/>
    </row>
    <row r="512" spans="2:16" x14ac:dyDescent="0.3">
      <c r="B512" s="1119"/>
      <c r="C512" s="1127"/>
      <c r="D512" s="61" t="s">
        <v>124</v>
      </c>
      <c r="E512" s="62">
        <v>0</v>
      </c>
      <c r="F512" s="63">
        <f>G512+H512</f>
        <v>0</v>
      </c>
      <c r="G512" s="63">
        <v>0</v>
      </c>
      <c r="H512" s="64">
        <v>0</v>
      </c>
      <c r="I512" s="79">
        <f t="shared" si="395"/>
        <v>0</v>
      </c>
      <c r="J512" s="4">
        <f t="shared" si="396"/>
        <v>0</v>
      </c>
      <c r="K512" s="4">
        <f>H512+K447</f>
        <v>0</v>
      </c>
      <c r="L512" s="65" t="e">
        <f t="shared" si="398"/>
        <v>#DIV/0!</v>
      </c>
      <c r="M512" s="66">
        <v>25.033899999999999</v>
      </c>
      <c r="N512" s="67">
        <f t="shared" si="399"/>
        <v>0</v>
      </c>
      <c r="O512" s="67">
        <f t="shared" si="400"/>
        <v>0</v>
      </c>
      <c r="P512" s="1124"/>
    </row>
    <row r="513" spans="2:16" x14ac:dyDescent="0.3">
      <c r="B513" s="1119"/>
      <c r="C513" s="1126" t="s">
        <v>81</v>
      </c>
      <c r="D513" s="61" t="s">
        <v>82</v>
      </c>
      <c r="E513" s="62">
        <v>0</v>
      </c>
      <c r="F513" s="63">
        <f t="shared" ref="F513:F532" si="401">G513+H513</f>
        <v>0</v>
      </c>
      <c r="G513" s="63">
        <v>0</v>
      </c>
      <c r="H513" s="64">
        <v>0</v>
      </c>
      <c r="I513" s="79">
        <f t="shared" si="395"/>
        <v>8113</v>
      </c>
      <c r="J513" s="4">
        <f t="shared" si="396"/>
        <v>8000</v>
      </c>
      <c r="K513" s="4">
        <f t="shared" ref="K513:K532" si="402">H513+K448</f>
        <v>113</v>
      </c>
      <c r="L513" s="65" t="e">
        <f t="shared" si="398"/>
        <v>#DIV/0!</v>
      </c>
      <c r="M513" s="66">
        <v>41.992699999999999</v>
      </c>
      <c r="N513" s="67">
        <f t="shared" si="399"/>
        <v>0</v>
      </c>
      <c r="O513" s="67">
        <f t="shared" si="400"/>
        <v>335941.6</v>
      </c>
      <c r="P513" s="1124"/>
    </row>
    <row r="514" spans="2:16" x14ac:dyDescent="0.3">
      <c r="B514" s="1119"/>
      <c r="C514" s="1127"/>
      <c r="D514" s="61" t="s">
        <v>75</v>
      </c>
      <c r="E514" s="62">
        <v>0</v>
      </c>
      <c r="F514" s="63">
        <f t="shared" si="401"/>
        <v>0</v>
      </c>
      <c r="G514" s="63">
        <v>0</v>
      </c>
      <c r="H514" s="64">
        <v>0</v>
      </c>
      <c r="I514" s="79">
        <f t="shared" si="395"/>
        <v>0</v>
      </c>
      <c r="J514" s="4">
        <f t="shared" si="396"/>
        <v>0</v>
      </c>
      <c r="K514" s="4">
        <f t="shared" si="402"/>
        <v>0</v>
      </c>
      <c r="L514" s="65" t="e">
        <f t="shared" si="398"/>
        <v>#DIV/0!</v>
      </c>
      <c r="M514" s="66">
        <v>42.283799999999999</v>
      </c>
      <c r="N514" s="67">
        <f t="shared" si="399"/>
        <v>0</v>
      </c>
      <c r="O514" s="67">
        <f t="shared" si="400"/>
        <v>0</v>
      </c>
      <c r="P514" s="1124"/>
    </row>
    <row r="515" spans="2:16" x14ac:dyDescent="0.3">
      <c r="B515" s="1119"/>
      <c r="C515" s="184" t="s">
        <v>83</v>
      </c>
      <c r="D515" s="61" t="s">
        <v>84</v>
      </c>
      <c r="E515" s="62">
        <v>0</v>
      </c>
      <c r="F515" s="63">
        <f t="shared" si="401"/>
        <v>0</v>
      </c>
      <c r="G515" s="63">
        <v>0</v>
      </c>
      <c r="H515" s="64">
        <v>0</v>
      </c>
      <c r="I515" s="79">
        <f t="shared" si="395"/>
        <v>10898</v>
      </c>
      <c r="J515" s="4">
        <f t="shared" si="396"/>
        <v>10500</v>
      </c>
      <c r="K515" s="4">
        <f t="shared" si="402"/>
        <v>398</v>
      </c>
      <c r="L515" s="65" t="e">
        <f t="shared" si="398"/>
        <v>#DIV/0!</v>
      </c>
      <c r="M515" s="66">
        <v>4.3535000000000004</v>
      </c>
      <c r="N515" s="67">
        <f t="shared" si="399"/>
        <v>0</v>
      </c>
      <c r="O515" s="67">
        <f t="shared" si="400"/>
        <v>45711.750000000007</v>
      </c>
      <c r="P515" s="1124"/>
    </row>
    <row r="516" spans="2:16" x14ac:dyDescent="0.3">
      <c r="B516" s="1119"/>
      <c r="C516" s="1122" t="s">
        <v>85</v>
      </c>
      <c r="D516" s="61" t="s">
        <v>80</v>
      </c>
      <c r="E516" s="62">
        <v>0</v>
      </c>
      <c r="F516" s="63">
        <f t="shared" si="401"/>
        <v>0</v>
      </c>
      <c r="G516" s="63">
        <v>0</v>
      </c>
      <c r="H516" s="64">
        <v>0</v>
      </c>
      <c r="I516" s="79">
        <f t="shared" si="395"/>
        <v>0</v>
      </c>
      <c r="J516" s="4">
        <f t="shared" si="396"/>
        <v>0</v>
      </c>
      <c r="K516" s="4">
        <f t="shared" si="402"/>
        <v>0</v>
      </c>
      <c r="L516" s="65" t="e">
        <f t="shared" si="398"/>
        <v>#DIV/0!</v>
      </c>
      <c r="M516" s="66">
        <v>4.6184000000000003</v>
      </c>
      <c r="N516" s="67">
        <f t="shared" si="399"/>
        <v>0</v>
      </c>
      <c r="O516" s="67">
        <f>M516*J516</f>
        <v>0</v>
      </c>
      <c r="P516" s="1124"/>
    </row>
    <row r="517" spans="2:16" x14ac:dyDescent="0.3">
      <c r="B517" s="1119"/>
      <c r="C517" s="1122"/>
      <c r="D517" s="61" t="s">
        <v>126</v>
      </c>
      <c r="E517" s="62">
        <v>0</v>
      </c>
      <c r="F517" s="63">
        <f t="shared" si="401"/>
        <v>0</v>
      </c>
      <c r="G517" s="63">
        <v>0</v>
      </c>
      <c r="H517" s="64">
        <v>0</v>
      </c>
      <c r="I517" s="79">
        <f>J517+K517</f>
        <v>0</v>
      </c>
      <c r="J517" s="4">
        <f t="shared" si="396"/>
        <v>0</v>
      </c>
      <c r="K517" s="4">
        <f t="shared" si="402"/>
        <v>0</v>
      </c>
      <c r="L517" s="65" t="e">
        <f t="shared" si="398"/>
        <v>#DIV/0!</v>
      </c>
      <c r="M517" s="153">
        <v>4.6184000000000003</v>
      </c>
      <c r="N517" s="67">
        <f t="shared" si="399"/>
        <v>0</v>
      </c>
      <c r="O517" s="67">
        <f>M517*J517</f>
        <v>0</v>
      </c>
      <c r="P517" s="1124"/>
    </row>
    <row r="518" spans="2:16" x14ac:dyDescent="0.3">
      <c r="B518" s="1119"/>
      <c r="C518" s="1122"/>
      <c r="D518" s="61" t="s">
        <v>130</v>
      </c>
      <c r="E518" s="62">
        <v>0</v>
      </c>
      <c r="F518" s="63">
        <f t="shared" si="401"/>
        <v>0</v>
      </c>
      <c r="G518" s="63">
        <v>0</v>
      </c>
      <c r="H518" s="64">
        <v>0</v>
      </c>
      <c r="I518" s="79">
        <f t="shared" ref="I518:I532" si="403">J518+K518</f>
        <v>0</v>
      </c>
      <c r="J518" s="4">
        <f t="shared" si="396"/>
        <v>0</v>
      </c>
      <c r="K518" s="4">
        <f t="shared" si="402"/>
        <v>0</v>
      </c>
      <c r="L518" s="65" t="e">
        <f t="shared" si="398"/>
        <v>#DIV/0!</v>
      </c>
      <c r="M518" s="153">
        <v>4.6184000000000003</v>
      </c>
      <c r="N518" s="67">
        <f t="shared" si="399"/>
        <v>0</v>
      </c>
      <c r="O518" s="67">
        <f t="shared" ref="O518:O523" si="404">M518*J518</f>
        <v>0</v>
      </c>
      <c r="P518" s="1124"/>
    </row>
    <row r="519" spans="2:16" x14ac:dyDescent="0.3">
      <c r="B519" s="1119"/>
      <c r="C519" s="1122"/>
      <c r="D519" s="61" t="s">
        <v>131</v>
      </c>
      <c r="E519" s="62">
        <v>0</v>
      </c>
      <c r="F519" s="63">
        <f t="shared" si="401"/>
        <v>7029</v>
      </c>
      <c r="G519" s="63">
        <v>6600</v>
      </c>
      <c r="H519" s="64">
        <v>429</v>
      </c>
      <c r="I519" s="79">
        <f t="shared" si="403"/>
        <v>159142</v>
      </c>
      <c r="J519" s="4">
        <f t="shared" si="396"/>
        <v>154255</v>
      </c>
      <c r="K519" s="4">
        <f t="shared" si="402"/>
        <v>4887</v>
      </c>
      <c r="L519" s="65" t="e">
        <f t="shared" si="398"/>
        <v>#DIV/0!</v>
      </c>
      <c r="M519" s="153">
        <v>4.7636000000000003</v>
      </c>
      <c r="N519" s="67">
        <f t="shared" si="399"/>
        <v>31439.760000000002</v>
      </c>
      <c r="O519" s="67">
        <f t="shared" si="404"/>
        <v>734809.11800000002</v>
      </c>
      <c r="P519" s="1124"/>
    </row>
    <row r="520" spans="2:16" x14ac:dyDescent="0.3">
      <c r="B520" s="1119"/>
      <c r="C520" s="1122"/>
      <c r="D520" s="61" t="s">
        <v>86</v>
      </c>
      <c r="E520" s="62">
        <v>0</v>
      </c>
      <c r="F520" s="63">
        <f t="shared" si="401"/>
        <v>0</v>
      </c>
      <c r="G520" s="63">
        <v>0</v>
      </c>
      <c r="H520" s="64">
        <v>0</v>
      </c>
      <c r="I520" s="79">
        <f t="shared" si="403"/>
        <v>0</v>
      </c>
      <c r="J520" s="4">
        <f t="shared" si="396"/>
        <v>0</v>
      </c>
      <c r="K520" s="4">
        <f t="shared" si="402"/>
        <v>0</v>
      </c>
      <c r="L520" s="65" t="e">
        <f t="shared" si="398"/>
        <v>#DIV/0!</v>
      </c>
      <c r="M520" s="66">
        <v>4.8738000000000001</v>
      </c>
      <c r="N520" s="67">
        <f t="shared" si="399"/>
        <v>0</v>
      </c>
      <c r="O520" s="67">
        <f t="shared" si="404"/>
        <v>0</v>
      </c>
      <c r="P520" s="1124"/>
    </row>
    <row r="521" spans="2:16" x14ac:dyDescent="0.3">
      <c r="B521" s="1119"/>
      <c r="C521" s="184" t="s">
        <v>135</v>
      </c>
      <c r="D521" s="61" t="s">
        <v>131</v>
      </c>
      <c r="E521" s="62"/>
      <c r="F521" s="63">
        <f t="shared" si="401"/>
        <v>0</v>
      </c>
      <c r="G521" s="63">
        <v>0</v>
      </c>
      <c r="H521" s="64">
        <v>0</v>
      </c>
      <c r="I521" s="79">
        <f t="shared" si="403"/>
        <v>0</v>
      </c>
      <c r="J521" s="4">
        <f t="shared" si="396"/>
        <v>0</v>
      </c>
      <c r="K521" s="4">
        <f t="shared" si="402"/>
        <v>0</v>
      </c>
      <c r="L521" s="65"/>
      <c r="M521" s="66">
        <v>4.8738000000000001</v>
      </c>
      <c r="N521" s="67">
        <f t="shared" si="399"/>
        <v>0</v>
      </c>
      <c r="O521" s="67">
        <f t="shared" si="404"/>
        <v>0</v>
      </c>
      <c r="P521" s="1124"/>
    </row>
    <row r="522" spans="2:16" x14ac:dyDescent="0.3">
      <c r="B522" s="1119"/>
      <c r="C522" s="1122" t="s">
        <v>87</v>
      </c>
      <c r="D522" s="61" t="s">
        <v>80</v>
      </c>
      <c r="E522" s="62">
        <v>0</v>
      </c>
      <c r="F522" s="63">
        <f t="shared" si="401"/>
        <v>12042</v>
      </c>
      <c r="G522" s="63">
        <v>11950</v>
      </c>
      <c r="H522" s="64">
        <v>92</v>
      </c>
      <c r="I522" s="79">
        <f t="shared" si="403"/>
        <v>152369</v>
      </c>
      <c r="J522" s="4">
        <f t="shared" si="396"/>
        <v>150500</v>
      </c>
      <c r="K522" s="4">
        <f t="shared" si="402"/>
        <v>1869</v>
      </c>
      <c r="L522" s="65" t="e">
        <f t="shared" ref="L522:L532" si="405">+J522/E522</f>
        <v>#DIV/0!</v>
      </c>
      <c r="M522" s="66">
        <v>4.9344999999999999</v>
      </c>
      <c r="N522" s="67">
        <f t="shared" si="399"/>
        <v>58967.275000000001</v>
      </c>
      <c r="O522" s="67">
        <f t="shared" si="404"/>
        <v>742642.25</v>
      </c>
      <c r="P522" s="1124"/>
    </row>
    <row r="523" spans="2:16" x14ac:dyDescent="0.3">
      <c r="B523" s="1119"/>
      <c r="C523" s="1122"/>
      <c r="D523" s="61" t="s">
        <v>142</v>
      </c>
      <c r="E523" s="62"/>
      <c r="F523" s="63">
        <f t="shared" si="401"/>
        <v>0</v>
      </c>
      <c r="G523" s="63">
        <v>0</v>
      </c>
      <c r="H523" s="64">
        <v>0</v>
      </c>
      <c r="I523" s="79">
        <f t="shared" si="403"/>
        <v>0</v>
      </c>
      <c r="J523" s="4">
        <f t="shared" si="396"/>
        <v>0</v>
      </c>
      <c r="K523" s="4">
        <f t="shared" si="402"/>
        <v>0</v>
      </c>
      <c r="L523" s="65" t="e">
        <f t="shared" si="405"/>
        <v>#DIV/0!</v>
      </c>
      <c r="M523" s="66">
        <v>4.9344999999999999</v>
      </c>
      <c r="N523" s="67">
        <f t="shared" si="399"/>
        <v>0</v>
      </c>
      <c r="O523" s="67">
        <f t="shared" si="404"/>
        <v>0</v>
      </c>
      <c r="P523" s="1124"/>
    </row>
    <row r="524" spans="2:16" x14ac:dyDescent="0.3">
      <c r="B524" s="1119"/>
      <c r="C524" s="1122"/>
      <c r="D524" s="61" t="s">
        <v>136</v>
      </c>
      <c r="E524" s="62">
        <v>0</v>
      </c>
      <c r="F524" s="63">
        <f t="shared" si="401"/>
        <v>0</v>
      </c>
      <c r="G524" s="155">
        <v>0</v>
      </c>
      <c r="H524" s="156">
        <v>0</v>
      </c>
      <c r="I524" s="157">
        <f t="shared" si="403"/>
        <v>0</v>
      </c>
      <c r="J524" s="4">
        <f t="shared" si="396"/>
        <v>0</v>
      </c>
      <c r="K524" s="4">
        <f t="shared" si="402"/>
        <v>0</v>
      </c>
      <c r="L524" s="158" t="e">
        <f t="shared" si="405"/>
        <v>#DIV/0!</v>
      </c>
      <c r="M524" s="66">
        <v>4.9344999999999999</v>
      </c>
      <c r="N524" s="159">
        <f t="shared" si="399"/>
        <v>0</v>
      </c>
      <c r="O524" s="67">
        <f>M524*J524</f>
        <v>0</v>
      </c>
      <c r="P524" s="1124"/>
    </row>
    <row r="525" spans="2:16" x14ac:dyDescent="0.3">
      <c r="B525" s="1119"/>
      <c r="C525" s="1122" t="s">
        <v>88</v>
      </c>
      <c r="D525" s="61" t="s">
        <v>80</v>
      </c>
      <c r="E525" s="62">
        <v>0</v>
      </c>
      <c r="F525" s="63">
        <f t="shared" si="401"/>
        <v>0</v>
      </c>
      <c r="G525" s="63">
        <v>0</v>
      </c>
      <c r="H525" s="64">
        <v>0</v>
      </c>
      <c r="I525" s="79">
        <f t="shared" si="403"/>
        <v>113515</v>
      </c>
      <c r="J525" s="4">
        <f t="shared" si="396"/>
        <v>106950</v>
      </c>
      <c r="K525" s="4">
        <f t="shared" si="402"/>
        <v>6565</v>
      </c>
      <c r="L525" s="65" t="e">
        <f t="shared" si="405"/>
        <v>#DIV/0!</v>
      </c>
      <c r="M525" s="148">
        <v>5.5069999999999997</v>
      </c>
      <c r="N525" s="67">
        <f t="shared" si="399"/>
        <v>0</v>
      </c>
      <c r="O525" s="67">
        <f>M525*J525</f>
        <v>588973.64999999991</v>
      </c>
      <c r="P525" s="1124"/>
    </row>
    <row r="526" spans="2:16" x14ac:dyDescent="0.3">
      <c r="B526" s="1119"/>
      <c r="C526" s="1122"/>
      <c r="D526" s="61" t="s">
        <v>119</v>
      </c>
      <c r="E526" s="62">
        <v>0</v>
      </c>
      <c r="F526" s="63">
        <f t="shared" si="401"/>
        <v>0</v>
      </c>
      <c r="G526" s="63">
        <v>0</v>
      </c>
      <c r="H526" s="64">
        <v>0</v>
      </c>
      <c r="I526" s="79">
        <f t="shared" si="403"/>
        <v>10950</v>
      </c>
      <c r="J526" s="4">
        <f t="shared" si="396"/>
        <v>10900</v>
      </c>
      <c r="K526" s="4">
        <f t="shared" si="402"/>
        <v>50</v>
      </c>
      <c r="L526" s="65" t="e">
        <f t="shared" si="405"/>
        <v>#DIV/0!</v>
      </c>
      <c r="M526" s="147">
        <v>5.6550000000000002</v>
      </c>
      <c r="N526" s="67">
        <f t="shared" si="399"/>
        <v>0</v>
      </c>
      <c r="O526" s="67">
        <f>M526*J526</f>
        <v>61639.5</v>
      </c>
      <c r="P526" s="1124"/>
    </row>
    <row r="527" spans="2:16" x14ac:dyDescent="0.3">
      <c r="B527" s="1119"/>
      <c r="C527" s="1122"/>
      <c r="D527" s="61" t="s">
        <v>125</v>
      </c>
      <c r="E527" s="62">
        <v>0</v>
      </c>
      <c r="F527" s="63">
        <f t="shared" si="401"/>
        <v>0</v>
      </c>
      <c r="G527" s="63">
        <v>0</v>
      </c>
      <c r="H527" s="64">
        <v>0</v>
      </c>
      <c r="I527" s="79">
        <f t="shared" si="403"/>
        <v>0</v>
      </c>
      <c r="J527" s="4">
        <f t="shared" si="396"/>
        <v>0</v>
      </c>
      <c r="K527" s="4">
        <f t="shared" si="402"/>
        <v>0</v>
      </c>
      <c r="L527" s="65" t="e">
        <f t="shared" si="405"/>
        <v>#DIV/0!</v>
      </c>
      <c r="M527" s="152">
        <v>5.6550000000000002</v>
      </c>
      <c r="N527" s="67">
        <f t="shared" si="399"/>
        <v>0</v>
      </c>
      <c r="O527" s="67">
        <f>M527*J527</f>
        <v>0</v>
      </c>
      <c r="P527" s="1124"/>
    </row>
    <row r="528" spans="2:16" x14ac:dyDescent="0.3">
      <c r="B528" s="1119"/>
      <c r="C528" s="1122"/>
      <c r="D528" s="61" t="s">
        <v>128</v>
      </c>
      <c r="E528" s="62">
        <v>0</v>
      </c>
      <c r="F528" s="63">
        <f t="shared" si="401"/>
        <v>0</v>
      </c>
      <c r="G528" s="63">
        <v>0</v>
      </c>
      <c r="H528" s="64">
        <v>0</v>
      </c>
      <c r="I528" s="79">
        <f t="shared" si="403"/>
        <v>12400</v>
      </c>
      <c r="J528" s="4">
        <f t="shared" si="396"/>
        <v>10900</v>
      </c>
      <c r="K528" s="4">
        <f t="shared" si="402"/>
        <v>1500</v>
      </c>
      <c r="L528" s="65" t="e">
        <f t="shared" si="405"/>
        <v>#DIV/0!</v>
      </c>
      <c r="M528" s="66">
        <v>5.7885299999999997</v>
      </c>
      <c r="N528" s="67">
        <f>+M528*G528</f>
        <v>0</v>
      </c>
      <c r="O528" s="67">
        <f>M528*J528</f>
        <v>63094.976999999999</v>
      </c>
      <c r="P528" s="1124"/>
    </row>
    <row r="529" spans="2:16" x14ac:dyDescent="0.3">
      <c r="B529" s="1119"/>
      <c r="C529" s="1122"/>
      <c r="D529" s="61" t="s">
        <v>143</v>
      </c>
      <c r="E529" s="62">
        <v>0</v>
      </c>
      <c r="F529" s="63">
        <f t="shared" si="401"/>
        <v>0</v>
      </c>
      <c r="G529" s="63">
        <v>0</v>
      </c>
      <c r="H529" s="64">
        <v>0</v>
      </c>
      <c r="I529" s="79">
        <f t="shared" si="403"/>
        <v>0</v>
      </c>
      <c r="J529" s="4">
        <f t="shared" si="396"/>
        <v>0</v>
      </c>
      <c r="K529" s="4">
        <f t="shared" si="402"/>
        <v>0</v>
      </c>
      <c r="L529" s="65" t="e">
        <f t="shared" si="405"/>
        <v>#DIV/0!</v>
      </c>
      <c r="M529" s="152">
        <v>5.6550000000000002</v>
      </c>
      <c r="N529" s="67">
        <f t="shared" ref="N529:N531" si="406">+M529*G529</f>
        <v>0</v>
      </c>
      <c r="O529" s="67">
        <f t="shared" ref="O529:O532" si="407">M529*J529</f>
        <v>0</v>
      </c>
      <c r="P529" s="1124"/>
    </row>
    <row r="530" spans="2:16" x14ac:dyDescent="0.3">
      <c r="B530" s="1119"/>
      <c r="C530" s="184" t="s">
        <v>89</v>
      </c>
      <c r="D530" s="61" t="s">
        <v>80</v>
      </c>
      <c r="E530" s="62">
        <v>0</v>
      </c>
      <c r="F530" s="63">
        <f t="shared" si="401"/>
        <v>0</v>
      </c>
      <c r="G530" s="63">
        <v>0</v>
      </c>
      <c r="H530" s="64">
        <v>0</v>
      </c>
      <c r="I530" s="79">
        <f t="shared" si="403"/>
        <v>0</v>
      </c>
      <c r="J530" s="4">
        <f t="shared" si="396"/>
        <v>0</v>
      </c>
      <c r="K530" s="4">
        <f t="shared" si="402"/>
        <v>0</v>
      </c>
      <c r="L530" s="65" t="e">
        <f t="shared" si="405"/>
        <v>#DIV/0!</v>
      </c>
      <c r="M530" s="66">
        <v>3.2963</v>
      </c>
      <c r="N530" s="67">
        <f t="shared" si="406"/>
        <v>0</v>
      </c>
      <c r="O530" s="67">
        <f t="shared" si="407"/>
        <v>0</v>
      </c>
      <c r="P530" s="1124"/>
    </row>
    <row r="531" spans="2:16" x14ac:dyDescent="0.3">
      <c r="B531" s="1119"/>
      <c r="C531" s="184" t="s">
        <v>90</v>
      </c>
      <c r="D531" s="61" t="s">
        <v>80</v>
      </c>
      <c r="E531" s="62">
        <v>0</v>
      </c>
      <c r="F531" s="63">
        <f t="shared" si="401"/>
        <v>0</v>
      </c>
      <c r="G531" s="63">
        <v>0</v>
      </c>
      <c r="H531" s="64">
        <v>0</v>
      </c>
      <c r="I531" s="79">
        <f t="shared" si="403"/>
        <v>0</v>
      </c>
      <c r="J531" s="4">
        <f t="shared" si="396"/>
        <v>0</v>
      </c>
      <c r="K531" s="4">
        <f t="shared" si="402"/>
        <v>0</v>
      </c>
      <c r="L531" s="65" t="e">
        <f t="shared" si="405"/>
        <v>#DIV/0!</v>
      </c>
      <c r="M531" s="66">
        <v>3.2963</v>
      </c>
      <c r="N531" s="67">
        <f t="shared" si="406"/>
        <v>0</v>
      </c>
      <c r="O531" s="67">
        <f t="shared" si="407"/>
        <v>0</v>
      </c>
      <c r="P531" s="1124"/>
    </row>
    <row r="532" spans="2:16" ht="15" thickBot="1" x14ac:dyDescent="0.35">
      <c r="B532" s="1119"/>
      <c r="C532" s="68" t="s">
        <v>91</v>
      </c>
      <c r="D532" s="69" t="s">
        <v>92</v>
      </c>
      <c r="E532" s="70">
        <v>0</v>
      </c>
      <c r="F532" s="71">
        <f t="shared" si="401"/>
        <v>0</v>
      </c>
      <c r="G532" s="71">
        <v>0</v>
      </c>
      <c r="H532" s="72">
        <v>0</v>
      </c>
      <c r="I532" s="80">
        <f t="shared" si="403"/>
        <v>65030</v>
      </c>
      <c r="J532" s="4">
        <f t="shared" si="396"/>
        <v>65000</v>
      </c>
      <c r="K532" s="4">
        <f t="shared" si="402"/>
        <v>30</v>
      </c>
      <c r="L532" s="65" t="e">
        <f t="shared" si="405"/>
        <v>#DIV/0!</v>
      </c>
      <c r="M532" s="73">
        <v>2.3201000000000001</v>
      </c>
      <c r="N532" s="74">
        <f t="shared" ref="N532" si="408">M532*G532</f>
        <v>0</v>
      </c>
      <c r="O532" s="74">
        <f t="shared" si="407"/>
        <v>150806.5</v>
      </c>
      <c r="P532" s="1125"/>
    </row>
    <row r="533" spans="2:16" ht="15" thickBot="1" x14ac:dyDescent="0.35">
      <c r="B533" s="1120"/>
      <c r="C533" s="1128" t="s">
        <v>106</v>
      </c>
      <c r="D533" s="1129"/>
      <c r="E533" s="1129"/>
      <c r="F533" s="1129"/>
      <c r="G533" s="1129"/>
      <c r="H533" s="1130"/>
      <c r="I533" s="116">
        <f>J533+K533</f>
        <v>576070</v>
      </c>
      <c r="J533" s="115">
        <f>SUM(J505:J532)</f>
        <v>559780</v>
      </c>
      <c r="K533" s="115">
        <f>SUM(K505:K532)</f>
        <v>16290</v>
      </c>
      <c r="L533" s="114"/>
      <c r="M533" s="113"/>
      <c r="N533" s="114"/>
      <c r="O533" s="97">
        <f>SUM(O505:O532)</f>
        <v>4620815.2449999992</v>
      </c>
      <c r="P533" s="96"/>
    </row>
    <row r="534" spans="2:16" ht="15" thickBot="1" x14ac:dyDescent="0.35">
      <c r="B534" s="100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2"/>
    </row>
    <row r="535" spans="2:16" ht="15" thickBot="1" x14ac:dyDescent="0.35">
      <c r="B535" s="1113" t="s">
        <v>107</v>
      </c>
      <c r="C535" s="1114"/>
      <c r="D535" s="1114"/>
      <c r="E535" s="1114"/>
      <c r="F535" s="1114"/>
      <c r="G535" s="1114"/>
      <c r="H535" s="1114"/>
      <c r="I535" s="1114"/>
      <c r="J535" s="1114"/>
      <c r="K535" s="1114"/>
      <c r="L535" s="1114"/>
      <c r="M535" s="1114"/>
      <c r="N535" s="1115"/>
      <c r="O535" s="103">
        <f>+O533+O504+O489</f>
        <v>10039684.446999999</v>
      </c>
      <c r="P535" s="96"/>
    </row>
    <row r="536" spans="2:16" ht="15" thickBot="1" x14ac:dyDescent="0.35"/>
    <row r="537" spans="2:16" x14ac:dyDescent="0.3">
      <c r="B537" s="1147" t="s">
        <v>1</v>
      </c>
      <c r="C537" s="1149" t="s">
        <v>2</v>
      </c>
      <c r="D537" s="1152" t="s">
        <v>3</v>
      </c>
      <c r="E537" s="1155" t="s">
        <v>4</v>
      </c>
      <c r="F537" s="1156"/>
      <c r="G537" s="1156"/>
      <c r="H537" s="1156"/>
      <c r="I537" s="1156"/>
      <c r="J537" s="1156"/>
      <c r="K537" s="1156"/>
      <c r="L537" s="1157"/>
      <c r="M537" s="1158" t="s">
        <v>5</v>
      </c>
      <c r="N537" s="1159"/>
      <c r="O537" s="1160"/>
      <c r="P537" s="1152" t="s">
        <v>6</v>
      </c>
    </row>
    <row r="538" spans="2:16" x14ac:dyDescent="0.3">
      <c r="B538" s="1148"/>
      <c r="C538" s="1150"/>
      <c r="D538" s="1153"/>
      <c r="E538" s="1161" t="s">
        <v>7</v>
      </c>
      <c r="F538" s="1163" t="s">
        <v>156</v>
      </c>
      <c r="G538" s="1163"/>
      <c r="H538" s="1164"/>
      <c r="I538" s="1165" t="s">
        <v>8</v>
      </c>
      <c r="J538" s="1163"/>
      <c r="K538" s="1163"/>
      <c r="L538" s="1164" t="s">
        <v>9</v>
      </c>
      <c r="M538" s="1167" t="s">
        <v>10</v>
      </c>
      <c r="N538" s="1169" t="s">
        <v>11</v>
      </c>
      <c r="O538" s="1171" t="s">
        <v>12</v>
      </c>
      <c r="P538" s="1153"/>
    </row>
    <row r="539" spans="2:16" ht="15" thickBot="1" x14ac:dyDescent="0.35">
      <c r="B539" s="1148"/>
      <c r="C539" s="1151"/>
      <c r="D539" s="1154"/>
      <c r="E539" s="1162"/>
      <c r="F539" s="2" t="s">
        <v>13</v>
      </c>
      <c r="G539" s="2" t="s">
        <v>14</v>
      </c>
      <c r="H539" s="191" t="s">
        <v>15</v>
      </c>
      <c r="I539" s="142" t="s">
        <v>13</v>
      </c>
      <c r="J539" s="2" t="s">
        <v>14</v>
      </c>
      <c r="K539" s="2" t="s">
        <v>15</v>
      </c>
      <c r="L539" s="1166"/>
      <c r="M539" s="1168"/>
      <c r="N539" s="1170"/>
      <c r="O539" s="1172"/>
      <c r="P539" s="1154"/>
    </row>
    <row r="540" spans="2:16" x14ac:dyDescent="0.3">
      <c r="B540" s="1131" t="s">
        <v>56</v>
      </c>
      <c r="C540" s="29"/>
      <c r="D540" s="117" t="s">
        <v>151</v>
      </c>
      <c r="E540" s="98">
        <v>0</v>
      </c>
      <c r="F540" s="4">
        <f>+G540+H540</f>
        <v>60564</v>
      </c>
      <c r="G540" s="4">
        <v>59360</v>
      </c>
      <c r="H540" s="8">
        <v>1204</v>
      </c>
      <c r="I540" s="6">
        <f>J540+K540</f>
        <v>285266</v>
      </c>
      <c r="J540" s="4">
        <f>G540+J475</f>
        <v>280000</v>
      </c>
      <c r="K540" s="4">
        <f>H540+K475</f>
        <v>5266</v>
      </c>
      <c r="L540" s="33" t="e">
        <f>+J540/E540</f>
        <v>#DIV/0!</v>
      </c>
      <c r="M540" s="104">
        <v>1.3652</v>
      </c>
      <c r="N540" s="31">
        <f>G540*M540</f>
        <v>81038.271999999997</v>
      </c>
      <c r="O540" s="86">
        <f>M540*J540</f>
        <v>382256</v>
      </c>
      <c r="P540" s="1133"/>
    </row>
    <row r="541" spans="2:16" x14ac:dyDescent="0.3">
      <c r="B541" s="1132"/>
      <c r="C541" s="32"/>
      <c r="D541" s="118" t="s">
        <v>116</v>
      </c>
      <c r="E541" s="99">
        <v>0</v>
      </c>
      <c r="F541" s="9">
        <f>+G541+H541</f>
        <v>0</v>
      </c>
      <c r="G541" s="9">
        <v>0</v>
      </c>
      <c r="H541" s="10">
        <v>0</v>
      </c>
      <c r="I541" s="6">
        <f>J541+K541</f>
        <v>0</v>
      </c>
      <c r="J541" s="4">
        <f>+G541+J476</f>
        <v>0</v>
      </c>
      <c r="K541" s="4">
        <f>+H541+K476</f>
        <v>0</v>
      </c>
      <c r="L541" s="33"/>
      <c r="M541" s="105">
        <v>5.9917999999999996</v>
      </c>
      <c r="N541" s="34">
        <f>M541*G541</f>
        <v>0</v>
      </c>
      <c r="O541" s="87">
        <f>M541*J541</f>
        <v>0</v>
      </c>
      <c r="P541" s="1134"/>
    </row>
    <row r="542" spans="2:16" x14ac:dyDescent="0.3">
      <c r="B542" s="1132"/>
      <c r="C542" s="35"/>
      <c r="D542" s="119" t="s">
        <v>58</v>
      </c>
      <c r="E542" s="99">
        <v>0</v>
      </c>
      <c r="F542" s="9">
        <f t="shared" ref="F542:F546" si="409">+G542+H542</f>
        <v>231616</v>
      </c>
      <c r="G542" s="9">
        <v>230000</v>
      </c>
      <c r="H542" s="10">
        <v>1616</v>
      </c>
      <c r="I542" s="6">
        <f t="shared" ref="I542:I546" si="410">J542+K542</f>
        <v>1568199</v>
      </c>
      <c r="J542" s="4">
        <f t="shared" ref="J542:J546" si="411">+G542+J477</f>
        <v>1555750</v>
      </c>
      <c r="K542" s="4">
        <f t="shared" ref="K542:K546" si="412">+H542+K477</f>
        <v>12449</v>
      </c>
      <c r="L542" s="33" t="e">
        <f t="shared" ref="L542" si="413">+J542/E542</f>
        <v>#DIV/0!</v>
      </c>
      <c r="M542" s="106">
        <v>2.3807999999999998</v>
      </c>
      <c r="N542" s="36">
        <f>G542*M542</f>
        <v>547584</v>
      </c>
      <c r="O542" s="88">
        <f>M542*J542</f>
        <v>3703929.5999999996</v>
      </c>
      <c r="P542" s="1134"/>
    </row>
    <row r="543" spans="2:16" x14ac:dyDescent="0.3">
      <c r="B543" s="1132"/>
      <c r="C543" s="35"/>
      <c r="D543" s="119" t="s">
        <v>59</v>
      </c>
      <c r="E543" s="99">
        <v>0</v>
      </c>
      <c r="F543" s="9">
        <f t="shared" si="409"/>
        <v>0</v>
      </c>
      <c r="G543" s="9">
        <v>0</v>
      </c>
      <c r="H543" s="10">
        <v>0</v>
      </c>
      <c r="I543" s="6">
        <f t="shared" si="410"/>
        <v>0</v>
      </c>
      <c r="J543" s="4">
        <f t="shared" si="411"/>
        <v>0</v>
      </c>
      <c r="K543" s="4">
        <f t="shared" si="412"/>
        <v>0</v>
      </c>
      <c r="L543" s="33"/>
      <c r="M543" s="106">
        <v>2.1457999999999999</v>
      </c>
      <c r="N543" s="36">
        <f t="shared" ref="N543:N546" si="414">G543*M543</f>
        <v>0</v>
      </c>
      <c r="O543" s="88">
        <f>M543*J543</f>
        <v>0</v>
      </c>
      <c r="P543" s="1134"/>
    </row>
    <row r="544" spans="2:16" x14ac:dyDescent="0.3">
      <c r="B544" s="1132"/>
      <c r="C544" s="35"/>
      <c r="D544" s="119" t="s">
        <v>113</v>
      </c>
      <c r="E544" s="99">
        <v>0</v>
      </c>
      <c r="F544" s="9">
        <f t="shared" si="409"/>
        <v>0</v>
      </c>
      <c r="G544" s="9">
        <v>0</v>
      </c>
      <c r="H544" s="10">
        <v>0</v>
      </c>
      <c r="I544" s="6">
        <f t="shared" si="410"/>
        <v>0</v>
      </c>
      <c r="J544" s="4">
        <f t="shared" si="411"/>
        <v>0</v>
      </c>
      <c r="K544" s="4">
        <f t="shared" si="412"/>
        <v>0</v>
      </c>
      <c r="L544" s="33" t="e">
        <f t="shared" ref="L544:L545" si="415">+J544/E544</f>
        <v>#DIV/0!</v>
      </c>
      <c r="M544" s="143">
        <v>4.0426000000000002</v>
      </c>
      <c r="N544" s="36">
        <f t="shared" si="414"/>
        <v>0</v>
      </c>
      <c r="O544" s="88">
        <f>M544*J544</f>
        <v>0</v>
      </c>
      <c r="P544" s="1134"/>
    </row>
    <row r="545" spans="2:16" x14ac:dyDescent="0.3">
      <c r="B545" s="1132"/>
      <c r="C545" s="35"/>
      <c r="D545" s="119" t="s">
        <v>117</v>
      </c>
      <c r="E545" s="99">
        <v>0</v>
      </c>
      <c r="F545" s="9">
        <f t="shared" si="409"/>
        <v>0</v>
      </c>
      <c r="G545" s="9">
        <v>0</v>
      </c>
      <c r="H545" s="10">
        <v>0</v>
      </c>
      <c r="I545" s="6">
        <f t="shared" si="410"/>
        <v>0</v>
      </c>
      <c r="J545" s="4">
        <f t="shared" si="411"/>
        <v>0</v>
      </c>
      <c r="K545" s="4">
        <f t="shared" si="412"/>
        <v>0</v>
      </c>
      <c r="L545" s="33" t="e">
        <f t="shared" si="415"/>
        <v>#DIV/0!</v>
      </c>
      <c r="M545" s="143">
        <v>3.8715000000000002</v>
      </c>
      <c r="N545" s="36">
        <f t="shared" si="414"/>
        <v>0</v>
      </c>
      <c r="O545" s="88">
        <f t="shared" ref="O545:O546" si="416">M545*J545</f>
        <v>0</v>
      </c>
      <c r="P545" s="1134"/>
    </row>
    <row r="546" spans="2:16" ht="15" thickBot="1" x14ac:dyDescent="0.35">
      <c r="B546" s="1132"/>
      <c r="C546" s="82"/>
      <c r="D546" s="120" t="s">
        <v>60</v>
      </c>
      <c r="E546" s="108">
        <v>0</v>
      </c>
      <c r="F546" s="12">
        <f t="shared" si="409"/>
        <v>0</v>
      </c>
      <c r="G546" s="12">
        <v>0</v>
      </c>
      <c r="H546" s="13">
        <v>0</v>
      </c>
      <c r="I546" s="21">
        <f t="shared" si="410"/>
        <v>0</v>
      </c>
      <c r="J546" s="4">
        <f t="shared" si="411"/>
        <v>0</v>
      </c>
      <c r="K546" s="4">
        <f t="shared" si="412"/>
        <v>0</v>
      </c>
      <c r="L546" s="81"/>
      <c r="M546" s="127">
        <v>12.284700000000001</v>
      </c>
      <c r="N546" s="36">
        <f t="shared" si="414"/>
        <v>0</v>
      </c>
      <c r="O546" s="128">
        <f t="shared" si="416"/>
        <v>0</v>
      </c>
      <c r="P546" s="1134"/>
    </row>
    <row r="547" spans="2:16" ht="15" thickBot="1" x14ac:dyDescent="0.35">
      <c r="B547" s="1132"/>
      <c r="C547" s="1137" t="s">
        <v>111</v>
      </c>
      <c r="D547" s="1138"/>
      <c r="E547" s="129"/>
      <c r="F547" s="130">
        <f>SUM(F540:F546)</f>
        <v>292180</v>
      </c>
      <c r="G547" s="130">
        <f>SUM(G540:G546)</f>
        <v>289360</v>
      </c>
      <c r="H547" s="131">
        <f>SUM(H540:H546)</f>
        <v>2820</v>
      </c>
      <c r="I547" s="132">
        <f>+J547+K547</f>
        <v>1853465</v>
      </c>
      <c r="J547" s="133">
        <f>SUM(J540:J546)</f>
        <v>1835750</v>
      </c>
      <c r="K547" s="133">
        <f>SUM(K540:K546)</f>
        <v>17715</v>
      </c>
      <c r="L547" s="134"/>
      <c r="M547" s="135"/>
      <c r="N547" s="136"/>
      <c r="O547" s="137">
        <f>SUM(O540:O546)</f>
        <v>4086185.5999999996</v>
      </c>
      <c r="P547" s="1135"/>
    </row>
    <row r="548" spans="2:16" x14ac:dyDescent="0.3">
      <c r="B548" s="1132"/>
      <c r="C548" s="32"/>
      <c r="D548" s="118" t="s">
        <v>61</v>
      </c>
      <c r="E548" s="98">
        <v>0</v>
      </c>
      <c r="F548" s="4">
        <f t="shared" ref="F548:F551" si="417">+G548+H548</f>
        <v>0</v>
      </c>
      <c r="G548" s="4">
        <v>0</v>
      </c>
      <c r="H548" s="8">
        <v>0</v>
      </c>
      <c r="I548" s="6">
        <f t="shared" ref="I548:I552" si="418">J548+K548</f>
        <v>0</v>
      </c>
      <c r="J548" s="4">
        <f>G548+J483</f>
        <v>0</v>
      </c>
      <c r="K548" s="4">
        <f>H548+K483</f>
        <v>0</v>
      </c>
      <c r="L548" s="33" t="e">
        <f t="shared" ref="L548" si="419">+J548/E548</f>
        <v>#DIV/0!</v>
      </c>
      <c r="M548" s="105">
        <v>12.029500000000001</v>
      </c>
      <c r="N548" s="34">
        <f>M548*G548</f>
        <v>0</v>
      </c>
      <c r="O548" s="87">
        <f t="shared" ref="O548:O550" si="420">M548*J548</f>
        <v>0</v>
      </c>
      <c r="P548" s="1134"/>
    </row>
    <row r="549" spans="2:16" x14ac:dyDescent="0.3">
      <c r="B549" s="1132"/>
      <c r="C549" s="35"/>
      <c r="D549" s="119" t="s">
        <v>62</v>
      </c>
      <c r="E549" s="99">
        <v>0</v>
      </c>
      <c r="F549" s="9">
        <f t="shared" si="417"/>
        <v>0</v>
      </c>
      <c r="G549" s="9">
        <v>0</v>
      </c>
      <c r="H549" s="10">
        <v>0</v>
      </c>
      <c r="I549" s="6">
        <f t="shared" si="418"/>
        <v>0</v>
      </c>
      <c r="J549" s="4">
        <f>G549+J484</f>
        <v>0</v>
      </c>
      <c r="K549" s="4">
        <f>H549+K484</f>
        <v>0</v>
      </c>
      <c r="L549" s="33"/>
      <c r="M549" s="106">
        <v>0</v>
      </c>
      <c r="N549" s="36"/>
      <c r="O549" s="88">
        <f t="shared" si="420"/>
        <v>0</v>
      </c>
      <c r="P549" s="1134"/>
    </row>
    <row r="550" spans="2:16" x14ac:dyDescent="0.3">
      <c r="B550" s="1132"/>
      <c r="C550" s="35"/>
      <c r="D550" s="119" t="s">
        <v>104</v>
      </c>
      <c r="E550" s="99">
        <v>0</v>
      </c>
      <c r="F550" s="9">
        <f t="shared" si="417"/>
        <v>0</v>
      </c>
      <c r="G550" s="9">
        <v>0</v>
      </c>
      <c r="H550" s="10">
        <v>0</v>
      </c>
      <c r="I550" s="6">
        <f t="shared" si="418"/>
        <v>0</v>
      </c>
      <c r="J550" s="4">
        <f t="shared" ref="J550:J552" si="421">G550+J485</f>
        <v>0</v>
      </c>
      <c r="K550" s="4">
        <f t="shared" ref="K550:K552" si="422">H550+K485</f>
        <v>0</v>
      </c>
      <c r="L550" s="33" t="e">
        <f t="shared" ref="L550:L552" si="423">+J550/E550</f>
        <v>#DIV/0!</v>
      </c>
      <c r="M550" s="106">
        <v>19.688600000000001</v>
      </c>
      <c r="N550" s="36">
        <f>M550*G550</f>
        <v>0</v>
      </c>
      <c r="O550" s="88">
        <f t="shared" si="420"/>
        <v>0</v>
      </c>
      <c r="P550" s="1134"/>
    </row>
    <row r="551" spans="2:16" x14ac:dyDescent="0.3">
      <c r="B551" s="1132"/>
      <c r="C551" s="35"/>
      <c r="D551" s="119" t="s">
        <v>64</v>
      </c>
      <c r="E551" s="99">
        <v>0</v>
      </c>
      <c r="F551" s="9">
        <f t="shared" si="417"/>
        <v>0</v>
      </c>
      <c r="G551" s="9">
        <v>0</v>
      </c>
      <c r="H551" s="10">
        <v>0</v>
      </c>
      <c r="I551" s="6">
        <f t="shared" si="418"/>
        <v>0</v>
      </c>
      <c r="J551" s="4">
        <f t="shared" si="421"/>
        <v>0</v>
      </c>
      <c r="K551" s="4">
        <f t="shared" si="422"/>
        <v>0</v>
      </c>
      <c r="L551" s="33" t="e">
        <f t="shared" si="423"/>
        <v>#DIV/0!</v>
      </c>
      <c r="M551" s="106">
        <v>1.2824</v>
      </c>
      <c r="N551" s="151">
        <f>M551*G551</f>
        <v>0</v>
      </c>
      <c r="O551" s="88">
        <f>M551*J551</f>
        <v>0</v>
      </c>
      <c r="P551" s="1134"/>
    </row>
    <row r="552" spans="2:16" ht="15" thickBot="1" x14ac:dyDescent="0.35">
      <c r="B552" s="1132"/>
      <c r="C552" s="82"/>
      <c r="D552" s="120" t="s">
        <v>63</v>
      </c>
      <c r="E552" s="108">
        <v>0</v>
      </c>
      <c r="F552" s="12">
        <v>0</v>
      </c>
      <c r="G552" s="12">
        <v>0</v>
      </c>
      <c r="H552" s="13">
        <v>0</v>
      </c>
      <c r="I552" s="21">
        <f t="shared" si="418"/>
        <v>8814</v>
      </c>
      <c r="J552" s="4">
        <f t="shared" si="421"/>
        <v>8640</v>
      </c>
      <c r="K552" s="4">
        <f t="shared" si="422"/>
        <v>174</v>
      </c>
      <c r="L552" s="81" t="e">
        <f t="shared" si="423"/>
        <v>#DIV/0!</v>
      </c>
      <c r="M552" s="107">
        <v>18.2316</v>
      </c>
      <c r="N552" s="75"/>
      <c r="O552" s="89">
        <f t="shared" ref="O552" si="424">M552*J552</f>
        <v>157521.024</v>
      </c>
      <c r="P552" s="1136"/>
    </row>
    <row r="553" spans="2:16" ht="15" thickBot="1" x14ac:dyDescent="0.35">
      <c r="B553" s="1116" t="s">
        <v>112</v>
      </c>
      <c r="C553" s="1117"/>
      <c r="D553" s="1117"/>
      <c r="E553" s="124"/>
      <c r="F553" s="125">
        <f>+G553+H553</f>
        <v>0</v>
      </c>
      <c r="G553" s="125">
        <f>SUM(G548:G552)</f>
        <v>0</v>
      </c>
      <c r="H553" s="126">
        <f>SUM(H548:H552)</f>
        <v>0</v>
      </c>
      <c r="I553" s="121">
        <f>J553+K553</f>
        <v>8814</v>
      </c>
      <c r="J553" s="122">
        <f>SUM(J548:J552)</f>
        <v>8640</v>
      </c>
      <c r="K553" s="123">
        <f>SUM(K548:K552)</f>
        <v>174</v>
      </c>
      <c r="L553" s="138"/>
      <c r="M553" s="139"/>
      <c r="N553" s="140"/>
      <c r="O553" s="141">
        <f>SUM(O548:O552)</f>
        <v>157521.024</v>
      </c>
      <c r="P553" s="189"/>
    </row>
    <row r="554" spans="2:16" ht="15" thickBot="1" x14ac:dyDescent="0.35">
      <c r="B554" s="1116" t="s">
        <v>105</v>
      </c>
      <c r="C554" s="1117"/>
      <c r="D554" s="1117"/>
      <c r="E554" s="1139"/>
      <c r="F554" s="1139"/>
      <c r="G554" s="1139"/>
      <c r="H554" s="1139"/>
      <c r="I554" s="1117"/>
      <c r="J554" s="1117"/>
      <c r="K554" s="1117"/>
      <c r="L554" s="1117"/>
      <c r="M554" s="1117"/>
      <c r="N554" s="1140"/>
      <c r="O554" s="83">
        <f>O547+O553</f>
        <v>4243706.6239999998</v>
      </c>
      <c r="P554" s="189"/>
    </row>
    <row r="555" spans="2:16" x14ac:dyDescent="0.3">
      <c r="B555" s="1131" t="s">
        <v>65</v>
      </c>
      <c r="C555" s="37" t="s">
        <v>66</v>
      </c>
      <c r="D555" s="28" t="s">
        <v>67</v>
      </c>
      <c r="E555" s="38">
        <v>0</v>
      </c>
      <c r="F555" s="14">
        <f>+G555+H555</f>
        <v>0</v>
      </c>
      <c r="G555" s="14">
        <v>0</v>
      </c>
      <c r="H555" s="5">
        <v>0</v>
      </c>
      <c r="I555" s="17">
        <f t="shared" ref="I555:I561" si="425">J555+K555</f>
        <v>0</v>
      </c>
      <c r="J555" s="4">
        <f>G555+J490</f>
        <v>0</v>
      </c>
      <c r="K555" s="4">
        <f>H555+K490</f>
        <v>0</v>
      </c>
      <c r="L555" s="30" t="e">
        <f>+J555/E555</f>
        <v>#DIV/0!</v>
      </c>
      <c r="M555" s="146">
        <v>2.2141000000000002</v>
      </c>
      <c r="N555" s="15">
        <f>+M555*G555</f>
        <v>0</v>
      </c>
      <c r="O555" s="90">
        <f>+M555*J555</f>
        <v>0</v>
      </c>
      <c r="P555" s="1142"/>
    </row>
    <row r="556" spans="2:16" x14ac:dyDescent="0.3">
      <c r="B556" s="1132"/>
      <c r="C556" s="39"/>
      <c r="D556" s="22" t="s">
        <v>68</v>
      </c>
      <c r="E556" s="3">
        <v>0</v>
      </c>
      <c r="F556" s="9">
        <f t="shared" ref="F556:F561" si="426">+G556+H556</f>
        <v>0</v>
      </c>
      <c r="G556" s="4">
        <v>0</v>
      </c>
      <c r="H556" s="8">
        <v>0</v>
      </c>
      <c r="I556" s="6">
        <f t="shared" si="425"/>
        <v>0</v>
      </c>
      <c r="J556" s="4">
        <f>+G556+J491</f>
        <v>0</v>
      </c>
      <c r="K556" s="4">
        <f>+H556+K491</f>
        <v>0</v>
      </c>
      <c r="L556" s="40" t="e">
        <f t="shared" ref="L556:L557" si="427">+J556/E556</f>
        <v>#DIV/0!</v>
      </c>
      <c r="M556" s="145">
        <v>2.4565999999999999</v>
      </c>
      <c r="N556" s="11">
        <f t="shared" ref="N556:N558" si="428">+M556*G556</f>
        <v>0</v>
      </c>
      <c r="O556" s="91">
        <f t="shared" ref="O556:O558" si="429">+M556*J556</f>
        <v>0</v>
      </c>
      <c r="P556" s="1143"/>
    </row>
    <row r="557" spans="2:16" x14ac:dyDescent="0.3">
      <c r="B557" s="1132"/>
      <c r="C557" s="39"/>
      <c r="D557" s="23" t="s">
        <v>133</v>
      </c>
      <c r="E557" s="3">
        <v>0</v>
      </c>
      <c r="F557" s="9">
        <f t="shared" si="426"/>
        <v>0</v>
      </c>
      <c r="G557" s="4">
        <v>0</v>
      </c>
      <c r="H557" s="8">
        <v>0</v>
      </c>
      <c r="I557" s="6">
        <f t="shared" si="425"/>
        <v>0</v>
      </c>
      <c r="J557" s="4">
        <f t="shared" ref="J557:J558" si="430">+G557+J492</f>
        <v>0</v>
      </c>
      <c r="K557" s="4">
        <f t="shared" ref="K557:K561" si="431">+H557+K492</f>
        <v>0</v>
      </c>
      <c r="L557" s="40" t="e">
        <f t="shared" si="427"/>
        <v>#DIV/0!</v>
      </c>
      <c r="M557" s="145">
        <v>2.2907000000000002</v>
      </c>
      <c r="N557" s="11">
        <f t="shared" si="428"/>
        <v>0</v>
      </c>
      <c r="O557" s="91">
        <f t="shared" si="429"/>
        <v>0</v>
      </c>
      <c r="P557" s="1143"/>
    </row>
    <row r="558" spans="2:16" x14ac:dyDescent="0.3">
      <c r="B558" s="1132"/>
      <c r="C558" s="39"/>
      <c r="D558" s="22" t="s">
        <v>138</v>
      </c>
      <c r="E558" s="3"/>
      <c r="F558" s="9">
        <f t="shared" si="426"/>
        <v>0</v>
      </c>
      <c r="G558" s="4">
        <v>0</v>
      </c>
      <c r="H558" s="8">
        <v>0</v>
      </c>
      <c r="I558" s="6">
        <f t="shared" si="425"/>
        <v>0</v>
      </c>
      <c r="J558" s="4">
        <f t="shared" si="430"/>
        <v>0</v>
      </c>
      <c r="K558" s="4">
        <f t="shared" si="431"/>
        <v>0</v>
      </c>
      <c r="L558" s="33"/>
      <c r="M558" s="150">
        <v>2.544</v>
      </c>
      <c r="N558" s="11">
        <f t="shared" si="428"/>
        <v>0</v>
      </c>
      <c r="O558" s="91">
        <f t="shared" si="429"/>
        <v>0</v>
      </c>
      <c r="P558" s="1143"/>
    </row>
    <row r="559" spans="2:16" x14ac:dyDescent="0.3">
      <c r="B559" s="1132"/>
      <c r="C559" s="39" t="s">
        <v>69</v>
      </c>
      <c r="D559" s="22" t="s">
        <v>140</v>
      </c>
      <c r="E559" s="3">
        <v>0</v>
      </c>
      <c r="F559" s="9">
        <f t="shared" si="426"/>
        <v>45515</v>
      </c>
      <c r="G559" s="4">
        <v>44000</v>
      </c>
      <c r="H559" s="8">
        <v>1515</v>
      </c>
      <c r="I559" s="6">
        <f t="shared" si="425"/>
        <v>407132</v>
      </c>
      <c r="J559" s="4">
        <f>+G559+J494</f>
        <v>397750</v>
      </c>
      <c r="K559" s="4">
        <f t="shared" si="431"/>
        <v>9382</v>
      </c>
      <c r="L559" s="33" t="e">
        <f>+J559/E559</f>
        <v>#DIV/0!</v>
      </c>
      <c r="M559" s="144">
        <v>2.2141000000000002</v>
      </c>
      <c r="N559" s="7">
        <f>+M559*G559</f>
        <v>97420.400000000009</v>
      </c>
      <c r="O559" s="85">
        <f>+M559*J559</f>
        <v>880658.27500000002</v>
      </c>
      <c r="P559" s="1143"/>
    </row>
    <row r="560" spans="2:16" x14ac:dyDescent="0.3">
      <c r="B560" s="1132"/>
      <c r="C560" s="39"/>
      <c r="D560" s="22" t="s">
        <v>68</v>
      </c>
      <c r="E560" s="3">
        <v>0</v>
      </c>
      <c r="F560" s="9">
        <f t="shared" si="426"/>
        <v>0</v>
      </c>
      <c r="G560" s="4">
        <v>0</v>
      </c>
      <c r="H560" s="8">
        <v>0</v>
      </c>
      <c r="I560" s="6">
        <f t="shared" si="425"/>
        <v>0</v>
      </c>
      <c r="J560" s="4">
        <f t="shared" ref="J560:J561" si="432">+G560+J495</f>
        <v>0</v>
      </c>
      <c r="K560" s="4">
        <f t="shared" si="431"/>
        <v>0</v>
      </c>
      <c r="L560" s="40" t="e">
        <f t="shared" ref="L560:L561" si="433">+J560/E560</f>
        <v>#DIV/0!</v>
      </c>
      <c r="M560" s="145">
        <v>2.4565999999999999</v>
      </c>
      <c r="N560" s="11">
        <f t="shared" ref="N560:N561" si="434">+M560*G560</f>
        <v>0</v>
      </c>
      <c r="O560" s="91">
        <f t="shared" ref="O560" si="435">+M560*J560</f>
        <v>0</v>
      </c>
      <c r="P560" s="1143"/>
    </row>
    <row r="561" spans="2:16" ht="15" thickBot="1" x14ac:dyDescent="0.35">
      <c r="B561" s="1132"/>
      <c r="C561" s="39"/>
      <c r="D561" s="22" t="s">
        <v>133</v>
      </c>
      <c r="E561" s="3">
        <v>0</v>
      </c>
      <c r="F561" s="9">
        <f t="shared" si="426"/>
        <v>0</v>
      </c>
      <c r="G561" s="4">
        <v>0</v>
      </c>
      <c r="H561" s="8">
        <v>0</v>
      </c>
      <c r="I561" s="6">
        <f t="shared" si="425"/>
        <v>0</v>
      </c>
      <c r="J561" s="4">
        <f t="shared" si="432"/>
        <v>0</v>
      </c>
      <c r="K561" s="4">
        <f t="shared" si="431"/>
        <v>0</v>
      </c>
      <c r="L561" s="40" t="e">
        <f t="shared" si="433"/>
        <v>#DIV/0!</v>
      </c>
      <c r="M561" s="145">
        <v>2.2907000000000002</v>
      </c>
      <c r="N561" s="11">
        <f t="shared" si="434"/>
        <v>0</v>
      </c>
      <c r="O561" s="154">
        <f>+M561*J561</f>
        <v>0</v>
      </c>
      <c r="P561" s="1144"/>
    </row>
    <row r="562" spans="2:16" ht="15" thickBot="1" x14ac:dyDescent="0.35">
      <c r="B562" s="1132"/>
      <c r="C562" s="41" t="s">
        <v>29</v>
      </c>
      <c r="D562" s="27" t="str">
        <f>+C562</f>
        <v>TOTAL 1/2</v>
      </c>
      <c r="E562" s="42">
        <f>SUM(E555:E561)</f>
        <v>0</v>
      </c>
      <c r="F562" s="43">
        <f>SUM(F555:F561)</f>
        <v>45515</v>
      </c>
      <c r="G562" s="43">
        <f>SUM(G555:G561)</f>
        <v>44000</v>
      </c>
      <c r="H562" s="44">
        <f>SUM(H555:H561)</f>
        <v>1515</v>
      </c>
      <c r="I562" s="45">
        <f>SUM(I559:I561)</f>
        <v>407132</v>
      </c>
      <c r="J562" s="43">
        <f>SUM(J555:J561)</f>
        <v>397750</v>
      </c>
      <c r="K562" s="43">
        <f>SUM(K555:K561)</f>
        <v>9382</v>
      </c>
      <c r="L562" s="46" t="e">
        <f>+J562/E562</f>
        <v>#DIV/0!</v>
      </c>
      <c r="M562" s="47"/>
      <c r="N562" s="48">
        <f>SUM(N559:N561)</f>
        <v>97420.400000000009</v>
      </c>
      <c r="O562" s="49">
        <f>SUM(O555:O561)</f>
        <v>880658.27500000002</v>
      </c>
      <c r="P562" s="190"/>
    </row>
    <row r="563" spans="2:16" x14ac:dyDescent="0.3">
      <c r="B563" s="1132"/>
      <c r="C563" s="1145" t="s">
        <v>70</v>
      </c>
      <c r="D563" s="22" t="s">
        <v>67</v>
      </c>
      <c r="E563" s="3">
        <v>0</v>
      </c>
      <c r="F563" s="4">
        <f>G563+H563</f>
        <v>0</v>
      </c>
      <c r="G563" s="4">
        <v>0</v>
      </c>
      <c r="H563" s="8">
        <v>0</v>
      </c>
      <c r="I563" s="16">
        <f>J563+K563</f>
        <v>109220</v>
      </c>
      <c r="J563" s="4">
        <f>G563+J498</f>
        <v>105750</v>
      </c>
      <c r="K563" s="4">
        <f>H563+K498</f>
        <v>3470</v>
      </c>
      <c r="L563" s="50" t="e">
        <f>+J563/E563</f>
        <v>#DIV/0!</v>
      </c>
      <c r="M563" s="144">
        <v>4.1712999999999996</v>
      </c>
      <c r="N563" s="7">
        <f>+M563*G563</f>
        <v>0</v>
      </c>
      <c r="O563" s="93">
        <f>+M563*J563</f>
        <v>441114.97499999998</v>
      </c>
      <c r="P563" s="1142"/>
    </row>
    <row r="564" spans="2:16" x14ac:dyDescent="0.3">
      <c r="B564" s="1132"/>
      <c r="C564" s="1146"/>
      <c r="D564" s="22" t="s">
        <v>68</v>
      </c>
      <c r="E564" s="3">
        <v>0</v>
      </c>
      <c r="F564" s="4">
        <f>G564+H564</f>
        <v>0</v>
      </c>
      <c r="G564" s="4">
        <v>0</v>
      </c>
      <c r="H564" s="8">
        <v>0</v>
      </c>
      <c r="I564" s="6">
        <f>+R1608+F564</f>
        <v>0</v>
      </c>
      <c r="J564" s="4">
        <f>G564+J499</f>
        <v>120000</v>
      </c>
      <c r="K564" s="4">
        <f>H564+K499</f>
        <v>3230</v>
      </c>
      <c r="L564" s="51" t="e">
        <f t="shared" ref="L564:L568" si="436">+J564/E564</f>
        <v>#DIV/0!</v>
      </c>
      <c r="M564" s="145">
        <v>4.8285999999999998</v>
      </c>
      <c r="N564" s="11">
        <f t="shared" ref="N564:N566" si="437">+M564*G564</f>
        <v>0</v>
      </c>
      <c r="O564" s="94">
        <f t="shared" ref="O564:O566" si="438">+M564*J564</f>
        <v>579432</v>
      </c>
      <c r="P564" s="1143"/>
    </row>
    <row r="565" spans="2:16" x14ac:dyDescent="0.3">
      <c r="B565" s="1132"/>
      <c r="C565" s="1146"/>
      <c r="D565" s="22" t="s">
        <v>134</v>
      </c>
      <c r="E565" s="3"/>
      <c r="F565" s="4">
        <f>G565+H565</f>
        <v>0</v>
      </c>
      <c r="G565" s="4">
        <v>0</v>
      </c>
      <c r="H565" s="8">
        <v>0</v>
      </c>
      <c r="I565" s="6">
        <f>+R1609+F565</f>
        <v>0</v>
      </c>
      <c r="J565" s="4">
        <f t="shared" ref="J565:J566" si="439">G565+J500</f>
        <v>0</v>
      </c>
      <c r="K565" s="4">
        <f t="shared" ref="K565:K566" si="440">H565+K500</f>
        <v>0</v>
      </c>
      <c r="L565" s="51" t="e">
        <f t="shared" si="436"/>
        <v>#DIV/0!</v>
      </c>
      <c r="M565" s="144">
        <v>4.5023</v>
      </c>
      <c r="N565" s="11">
        <f t="shared" si="437"/>
        <v>0</v>
      </c>
      <c r="O565" s="94">
        <f t="shared" si="438"/>
        <v>0</v>
      </c>
      <c r="P565" s="1143"/>
    </row>
    <row r="566" spans="2:16" ht="15" thickBot="1" x14ac:dyDescent="0.35">
      <c r="B566" s="1132"/>
      <c r="C566" s="1146"/>
      <c r="D566" s="22" t="s">
        <v>118</v>
      </c>
      <c r="E566" s="3">
        <v>0</v>
      </c>
      <c r="F566" s="4">
        <f t="shared" ref="F566" si="441">G566+H566</f>
        <v>0</v>
      </c>
      <c r="G566" s="4">
        <v>0</v>
      </c>
      <c r="H566" s="8">
        <v>0</v>
      </c>
      <c r="I566" s="6">
        <f>+R1609+F566</f>
        <v>0</v>
      </c>
      <c r="J566" s="4">
        <f t="shared" si="439"/>
        <v>0</v>
      </c>
      <c r="K566" s="4">
        <f t="shared" si="440"/>
        <v>0</v>
      </c>
      <c r="L566" s="51" t="e">
        <f t="shared" si="436"/>
        <v>#DIV/0!</v>
      </c>
      <c r="M566" s="144">
        <v>4.4065000000000003</v>
      </c>
      <c r="N566" s="11">
        <f t="shared" si="437"/>
        <v>0</v>
      </c>
      <c r="O566" s="94">
        <f t="shared" si="438"/>
        <v>0</v>
      </c>
      <c r="P566" s="1143"/>
    </row>
    <row r="567" spans="2:16" ht="15" thickBot="1" x14ac:dyDescent="0.35">
      <c r="B567" s="1132"/>
      <c r="C567" s="41" t="s">
        <v>31</v>
      </c>
      <c r="D567" s="18" t="str">
        <f>+C567</f>
        <v>TOTAL 4/4</v>
      </c>
      <c r="E567" s="42">
        <f t="shared" ref="E567:K567" si="442">SUM(E563:E566)</f>
        <v>0</v>
      </c>
      <c r="F567" s="43">
        <f t="shared" si="442"/>
        <v>0</v>
      </c>
      <c r="G567" s="43">
        <f t="shared" si="442"/>
        <v>0</v>
      </c>
      <c r="H567" s="44">
        <f t="shared" si="442"/>
        <v>0</v>
      </c>
      <c r="I567" s="45">
        <f t="shared" si="442"/>
        <v>109220</v>
      </c>
      <c r="J567" s="43">
        <f t="shared" si="442"/>
        <v>225750</v>
      </c>
      <c r="K567" s="43">
        <f t="shared" si="442"/>
        <v>6700</v>
      </c>
      <c r="L567" s="46" t="e">
        <f t="shared" si="436"/>
        <v>#DIV/0!</v>
      </c>
      <c r="M567" s="47"/>
      <c r="N567" s="48">
        <f>SUM(N563:N566)</f>
        <v>0</v>
      </c>
      <c r="O567" s="92">
        <f>SUM(O563:O566)</f>
        <v>1020546.975</v>
      </c>
      <c r="P567" s="1144"/>
    </row>
    <row r="568" spans="2:16" ht="15" thickBot="1" x14ac:dyDescent="0.35">
      <c r="B568" s="1141"/>
      <c r="C568" s="41" t="s">
        <v>71</v>
      </c>
      <c r="D568" s="27" t="s">
        <v>67</v>
      </c>
      <c r="E568" s="25">
        <v>0</v>
      </c>
      <c r="F568" s="20">
        <f>G568+H568</f>
        <v>0</v>
      </c>
      <c r="G568" s="20">
        <v>0</v>
      </c>
      <c r="H568" s="24">
        <v>0</v>
      </c>
      <c r="I568" s="19">
        <f>J568+K568</f>
        <v>0</v>
      </c>
      <c r="J568" s="4">
        <f>G568+J503</f>
        <v>0</v>
      </c>
      <c r="K568" s="4">
        <f>H568+K503</f>
        <v>0</v>
      </c>
      <c r="L568" s="52" t="e">
        <f t="shared" si="436"/>
        <v>#DIV/0!</v>
      </c>
      <c r="M568" s="149">
        <v>1.4086000000000001</v>
      </c>
      <c r="N568" s="26">
        <f t="shared" ref="N568" si="443">+M568*G568</f>
        <v>0</v>
      </c>
      <c r="O568" s="95">
        <f t="shared" ref="O568" si="444">+M568*J568</f>
        <v>0</v>
      </c>
      <c r="P568" s="53"/>
    </row>
    <row r="569" spans="2:16" ht="15" thickBot="1" x14ac:dyDescent="0.35">
      <c r="B569" s="1116" t="s">
        <v>102</v>
      </c>
      <c r="C569" s="1117"/>
      <c r="D569" s="1117"/>
      <c r="E569" s="1117"/>
      <c r="F569" s="1117"/>
      <c r="G569" s="1117"/>
      <c r="H569" s="1117"/>
      <c r="I569" s="110">
        <f>J569+K569</f>
        <v>639582</v>
      </c>
      <c r="J569" s="110">
        <f>J562+J567+J568</f>
        <v>623500</v>
      </c>
      <c r="K569" s="110">
        <f>K562+K567+K568</f>
        <v>16082</v>
      </c>
      <c r="L569" s="111"/>
      <c r="M569" s="112"/>
      <c r="N569" s="109"/>
      <c r="O569" s="77">
        <f>+O568+O567+O562</f>
        <v>1901205.25</v>
      </c>
      <c r="P569" s="84"/>
    </row>
    <row r="570" spans="2:16" x14ac:dyDescent="0.3">
      <c r="B570" s="1118" t="s">
        <v>72</v>
      </c>
      <c r="C570" s="1121" t="s">
        <v>73</v>
      </c>
      <c r="D570" s="54" t="s">
        <v>74</v>
      </c>
      <c r="E570" s="55">
        <v>0</v>
      </c>
      <c r="F570" s="56">
        <f>G570+H570</f>
        <v>0</v>
      </c>
      <c r="G570" s="56">
        <v>0</v>
      </c>
      <c r="H570" s="57">
        <v>0</v>
      </c>
      <c r="I570" s="78">
        <f>J570+K570</f>
        <v>0</v>
      </c>
      <c r="J570" s="4">
        <f>G570+J505</f>
        <v>0</v>
      </c>
      <c r="K570" s="4">
        <f>H570+K505</f>
        <v>0</v>
      </c>
      <c r="L570" s="58" t="e">
        <f t="shared" ref="L570" si="445">+J570/E570</f>
        <v>#DIV/0!</v>
      </c>
      <c r="M570" s="59">
        <v>32.946300000000001</v>
      </c>
      <c r="N570" s="60">
        <f>+M570*G570</f>
        <v>0</v>
      </c>
      <c r="O570" s="60">
        <f>M570*J570</f>
        <v>0</v>
      </c>
      <c r="P570" s="1123"/>
    </row>
    <row r="571" spans="2:16" x14ac:dyDescent="0.3">
      <c r="B571" s="1119"/>
      <c r="C571" s="1122"/>
      <c r="D571" s="61" t="s">
        <v>75</v>
      </c>
      <c r="E571" s="62">
        <v>0</v>
      </c>
      <c r="F571" s="63">
        <f>G571+H571</f>
        <v>5077</v>
      </c>
      <c r="G571" s="63">
        <v>5000</v>
      </c>
      <c r="H571" s="64">
        <v>77</v>
      </c>
      <c r="I571" s="79">
        <f>J571+K571</f>
        <v>25372</v>
      </c>
      <c r="J571" s="4">
        <f>G571+J506</f>
        <v>25000</v>
      </c>
      <c r="K571" s="4">
        <f>H571+K506</f>
        <v>372</v>
      </c>
      <c r="L571" s="65" t="e">
        <f>+J571/E571</f>
        <v>#DIV/0!</v>
      </c>
      <c r="M571" s="66">
        <v>35.398400000000002</v>
      </c>
      <c r="N571" s="67">
        <f>+M571*G571</f>
        <v>176992</v>
      </c>
      <c r="O571" s="67">
        <f>M571*J571</f>
        <v>884960</v>
      </c>
      <c r="P571" s="1124"/>
    </row>
    <row r="572" spans="2:16" x14ac:dyDescent="0.3">
      <c r="B572" s="1119"/>
      <c r="C572" s="1122"/>
      <c r="D572" s="61" t="s">
        <v>76</v>
      </c>
      <c r="E572" s="62">
        <v>0</v>
      </c>
      <c r="F572" s="63">
        <f t="shared" ref="F572:F575" si="446">G572+H572</f>
        <v>0</v>
      </c>
      <c r="G572" s="63">
        <v>0</v>
      </c>
      <c r="H572" s="64">
        <v>0</v>
      </c>
      <c r="I572" s="79">
        <f t="shared" ref="I572:I581" si="447">J572+K572</f>
        <v>0</v>
      </c>
      <c r="J572" s="4">
        <f t="shared" ref="J572:J597" si="448">G572+J507</f>
        <v>0</v>
      </c>
      <c r="K572" s="4">
        <f t="shared" ref="K572:K576" si="449">H572+K507</f>
        <v>0</v>
      </c>
      <c r="L572" s="65" t="e">
        <f t="shared" ref="L572:L585" si="450">+J572/E572</f>
        <v>#DIV/0!</v>
      </c>
      <c r="M572" s="66">
        <v>32.946300000000001</v>
      </c>
      <c r="N572" s="67">
        <f t="shared" ref="N572:N592" si="451">+M572*G572</f>
        <v>0</v>
      </c>
      <c r="O572" s="67">
        <f t="shared" ref="O572:O580" si="452">M572*J572</f>
        <v>0</v>
      </c>
      <c r="P572" s="1124"/>
    </row>
    <row r="573" spans="2:16" x14ac:dyDescent="0.3">
      <c r="B573" s="1119"/>
      <c r="C573" s="1122" t="s">
        <v>77</v>
      </c>
      <c r="D573" s="61" t="s">
        <v>78</v>
      </c>
      <c r="E573" s="62">
        <v>0</v>
      </c>
      <c r="F573" s="63">
        <f t="shared" si="446"/>
        <v>2400</v>
      </c>
      <c r="G573" s="63">
        <v>2400</v>
      </c>
      <c r="H573" s="64">
        <v>0</v>
      </c>
      <c r="I573" s="79">
        <f t="shared" si="447"/>
        <v>12279</v>
      </c>
      <c r="J573" s="4">
        <f t="shared" si="448"/>
        <v>12000</v>
      </c>
      <c r="K573" s="4">
        <f t="shared" si="449"/>
        <v>279</v>
      </c>
      <c r="L573" s="65" t="e">
        <f t="shared" si="450"/>
        <v>#DIV/0!</v>
      </c>
      <c r="M573" s="66">
        <v>55.4758</v>
      </c>
      <c r="N573" s="67">
        <f t="shared" si="451"/>
        <v>133141.92000000001</v>
      </c>
      <c r="O573" s="67">
        <f t="shared" si="452"/>
        <v>665709.6</v>
      </c>
      <c r="P573" s="1124"/>
    </row>
    <row r="574" spans="2:16" x14ac:dyDescent="0.3">
      <c r="B574" s="1119"/>
      <c r="C574" s="1122"/>
      <c r="D574" s="61" t="s">
        <v>141</v>
      </c>
      <c r="E574" s="62">
        <v>0</v>
      </c>
      <c r="F574" s="63">
        <f t="shared" si="446"/>
        <v>0</v>
      </c>
      <c r="G574" s="63">
        <v>0</v>
      </c>
      <c r="H574" s="64">
        <v>0</v>
      </c>
      <c r="I574" s="79">
        <f t="shared" si="447"/>
        <v>0</v>
      </c>
      <c r="J574" s="4">
        <f t="shared" si="448"/>
        <v>0</v>
      </c>
      <c r="K574" s="4">
        <f t="shared" si="449"/>
        <v>0</v>
      </c>
      <c r="L574" s="65" t="e">
        <f t="shared" si="450"/>
        <v>#DIV/0!</v>
      </c>
      <c r="M574" s="66">
        <v>53.515999999999998</v>
      </c>
      <c r="N574" s="67">
        <f t="shared" si="451"/>
        <v>0</v>
      </c>
      <c r="O574" s="67">
        <f t="shared" si="452"/>
        <v>0</v>
      </c>
      <c r="P574" s="1124"/>
    </row>
    <row r="575" spans="2:16" x14ac:dyDescent="0.3">
      <c r="B575" s="1119"/>
      <c r="C575" s="1122"/>
      <c r="D575" s="61" t="s">
        <v>75</v>
      </c>
      <c r="E575" s="62">
        <v>0</v>
      </c>
      <c r="F575" s="63">
        <f t="shared" si="446"/>
        <v>0</v>
      </c>
      <c r="G575" s="63">
        <v>0</v>
      </c>
      <c r="H575" s="64">
        <v>0</v>
      </c>
      <c r="I575" s="79">
        <f t="shared" si="447"/>
        <v>9804</v>
      </c>
      <c r="J575" s="4">
        <f t="shared" si="448"/>
        <v>9600</v>
      </c>
      <c r="K575" s="4">
        <f t="shared" si="449"/>
        <v>204</v>
      </c>
      <c r="L575" s="65" t="e">
        <f t="shared" si="450"/>
        <v>#DIV/0!</v>
      </c>
      <c r="M575" s="66">
        <v>58.836300000000001</v>
      </c>
      <c r="N575" s="67">
        <f t="shared" si="451"/>
        <v>0</v>
      </c>
      <c r="O575" s="67">
        <f t="shared" si="452"/>
        <v>564828.48</v>
      </c>
      <c r="P575" s="1124"/>
    </row>
    <row r="576" spans="2:16" x14ac:dyDescent="0.3">
      <c r="B576" s="1119"/>
      <c r="C576" s="1126" t="s">
        <v>79</v>
      </c>
      <c r="D576" s="61" t="s">
        <v>80</v>
      </c>
      <c r="E576" s="62">
        <v>0</v>
      </c>
      <c r="F576" s="63">
        <f>G576+H576</f>
        <v>0</v>
      </c>
      <c r="G576" s="63">
        <v>0</v>
      </c>
      <c r="H576" s="64">
        <v>0</v>
      </c>
      <c r="I576" s="79">
        <f t="shared" si="447"/>
        <v>3675</v>
      </c>
      <c r="J576" s="4">
        <f t="shared" si="448"/>
        <v>3575</v>
      </c>
      <c r="K576" s="4">
        <f t="shared" si="449"/>
        <v>100</v>
      </c>
      <c r="L576" s="65" t="e">
        <f t="shared" si="450"/>
        <v>#DIV/0!</v>
      </c>
      <c r="M576" s="66">
        <v>25.687200000000001</v>
      </c>
      <c r="N576" s="67">
        <f t="shared" si="451"/>
        <v>0</v>
      </c>
      <c r="O576" s="67">
        <f t="shared" si="452"/>
        <v>91831.74</v>
      </c>
      <c r="P576" s="1124"/>
    </row>
    <row r="577" spans="2:16" x14ac:dyDescent="0.3">
      <c r="B577" s="1119"/>
      <c r="C577" s="1127"/>
      <c r="D577" s="61" t="s">
        <v>124</v>
      </c>
      <c r="E577" s="62">
        <v>0</v>
      </c>
      <c r="F577" s="63">
        <f>G577+H577</f>
        <v>0</v>
      </c>
      <c r="G577" s="63">
        <v>0</v>
      </c>
      <c r="H577" s="64">
        <v>0</v>
      </c>
      <c r="I577" s="79">
        <f t="shared" si="447"/>
        <v>0</v>
      </c>
      <c r="J577" s="4">
        <f t="shared" si="448"/>
        <v>0</v>
      </c>
      <c r="K577" s="4">
        <f>H577+K512</f>
        <v>0</v>
      </c>
      <c r="L577" s="65" t="e">
        <f t="shared" si="450"/>
        <v>#DIV/0!</v>
      </c>
      <c r="M577" s="66">
        <v>25.033899999999999</v>
      </c>
      <c r="N577" s="67">
        <f t="shared" si="451"/>
        <v>0</v>
      </c>
      <c r="O577" s="67">
        <f t="shared" si="452"/>
        <v>0</v>
      </c>
      <c r="P577" s="1124"/>
    </row>
    <row r="578" spans="2:16" x14ac:dyDescent="0.3">
      <c r="B578" s="1119"/>
      <c r="C578" s="1126" t="s">
        <v>81</v>
      </c>
      <c r="D578" s="61" t="s">
        <v>82</v>
      </c>
      <c r="E578" s="62">
        <v>0</v>
      </c>
      <c r="F578" s="63">
        <f t="shared" ref="F578:F597" si="453">G578+H578</f>
        <v>0</v>
      </c>
      <c r="G578" s="63">
        <v>0</v>
      </c>
      <c r="H578" s="64">
        <v>0</v>
      </c>
      <c r="I578" s="79">
        <f t="shared" si="447"/>
        <v>8113</v>
      </c>
      <c r="J578" s="4">
        <f t="shared" si="448"/>
        <v>8000</v>
      </c>
      <c r="K578" s="4">
        <f t="shared" ref="K578:K597" si="454">H578+K513</f>
        <v>113</v>
      </c>
      <c r="L578" s="65" t="e">
        <f t="shared" si="450"/>
        <v>#DIV/0!</v>
      </c>
      <c r="M578" s="66">
        <v>41.992699999999999</v>
      </c>
      <c r="N578" s="67">
        <f t="shared" si="451"/>
        <v>0</v>
      </c>
      <c r="O578" s="67">
        <f t="shared" si="452"/>
        <v>335941.6</v>
      </c>
      <c r="P578" s="1124"/>
    </row>
    <row r="579" spans="2:16" x14ac:dyDescent="0.3">
      <c r="B579" s="1119"/>
      <c r="C579" s="1127"/>
      <c r="D579" s="61" t="s">
        <v>75</v>
      </c>
      <c r="E579" s="62">
        <v>0</v>
      </c>
      <c r="F579" s="63">
        <f t="shared" si="453"/>
        <v>0</v>
      </c>
      <c r="G579" s="63">
        <v>0</v>
      </c>
      <c r="H579" s="64">
        <v>0</v>
      </c>
      <c r="I579" s="79">
        <f t="shared" si="447"/>
        <v>0</v>
      </c>
      <c r="J579" s="4">
        <f t="shared" si="448"/>
        <v>0</v>
      </c>
      <c r="K579" s="4">
        <f t="shared" si="454"/>
        <v>0</v>
      </c>
      <c r="L579" s="65" t="e">
        <f t="shared" si="450"/>
        <v>#DIV/0!</v>
      </c>
      <c r="M579" s="66">
        <v>42.283799999999999</v>
      </c>
      <c r="N579" s="67">
        <f t="shared" si="451"/>
        <v>0</v>
      </c>
      <c r="O579" s="67">
        <f t="shared" si="452"/>
        <v>0</v>
      </c>
      <c r="P579" s="1124"/>
    </row>
    <row r="580" spans="2:16" x14ac:dyDescent="0.3">
      <c r="B580" s="1119"/>
      <c r="C580" s="188" t="s">
        <v>83</v>
      </c>
      <c r="D580" s="61" t="s">
        <v>84</v>
      </c>
      <c r="E580" s="62">
        <v>0</v>
      </c>
      <c r="F580" s="63">
        <f t="shared" si="453"/>
        <v>0</v>
      </c>
      <c r="G580" s="63">
        <v>0</v>
      </c>
      <c r="H580" s="64">
        <v>0</v>
      </c>
      <c r="I580" s="79">
        <f t="shared" si="447"/>
        <v>10898</v>
      </c>
      <c r="J580" s="4">
        <f t="shared" si="448"/>
        <v>10500</v>
      </c>
      <c r="K580" s="4">
        <f t="shared" si="454"/>
        <v>398</v>
      </c>
      <c r="L580" s="65" t="e">
        <f t="shared" si="450"/>
        <v>#DIV/0!</v>
      </c>
      <c r="M580" s="66">
        <v>4.3535000000000004</v>
      </c>
      <c r="N580" s="67">
        <f t="shared" si="451"/>
        <v>0</v>
      </c>
      <c r="O580" s="67">
        <f t="shared" si="452"/>
        <v>45711.750000000007</v>
      </c>
      <c r="P580" s="1124"/>
    </row>
    <row r="581" spans="2:16" x14ac:dyDescent="0.3">
      <c r="B581" s="1119"/>
      <c r="C581" s="1122" t="s">
        <v>85</v>
      </c>
      <c r="D581" s="61" t="s">
        <v>80</v>
      </c>
      <c r="E581" s="62">
        <v>0</v>
      </c>
      <c r="F581" s="63">
        <f t="shared" si="453"/>
        <v>0</v>
      </c>
      <c r="G581" s="63">
        <v>0</v>
      </c>
      <c r="H581" s="64">
        <v>0</v>
      </c>
      <c r="I581" s="79">
        <f t="shared" si="447"/>
        <v>0</v>
      </c>
      <c r="J581" s="4">
        <f t="shared" si="448"/>
        <v>0</v>
      </c>
      <c r="K581" s="4">
        <f t="shared" si="454"/>
        <v>0</v>
      </c>
      <c r="L581" s="65" t="e">
        <f t="shared" si="450"/>
        <v>#DIV/0!</v>
      </c>
      <c r="M581" s="66">
        <v>4.6184000000000003</v>
      </c>
      <c r="N581" s="67">
        <f t="shared" si="451"/>
        <v>0</v>
      </c>
      <c r="O581" s="67">
        <f>M581*J581</f>
        <v>0</v>
      </c>
      <c r="P581" s="1124"/>
    </row>
    <row r="582" spans="2:16" x14ac:dyDescent="0.3">
      <c r="B582" s="1119"/>
      <c r="C582" s="1122"/>
      <c r="D582" s="61" t="s">
        <v>126</v>
      </c>
      <c r="E582" s="62">
        <v>0</v>
      </c>
      <c r="F582" s="63">
        <f t="shared" si="453"/>
        <v>0</v>
      </c>
      <c r="G582" s="63">
        <v>0</v>
      </c>
      <c r="H582" s="64">
        <v>0</v>
      </c>
      <c r="I582" s="79">
        <f>J582+K582</f>
        <v>0</v>
      </c>
      <c r="J582" s="4">
        <f t="shared" si="448"/>
        <v>0</v>
      </c>
      <c r="K582" s="4">
        <f t="shared" si="454"/>
        <v>0</v>
      </c>
      <c r="L582" s="65" t="e">
        <f t="shared" si="450"/>
        <v>#DIV/0!</v>
      </c>
      <c r="M582" s="153">
        <v>4.6184000000000003</v>
      </c>
      <c r="N582" s="67">
        <f t="shared" si="451"/>
        <v>0</v>
      </c>
      <c r="O582" s="67">
        <f>M582*J582</f>
        <v>0</v>
      </c>
      <c r="P582" s="1124"/>
    </row>
    <row r="583" spans="2:16" x14ac:dyDescent="0.3">
      <c r="B583" s="1119"/>
      <c r="C583" s="1122"/>
      <c r="D583" s="61" t="s">
        <v>130</v>
      </c>
      <c r="E583" s="62">
        <v>0</v>
      </c>
      <c r="F583" s="63">
        <f t="shared" si="453"/>
        <v>0</v>
      </c>
      <c r="G583" s="63">
        <v>0</v>
      </c>
      <c r="H583" s="64">
        <v>0</v>
      </c>
      <c r="I583" s="79">
        <f t="shared" ref="I583:I597" si="455">J583+K583</f>
        <v>0</v>
      </c>
      <c r="J583" s="4">
        <f t="shared" si="448"/>
        <v>0</v>
      </c>
      <c r="K583" s="4">
        <f t="shared" si="454"/>
        <v>0</v>
      </c>
      <c r="L583" s="65" t="e">
        <f t="shared" si="450"/>
        <v>#DIV/0!</v>
      </c>
      <c r="M583" s="153">
        <v>4.6184000000000003</v>
      </c>
      <c r="N583" s="67">
        <f t="shared" si="451"/>
        <v>0</v>
      </c>
      <c r="O583" s="67">
        <f t="shared" ref="O583:O588" si="456">M583*J583</f>
        <v>0</v>
      </c>
      <c r="P583" s="1124"/>
    </row>
    <row r="584" spans="2:16" x14ac:dyDescent="0.3">
      <c r="B584" s="1119"/>
      <c r="C584" s="1122"/>
      <c r="D584" s="61" t="s">
        <v>131</v>
      </c>
      <c r="E584" s="62">
        <v>0</v>
      </c>
      <c r="F584" s="63">
        <f t="shared" si="453"/>
        <v>13658</v>
      </c>
      <c r="G584" s="63">
        <v>13200</v>
      </c>
      <c r="H584" s="64">
        <v>458</v>
      </c>
      <c r="I584" s="79">
        <f t="shared" si="455"/>
        <v>172800</v>
      </c>
      <c r="J584" s="4">
        <f t="shared" si="448"/>
        <v>167455</v>
      </c>
      <c r="K584" s="4">
        <f t="shared" si="454"/>
        <v>5345</v>
      </c>
      <c r="L584" s="65" t="e">
        <f t="shared" si="450"/>
        <v>#DIV/0!</v>
      </c>
      <c r="M584" s="153">
        <v>4.7636000000000003</v>
      </c>
      <c r="N584" s="67">
        <f t="shared" si="451"/>
        <v>62879.520000000004</v>
      </c>
      <c r="O584" s="67">
        <f t="shared" si="456"/>
        <v>797688.63800000004</v>
      </c>
      <c r="P584" s="1124"/>
    </row>
    <row r="585" spans="2:16" x14ac:dyDescent="0.3">
      <c r="B585" s="1119"/>
      <c r="C585" s="1122"/>
      <c r="D585" s="61" t="s">
        <v>86</v>
      </c>
      <c r="E585" s="62">
        <v>0</v>
      </c>
      <c r="F585" s="63">
        <f t="shared" si="453"/>
        <v>0</v>
      </c>
      <c r="G585" s="63">
        <v>0</v>
      </c>
      <c r="H585" s="64">
        <v>0</v>
      </c>
      <c r="I585" s="79">
        <f t="shared" si="455"/>
        <v>0</v>
      </c>
      <c r="J585" s="4">
        <f t="shared" si="448"/>
        <v>0</v>
      </c>
      <c r="K585" s="4">
        <f t="shared" si="454"/>
        <v>0</v>
      </c>
      <c r="L585" s="65" t="e">
        <f t="shared" si="450"/>
        <v>#DIV/0!</v>
      </c>
      <c r="M585" s="66">
        <v>4.8738000000000001</v>
      </c>
      <c r="N585" s="67">
        <f t="shared" si="451"/>
        <v>0</v>
      </c>
      <c r="O585" s="67">
        <f t="shared" si="456"/>
        <v>0</v>
      </c>
      <c r="P585" s="1124"/>
    </row>
    <row r="586" spans="2:16" x14ac:dyDescent="0.3">
      <c r="B586" s="1119"/>
      <c r="C586" s="188" t="s">
        <v>135</v>
      </c>
      <c r="D586" s="61" t="s">
        <v>131</v>
      </c>
      <c r="E586" s="62"/>
      <c r="F586" s="63">
        <f t="shared" si="453"/>
        <v>0</v>
      </c>
      <c r="G586" s="63">
        <v>0</v>
      </c>
      <c r="H586" s="64">
        <v>0</v>
      </c>
      <c r="I586" s="79">
        <f t="shared" si="455"/>
        <v>0</v>
      </c>
      <c r="J586" s="4">
        <f t="shared" si="448"/>
        <v>0</v>
      </c>
      <c r="K586" s="4">
        <f t="shared" si="454"/>
        <v>0</v>
      </c>
      <c r="L586" s="65"/>
      <c r="M586" s="66">
        <v>4.8738000000000001</v>
      </c>
      <c r="N586" s="67">
        <f t="shared" si="451"/>
        <v>0</v>
      </c>
      <c r="O586" s="67">
        <f t="shared" si="456"/>
        <v>0</v>
      </c>
      <c r="P586" s="1124"/>
    </row>
    <row r="587" spans="2:16" x14ac:dyDescent="0.3">
      <c r="B587" s="1119"/>
      <c r="C587" s="1122" t="s">
        <v>87</v>
      </c>
      <c r="D587" s="61" t="s">
        <v>80</v>
      </c>
      <c r="E587" s="62">
        <v>0</v>
      </c>
      <c r="F587" s="63">
        <f t="shared" si="453"/>
        <v>20489</v>
      </c>
      <c r="G587" s="63">
        <v>20400</v>
      </c>
      <c r="H587" s="64">
        <v>89</v>
      </c>
      <c r="I587" s="79">
        <f t="shared" si="455"/>
        <v>172858</v>
      </c>
      <c r="J587" s="4">
        <f t="shared" si="448"/>
        <v>170900</v>
      </c>
      <c r="K587" s="4">
        <f t="shared" si="454"/>
        <v>1958</v>
      </c>
      <c r="L587" s="65" t="e">
        <f t="shared" ref="L587:L597" si="457">+J587/E587</f>
        <v>#DIV/0!</v>
      </c>
      <c r="M587" s="66">
        <v>4.9344999999999999</v>
      </c>
      <c r="N587" s="67">
        <f t="shared" si="451"/>
        <v>100663.8</v>
      </c>
      <c r="O587" s="67">
        <f t="shared" si="456"/>
        <v>843306.04999999993</v>
      </c>
      <c r="P587" s="1124"/>
    </row>
    <row r="588" spans="2:16" x14ac:dyDescent="0.3">
      <c r="B588" s="1119"/>
      <c r="C588" s="1122"/>
      <c r="D588" s="61" t="s">
        <v>142</v>
      </c>
      <c r="E588" s="62"/>
      <c r="F588" s="63">
        <f t="shared" si="453"/>
        <v>0</v>
      </c>
      <c r="G588" s="63">
        <v>0</v>
      </c>
      <c r="H588" s="64">
        <v>0</v>
      </c>
      <c r="I588" s="79">
        <f t="shared" si="455"/>
        <v>0</v>
      </c>
      <c r="J588" s="4">
        <f t="shared" si="448"/>
        <v>0</v>
      </c>
      <c r="K588" s="4">
        <f t="shared" si="454"/>
        <v>0</v>
      </c>
      <c r="L588" s="65" t="e">
        <f t="shared" si="457"/>
        <v>#DIV/0!</v>
      </c>
      <c r="M588" s="66">
        <v>4.9344999999999999</v>
      </c>
      <c r="N588" s="67">
        <f t="shared" si="451"/>
        <v>0</v>
      </c>
      <c r="O588" s="67">
        <f t="shared" si="456"/>
        <v>0</v>
      </c>
      <c r="P588" s="1124"/>
    </row>
    <row r="589" spans="2:16" x14ac:dyDescent="0.3">
      <c r="B589" s="1119"/>
      <c r="C589" s="1122"/>
      <c r="D589" s="61" t="s">
        <v>136</v>
      </c>
      <c r="E589" s="62">
        <v>0</v>
      </c>
      <c r="F589" s="63">
        <f t="shared" si="453"/>
        <v>0</v>
      </c>
      <c r="G589" s="155">
        <v>0</v>
      </c>
      <c r="H589" s="156">
        <v>0</v>
      </c>
      <c r="I589" s="157">
        <f t="shared" si="455"/>
        <v>0</v>
      </c>
      <c r="J589" s="4">
        <f t="shared" si="448"/>
        <v>0</v>
      </c>
      <c r="K589" s="4">
        <f t="shared" si="454"/>
        <v>0</v>
      </c>
      <c r="L589" s="158" t="e">
        <f t="shared" si="457"/>
        <v>#DIV/0!</v>
      </c>
      <c r="M589" s="66">
        <v>4.9344999999999999</v>
      </c>
      <c r="N589" s="159">
        <f t="shared" si="451"/>
        <v>0</v>
      </c>
      <c r="O589" s="67">
        <f>M589*J589</f>
        <v>0</v>
      </c>
      <c r="P589" s="1124"/>
    </row>
    <row r="590" spans="2:16" x14ac:dyDescent="0.3">
      <c r="B590" s="1119"/>
      <c r="C590" s="1122" t="s">
        <v>88</v>
      </c>
      <c r="D590" s="61" t="s">
        <v>80</v>
      </c>
      <c r="E590" s="62">
        <v>0</v>
      </c>
      <c r="F590" s="63">
        <f t="shared" si="453"/>
        <v>24761</v>
      </c>
      <c r="G590" s="63">
        <v>24000</v>
      </c>
      <c r="H590" s="64">
        <v>761</v>
      </c>
      <c r="I590" s="79">
        <f t="shared" si="455"/>
        <v>138276</v>
      </c>
      <c r="J590" s="4">
        <f t="shared" si="448"/>
        <v>130950</v>
      </c>
      <c r="K590" s="4">
        <f t="shared" si="454"/>
        <v>7326</v>
      </c>
      <c r="L590" s="65" t="e">
        <f t="shared" si="457"/>
        <v>#DIV/0!</v>
      </c>
      <c r="M590" s="148">
        <v>5.5069999999999997</v>
      </c>
      <c r="N590" s="67">
        <f t="shared" si="451"/>
        <v>132168</v>
      </c>
      <c r="O590" s="67">
        <f>M590*J590</f>
        <v>721141.64999999991</v>
      </c>
      <c r="P590" s="1124"/>
    </row>
    <row r="591" spans="2:16" x14ac:dyDescent="0.3">
      <c r="B591" s="1119"/>
      <c r="C591" s="1122"/>
      <c r="D591" s="61" t="s">
        <v>119</v>
      </c>
      <c r="E591" s="62">
        <v>0</v>
      </c>
      <c r="F591" s="63">
        <f t="shared" si="453"/>
        <v>14889</v>
      </c>
      <c r="G591" s="63">
        <v>14400</v>
      </c>
      <c r="H591" s="64">
        <v>489</v>
      </c>
      <c r="I591" s="79">
        <f t="shared" si="455"/>
        <v>25839</v>
      </c>
      <c r="J591" s="4">
        <f t="shared" si="448"/>
        <v>25300</v>
      </c>
      <c r="K591" s="4">
        <f t="shared" si="454"/>
        <v>539</v>
      </c>
      <c r="L591" s="65" t="e">
        <f t="shared" si="457"/>
        <v>#DIV/0!</v>
      </c>
      <c r="M591" s="147">
        <v>5.6550000000000002</v>
      </c>
      <c r="N591" s="67">
        <f t="shared" si="451"/>
        <v>81432</v>
      </c>
      <c r="O591" s="67">
        <f>M591*J591</f>
        <v>143071.5</v>
      </c>
      <c r="P591" s="1124"/>
    </row>
    <row r="592" spans="2:16" x14ac:dyDescent="0.3">
      <c r="B592" s="1119"/>
      <c r="C592" s="1122"/>
      <c r="D592" s="61" t="s">
        <v>125</v>
      </c>
      <c r="E592" s="62">
        <v>0</v>
      </c>
      <c r="F592" s="63">
        <f t="shared" si="453"/>
        <v>0</v>
      </c>
      <c r="G592" s="63">
        <v>0</v>
      </c>
      <c r="H592" s="64">
        <v>0</v>
      </c>
      <c r="I592" s="79">
        <f t="shared" si="455"/>
        <v>0</v>
      </c>
      <c r="J592" s="4">
        <f t="shared" si="448"/>
        <v>0</v>
      </c>
      <c r="K592" s="4">
        <f t="shared" si="454"/>
        <v>0</v>
      </c>
      <c r="L592" s="65" t="e">
        <f t="shared" si="457"/>
        <v>#DIV/0!</v>
      </c>
      <c r="M592" s="152">
        <v>5.6550000000000002</v>
      </c>
      <c r="N592" s="67">
        <f t="shared" si="451"/>
        <v>0</v>
      </c>
      <c r="O592" s="67">
        <f>M592*J592</f>
        <v>0</v>
      </c>
      <c r="P592" s="1124"/>
    </row>
    <row r="593" spans="2:16" x14ac:dyDescent="0.3">
      <c r="B593" s="1119"/>
      <c r="C593" s="1122"/>
      <c r="D593" s="61" t="s">
        <v>128</v>
      </c>
      <c r="E593" s="62">
        <v>0</v>
      </c>
      <c r="F593" s="63">
        <f t="shared" si="453"/>
        <v>4264</v>
      </c>
      <c r="G593" s="63">
        <v>4200</v>
      </c>
      <c r="H593" s="64">
        <v>64</v>
      </c>
      <c r="I593" s="79">
        <f t="shared" si="455"/>
        <v>16664</v>
      </c>
      <c r="J593" s="4">
        <f t="shared" si="448"/>
        <v>15100</v>
      </c>
      <c r="K593" s="4">
        <f t="shared" si="454"/>
        <v>1564</v>
      </c>
      <c r="L593" s="65" t="e">
        <f t="shared" si="457"/>
        <v>#DIV/0!</v>
      </c>
      <c r="M593" s="66">
        <v>5.7885299999999997</v>
      </c>
      <c r="N593" s="67">
        <f>+M593*G593</f>
        <v>24311.825999999997</v>
      </c>
      <c r="O593" s="67">
        <f>M593*J593</f>
        <v>87406.803</v>
      </c>
      <c r="P593" s="1124"/>
    </row>
    <row r="594" spans="2:16" x14ac:dyDescent="0.3">
      <c r="B594" s="1119"/>
      <c r="C594" s="1122"/>
      <c r="D594" s="61" t="s">
        <v>143</v>
      </c>
      <c r="E594" s="62">
        <v>0</v>
      </c>
      <c r="F594" s="63">
        <f t="shared" si="453"/>
        <v>0</v>
      </c>
      <c r="G594" s="63">
        <v>0</v>
      </c>
      <c r="H594" s="64">
        <v>0</v>
      </c>
      <c r="I594" s="79">
        <f t="shared" si="455"/>
        <v>0</v>
      </c>
      <c r="J594" s="4">
        <f t="shared" si="448"/>
        <v>0</v>
      </c>
      <c r="K594" s="4">
        <f t="shared" si="454"/>
        <v>0</v>
      </c>
      <c r="L594" s="65" t="e">
        <f t="shared" si="457"/>
        <v>#DIV/0!</v>
      </c>
      <c r="M594" s="152">
        <v>5.6550000000000002</v>
      </c>
      <c r="N594" s="67">
        <f t="shared" ref="N594:N596" si="458">+M594*G594</f>
        <v>0</v>
      </c>
      <c r="O594" s="67">
        <f t="shared" ref="O594:O597" si="459">M594*J594</f>
        <v>0</v>
      </c>
      <c r="P594" s="1124"/>
    </row>
    <row r="595" spans="2:16" x14ac:dyDescent="0.3">
      <c r="B595" s="1119"/>
      <c r="C595" s="188" t="s">
        <v>89</v>
      </c>
      <c r="D595" s="61" t="s">
        <v>80</v>
      </c>
      <c r="E595" s="62">
        <v>0</v>
      </c>
      <c r="F595" s="63">
        <f t="shared" si="453"/>
        <v>0</v>
      </c>
      <c r="G595" s="63">
        <v>0</v>
      </c>
      <c r="H595" s="64">
        <v>0</v>
      </c>
      <c r="I595" s="79">
        <f t="shared" si="455"/>
        <v>0</v>
      </c>
      <c r="J595" s="4">
        <f t="shared" si="448"/>
        <v>0</v>
      </c>
      <c r="K595" s="4">
        <f t="shared" si="454"/>
        <v>0</v>
      </c>
      <c r="L595" s="65" t="e">
        <f t="shared" si="457"/>
        <v>#DIV/0!</v>
      </c>
      <c r="M595" s="66">
        <v>3.2963</v>
      </c>
      <c r="N595" s="67">
        <f t="shared" si="458"/>
        <v>0</v>
      </c>
      <c r="O595" s="67">
        <f t="shared" si="459"/>
        <v>0</v>
      </c>
      <c r="P595" s="1124"/>
    </row>
    <row r="596" spans="2:16" x14ac:dyDescent="0.3">
      <c r="B596" s="1119"/>
      <c r="C596" s="188" t="s">
        <v>90</v>
      </c>
      <c r="D596" s="61" t="s">
        <v>80</v>
      </c>
      <c r="E596" s="62">
        <v>0</v>
      </c>
      <c r="F596" s="63">
        <f t="shared" si="453"/>
        <v>0</v>
      </c>
      <c r="G596" s="63">
        <v>0</v>
      </c>
      <c r="H596" s="64">
        <v>0</v>
      </c>
      <c r="I596" s="79">
        <f t="shared" si="455"/>
        <v>0</v>
      </c>
      <c r="J596" s="4">
        <f t="shared" si="448"/>
        <v>0</v>
      </c>
      <c r="K596" s="4">
        <f t="shared" si="454"/>
        <v>0</v>
      </c>
      <c r="L596" s="65" t="e">
        <f t="shared" si="457"/>
        <v>#DIV/0!</v>
      </c>
      <c r="M596" s="66">
        <v>3.2963</v>
      </c>
      <c r="N596" s="67">
        <f t="shared" si="458"/>
        <v>0</v>
      </c>
      <c r="O596" s="67">
        <f t="shared" si="459"/>
        <v>0</v>
      </c>
      <c r="P596" s="1124"/>
    </row>
    <row r="597" spans="2:16" ht="15" thickBot="1" x14ac:dyDescent="0.35">
      <c r="B597" s="1119"/>
      <c r="C597" s="68" t="s">
        <v>91</v>
      </c>
      <c r="D597" s="69" t="s">
        <v>92</v>
      </c>
      <c r="E597" s="70">
        <v>0</v>
      </c>
      <c r="F597" s="71">
        <f t="shared" si="453"/>
        <v>0</v>
      </c>
      <c r="G597" s="71">
        <v>0</v>
      </c>
      <c r="H597" s="72">
        <v>0</v>
      </c>
      <c r="I597" s="80">
        <f t="shared" si="455"/>
        <v>65030</v>
      </c>
      <c r="J597" s="4">
        <f t="shared" si="448"/>
        <v>65000</v>
      </c>
      <c r="K597" s="4">
        <f t="shared" si="454"/>
        <v>30</v>
      </c>
      <c r="L597" s="65" t="e">
        <f t="shared" si="457"/>
        <v>#DIV/0!</v>
      </c>
      <c r="M597" s="73">
        <v>2.3201000000000001</v>
      </c>
      <c r="N597" s="74">
        <f t="shared" ref="N597" si="460">M597*G597</f>
        <v>0</v>
      </c>
      <c r="O597" s="74">
        <f t="shared" si="459"/>
        <v>150806.5</v>
      </c>
      <c r="P597" s="1125"/>
    </row>
    <row r="598" spans="2:16" ht="15" thickBot="1" x14ac:dyDescent="0.35">
      <c r="B598" s="1120"/>
      <c r="C598" s="1128" t="s">
        <v>106</v>
      </c>
      <c r="D598" s="1129"/>
      <c r="E598" s="1129"/>
      <c r="F598" s="1129"/>
      <c r="G598" s="1129"/>
      <c r="H598" s="1130"/>
      <c r="I598" s="116">
        <f>J598+K598</f>
        <v>661608</v>
      </c>
      <c r="J598" s="115">
        <f>SUM(J570:J597)</f>
        <v>643380</v>
      </c>
      <c r="K598" s="115">
        <f>SUM(K570:K597)</f>
        <v>18228</v>
      </c>
      <c r="L598" s="114"/>
      <c r="M598" s="113"/>
      <c r="N598" s="114"/>
      <c r="O598" s="97">
        <f>SUM(O570:O597)</f>
        <v>5332404.3109999998</v>
      </c>
      <c r="P598" s="96"/>
    </row>
    <row r="599" spans="2:16" ht="15" thickBot="1" x14ac:dyDescent="0.35">
      <c r="B599" s="100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2"/>
    </row>
    <row r="600" spans="2:16" ht="15" thickBot="1" x14ac:dyDescent="0.35">
      <c r="B600" s="1113" t="s">
        <v>107</v>
      </c>
      <c r="C600" s="1114"/>
      <c r="D600" s="1114"/>
      <c r="E600" s="1114"/>
      <c r="F600" s="1114"/>
      <c r="G600" s="1114"/>
      <c r="H600" s="1114"/>
      <c r="I600" s="1114"/>
      <c r="J600" s="1114"/>
      <c r="K600" s="1114"/>
      <c r="L600" s="1114"/>
      <c r="M600" s="1114"/>
      <c r="N600" s="1115"/>
      <c r="O600" s="103">
        <f>+O598+O569+O554</f>
        <v>11477316.184999999</v>
      </c>
      <c r="P600" s="96"/>
    </row>
    <row r="601" spans="2:16" ht="15" thickBot="1" x14ac:dyDescent="0.35"/>
    <row r="602" spans="2:16" x14ac:dyDescent="0.3">
      <c r="B602" s="1147" t="s">
        <v>1</v>
      </c>
      <c r="C602" s="1149" t="s">
        <v>2</v>
      </c>
      <c r="D602" s="1152" t="s">
        <v>3</v>
      </c>
      <c r="E602" s="1155" t="s">
        <v>4</v>
      </c>
      <c r="F602" s="1156"/>
      <c r="G602" s="1156"/>
      <c r="H602" s="1156"/>
      <c r="I602" s="1156"/>
      <c r="J602" s="1156"/>
      <c r="K602" s="1156"/>
      <c r="L602" s="1157"/>
      <c r="M602" s="1158" t="s">
        <v>5</v>
      </c>
      <c r="N602" s="1159"/>
      <c r="O602" s="1160"/>
      <c r="P602" s="1152" t="s">
        <v>6</v>
      </c>
    </row>
    <row r="603" spans="2:16" x14ac:dyDescent="0.3">
      <c r="B603" s="1148"/>
      <c r="C603" s="1150"/>
      <c r="D603" s="1153"/>
      <c r="E603" s="1161" t="s">
        <v>7</v>
      </c>
      <c r="F603" s="1163" t="s">
        <v>157</v>
      </c>
      <c r="G603" s="1163"/>
      <c r="H603" s="1164"/>
      <c r="I603" s="1165" t="s">
        <v>8</v>
      </c>
      <c r="J603" s="1163"/>
      <c r="K603" s="1163"/>
      <c r="L603" s="1164" t="s">
        <v>9</v>
      </c>
      <c r="M603" s="1167" t="s">
        <v>10</v>
      </c>
      <c r="N603" s="1169" t="s">
        <v>11</v>
      </c>
      <c r="O603" s="1171" t="s">
        <v>12</v>
      </c>
      <c r="P603" s="1153"/>
    </row>
    <row r="604" spans="2:16" ht="15" thickBot="1" x14ac:dyDescent="0.35">
      <c r="B604" s="1148"/>
      <c r="C604" s="1151"/>
      <c r="D604" s="1154"/>
      <c r="E604" s="1162"/>
      <c r="F604" s="2" t="s">
        <v>13</v>
      </c>
      <c r="G604" s="2" t="s">
        <v>14</v>
      </c>
      <c r="H604" s="195" t="s">
        <v>15</v>
      </c>
      <c r="I604" s="142" t="s">
        <v>13</v>
      </c>
      <c r="J604" s="2" t="s">
        <v>14</v>
      </c>
      <c r="K604" s="2" t="s">
        <v>15</v>
      </c>
      <c r="L604" s="1166"/>
      <c r="M604" s="1168"/>
      <c r="N604" s="1170"/>
      <c r="O604" s="1172"/>
      <c r="P604" s="1154"/>
    </row>
    <row r="605" spans="2:16" x14ac:dyDescent="0.3">
      <c r="B605" s="1131" t="s">
        <v>56</v>
      </c>
      <c r="C605" s="29"/>
      <c r="D605" s="117" t="s">
        <v>151</v>
      </c>
      <c r="E605" s="98">
        <v>0</v>
      </c>
      <c r="F605" s="4">
        <f>+G605+H605</f>
        <v>0</v>
      </c>
      <c r="G605" s="4">
        <v>0</v>
      </c>
      <c r="H605" s="8">
        <v>0</v>
      </c>
      <c r="I605" s="6">
        <f>J605+K605</f>
        <v>285266</v>
      </c>
      <c r="J605" s="4">
        <f>G605+J540</f>
        <v>280000</v>
      </c>
      <c r="K605" s="4">
        <f>H605+K540</f>
        <v>5266</v>
      </c>
      <c r="L605" s="33" t="e">
        <f>+J605/E605</f>
        <v>#DIV/0!</v>
      </c>
      <c r="M605" s="104">
        <v>1.3652</v>
      </c>
      <c r="N605" s="31">
        <f>G605*M605</f>
        <v>0</v>
      </c>
      <c r="O605" s="86">
        <f>M605*J605</f>
        <v>382256</v>
      </c>
      <c r="P605" s="1133"/>
    </row>
    <row r="606" spans="2:16" x14ac:dyDescent="0.3">
      <c r="B606" s="1132"/>
      <c r="C606" s="32"/>
      <c r="D606" s="118" t="s">
        <v>116</v>
      </c>
      <c r="E606" s="99">
        <v>0</v>
      </c>
      <c r="F606" s="9">
        <f>+G606+H606</f>
        <v>0</v>
      </c>
      <c r="G606" s="9">
        <v>0</v>
      </c>
      <c r="H606" s="10">
        <v>0</v>
      </c>
      <c r="I606" s="6">
        <f>J606+K606</f>
        <v>0</v>
      </c>
      <c r="J606" s="4">
        <f>+G606+J541</f>
        <v>0</v>
      </c>
      <c r="K606" s="4">
        <f>+H606+K541</f>
        <v>0</v>
      </c>
      <c r="L606" s="33"/>
      <c r="M606" s="105">
        <v>5.9917999999999996</v>
      </c>
      <c r="N606" s="34">
        <f>M606*G606</f>
        <v>0</v>
      </c>
      <c r="O606" s="87">
        <f>M606*J606</f>
        <v>0</v>
      </c>
      <c r="P606" s="1134"/>
    </row>
    <row r="607" spans="2:16" x14ac:dyDescent="0.3">
      <c r="B607" s="1132"/>
      <c r="C607" s="35"/>
      <c r="D607" s="119" t="s">
        <v>58</v>
      </c>
      <c r="E607" s="99">
        <v>0</v>
      </c>
      <c r="F607" s="9">
        <f t="shared" ref="F607:F611" si="461">+G607+H607</f>
        <v>231592</v>
      </c>
      <c r="G607" s="9">
        <v>230000</v>
      </c>
      <c r="H607" s="10">
        <v>1592</v>
      </c>
      <c r="I607" s="6">
        <f t="shared" ref="I607:I611" si="462">J607+K607</f>
        <v>1799791</v>
      </c>
      <c r="J607" s="4">
        <f t="shared" ref="J607:J611" si="463">+G607+J542</f>
        <v>1785750</v>
      </c>
      <c r="K607" s="4">
        <f t="shared" ref="K607:K611" si="464">+H607+K542</f>
        <v>14041</v>
      </c>
      <c r="L607" s="33" t="e">
        <f t="shared" ref="L607" si="465">+J607/E607</f>
        <v>#DIV/0!</v>
      </c>
      <c r="M607" s="106">
        <v>2.3807999999999998</v>
      </c>
      <c r="N607" s="36">
        <f>G607*M607</f>
        <v>547584</v>
      </c>
      <c r="O607" s="88">
        <f>M607*J607</f>
        <v>4251513.5999999996</v>
      </c>
      <c r="P607" s="1134"/>
    </row>
    <row r="608" spans="2:16" x14ac:dyDescent="0.3">
      <c r="B608" s="1132"/>
      <c r="C608" s="35"/>
      <c r="D608" s="119" t="s">
        <v>59</v>
      </c>
      <c r="E608" s="99">
        <v>0</v>
      </c>
      <c r="F608" s="9">
        <f t="shared" si="461"/>
        <v>0</v>
      </c>
      <c r="G608" s="9">
        <v>0</v>
      </c>
      <c r="H608" s="10">
        <v>0</v>
      </c>
      <c r="I608" s="6">
        <f t="shared" si="462"/>
        <v>0</v>
      </c>
      <c r="J608" s="4">
        <f t="shared" si="463"/>
        <v>0</v>
      </c>
      <c r="K608" s="4">
        <f t="shared" si="464"/>
        <v>0</v>
      </c>
      <c r="L608" s="33"/>
      <c r="M608" s="106">
        <v>2.1457999999999999</v>
      </c>
      <c r="N608" s="36">
        <f t="shared" ref="N608:N611" si="466">G608*M608</f>
        <v>0</v>
      </c>
      <c r="O608" s="88">
        <f>M608*J608</f>
        <v>0</v>
      </c>
      <c r="P608" s="1134"/>
    </row>
    <row r="609" spans="2:16" x14ac:dyDescent="0.3">
      <c r="B609" s="1132"/>
      <c r="C609" s="35"/>
      <c r="D609" s="119" t="s">
        <v>113</v>
      </c>
      <c r="E609" s="99">
        <v>0</v>
      </c>
      <c r="F609" s="9">
        <f t="shared" si="461"/>
        <v>0</v>
      </c>
      <c r="G609" s="9">
        <v>0</v>
      </c>
      <c r="H609" s="10">
        <v>0</v>
      </c>
      <c r="I609" s="6">
        <f t="shared" si="462"/>
        <v>0</v>
      </c>
      <c r="J609" s="4">
        <f t="shared" si="463"/>
        <v>0</v>
      </c>
      <c r="K609" s="4">
        <f t="shared" si="464"/>
        <v>0</v>
      </c>
      <c r="L609" s="33" t="e">
        <f t="shared" ref="L609:L610" si="467">+J609/E609</f>
        <v>#DIV/0!</v>
      </c>
      <c r="M609" s="143">
        <v>4.0426000000000002</v>
      </c>
      <c r="N609" s="36">
        <f t="shared" si="466"/>
        <v>0</v>
      </c>
      <c r="O609" s="88">
        <f>M609*J609</f>
        <v>0</v>
      </c>
      <c r="P609" s="1134"/>
    </row>
    <row r="610" spans="2:16" x14ac:dyDescent="0.3">
      <c r="B610" s="1132"/>
      <c r="C610" s="35"/>
      <c r="D610" s="119" t="s">
        <v>117</v>
      </c>
      <c r="E610" s="99">
        <v>0</v>
      </c>
      <c r="F610" s="9">
        <f t="shared" si="461"/>
        <v>0</v>
      </c>
      <c r="G610" s="9">
        <v>0</v>
      </c>
      <c r="H610" s="10">
        <v>0</v>
      </c>
      <c r="I610" s="6">
        <f t="shared" si="462"/>
        <v>0</v>
      </c>
      <c r="J610" s="4">
        <f t="shared" si="463"/>
        <v>0</v>
      </c>
      <c r="K610" s="4">
        <f t="shared" si="464"/>
        <v>0</v>
      </c>
      <c r="L610" s="33" t="e">
        <f t="shared" si="467"/>
        <v>#DIV/0!</v>
      </c>
      <c r="M610" s="143">
        <v>3.8715000000000002</v>
      </c>
      <c r="N610" s="36">
        <f t="shared" si="466"/>
        <v>0</v>
      </c>
      <c r="O610" s="88">
        <f t="shared" ref="O610:O611" si="468">M610*J610</f>
        <v>0</v>
      </c>
      <c r="P610" s="1134"/>
    </row>
    <row r="611" spans="2:16" ht="15" thickBot="1" x14ac:dyDescent="0.35">
      <c r="B611" s="1132"/>
      <c r="C611" s="82"/>
      <c r="D611" s="120" t="s">
        <v>60</v>
      </c>
      <c r="E611" s="108">
        <v>0</v>
      </c>
      <c r="F611" s="12">
        <f t="shared" si="461"/>
        <v>0</v>
      </c>
      <c r="G611" s="12">
        <v>0</v>
      </c>
      <c r="H611" s="13">
        <v>0</v>
      </c>
      <c r="I611" s="21">
        <f t="shared" si="462"/>
        <v>0</v>
      </c>
      <c r="J611" s="4">
        <f t="shared" si="463"/>
        <v>0</v>
      </c>
      <c r="K611" s="4">
        <f t="shared" si="464"/>
        <v>0</v>
      </c>
      <c r="L611" s="81"/>
      <c r="M611" s="127">
        <v>12.284700000000001</v>
      </c>
      <c r="N611" s="36">
        <f t="shared" si="466"/>
        <v>0</v>
      </c>
      <c r="O611" s="128">
        <f t="shared" si="468"/>
        <v>0</v>
      </c>
      <c r="P611" s="1134"/>
    </row>
    <row r="612" spans="2:16" ht="15" thickBot="1" x14ac:dyDescent="0.35">
      <c r="B612" s="1132"/>
      <c r="C612" s="1137" t="s">
        <v>111</v>
      </c>
      <c r="D612" s="1138"/>
      <c r="E612" s="129"/>
      <c r="F612" s="130">
        <f>SUM(F605:F611)</f>
        <v>231592</v>
      </c>
      <c r="G612" s="130">
        <f>SUM(G605:G611)</f>
        <v>230000</v>
      </c>
      <c r="H612" s="131">
        <f>SUM(H605:H611)</f>
        <v>1592</v>
      </c>
      <c r="I612" s="132">
        <f>+J612+K612</f>
        <v>2085057</v>
      </c>
      <c r="J612" s="133">
        <f>SUM(J605:J611)</f>
        <v>2065750</v>
      </c>
      <c r="K612" s="133">
        <f>SUM(K605:K611)</f>
        <v>19307</v>
      </c>
      <c r="L612" s="134"/>
      <c r="M612" s="135"/>
      <c r="N612" s="136"/>
      <c r="O612" s="137">
        <f>SUM(O605:O611)</f>
        <v>4633769.5999999996</v>
      </c>
      <c r="P612" s="1135"/>
    </row>
    <row r="613" spans="2:16" x14ac:dyDescent="0.3">
      <c r="B613" s="1132"/>
      <c r="C613" s="32"/>
      <c r="D613" s="118" t="s">
        <v>61</v>
      </c>
      <c r="E613" s="98">
        <v>0</v>
      </c>
      <c r="F613" s="4">
        <f t="shared" ref="F613:F616" si="469">+G613+H613</f>
        <v>0</v>
      </c>
      <c r="G613" s="4">
        <v>0</v>
      </c>
      <c r="H613" s="8">
        <v>0</v>
      </c>
      <c r="I613" s="6">
        <f t="shared" ref="I613:I617" si="470">J613+K613</f>
        <v>0</v>
      </c>
      <c r="J613" s="4">
        <f>G613+J548</f>
        <v>0</v>
      </c>
      <c r="K613" s="4">
        <f>H613+K548</f>
        <v>0</v>
      </c>
      <c r="L613" s="33" t="e">
        <f t="shared" ref="L613" si="471">+J613/E613</f>
        <v>#DIV/0!</v>
      </c>
      <c r="M613" s="105">
        <v>12.029500000000001</v>
      </c>
      <c r="N613" s="34">
        <f>M613*G613</f>
        <v>0</v>
      </c>
      <c r="O613" s="87">
        <f t="shared" ref="O613:O615" si="472">M613*J613</f>
        <v>0</v>
      </c>
      <c r="P613" s="1134"/>
    </row>
    <row r="614" spans="2:16" x14ac:dyDescent="0.3">
      <c r="B614" s="1132"/>
      <c r="C614" s="35"/>
      <c r="D614" s="119" t="s">
        <v>62</v>
      </c>
      <c r="E614" s="99">
        <v>0</v>
      </c>
      <c r="F614" s="9">
        <f t="shared" si="469"/>
        <v>0</v>
      </c>
      <c r="G614" s="9">
        <v>0</v>
      </c>
      <c r="H614" s="10">
        <v>0</v>
      </c>
      <c r="I614" s="6">
        <f t="shared" si="470"/>
        <v>0</v>
      </c>
      <c r="J614" s="4">
        <f>G614+J549</f>
        <v>0</v>
      </c>
      <c r="K614" s="4">
        <f>H614+K549</f>
        <v>0</v>
      </c>
      <c r="L614" s="33"/>
      <c r="M614" s="106">
        <v>0</v>
      </c>
      <c r="N614" s="36"/>
      <c r="O614" s="88">
        <f t="shared" si="472"/>
        <v>0</v>
      </c>
      <c r="P614" s="1134"/>
    </row>
    <row r="615" spans="2:16" x14ac:dyDescent="0.3">
      <c r="B615" s="1132"/>
      <c r="C615" s="35"/>
      <c r="D615" s="119" t="s">
        <v>104</v>
      </c>
      <c r="E615" s="99">
        <v>0</v>
      </c>
      <c r="F615" s="9">
        <f t="shared" si="469"/>
        <v>0</v>
      </c>
      <c r="G615" s="9">
        <v>0</v>
      </c>
      <c r="H615" s="10">
        <v>0</v>
      </c>
      <c r="I615" s="6">
        <f t="shared" si="470"/>
        <v>0</v>
      </c>
      <c r="J615" s="4">
        <f t="shared" ref="J615:J617" si="473">G615+J550</f>
        <v>0</v>
      </c>
      <c r="K615" s="4">
        <f t="shared" ref="K615:K617" si="474">H615+K550</f>
        <v>0</v>
      </c>
      <c r="L615" s="33" t="e">
        <f t="shared" ref="L615:L617" si="475">+J615/E615</f>
        <v>#DIV/0!</v>
      </c>
      <c r="M615" s="106">
        <v>19.688600000000001</v>
      </c>
      <c r="N615" s="36">
        <f>M615*G615</f>
        <v>0</v>
      </c>
      <c r="O615" s="88">
        <f t="shared" si="472"/>
        <v>0</v>
      </c>
      <c r="P615" s="1134"/>
    </row>
    <row r="616" spans="2:16" x14ac:dyDescent="0.3">
      <c r="B616" s="1132"/>
      <c r="C616" s="35"/>
      <c r="D616" s="119" t="s">
        <v>64</v>
      </c>
      <c r="E616" s="99">
        <v>0</v>
      </c>
      <c r="F616" s="9">
        <f t="shared" si="469"/>
        <v>0</v>
      </c>
      <c r="G616" s="9">
        <v>0</v>
      </c>
      <c r="H616" s="10">
        <v>0</v>
      </c>
      <c r="I616" s="6">
        <f t="shared" si="470"/>
        <v>0</v>
      </c>
      <c r="J616" s="4">
        <f t="shared" si="473"/>
        <v>0</v>
      </c>
      <c r="K616" s="4">
        <f t="shared" si="474"/>
        <v>0</v>
      </c>
      <c r="L616" s="33" t="e">
        <f t="shared" si="475"/>
        <v>#DIV/0!</v>
      </c>
      <c r="M616" s="106">
        <v>1.2824</v>
      </c>
      <c r="N616" s="151">
        <f>M616*G616</f>
        <v>0</v>
      </c>
      <c r="O616" s="88">
        <f>M616*J616</f>
        <v>0</v>
      </c>
      <c r="P616" s="1134"/>
    </row>
    <row r="617" spans="2:16" ht="15" thickBot="1" x14ac:dyDescent="0.35">
      <c r="B617" s="1132"/>
      <c r="C617" s="82"/>
      <c r="D617" s="120" t="s">
        <v>63</v>
      </c>
      <c r="E617" s="108">
        <v>0</v>
      </c>
      <c r="F617" s="12">
        <v>0</v>
      </c>
      <c r="G617" s="12">
        <v>12960</v>
      </c>
      <c r="H617" s="13">
        <v>0</v>
      </c>
      <c r="I617" s="21">
        <f t="shared" si="470"/>
        <v>21774</v>
      </c>
      <c r="J617" s="4">
        <f t="shared" si="473"/>
        <v>21600</v>
      </c>
      <c r="K617" s="4">
        <f t="shared" si="474"/>
        <v>174</v>
      </c>
      <c r="L617" s="81" t="e">
        <f t="shared" si="475"/>
        <v>#DIV/0!</v>
      </c>
      <c r="M617" s="107">
        <v>18.2316</v>
      </c>
      <c r="N617" s="75"/>
      <c r="O617" s="89">
        <f t="shared" ref="O617" si="476">M617*J617</f>
        <v>393802.56</v>
      </c>
      <c r="P617" s="1136"/>
    </row>
    <row r="618" spans="2:16" ht="15" thickBot="1" x14ac:dyDescent="0.35">
      <c r="B618" s="1116" t="s">
        <v>112</v>
      </c>
      <c r="C618" s="1117"/>
      <c r="D618" s="1117"/>
      <c r="E618" s="124"/>
      <c r="F618" s="125">
        <f>+G618+H618</f>
        <v>12960</v>
      </c>
      <c r="G618" s="125">
        <f>SUM(G613:G617)</f>
        <v>12960</v>
      </c>
      <c r="H618" s="126">
        <f>SUM(H613:H617)</f>
        <v>0</v>
      </c>
      <c r="I618" s="121">
        <f>J618+K618</f>
        <v>21774</v>
      </c>
      <c r="J618" s="122">
        <f>SUM(J613:J617)</f>
        <v>21600</v>
      </c>
      <c r="K618" s="123">
        <f>SUM(K613:K617)</f>
        <v>174</v>
      </c>
      <c r="L618" s="138"/>
      <c r="M618" s="139"/>
      <c r="N618" s="140"/>
      <c r="O618" s="141">
        <f>SUM(O613:O617)</f>
        <v>393802.56</v>
      </c>
      <c r="P618" s="193"/>
    </row>
    <row r="619" spans="2:16" ht="15" thickBot="1" x14ac:dyDescent="0.35">
      <c r="B619" s="1116" t="s">
        <v>105</v>
      </c>
      <c r="C619" s="1117"/>
      <c r="D619" s="1117"/>
      <c r="E619" s="1139"/>
      <c r="F619" s="1139"/>
      <c r="G619" s="1139"/>
      <c r="H619" s="1139"/>
      <c r="I619" s="1117"/>
      <c r="J619" s="1117"/>
      <c r="K619" s="1117"/>
      <c r="L619" s="1117"/>
      <c r="M619" s="1117"/>
      <c r="N619" s="1140"/>
      <c r="O619" s="83">
        <f>O612+O618</f>
        <v>5027572.1599999992</v>
      </c>
      <c r="P619" s="193"/>
    </row>
    <row r="620" spans="2:16" x14ac:dyDescent="0.3">
      <c r="B620" s="1131" t="s">
        <v>65</v>
      </c>
      <c r="C620" s="37" t="s">
        <v>66</v>
      </c>
      <c r="D620" s="28" t="s">
        <v>67</v>
      </c>
      <c r="E620" s="38">
        <v>0</v>
      </c>
      <c r="F620" s="14">
        <f>+G620+H620</f>
        <v>0</v>
      </c>
      <c r="G620" s="14">
        <v>0</v>
      </c>
      <c r="H620" s="5">
        <v>0</v>
      </c>
      <c r="I620" s="17">
        <f t="shared" ref="I620:I626" si="477">J620+K620</f>
        <v>0</v>
      </c>
      <c r="J620" s="4">
        <f>G620+J555</f>
        <v>0</v>
      </c>
      <c r="K620" s="4">
        <f>H620+K555</f>
        <v>0</v>
      </c>
      <c r="L620" s="30" t="e">
        <f>+J620/E620</f>
        <v>#DIV/0!</v>
      </c>
      <c r="M620" s="146">
        <v>2.2141000000000002</v>
      </c>
      <c r="N620" s="15">
        <f>+M620*G620</f>
        <v>0</v>
      </c>
      <c r="O620" s="90">
        <f>+M620*J620</f>
        <v>0</v>
      </c>
      <c r="P620" s="1142"/>
    </row>
    <row r="621" spans="2:16" x14ac:dyDescent="0.3">
      <c r="B621" s="1132"/>
      <c r="C621" s="39"/>
      <c r="D621" s="22" t="s">
        <v>68</v>
      </c>
      <c r="E621" s="3">
        <v>0</v>
      </c>
      <c r="F621" s="9">
        <f t="shared" ref="F621:F626" si="478">+G621+H621</f>
        <v>0</v>
      </c>
      <c r="G621" s="4">
        <v>0</v>
      </c>
      <c r="H621" s="8">
        <v>0</v>
      </c>
      <c r="I621" s="6">
        <f t="shared" si="477"/>
        <v>0</v>
      </c>
      <c r="J621" s="4">
        <f>+G621+J556</f>
        <v>0</v>
      </c>
      <c r="K621" s="4">
        <f>+H621+K556</f>
        <v>0</v>
      </c>
      <c r="L621" s="40" t="e">
        <f t="shared" ref="L621:L622" si="479">+J621/E621</f>
        <v>#DIV/0!</v>
      </c>
      <c r="M621" s="145">
        <v>2.4565999999999999</v>
      </c>
      <c r="N621" s="11">
        <f t="shared" ref="N621:N623" si="480">+M621*G621</f>
        <v>0</v>
      </c>
      <c r="O621" s="91">
        <f t="shared" ref="O621:O623" si="481">+M621*J621</f>
        <v>0</v>
      </c>
      <c r="P621" s="1143"/>
    </row>
    <row r="622" spans="2:16" x14ac:dyDescent="0.3">
      <c r="B622" s="1132"/>
      <c r="C622" s="39"/>
      <c r="D622" s="23" t="s">
        <v>133</v>
      </c>
      <c r="E622" s="3">
        <v>0</v>
      </c>
      <c r="F622" s="9">
        <f t="shared" si="478"/>
        <v>0</v>
      </c>
      <c r="G622" s="4">
        <v>0</v>
      </c>
      <c r="H622" s="8">
        <v>0</v>
      </c>
      <c r="I622" s="6">
        <f t="shared" si="477"/>
        <v>0</v>
      </c>
      <c r="J622" s="4">
        <f t="shared" ref="J622:J623" si="482">+G622+J557</f>
        <v>0</v>
      </c>
      <c r="K622" s="4">
        <f t="shared" ref="K622:K626" si="483">+H622+K557</f>
        <v>0</v>
      </c>
      <c r="L622" s="40" t="e">
        <f t="shared" si="479"/>
        <v>#DIV/0!</v>
      </c>
      <c r="M622" s="145">
        <v>2.2907000000000002</v>
      </c>
      <c r="N622" s="11">
        <f t="shared" si="480"/>
        <v>0</v>
      </c>
      <c r="O622" s="91">
        <f t="shared" si="481"/>
        <v>0</v>
      </c>
      <c r="P622" s="1143"/>
    </row>
    <row r="623" spans="2:16" x14ac:dyDescent="0.3">
      <c r="B623" s="1132"/>
      <c r="C623" s="39"/>
      <c r="D623" s="22" t="s">
        <v>138</v>
      </c>
      <c r="E623" s="3"/>
      <c r="F623" s="9">
        <f t="shared" si="478"/>
        <v>0</v>
      </c>
      <c r="G623" s="4">
        <v>0</v>
      </c>
      <c r="H623" s="8">
        <v>0</v>
      </c>
      <c r="I623" s="6">
        <f t="shared" si="477"/>
        <v>0</v>
      </c>
      <c r="J623" s="4">
        <f t="shared" si="482"/>
        <v>0</v>
      </c>
      <c r="K623" s="4">
        <f t="shared" si="483"/>
        <v>0</v>
      </c>
      <c r="L623" s="33"/>
      <c r="M623" s="150">
        <v>2.544</v>
      </c>
      <c r="N623" s="11">
        <f t="shared" si="480"/>
        <v>0</v>
      </c>
      <c r="O623" s="91">
        <f t="shared" si="481"/>
        <v>0</v>
      </c>
      <c r="P623" s="1143"/>
    </row>
    <row r="624" spans="2:16" x14ac:dyDescent="0.3">
      <c r="B624" s="1132"/>
      <c r="C624" s="39" t="s">
        <v>69</v>
      </c>
      <c r="D624" s="22" t="s">
        <v>140</v>
      </c>
      <c r="E624" s="3">
        <v>0</v>
      </c>
      <c r="F624" s="9">
        <f t="shared" si="478"/>
        <v>84000</v>
      </c>
      <c r="G624" s="4">
        <v>82500</v>
      </c>
      <c r="H624" s="8">
        <v>1500</v>
      </c>
      <c r="I624" s="6">
        <f t="shared" si="477"/>
        <v>491132</v>
      </c>
      <c r="J624" s="4">
        <f>+G624+J559</f>
        <v>480250</v>
      </c>
      <c r="K624" s="4">
        <f t="shared" si="483"/>
        <v>10882</v>
      </c>
      <c r="L624" s="33" t="e">
        <f>+J624/E624</f>
        <v>#DIV/0!</v>
      </c>
      <c r="M624" s="144">
        <v>2.2141000000000002</v>
      </c>
      <c r="N624" s="7">
        <f>+M624*G624</f>
        <v>182663.25000000003</v>
      </c>
      <c r="O624" s="85">
        <f>+M624*J624</f>
        <v>1063321.5250000001</v>
      </c>
      <c r="P624" s="1143"/>
    </row>
    <row r="625" spans="2:16" x14ac:dyDescent="0.3">
      <c r="B625" s="1132"/>
      <c r="C625" s="39"/>
      <c r="D625" s="22" t="s">
        <v>68</v>
      </c>
      <c r="E625" s="3">
        <v>0</v>
      </c>
      <c r="F625" s="9">
        <f t="shared" si="478"/>
        <v>0</v>
      </c>
      <c r="G625" s="4">
        <v>0</v>
      </c>
      <c r="H625" s="8">
        <v>0</v>
      </c>
      <c r="I625" s="6">
        <f t="shared" si="477"/>
        <v>0</v>
      </c>
      <c r="J625" s="4">
        <f t="shared" ref="J625:J626" si="484">+G625+J560</f>
        <v>0</v>
      </c>
      <c r="K625" s="4">
        <f t="shared" si="483"/>
        <v>0</v>
      </c>
      <c r="L625" s="40" t="e">
        <f t="shared" ref="L625:L626" si="485">+J625/E625</f>
        <v>#DIV/0!</v>
      </c>
      <c r="M625" s="145">
        <v>2.4565999999999999</v>
      </c>
      <c r="N625" s="11">
        <f t="shared" ref="N625:N626" si="486">+M625*G625</f>
        <v>0</v>
      </c>
      <c r="O625" s="91">
        <f t="shared" ref="O625" si="487">+M625*J625</f>
        <v>0</v>
      </c>
      <c r="P625" s="1143"/>
    </row>
    <row r="626" spans="2:16" ht="15" thickBot="1" x14ac:dyDescent="0.35">
      <c r="B626" s="1132"/>
      <c r="C626" s="39"/>
      <c r="D626" s="22" t="s">
        <v>133</v>
      </c>
      <c r="E626" s="3">
        <v>0</v>
      </c>
      <c r="F626" s="9">
        <f t="shared" si="478"/>
        <v>0</v>
      </c>
      <c r="G626" s="4">
        <v>0</v>
      </c>
      <c r="H626" s="8">
        <v>0</v>
      </c>
      <c r="I626" s="6">
        <f t="shared" si="477"/>
        <v>0</v>
      </c>
      <c r="J626" s="4">
        <f t="shared" si="484"/>
        <v>0</v>
      </c>
      <c r="K626" s="4">
        <f t="shared" si="483"/>
        <v>0</v>
      </c>
      <c r="L626" s="40" t="e">
        <f t="shared" si="485"/>
        <v>#DIV/0!</v>
      </c>
      <c r="M626" s="145">
        <v>2.2907000000000002</v>
      </c>
      <c r="N626" s="11">
        <f t="shared" si="486"/>
        <v>0</v>
      </c>
      <c r="O626" s="154">
        <f>+M626*J626</f>
        <v>0</v>
      </c>
      <c r="P626" s="1144"/>
    </row>
    <row r="627" spans="2:16" ht="15" thickBot="1" x14ac:dyDescent="0.35">
      <c r="B627" s="1132"/>
      <c r="C627" s="41" t="s">
        <v>29</v>
      </c>
      <c r="D627" s="27" t="str">
        <f>+C627</f>
        <v>TOTAL 1/2</v>
      </c>
      <c r="E627" s="42">
        <f>SUM(E620:E626)</f>
        <v>0</v>
      </c>
      <c r="F627" s="43">
        <f>SUM(F620:F626)</f>
        <v>84000</v>
      </c>
      <c r="G627" s="43">
        <f>SUM(G620:G626)</f>
        <v>82500</v>
      </c>
      <c r="H627" s="44">
        <f>SUM(H620:H626)</f>
        <v>1500</v>
      </c>
      <c r="I627" s="45">
        <f>SUM(I624:I626)</f>
        <v>491132</v>
      </c>
      <c r="J627" s="43">
        <f>SUM(J620:J626)</f>
        <v>480250</v>
      </c>
      <c r="K627" s="43">
        <f>SUM(K620:K626)</f>
        <v>10882</v>
      </c>
      <c r="L627" s="46" t="e">
        <f>+J627/E627</f>
        <v>#DIV/0!</v>
      </c>
      <c r="M627" s="47"/>
      <c r="N627" s="48">
        <f>SUM(N624:N626)</f>
        <v>182663.25000000003</v>
      </c>
      <c r="O627" s="49">
        <f>SUM(O620:O626)</f>
        <v>1063321.5250000001</v>
      </c>
      <c r="P627" s="194"/>
    </row>
    <row r="628" spans="2:16" x14ac:dyDescent="0.3">
      <c r="B628" s="1132"/>
      <c r="C628" s="1145" t="s">
        <v>70</v>
      </c>
      <c r="D628" s="22" t="s">
        <v>67</v>
      </c>
      <c r="E628" s="3">
        <v>0</v>
      </c>
      <c r="F628" s="4">
        <f>G628+H628</f>
        <v>0</v>
      </c>
      <c r="G628" s="4">
        <v>0</v>
      </c>
      <c r="H628" s="8">
        <v>0</v>
      </c>
      <c r="I628" s="16">
        <f>J628+K628</f>
        <v>109220</v>
      </c>
      <c r="J628" s="4">
        <f>G628+J563</f>
        <v>105750</v>
      </c>
      <c r="K628" s="4">
        <f>H628+K563</f>
        <v>3470</v>
      </c>
      <c r="L628" s="50" t="e">
        <f>+J628/E628</f>
        <v>#DIV/0!</v>
      </c>
      <c r="M628" s="144">
        <v>4.1712999999999996</v>
      </c>
      <c r="N628" s="7">
        <f>+M628*G628</f>
        <v>0</v>
      </c>
      <c r="O628" s="93">
        <f>+M628*J628</f>
        <v>441114.97499999998</v>
      </c>
      <c r="P628" s="1142"/>
    </row>
    <row r="629" spans="2:16" x14ac:dyDescent="0.3">
      <c r="B629" s="1132"/>
      <c r="C629" s="1146"/>
      <c r="D629" s="22" t="s">
        <v>68</v>
      </c>
      <c r="E629" s="3">
        <v>0</v>
      </c>
      <c r="F629" s="4">
        <f>G629+H629</f>
        <v>0</v>
      </c>
      <c r="G629" s="4">
        <v>0</v>
      </c>
      <c r="H629" s="8">
        <v>0</v>
      </c>
      <c r="I629" s="6">
        <f>+R1673+F629</f>
        <v>0</v>
      </c>
      <c r="J629" s="4">
        <f>G629+J564</f>
        <v>120000</v>
      </c>
      <c r="K629" s="4">
        <f>H629+K564</f>
        <v>3230</v>
      </c>
      <c r="L629" s="51" t="e">
        <f t="shared" ref="L629:L633" si="488">+J629/E629</f>
        <v>#DIV/0!</v>
      </c>
      <c r="M629" s="145">
        <v>4.8285999999999998</v>
      </c>
      <c r="N629" s="11">
        <f t="shared" ref="N629:N631" si="489">+M629*G629</f>
        <v>0</v>
      </c>
      <c r="O629" s="94">
        <f t="shared" ref="O629:O631" si="490">+M629*J629</f>
        <v>579432</v>
      </c>
      <c r="P629" s="1143"/>
    </row>
    <row r="630" spans="2:16" x14ac:dyDescent="0.3">
      <c r="B630" s="1132"/>
      <c r="C630" s="1146"/>
      <c r="D630" s="22" t="s">
        <v>134</v>
      </c>
      <c r="E630" s="3"/>
      <c r="F630" s="4">
        <f>G630+H630</f>
        <v>0</v>
      </c>
      <c r="G630" s="4">
        <v>0</v>
      </c>
      <c r="H630" s="8">
        <v>0</v>
      </c>
      <c r="I630" s="6">
        <f>+R1674+F630</f>
        <v>0</v>
      </c>
      <c r="J630" s="4">
        <f t="shared" ref="J630:J631" si="491">G630+J565</f>
        <v>0</v>
      </c>
      <c r="K630" s="4">
        <f t="shared" ref="K630:K631" si="492">H630+K565</f>
        <v>0</v>
      </c>
      <c r="L630" s="51" t="e">
        <f t="shared" si="488"/>
        <v>#DIV/0!</v>
      </c>
      <c r="M630" s="144">
        <v>4.5023</v>
      </c>
      <c r="N630" s="11">
        <f t="shared" si="489"/>
        <v>0</v>
      </c>
      <c r="O630" s="94">
        <f t="shared" si="490"/>
        <v>0</v>
      </c>
      <c r="P630" s="1143"/>
    </row>
    <row r="631" spans="2:16" ht="15" thickBot="1" x14ac:dyDescent="0.35">
      <c r="B631" s="1132"/>
      <c r="C631" s="1146"/>
      <c r="D631" s="22" t="s">
        <v>118</v>
      </c>
      <c r="E631" s="3">
        <v>0</v>
      </c>
      <c r="F631" s="4">
        <f t="shared" ref="F631" si="493">G631+H631</f>
        <v>0</v>
      </c>
      <c r="G631" s="4">
        <v>0</v>
      </c>
      <c r="H631" s="8">
        <v>0</v>
      </c>
      <c r="I631" s="6">
        <f>+R1674+F631</f>
        <v>0</v>
      </c>
      <c r="J631" s="4">
        <f t="shared" si="491"/>
        <v>0</v>
      </c>
      <c r="K631" s="4">
        <f t="shared" si="492"/>
        <v>0</v>
      </c>
      <c r="L631" s="51" t="e">
        <f t="shared" si="488"/>
        <v>#DIV/0!</v>
      </c>
      <c r="M631" s="144">
        <v>4.4065000000000003</v>
      </c>
      <c r="N631" s="11">
        <f t="shared" si="489"/>
        <v>0</v>
      </c>
      <c r="O631" s="94">
        <f t="shared" si="490"/>
        <v>0</v>
      </c>
      <c r="P631" s="1143"/>
    </row>
    <row r="632" spans="2:16" ht="15" thickBot="1" x14ac:dyDescent="0.35">
      <c r="B632" s="1132"/>
      <c r="C632" s="41" t="s">
        <v>31</v>
      </c>
      <c r="D632" s="18" t="str">
        <f>+C632</f>
        <v>TOTAL 4/4</v>
      </c>
      <c r="E632" s="42">
        <f t="shared" ref="E632:K632" si="494">SUM(E628:E631)</f>
        <v>0</v>
      </c>
      <c r="F632" s="43">
        <f t="shared" si="494"/>
        <v>0</v>
      </c>
      <c r="G632" s="43">
        <f t="shared" si="494"/>
        <v>0</v>
      </c>
      <c r="H632" s="44">
        <f t="shared" si="494"/>
        <v>0</v>
      </c>
      <c r="I632" s="45">
        <f t="shared" si="494"/>
        <v>109220</v>
      </c>
      <c r="J632" s="43">
        <f t="shared" si="494"/>
        <v>225750</v>
      </c>
      <c r="K632" s="43">
        <f t="shared" si="494"/>
        <v>6700</v>
      </c>
      <c r="L632" s="46" t="e">
        <f t="shared" si="488"/>
        <v>#DIV/0!</v>
      </c>
      <c r="M632" s="47"/>
      <c r="N632" s="48">
        <f>SUM(N628:N631)</f>
        <v>0</v>
      </c>
      <c r="O632" s="92">
        <f>SUM(O628:O631)</f>
        <v>1020546.975</v>
      </c>
      <c r="P632" s="1144"/>
    </row>
    <row r="633" spans="2:16" ht="15" thickBot="1" x14ac:dyDescent="0.35">
      <c r="B633" s="1141"/>
      <c r="C633" s="41" t="s">
        <v>71</v>
      </c>
      <c r="D633" s="27" t="s">
        <v>67</v>
      </c>
      <c r="E633" s="25">
        <v>0</v>
      </c>
      <c r="F633" s="20">
        <f>G633+H633</f>
        <v>0</v>
      </c>
      <c r="G633" s="20">
        <v>0</v>
      </c>
      <c r="H633" s="24">
        <v>0</v>
      </c>
      <c r="I633" s="19">
        <f>J633+K633</f>
        <v>0</v>
      </c>
      <c r="J633" s="4">
        <f>G633+J568</f>
        <v>0</v>
      </c>
      <c r="K633" s="4">
        <f>H633+K568</f>
        <v>0</v>
      </c>
      <c r="L633" s="52" t="e">
        <f t="shared" si="488"/>
        <v>#DIV/0!</v>
      </c>
      <c r="M633" s="149">
        <v>1.4086000000000001</v>
      </c>
      <c r="N633" s="26">
        <f t="shared" ref="N633" si="495">+M633*G633</f>
        <v>0</v>
      </c>
      <c r="O633" s="95">
        <f t="shared" ref="O633" si="496">+M633*J633</f>
        <v>0</v>
      </c>
      <c r="P633" s="53"/>
    </row>
    <row r="634" spans="2:16" ht="15" thickBot="1" x14ac:dyDescent="0.35">
      <c r="B634" s="1116" t="s">
        <v>102</v>
      </c>
      <c r="C634" s="1117"/>
      <c r="D634" s="1117"/>
      <c r="E634" s="1117"/>
      <c r="F634" s="1117"/>
      <c r="G634" s="1117"/>
      <c r="H634" s="1117"/>
      <c r="I634" s="110">
        <f>J634+K634</f>
        <v>723582</v>
      </c>
      <c r="J634" s="110">
        <f>J627+J632+J633</f>
        <v>706000</v>
      </c>
      <c r="K634" s="110">
        <f>K627+K632+K633</f>
        <v>17582</v>
      </c>
      <c r="L634" s="111"/>
      <c r="M634" s="112"/>
      <c r="N634" s="109"/>
      <c r="O634" s="77">
        <f>+O633+O632+O627</f>
        <v>2083868.5</v>
      </c>
      <c r="P634" s="84"/>
    </row>
    <row r="635" spans="2:16" x14ac:dyDescent="0.3">
      <c r="B635" s="1118" t="s">
        <v>72</v>
      </c>
      <c r="C635" s="1121" t="s">
        <v>73</v>
      </c>
      <c r="D635" s="54" t="s">
        <v>74</v>
      </c>
      <c r="E635" s="55">
        <v>0</v>
      </c>
      <c r="F635" s="56">
        <f>G635+H635</f>
        <v>5070</v>
      </c>
      <c r="G635" s="56">
        <v>5000</v>
      </c>
      <c r="H635" s="57">
        <v>70</v>
      </c>
      <c r="I635" s="78">
        <f>J635+K635</f>
        <v>5070</v>
      </c>
      <c r="J635" s="4">
        <f>G635+J570</f>
        <v>5000</v>
      </c>
      <c r="K635" s="4">
        <f>H635+K570</f>
        <v>70</v>
      </c>
      <c r="L635" s="58" t="e">
        <f t="shared" ref="L635" si="497">+J635/E635</f>
        <v>#DIV/0!</v>
      </c>
      <c r="M635" s="59">
        <v>32.946300000000001</v>
      </c>
      <c r="N635" s="60">
        <f>+M635*G635</f>
        <v>164731.5</v>
      </c>
      <c r="O635" s="60">
        <f>M635*J635</f>
        <v>164731.5</v>
      </c>
      <c r="P635" s="1123"/>
    </row>
    <row r="636" spans="2:16" x14ac:dyDescent="0.3">
      <c r="B636" s="1119"/>
      <c r="C636" s="1122"/>
      <c r="D636" s="61" t="s">
        <v>75</v>
      </c>
      <c r="E636" s="62">
        <v>0</v>
      </c>
      <c r="F636" s="63">
        <f>G636+H636</f>
        <v>6461</v>
      </c>
      <c r="G636" s="63">
        <v>6420</v>
      </c>
      <c r="H636" s="64">
        <v>41</v>
      </c>
      <c r="I636" s="79">
        <f>J636+K636</f>
        <v>31833</v>
      </c>
      <c r="J636" s="4">
        <f>G636+J571</f>
        <v>31420</v>
      </c>
      <c r="K636" s="4">
        <f>H636+K571</f>
        <v>413</v>
      </c>
      <c r="L636" s="65" t="e">
        <f>+J636/E636</f>
        <v>#DIV/0!</v>
      </c>
      <c r="M636" s="66">
        <v>35.398400000000002</v>
      </c>
      <c r="N636" s="67">
        <f>+M636*G636</f>
        <v>227257.728</v>
      </c>
      <c r="O636" s="67">
        <f>M636*J636</f>
        <v>1112217.7280000001</v>
      </c>
      <c r="P636" s="1124"/>
    </row>
    <row r="637" spans="2:16" x14ac:dyDescent="0.3">
      <c r="B637" s="1119"/>
      <c r="C637" s="1122"/>
      <c r="D637" s="61" t="s">
        <v>76</v>
      </c>
      <c r="E637" s="62">
        <v>0</v>
      </c>
      <c r="F637" s="63">
        <f t="shared" ref="F637:F640" si="498">G637+H637</f>
        <v>0</v>
      </c>
      <c r="G637" s="63">
        <v>0</v>
      </c>
      <c r="H637" s="64">
        <v>0</v>
      </c>
      <c r="I637" s="79">
        <f t="shared" ref="I637:I646" si="499">J637+K637</f>
        <v>0</v>
      </c>
      <c r="J637" s="4">
        <f t="shared" ref="J637:J662" si="500">G637+J572</f>
        <v>0</v>
      </c>
      <c r="K637" s="4">
        <f t="shared" ref="K637:K641" si="501">H637+K572</f>
        <v>0</v>
      </c>
      <c r="L637" s="65" t="e">
        <f t="shared" ref="L637:L650" si="502">+J637/E637</f>
        <v>#DIV/0!</v>
      </c>
      <c r="M637" s="66">
        <v>32.946300000000001</v>
      </c>
      <c r="N637" s="67">
        <f t="shared" ref="N637:N657" si="503">+M637*G637</f>
        <v>0</v>
      </c>
      <c r="O637" s="67">
        <f t="shared" ref="O637:O645" si="504">M637*J637</f>
        <v>0</v>
      </c>
      <c r="P637" s="1124"/>
    </row>
    <row r="638" spans="2:16" x14ac:dyDescent="0.3">
      <c r="B638" s="1119"/>
      <c r="C638" s="1122" t="s">
        <v>77</v>
      </c>
      <c r="D638" s="61" t="s">
        <v>78</v>
      </c>
      <c r="E638" s="62">
        <v>0</v>
      </c>
      <c r="F638" s="63">
        <f t="shared" si="498"/>
        <v>0</v>
      </c>
      <c r="G638" s="63">
        <v>0</v>
      </c>
      <c r="H638" s="64">
        <v>0</v>
      </c>
      <c r="I638" s="79">
        <f t="shared" si="499"/>
        <v>12279</v>
      </c>
      <c r="J638" s="4">
        <f t="shared" si="500"/>
        <v>12000</v>
      </c>
      <c r="K638" s="4">
        <f t="shared" si="501"/>
        <v>279</v>
      </c>
      <c r="L638" s="65" t="e">
        <f t="shared" si="502"/>
        <v>#DIV/0!</v>
      </c>
      <c r="M638" s="66">
        <v>55.4758</v>
      </c>
      <c r="N638" s="67">
        <f t="shared" si="503"/>
        <v>0</v>
      </c>
      <c r="O638" s="67">
        <f t="shared" si="504"/>
        <v>665709.6</v>
      </c>
      <c r="P638" s="1124"/>
    </row>
    <row r="639" spans="2:16" x14ac:dyDescent="0.3">
      <c r="B639" s="1119"/>
      <c r="C639" s="1122"/>
      <c r="D639" s="61" t="s">
        <v>141</v>
      </c>
      <c r="E639" s="62">
        <v>0</v>
      </c>
      <c r="F639" s="63">
        <f t="shared" si="498"/>
        <v>0</v>
      </c>
      <c r="G639" s="63">
        <v>0</v>
      </c>
      <c r="H639" s="64">
        <v>0</v>
      </c>
      <c r="I639" s="79">
        <f t="shared" si="499"/>
        <v>0</v>
      </c>
      <c r="J639" s="4">
        <f t="shared" si="500"/>
        <v>0</v>
      </c>
      <c r="K639" s="4">
        <f t="shared" si="501"/>
        <v>0</v>
      </c>
      <c r="L639" s="65" t="e">
        <f t="shared" si="502"/>
        <v>#DIV/0!</v>
      </c>
      <c r="M639" s="66">
        <v>53.515999999999998</v>
      </c>
      <c r="N639" s="67">
        <f t="shared" si="503"/>
        <v>0</v>
      </c>
      <c r="O639" s="67">
        <f t="shared" si="504"/>
        <v>0</v>
      </c>
      <c r="P639" s="1124"/>
    </row>
    <row r="640" spans="2:16" x14ac:dyDescent="0.3">
      <c r="B640" s="1119"/>
      <c r="C640" s="1122"/>
      <c r="D640" s="61" t="s">
        <v>75</v>
      </c>
      <c r="E640" s="62">
        <v>0</v>
      </c>
      <c r="F640" s="63">
        <f t="shared" si="498"/>
        <v>0</v>
      </c>
      <c r="G640" s="63">
        <v>0</v>
      </c>
      <c r="H640" s="64">
        <v>0</v>
      </c>
      <c r="I640" s="79">
        <f t="shared" si="499"/>
        <v>9804</v>
      </c>
      <c r="J640" s="4">
        <f t="shared" si="500"/>
        <v>9600</v>
      </c>
      <c r="K640" s="4">
        <f t="shared" si="501"/>
        <v>204</v>
      </c>
      <c r="L640" s="65" t="e">
        <f t="shared" si="502"/>
        <v>#DIV/0!</v>
      </c>
      <c r="M640" s="66">
        <v>58.836300000000001</v>
      </c>
      <c r="N640" s="67">
        <f t="shared" si="503"/>
        <v>0</v>
      </c>
      <c r="O640" s="67">
        <f t="shared" si="504"/>
        <v>564828.48</v>
      </c>
      <c r="P640" s="1124"/>
    </row>
    <row r="641" spans="2:16" x14ac:dyDescent="0.3">
      <c r="B641" s="1119"/>
      <c r="C641" s="1126" t="s">
        <v>79</v>
      </c>
      <c r="D641" s="61" t="s">
        <v>80</v>
      </c>
      <c r="E641" s="62">
        <v>0</v>
      </c>
      <c r="F641" s="63">
        <f>G641+H641</f>
        <v>0</v>
      </c>
      <c r="G641" s="63">
        <v>0</v>
      </c>
      <c r="H641" s="64">
        <v>0</v>
      </c>
      <c r="I641" s="79">
        <f t="shared" si="499"/>
        <v>3675</v>
      </c>
      <c r="J641" s="4">
        <f t="shared" si="500"/>
        <v>3575</v>
      </c>
      <c r="K641" s="4">
        <f t="shared" si="501"/>
        <v>100</v>
      </c>
      <c r="L641" s="65" t="e">
        <f t="shared" si="502"/>
        <v>#DIV/0!</v>
      </c>
      <c r="M641" s="66">
        <v>25.687200000000001</v>
      </c>
      <c r="N641" s="67">
        <f t="shared" si="503"/>
        <v>0</v>
      </c>
      <c r="O641" s="67">
        <f t="shared" si="504"/>
        <v>91831.74</v>
      </c>
      <c r="P641" s="1124"/>
    </row>
    <row r="642" spans="2:16" x14ac:dyDescent="0.3">
      <c r="B642" s="1119"/>
      <c r="C642" s="1127"/>
      <c r="D642" s="61" t="s">
        <v>124</v>
      </c>
      <c r="E642" s="62">
        <v>0</v>
      </c>
      <c r="F642" s="63">
        <f>G642+H642</f>
        <v>0</v>
      </c>
      <c r="G642" s="63">
        <v>0</v>
      </c>
      <c r="H642" s="64">
        <v>0</v>
      </c>
      <c r="I642" s="79">
        <f t="shared" si="499"/>
        <v>0</v>
      </c>
      <c r="J642" s="4">
        <f t="shared" si="500"/>
        <v>0</v>
      </c>
      <c r="K642" s="4">
        <f>H642+K577</f>
        <v>0</v>
      </c>
      <c r="L642" s="65" t="e">
        <f t="shared" si="502"/>
        <v>#DIV/0!</v>
      </c>
      <c r="M642" s="66">
        <v>25.033899999999999</v>
      </c>
      <c r="N642" s="67">
        <f t="shared" si="503"/>
        <v>0</v>
      </c>
      <c r="O642" s="67">
        <f t="shared" si="504"/>
        <v>0</v>
      </c>
      <c r="P642" s="1124"/>
    </row>
    <row r="643" spans="2:16" x14ac:dyDescent="0.3">
      <c r="B643" s="1119"/>
      <c r="C643" s="1126" t="s">
        <v>81</v>
      </c>
      <c r="D643" s="61" t="s">
        <v>82</v>
      </c>
      <c r="E643" s="62">
        <v>0</v>
      </c>
      <c r="F643" s="63">
        <f t="shared" ref="F643:F662" si="505">G643+H643</f>
        <v>4075</v>
      </c>
      <c r="G643" s="63">
        <v>4000</v>
      </c>
      <c r="H643" s="64">
        <v>75</v>
      </c>
      <c r="I643" s="79">
        <f t="shared" si="499"/>
        <v>12188</v>
      </c>
      <c r="J643" s="4">
        <f t="shared" si="500"/>
        <v>12000</v>
      </c>
      <c r="K643" s="4">
        <f t="shared" ref="K643:K662" si="506">H643+K578</f>
        <v>188</v>
      </c>
      <c r="L643" s="65" t="e">
        <f t="shared" si="502"/>
        <v>#DIV/0!</v>
      </c>
      <c r="M643" s="66">
        <v>41.992699999999999</v>
      </c>
      <c r="N643" s="67">
        <f t="shared" si="503"/>
        <v>167970.8</v>
      </c>
      <c r="O643" s="67">
        <f t="shared" si="504"/>
        <v>503912.39999999997</v>
      </c>
      <c r="P643" s="1124"/>
    </row>
    <row r="644" spans="2:16" x14ac:dyDescent="0.3">
      <c r="B644" s="1119"/>
      <c r="C644" s="1127"/>
      <c r="D644" s="61" t="s">
        <v>75</v>
      </c>
      <c r="E644" s="62">
        <v>0</v>
      </c>
      <c r="F644" s="63">
        <f t="shared" si="505"/>
        <v>0</v>
      </c>
      <c r="G644" s="63">
        <v>0</v>
      </c>
      <c r="H644" s="64">
        <v>0</v>
      </c>
      <c r="I644" s="79">
        <f t="shared" si="499"/>
        <v>0</v>
      </c>
      <c r="J644" s="4">
        <f t="shared" si="500"/>
        <v>0</v>
      </c>
      <c r="K644" s="4">
        <f t="shared" si="506"/>
        <v>0</v>
      </c>
      <c r="L644" s="65" t="e">
        <f t="shared" si="502"/>
        <v>#DIV/0!</v>
      </c>
      <c r="M644" s="66">
        <v>42.283799999999999</v>
      </c>
      <c r="N644" s="67">
        <f t="shared" si="503"/>
        <v>0</v>
      </c>
      <c r="O644" s="67">
        <f t="shared" si="504"/>
        <v>0</v>
      </c>
      <c r="P644" s="1124"/>
    </row>
    <row r="645" spans="2:16" x14ac:dyDescent="0.3">
      <c r="B645" s="1119"/>
      <c r="C645" s="192" t="s">
        <v>83</v>
      </c>
      <c r="D645" s="61" t="s">
        <v>84</v>
      </c>
      <c r="E645" s="62">
        <v>0</v>
      </c>
      <c r="F645" s="63">
        <f t="shared" si="505"/>
        <v>13905</v>
      </c>
      <c r="G645" s="63">
        <v>13500</v>
      </c>
      <c r="H645" s="64">
        <v>405</v>
      </c>
      <c r="I645" s="79">
        <f t="shared" si="499"/>
        <v>24803</v>
      </c>
      <c r="J645" s="4">
        <f t="shared" si="500"/>
        <v>24000</v>
      </c>
      <c r="K645" s="4">
        <f t="shared" si="506"/>
        <v>803</v>
      </c>
      <c r="L645" s="65" t="e">
        <f t="shared" si="502"/>
        <v>#DIV/0!</v>
      </c>
      <c r="M645" s="66">
        <v>4.3535000000000004</v>
      </c>
      <c r="N645" s="67">
        <f t="shared" si="503"/>
        <v>58772.250000000007</v>
      </c>
      <c r="O645" s="67">
        <f t="shared" si="504"/>
        <v>104484.00000000001</v>
      </c>
      <c r="P645" s="1124"/>
    </row>
    <row r="646" spans="2:16" x14ac:dyDescent="0.3">
      <c r="B646" s="1119"/>
      <c r="C646" s="1122" t="s">
        <v>85</v>
      </c>
      <c r="D646" s="61" t="s">
        <v>80</v>
      </c>
      <c r="E646" s="62">
        <v>0</v>
      </c>
      <c r="F646" s="63">
        <f t="shared" si="505"/>
        <v>0</v>
      </c>
      <c r="G646" s="63">
        <v>0</v>
      </c>
      <c r="H646" s="64">
        <v>0</v>
      </c>
      <c r="I646" s="79">
        <f t="shared" si="499"/>
        <v>0</v>
      </c>
      <c r="J646" s="4">
        <f t="shared" si="500"/>
        <v>0</v>
      </c>
      <c r="K646" s="4">
        <f t="shared" si="506"/>
        <v>0</v>
      </c>
      <c r="L646" s="65" t="e">
        <f t="shared" si="502"/>
        <v>#DIV/0!</v>
      </c>
      <c r="M646" s="66">
        <v>4.6184000000000003</v>
      </c>
      <c r="N646" s="67">
        <f t="shared" si="503"/>
        <v>0</v>
      </c>
      <c r="O646" s="67">
        <f>M646*J646</f>
        <v>0</v>
      </c>
      <c r="P646" s="1124"/>
    </row>
    <row r="647" spans="2:16" x14ac:dyDescent="0.3">
      <c r="B647" s="1119"/>
      <c r="C647" s="1122"/>
      <c r="D647" s="61" t="s">
        <v>126</v>
      </c>
      <c r="E647" s="62">
        <v>0</v>
      </c>
      <c r="F647" s="63">
        <f t="shared" si="505"/>
        <v>0</v>
      </c>
      <c r="G647" s="63">
        <v>0</v>
      </c>
      <c r="H647" s="64">
        <v>0</v>
      </c>
      <c r="I647" s="79">
        <f>J647+K647</f>
        <v>0</v>
      </c>
      <c r="J647" s="4">
        <f t="shared" si="500"/>
        <v>0</v>
      </c>
      <c r="K647" s="4">
        <f t="shared" si="506"/>
        <v>0</v>
      </c>
      <c r="L647" s="65" t="e">
        <f t="shared" si="502"/>
        <v>#DIV/0!</v>
      </c>
      <c r="M647" s="153">
        <v>4.6184000000000003</v>
      </c>
      <c r="N647" s="67">
        <f t="shared" si="503"/>
        <v>0</v>
      </c>
      <c r="O647" s="67">
        <f>M647*J647</f>
        <v>0</v>
      </c>
      <c r="P647" s="1124"/>
    </row>
    <row r="648" spans="2:16" x14ac:dyDescent="0.3">
      <c r="B648" s="1119"/>
      <c r="C648" s="1122"/>
      <c r="D648" s="61" t="s">
        <v>130</v>
      </c>
      <c r="E648" s="62">
        <v>0</v>
      </c>
      <c r="F648" s="63">
        <f t="shared" si="505"/>
        <v>0</v>
      </c>
      <c r="G648" s="63">
        <v>0</v>
      </c>
      <c r="H648" s="64">
        <v>0</v>
      </c>
      <c r="I648" s="79">
        <f t="shared" ref="I648:I662" si="507">J648+K648</f>
        <v>0</v>
      </c>
      <c r="J648" s="4">
        <f t="shared" si="500"/>
        <v>0</v>
      </c>
      <c r="K648" s="4">
        <f t="shared" si="506"/>
        <v>0</v>
      </c>
      <c r="L648" s="65" t="e">
        <f t="shared" si="502"/>
        <v>#DIV/0!</v>
      </c>
      <c r="M648" s="153">
        <v>4.6184000000000003</v>
      </c>
      <c r="N648" s="67">
        <f t="shared" si="503"/>
        <v>0</v>
      </c>
      <c r="O648" s="67">
        <f t="shared" ref="O648:O653" si="508">M648*J648</f>
        <v>0</v>
      </c>
      <c r="P648" s="1124"/>
    </row>
    <row r="649" spans="2:16" x14ac:dyDescent="0.3">
      <c r="B649" s="1119"/>
      <c r="C649" s="1122"/>
      <c r="D649" s="61" t="s">
        <v>131</v>
      </c>
      <c r="E649" s="62">
        <v>0</v>
      </c>
      <c r="F649" s="63">
        <f t="shared" si="505"/>
        <v>21259</v>
      </c>
      <c r="G649" s="63">
        <v>20780</v>
      </c>
      <c r="H649" s="64">
        <v>479</v>
      </c>
      <c r="I649" s="79">
        <f t="shared" si="507"/>
        <v>194059</v>
      </c>
      <c r="J649" s="4">
        <f t="shared" si="500"/>
        <v>188235</v>
      </c>
      <c r="K649" s="4">
        <f t="shared" si="506"/>
        <v>5824</v>
      </c>
      <c r="L649" s="65" t="e">
        <f t="shared" si="502"/>
        <v>#DIV/0!</v>
      </c>
      <c r="M649" s="153">
        <v>4.7636000000000003</v>
      </c>
      <c r="N649" s="67">
        <f t="shared" si="503"/>
        <v>98987.608000000007</v>
      </c>
      <c r="O649" s="67">
        <f t="shared" si="508"/>
        <v>896676.24600000004</v>
      </c>
      <c r="P649" s="1124"/>
    </row>
    <row r="650" spans="2:16" x14ac:dyDescent="0.3">
      <c r="B650" s="1119"/>
      <c r="C650" s="1122"/>
      <c r="D650" s="61" t="s">
        <v>86</v>
      </c>
      <c r="E650" s="62">
        <v>0</v>
      </c>
      <c r="F650" s="63">
        <f t="shared" si="505"/>
        <v>0</v>
      </c>
      <c r="G650" s="63">
        <v>0</v>
      </c>
      <c r="H650" s="64">
        <v>0</v>
      </c>
      <c r="I650" s="79">
        <f t="shared" si="507"/>
        <v>0</v>
      </c>
      <c r="J650" s="4">
        <f t="shared" si="500"/>
        <v>0</v>
      </c>
      <c r="K650" s="4">
        <f t="shared" si="506"/>
        <v>0</v>
      </c>
      <c r="L650" s="65" t="e">
        <f t="shared" si="502"/>
        <v>#DIV/0!</v>
      </c>
      <c r="M650" s="66">
        <v>4.8738000000000001</v>
      </c>
      <c r="N650" s="67">
        <f t="shared" si="503"/>
        <v>0</v>
      </c>
      <c r="O650" s="67">
        <f t="shared" si="508"/>
        <v>0</v>
      </c>
      <c r="P650" s="1124"/>
    </row>
    <row r="651" spans="2:16" x14ac:dyDescent="0.3">
      <c r="B651" s="1119"/>
      <c r="C651" s="192" t="s">
        <v>135</v>
      </c>
      <c r="D651" s="61" t="s">
        <v>131</v>
      </c>
      <c r="E651" s="62"/>
      <c r="F651" s="63">
        <f t="shared" si="505"/>
        <v>0</v>
      </c>
      <c r="G651" s="63">
        <v>0</v>
      </c>
      <c r="H651" s="64">
        <v>0</v>
      </c>
      <c r="I651" s="79">
        <f t="shared" si="507"/>
        <v>0</v>
      </c>
      <c r="J651" s="4">
        <f t="shared" si="500"/>
        <v>0</v>
      </c>
      <c r="K651" s="4">
        <f t="shared" si="506"/>
        <v>0</v>
      </c>
      <c r="L651" s="65"/>
      <c r="M651" s="66">
        <v>4.8738000000000001</v>
      </c>
      <c r="N651" s="67">
        <f t="shared" si="503"/>
        <v>0</v>
      </c>
      <c r="O651" s="67">
        <f t="shared" si="508"/>
        <v>0</v>
      </c>
      <c r="P651" s="1124"/>
    </row>
    <row r="652" spans="2:16" x14ac:dyDescent="0.3">
      <c r="B652" s="1119"/>
      <c r="C652" s="1122" t="s">
        <v>87</v>
      </c>
      <c r="D652" s="61" t="s">
        <v>80</v>
      </c>
      <c r="E652" s="62">
        <v>0</v>
      </c>
      <c r="F652" s="63">
        <f t="shared" si="505"/>
        <v>0</v>
      </c>
      <c r="G652" s="63">
        <v>0</v>
      </c>
      <c r="H652" s="64">
        <v>0</v>
      </c>
      <c r="I652" s="79">
        <f t="shared" si="507"/>
        <v>172858</v>
      </c>
      <c r="J652" s="4">
        <f t="shared" si="500"/>
        <v>170900</v>
      </c>
      <c r="K652" s="4">
        <f t="shared" si="506"/>
        <v>1958</v>
      </c>
      <c r="L652" s="65" t="e">
        <f t="shared" ref="L652:L662" si="509">+J652/E652</f>
        <v>#DIV/0!</v>
      </c>
      <c r="M652" s="66">
        <v>4.9344999999999999</v>
      </c>
      <c r="N652" s="67">
        <f t="shared" si="503"/>
        <v>0</v>
      </c>
      <c r="O652" s="67">
        <f t="shared" si="508"/>
        <v>843306.04999999993</v>
      </c>
      <c r="P652" s="1124"/>
    </row>
    <row r="653" spans="2:16" x14ac:dyDescent="0.3">
      <c r="B653" s="1119"/>
      <c r="C653" s="1122"/>
      <c r="D653" s="61" t="s">
        <v>142</v>
      </c>
      <c r="E653" s="62"/>
      <c r="F653" s="63">
        <f t="shared" si="505"/>
        <v>0</v>
      </c>
      <c r="G653" s="63">
        <v>0</v>
      </c>
      <c r="H653" s="64">
        <v>0</v>
      </c>
      <c r="I653" s="79">
        <f t="shared" si="507"/>
        <v>0</v>
      </c>
      <c r="J653" s="4">
        <f t="shared" si="500"/>
        <v>0</v>
      </c>
      <c r="K653" s="4">
        <f t="shared" si="506"/>
        <v>0</v>
      </c>
      <c r="L653" s="65" t="e">
        <f t="shared" si="509"/>
        <v>#DIV/0!</v>
      </c>
      <c r="M653" s="66">
        <v>4.9344999999999999</v>
      </c>
      <c r="N653" s="67">
        <f t="shared" si="503"/>
        <v>0</v>
      </c>
      <c r="O653" s="67">
        <f t="shared" si="508"/>
        <v>0</v>
      </c>
      <c r="P653" s="1124"/>
    </row>
    <row r="654" spans="2:16" x14ac:dyDescent="0.3">
      <c r="B654" s="1119"/>
      <c r="C654" s="1122"/>
      <c r="D654" s="61" t="s">
        <v>136</v>
      </c>
      <c r="E654" s="62">
        <v>0</v>
      </c>
      <c r="F654" s="63">
        <f t="shared" si="505"/>
        <v>0</v>
      </c>
      <c r="G654" s="155">
        <v>0</v>
      </c>
      <c r="H654" s="156">
        <v>0</v>
      </c>
      <c r="I654" s="157">
        <f t="shared" si="507"/>
        <v>0</v>
      </c>
      <c r="J654" s="4">
        <f t="shared" si="500"/>
        <v>0</v>
      </c>
      <c r="K654" s="4">
        <f t="shared" si="506"/>
        <v>0</v>
      </c>
      <c r="L654" s="158" t="e">
        <f t="shared" si="509"/>
        <v>#DIV/0!</v>
      </c>
      <c r="M654" s="66">
        <v>4.9344999999999999</v>
      </c>
      <c r="N654" s="159">
        <f t="shared" si="503"/>
        <v>0</v>
      </c>
      <c r="O654" s="67">
        <f>M654*J654</f>
        <v>0</v>
      </c>
      <c r="P654" s="1124"/>
    </row>
    <row r="655" spans="2:16" x14ac:dyDescent="0.3">
      <c r="B655" s="1119"/>
      <c r="C655" s="1122" t="s">
        <v>88</v>
      </c>
      <c r="D655" s="61" t="s">
        <v>80</v>
      </c>
      <c r="E655" s="62">
        <v>0</v>
      </c>
      <c r="F655" s="63">
        <f t="shared" si="505"/>
        <v>0</v>
      </c>
      <c r="G655" s="63">
        <v>0</v>
      </c>
      <c r="H655" s="64">
        <v>0</v>
      </c>
      <c r="I655" s="79">
        <f t="shared" si="507"/>
        <v>138276</v>
      </c>
      <c r="J655" s="4">
        <f t="shared" si="500"/>
        <v>130950</v>
      </c>
      <c r="K655" s="4">
        <f t="shared" si="506"/>
        <v>7326</v>
      </c>
      <c r="L655" s="65" t="e">
        <f t="shared" si="509"/>
        <v>#DIV/0!</v>
      </c>
      <c r="M655" s="148">
        <v>5.5069999999999997</v>
      </c>
      <c r="N655" s="67">
        <f t="shared" si="503"/>
        <v>0</v>
      </c>
      <c r="O655" s="67">
        <f>M655*J655</f>
        <v>721141.64999999991</v>
      </c>
      <c r="P655" s="1124"/>
    </row>
    <row r="656" spans="2:16" x14ac:dyDescent="0.3">
      <c r="B656" s="1119"/>
      <c r="C656" s="1122"/>
      <c r="D656" s="61" t="s">
        <v>119</v>
      </c>
      <c r="E656" s="62">
        <v>0</v>
      </c>
      <c r="F656" s="63">
        <f t="shared" si="505"/>
        <v>5339</v>
      </c>
      <c r="G656" s="63">
        <v>4850</v>
      </c>
      <c r="H656" s="64">
        <v>489</v>
      </c>
      <c r="I656" s="79">
        <f t="shared" si="507"/>
        <v>31178</v>
      </c>
      <c r="J656" s="4">
        <f t="shared" si="500"/>
        <v>30150</v>
      </c>
      <c r="K656" s="4">
        <f t="shared" si="506"/>
        <v>1028</v>
      </c>
      <c r="L656" s="65" t="e">
        <f t="shared" si="509"/>
        <v>#DIV/0!</v>
      </c>
      <c r="M656" s="147">
        <v>5.6550000000000002</v>
      </c>
      <c r="N656" s="67">
        <f t="shared" si="503"/>
        <v>27426.75</v>
      </c>
      <c r="O656" s="67">
        <f>M656*J656</f>
        <v>170498.25</v>
      </c>
      <c r="P656" s="1124"/>
    </row>
    <row r="657" spans="2:16" x14ac:dyDescent="0.3">
      <c r="B657" s="1119"/>
      <c r="C657" s="1122"/>
      <c r="D657" s="61" t="s">
        <v>125</v>
      </c>
      <c r="E657" s="62">
        <v>0</v>
      </c>
      <c r="F657" s="63">
        <f t="shared" si="505"/>
        <v>0</v>
      </c>
      <c r="G657" s="63">
        <v>0</v>
      </c>
      <c r="H657" s="64">
        <v>0</v>
      </c>
      <c r="I657" s="79">
        <f t="shared" si="507"/>
        <v>0</v>
      </c>
      <c r="J657" s="4">
        <f t="shared" si="500"/>
        <v>0</v>
      </c>
      <c r="K657" s="4">
        <f t="shared" si="506"/>
        <v>0</v>
      </c>
      <c r="L657" s="65" t="e">
        <f t="shared" si="509"/>
        <v>#DIV/0!</v>
      </c>
      <c r="M657" s="152">
        <v>5.6550000000000002</v>
      </c>
      <c r="N657" s="67">
        <f t="shared" si="503"/>
        <v>0</v>
      </c>
      <c r="O657" s="67">
        <f>M657*J657</f>
        <v>0</v>
      </c>
      <c r="P657" s="1124"/>
    </row>
    <row r="658" spans="2:16" x14ac:dyDescent="0.3">
      <c r="B658" s="1119"/>
      <c r="C658" s="1122"/>
      <c r="D658" s="61" t="s">
        <v>128</v>
      </c>
      <c r="E658" s="62">
        <v>0</v>
      </c>
      <c r="F658" s="63">
        <f t="shared" si="505"/>
        <v>11660</v>
      </c>
      <c r="G658" s="63">
        <v>11610</v>
      </c>
      <c r="H658" s="64">
        <v>50</v>
      </c>
      <c r="I658" s="79">
        <f t="shared" si="507"/>
        <v>28324</v>
      </c>
      <c r="J658" s="4">
        <f t="shared" si="500"/>
        <v>26710</v>
      </c>
      <c r="K658" s="4">
        <f t="shared" si="506"/>
        <v>1614</v>
      </c>
      <c r="L658" s="65" t="e">
        <f t="shared" si="509"/>
        <v>#DIV/0!</v>
      </c>
      <c r="M658" s="66">
        <v>5.7885299999999997</v>
      </c>
      <c r="N658" s="67">
        <f>+M658*G658</f>
        <v>67204.833299999998</v>
      </c>
      <c r="O658" s="67">
        <f>M658*J658</f>
        <v>154611.63629999998</v>
      </c>
      <c r="P658" s="1124"/>
    </row>
    <row r="659" spans="2:16" x14ac:dyDescent="0.3">
      <c r="B659" s="1119"/>
      <c r="C659" s="1122"/>
      <c r="D659" s="61" t="s">
        <v>143</v>
      </c>
      <c r="E659" s="62">
        <v>0</v>
      </c>
      <c r="F659" s="63">
        <f t="shared" si="505"/>
        <v>0</v>
      </c>
      <c r="G659" s="63">
        <v>0</v>
      </c>
      <c r="H659" s="64">
        <v>0</v>
      </c>
      <c r="I659" s="79">
        <f t="shared" si="507"/>
        <v>0</v>
      </c>
      <c r="J659" s="4">
        <f t="shared" si="500"/>
        <v>0</v>
      </c>
      <c r="K659" s="4">
        <f t="shared" si="506"/>
        <v>0</v>
      </c>
      <c r="L659" s="65" t="e">
        <f t="shared" si="509"/>
        <v>#DIV/0!</v>
      </c>
      <c r="M659" s="152">
        <v>5.6550000000000002</v>
      </c>
      <c r="N659" s="67">
        <f t="shared" ref="N659:N661" si="510">+M659*G659</f>
        <v>0</v>
      </c>
      <c r="O659" s="67">
        <f t="shared" ref="O659:O662" si="511">M659*J659</f>
        <v>0</v>
      </c>
      <c r="P659" s="1124"/>
    </row>
    <row r="660" spans="2:16" x14ac:dyDescent="0.3">
      <c r="B660" s="1119"/>
      <c r="C660" s="192" t="s">
        <v>89</v>
      </c>
      <c r="D660" s="61" t="s">
        <v>80</v>
      </c>
      <c r="E660" s="62">
        <v>0</v>
      </c>
      <c r="F660" s="63">
        <f t="shared" si="505"/>
        <v>0</v>
      </c>
      <c r="G660" s="63">
        <v>0</v>
      </c>
      <c r="H660" s="64">
        <v>0</v>
      </c>
      <c r="I660" s="79">
        <f t="shared" si="507"/>
        <v>0</v>
      </c>
      <c r="J660" s="4">
        <f t="shared" si="500"/>
        <v>0</v>
      </c>
      <c r="K660" s="4">
        <f t="shared" si="506"/>
        <v>0</v>
      </c>
      <c r="L660" s="65" t="e">
        <f t="shared" si="509"/>
        <v>#DIV/0!</v>
      </c>
      <c r="M660" s="66">
        <v>3.2963</v>
      </c>
      <c r="N660" s="67">
        <f t="shared" si="510"/>
        <v>0</v>
      </c>
      <c r="O660" s="67">
        <f t="shared" si="511"/>
        <v>0</v>
      </c>
      <c r="P660" s="1124"/>
    </row>
    <row r="661" spans="2:16" x14ac:dyDescent="0.3">
      <c r="B661" s="1119"/>
      <c r="C661" s="192" t="s">
        <v>90</v>
      </c>
      <c r="D661" s="61" t="s">
        <v>80</v>
      </c>
      <c r="E661" s="62">
        <v>0</v>
      </c>
      <c r="F661" s="63">
        <f t="shared" si="505"/>
        <v>0</v>
      </c>
      <c r="G661" s="63">
        <v>0</v>
      </c>
      <c r="H661" s="64">
        <v>0</v>
      </c>
      <c r="I661" s="79">
        <f t="shared" si="507"/>
        <v>0</v>
      </c>
      <c r="J661" s="4">
        <f t="shared" si="500"/>
        <v>0</v>
      </c>
      <c r="K661" s="4">
        <f t="shared" si="506"/>
        <v>0</v>
      </c>
      <c r="L661" s="65" t="e">
        <f t="shared" si="509"/>
        <v>#DIV/0!</v>
      </c>
      <c r="M661" s="66">
        <v>3.2963</v>
      </c>
      <c r="N661" s="67">
        <f t="shared" si="510"/>
        <v>0</v>
      </c>
      <c r="O661" s="67">
        <f t="shared" si="511"/>
        <v>0</v>
      </c>
      <c r="P661" s="1124"/>
    </row>
    <row r="662" spans="2:16" ht="15" thickBot="1" x14ac:dyDescent="0.35">
      <c r="B662" s="1119"/>
      <c r="C662" s="68" t="s">
        <v>91</v>
      </c>
      <c r="D662" s="69" t="s">
        <v>92</v>
      </c>
      <c r="E662" s="70">
        <v>0</v>
      </c>
      <c r="F662" s="71">
        <f t="shared" si="505"/>
        <v>0</v>
      </c>
      <c r="G662" s="71">
        <v>0</v>
      </c>
      <c r="H662" s="72">
        <v>0</v>
      </c>
      <c r="I662" s="80">
        <f t="shared" si="507"/>
        <v>65030</v>
      </c>
      <c r="J662" s="4">
        <f t="shared" si="500"/>
        <v>65000</v>
      </c>
      <c r="K662" s="4">
        <f t="shared" si="506"/>
        <v>30</v>
      </c>
      <c r="L662" s="65" t="e">
        <f t="shared" si="509"/>
        <v>#DIV/0!</v>
      </c>
      <c r="M662" s="73">
        <v>2.3201000000000001</v>
      </c>
      <c r="N662" s="74">
        <f t="shared" ref="N662" si="512">M662*G662</f>
        <v>0</v>
      </c>
      <c r="O662" s="74">
        <f t="shared" si="511"/>
        <v>150806.5</v>
      </c>
      <c r="P662" s="1125"/>
    </row>
    <row r="663" spans="2:16" ht="15" thickBot="1" x14ac:dyDescent="0.35">
      <c r="B663" s="1120"/>
      <c r="C663" s="1128" t="s">
        <v>106</v>
      </c>
      <c r="D663" s="1129"/>
      <c r="E663" s="1129"/>
      <c r="F663" s="1129"/>
      <c r="G663" s="1129"/>
      <c r="H663" s="1130"/>
      <c r="I663" s="116">
        <f>J663+K663</f>
        <v>729377</v>
      </c>
      <c r="J663" s="115">
        <f>SUM(J635:J662)</f>
        <v>709540</v>
      </c>
      <c r="K663" s="115">
        <f>SUM(K635:K662)</f>
        <v>19837</v>
      </c>
      <c r="L663" s="114"/>
      <c r="M663" s="113"/>
      <c r="N663" s="114"/>
      <c r="O663" s="97">
        <f>SUM(O635:O662)</f>
        <v>6144755.7802999998</v>
      </c>
      <c r="P663" s="96"/>
    </row>
    <row r="664" spans="2:16" ht="15" thickBot="1" x14ac:dyDescent="0.35">
      <c r="B664" s="100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2"/>
    </row>
    <row r="665" spans="2:16" ht="15" thickBot="1" x14ac:dyDescent="0.35">
      <c r="B665" s="1113" t="s">
        <v>107</v>
      </c>
      <c r="C665" s="1114"/>
      <c r="D665" s="1114"/>
      <c r="E665" s="1114"/>
      <c r="F665" s="1114"/>
      <c r="G665" s="1114"/>
      <c r="H665" s="1114"/>
      <c r="I665" s="1114"/>
      <c r="J665" s="1114"/>
      <c r="K665" s="1114"/>
      <c r="L665" s="1114"/>
      <c r="M665" s="1114"/>
      <c r="N665" s="1115"/>
      <c r="O665" s="103">
        <f>+O663+O634+O619</f>
        <v>13256196.440299999</v>
      </c>
      <c r="P665" s="96"/>
    </row>
    <row r="666" spans="2:16" ht="15" thickBot="1" x14ac:dyDescent="0.35"/>
    <row r="667" spans="2:16" x14ac:dyDescent="0.3">
      <c r="B667" s="1147" t="s">
        <v>1</v>
      </c>
      <c r="C667" s="1149" t="s">
        <v>2</v>
      </c>
      <c r="D667" s="1152" t="s">
        <v>3</v>
      </c>
      <c r="E667" s="1155" t="s">
        <v>4</v>
      </c>
      <c r="F667" s="1156"/>
      <c r="G667" s="1156"/>
      <c r="H667" s="1156"/>
      <c r="I667" s="1156"/>
      <c r="J667" s="1156"/>
      <c r="K667" s="1156"/>
      <c r="L667" s="1157"/>
      <c r="M667" s="1158" t="s">
        <v>5</v>
      </c>
      <c r="N667" s="1159"/>
      <c r="O667" s="1160"/>
      <c r="P667" s="1152" t="s">
        <v>6</v>
      </c>
    </row>
    <row r="668" spans="2:16" x14ac:dyDescent="0.3">
      <c r="B668" s="1148"/>
      <c r="C668" s="1150"/>
      <c r="D668" s="1153"/>
      <c r="E668" s="1161" t="s">
        <v>7</v>
      </c>
      <c r="F668" s="1163" t="s">
        <v>158</v>
      </c>
      <c r="G668" s="1163"/>
      <c r="H668" s="1164"/>
      <c r="I668" s="1165" t="s">
        <v>8</v>
      </c>
      <c r="J668" s="1163"/>
      <c r="K668" s="1163"/>
      <c r="L668" s="1164" t="s">
        <v>9</v>
      </c>
      <c r="M668" s="1167" t="s">
        <v>10</v>
      </c>
      <c r="N668" s="1169" t="s">
        <v>11</v>
      </c>
      <c r="O668" s="1171" t="s">
        <v>12</v>
      </c>
      <c r="P668" s="1153"/>
    </row>
    <row r="669" spans="2:16" ht="15" thickBot="1" x14ac:dyDescent="0.35">
      <c r="B669" s="1148"/>
      <c r="C669" s="1151"/>
      <c r="D669" s="1154"/>
      <c r="E669" s="1162"/>
      <c r="F669" s="2" t="s">
        <v>13</v>
      </c>
      <c r="G669" s="2" t="s">
        <v>14</v>
      </c>
      <c r="H669" s="199" t="s">
        <v>15</v>
      </c>
      <c r="I669" s="142" t="s">
        <v>13</v>
      </c>
      <c r="J669" s="2" t="s">
        <v>14</v>
      </c>
      <c r="K669" s="2" t="s">
        <v>15</v>
      </c>
      <c r="L669" s="1166"/>
      <c r="M669" s="1168"/>
      <c r="N669" s="1170"/>
      <c r="O669" s="1172"/>
      <c r="P669" s="1154"/>
    </row>
    <row r="670" spans="2:16" x14ac:dyDescent="0.3">
      <c r="B670" s="1131" t="s">
        <v>56</v>
      </c>
      <c r="C670" s="29"/>
      <c r="D670" s="117" t="s">
        <v>151</v>
      </c>
      <c r="E670" s="98">
        <v>0</v>
      </c>
      <c r="F670" s="4">
        <f>+G670+H670</f>
        <v>0</v>
      </c>
      <c r="G670" s="4">
        <v>0</v>
      </c>
      <c r="H670" s="8">
        <v>0</v>
      </c>
      <c r="I670" s="6">
        <f>J670+K670</f>
        <v>285266</v>
      </c>
      <c r="J670" s="4">
        <f>G670+J605</f>
        <v>280000</v>
      </c>
      <c r="K670" s="4">
        <f>H670+K605</f>
        <v>5266</v>
      </c>
      <c r="L670" s="33" t="e">
        <f>+J670/E670</f>
        <v>#DIV/0!</v>
      </c>
      <c r="M670" s="104">
        <v>1.3652</v>
      </c>
      <c r="N670" s="31">
        <f>G670*M670</f>
        <v>0</v>
      </c>
      <c r="O670" s="86">
        <f>M670*J670</f>
        <v>382256</v>
      </c>
      <c r="P670" s="1133"/>
    </row>
    <row r="671" spans="2:16" x14ac:dyDescent="0.3">
      <c r="B671" s="1132"/>
      <c r="C671" s="32"/>
      <c r="D671" s="118" t="s">
        <v>116</v>
      </c>
      <c r="E671" s="99">
        <v>0</v>
      </c>
      <c r="F671" s="9">
        <f>+G671+H671</f>
        <v>0</v>
      </c>
      <c r="G671" s="9">
        <v>0</v>
      </c>
      <c r="H671" s="10">
        <v>0</v>
      </c>
      <c r="I671" s="6">
        <f>J671+K671</f>
        <v>0</v>
      </c>
      <c r="J671" s="4">
        <f>+G671+J606</f>
        <v>0</v>
      </c>
      <c r="K671" s="4">
        <f>+H671+K606</f>
        <v>0</v>
      </c>
      <c r="L671" s="33"/>
      <c r="M671" s="105">
        <v>5.9917999999999996</v>
      </c>
      <c r="N671" s="34">
        <f>M671*G671</f>
        <v>0</v>
      </c>
      <c r="O671" s="87">
        <f>M671*J671</f>
        <v>0</v>
      </c>
      <c r="P671" s="1134"/>
    </row>
    <row r="672" spans="2:16" x14ac:dyDescent="0.3">
      <c r="B672" s="1132"/>
      <c r="C672" s="35"/>
      <c r="D672" s="119" t="s">
        <v>58</v>
      </c>
      <c r="E672" s="99">
        <v>0</v>
      </c>
      <c r="F672" s="9">
        <f t="shared" ref="F672:F676" si="513">+G672+H672</f>
        <v>231715</v>
      </c>
      <c r="G672" s="9">
        <v>230000</v>
      </c>
      <c r="H672" s="10">
        <v>1715</v>
      </c>
      <c r="I672" s="6">
        <f t="shared" ref="I672:I676" si="514">J672+K672</f>
        <v>2031506</v>
      </c>
      <c r="J672" s="4">
        <f t="shared" ref="J672:J676" si="515">+G672+J607</f>
        <v>2015750</v>
      </c>
      <c r="K672" s="4">
        <f t="shared" ref="K672:K676" si="516">+H672+K607</f>
        <v>15756</v>
      </c>
      <c r="L672" s="33" t="e">
        <f t="shared" ref="L672" si="517">+J672/E672</f>
        <v>#DIV/0!</v>
      </c>
      <c r="M672" s="106">
        <v>2.3807999999999998</v>
      </c>
      <c r="N672" s="36">
        <f>G672*M672</f>
        <v>547584</v>
      </c>
      <c r="O672" s="88">
        <f>M672*J672</f>
        <v>4799097.5999999996</v>
      </c>
      <c r="P672" s="1134"/>
    </row>
    <row r="673" spans="2:16" x14ac:dyDescent="0.3">
      <c r="B673" s="1132"/>
      <c r="C673" s="35"/>
      <c r="D673" s="119" t="s">
        <v>59</v>
      </c>
      <c r="E673" s="99">
        <v>0</v>
      </c>
      <c r="F673" s="9">
        <f t="shared" si="513"/>
        <v>0</v>
      </c>
      <c r="G673" s="9">
        <v>0</v>
      </c>
      <c r="H673" s="10">
        <v>0</v>
      </c>
      <c r="I673" s="6">
        <f t="shared" si="514"/>
        <v>0</v>
      </c>
      <c r="J673" s="4">
        <f t="shared" si="515"/>
        <v>0</v>
      </c>
      <c r="K673" s="4">
        <f t="shared" si="516"/>
        <v>0</v>
      </c>
      <c r="L673" s="33"/>
      <c r="M673" s="106">
        <v>2.1457999999999999</v>
      </c>
      <c r="N673" s="36">
        <f t="shared" ref="N673:N676" si="518">G673*M673</f>
        <v>0</v>
      </c>
      <c r="O673" s="88">
        <f>M673*J673</f>
        <v>0</v>
      </c>
      <c r="P673" s="1134"/>
    </row>
    <row r="674" spans="2:16" x14ac:dyDescent="0.3">
      <c r="B674" s="1132"/>
      <c r="C674" s="35"/>
      <c r="D674" s="119" t="s">
        <v>113</v>
      </c>
      <c r="E674" s="99">
        <v>0</v>
      </c>
      <c r="F674" s="9">
        <f t="shared" si="513"/>
        <v>0</v>
      </c>
      <c r="G674" s="9">
        <v>0</v>
      </c>
      <c r="H674" s="10">
        <v>0</v>
      </c>
      <c r="I674" s="6">
        <f t="shared" si="514"/>
        <v>0</v>
      </c>
      <c r="J674" s="4">
        <f t="shared" si="515"/>
        <v>0</v>
      </c>
      <c r="K674" s="4">
        <f t="shared" si="516"/>
        <v>0</v>
      </c>
      <c r="L674" s="33" t="e">
        <f t="shared" ref="L674:L675" si="519">+J674/E674</f>
        <v>#DIV/0!</v>
      </c>
      <c r="M674" s="143">
        <v>4.0426000000000002</v>
      </c>
      <c r="N674" s="36">
        <f t="shared" si="518"/>
        <v>0</v>
      </c>
      <c r="O674" s="88">
        <f>M674*J674</f>
        <v>0</v>
      </c>
      <c r="P674" s="1134"/>
    </row>
    <row r="675" spans="2:16" x14ac:dyDescent="0.3">
      <c r="B675" s="1132"/>
      <c r="C675" s="35"/>
      <c r="D675" s="119" t="s">
        <v>117</v>
      </c>
      <c r="E675" s="99">
        <v>0</v>
      </c>
      <c r="F675" s="9">
        <f t="shared" si="513"/>
        <v>0</v>
      </c>
      <c r="G675" s="9">
        <v>0</v>
      </c>
      <c r="H675" s="10">
        <v>0</v>
      </c>
      <c r="I675" s="6">
        <f t="shared" si="514"/>
        <v>0</v>
      </c>
      <c r="J675" s="4">
        <f t="shared" si="515"/>
        <v>0</v>
      </c>
      <c r="K675" s="4">
        <f t="shared" si="516"/>
        <v>0</v>
      </c>
      <c r="L675" s="33" t="e">
        <f t="shared" si="519"/>
        <v>#DIV/0!</v>
      </c>
      <c r="M675" s="143">
        <v>3.8715000000000002</v>
      </c>
      <c r="N675" s="36">
        <f t="shared" si="518"/>
        <v>0</v>
      </c>
      <c r="O675" s="88">
        <f t="shared" ref="O675:O676" si="520">M675*J675</f>
        <v>0</v>
      </c>
      <c r="P675" s="1134"/>
    </row>
    <row r="676" spans="2:16" ht="15" thickBot="1" x14ac:dyDescent="0.35">
      <c r="B676" s="1132"/>
      <c r="C676" s="82"/>
      <c r="D676" s="120" t="s">
        <v>60</v>
      </c>
      <c r="E676" s="108">
        <v>0</v>
      </c>
      <c r="F676" s="12">
        <f t="shared" si="513"/>
        <v>0</v>
      </c>
      <c r="G676" s="12">
        <v>0</v>
      </c>
      <c r="H676" s="13">
        <v>0</v>
      </c>
      <c r="I676" s="21">
        <f t="shared" si="514"/>
        <v>0</v>
      </c>
      <c r="J676" s="4">
        <f t="shared" si="515"/>
        <v>0</v>
      </c>
      <c r="K676" s="4">
        <f t="shared" si="516"/>
        <v>0</v>
      </c>
      <c r="L676" s="81"/>
      <c r="M676" s="127">
        <v>12.284700000000001</v>
      </c>
      <c r="N676" s="36">
        <f t="shared" si="518"/>
        <v>0</v>
      </c>
      <c r="O676" s="128">
        <f t="shared" si="520"/>
        <v>0</v>
      </c>
      <c r="P676" s="1134"/>
    </row>
    <row r="677" spans="2:16" ht="15" thickBot="1" x14ac:dyDescent="0.35">
      <c r="B677" s="1132"/>
      <c r="C677" s="1137" t="s">
        <v>111</v>
      </c>
      <c r="D677" s="1138"/>
      <c r="E677" s="129"/>
      <c r="F677" s="130">
        <f>SUM(F670:F676)</f>
        <v>231715</v>
      </c>
      <c r="G677" s="130">
        <f>SUM(G670:G676)</f>
        <v>230000</v>
      </c>
      <c r="H677" s="131">
        <f>SUM(H670:H676)</f>
        <v>1715</v>
      </c>
      <c r="I677" s="132">
        <f>+J677+K677</f>
        <v>2316772</v>
      </c>
      <c r="J677" s="133">
        <f>SUM(J670:J676)</f>
        <v>2295750</v>
      </c>
      <c r="K677" s="133">
        <f>SUM(K670:K676)</f>
        <v>21022</v>
      </c>
      <c r="L677" s="134"/>
      <c r="M677" s="135"/>
      <c r="N677" s="136"/>
      <c r="O677" s="137">
        <f>SUM(O670:O676)</f>
        <v>5181353.5999999996</v>
      </c>
      <c r="P677" s="1135"/>
    </row>
    <row r="678" spans="2:16" x14ac:dyDescent="0.3">
      <c r="B678" s="1132"/>
      <c r="C678" s="32"/>
      <c r="D678" s="118" t="s">
        <v>61</v>
      </c>
      <c r="E678" s="98">
        <v>0</v>
      </c>
      <c r="F678" s="4">
        <f t="shared" ref="F678:F681" si="521">+G678+H678</f>
        <v>0</v>
      </c>
      <c r="G678" s="4">
        <v>0</v>
      </c>
      <c r="H678" s="8">
        <v>0</v>
      </c>
      <c r="I678" s="6">
        <f t="shared" ref="I678:I682" si="522">J678+K678</f>
        <v>0</v>
      </c>
      <c r="J678" s="4">
        <f>G678+J613</f>
        <v>0</v>
      </c>
      <c r="K678" s="4">
        <f>H678+K613</f>
        <v>0</v>
      </c>
      <c r="L678" s="33" t="e">
        <f t="shared" ref="L678" si="523">+J678/E678</f>
        <v>#DIV/0!</v>
      </c>
      <c r="M678" s="105">
        <v>12.029500000000001</v>
      </c>
      <c r="N678" s="34">
        <f>M678*G678</f>
        <v>0</v>
      </c>
      <c r="O678" s="87">
        <f t="shared" ref="O678:O680" si="524">M678*J678</f>
        <v>0</v>
      </c>
      <c r="P678" s="1134"/>
    </row>
    <row r="679" spans="2:16" x14ac:dyDescent="0.3">
      <c r="B679" s="1132"/>
      <c r="C679" s="35"/>
      <c r="D679" s="119" t="s">
        <v>62</v>
      </c>
      <c r="E679" s="99">
        <v>0</v>
      </c>
      <c r="F679" s="9">
        <f t="shared" si="521"/>
        <v>0</v>
      </c>
      <c r="G679" s="9">
        <v>0</v>
      </c>
      <c r="H679" s="10">
        <v>0</v>
      </c>
      <c r="I679" s="6">
        <f t="shared" si="522"/>
        <v>0</v>
      </c>
      <c r="J679" s="4">
        <f>G679+J614</f>
        <v>0</v>
      </c>
      <c r="K679" s="4">
        <f>H679+K614</f>
        <v>0</v>
      </c>
      <c r="L679" s="33"/>
      <c r="M679" s="106">
        <v>0</v>
      </c>
      <c r="N679" s="36"/>
      <c r="O679" s="88">
        <f t="shared" si="524"/>
        <v>0</v>
      </c>
      <c r="P679" s="1134"/>
    </row>
    <row r="680" spans="2:16" x14ac:dyDescent="0.3">
      <c r="B680" s="1132"/>
      <c r="C680" s="35"/>
      <c r="D680" s="119" t="s">
        <v>104</v>
      </c>
      <c r="E680" s="99">
        <v>0</v>
      </c>
      <c r="F680" s="9">
        <f t="shared" si="521"/>
        <v>0</v>
      </c>
      <c r="G680" s="9">
        <v>0</v>
      </c>
      <c r="H680" s="10">
        <v>0</v>
      </c>
      <c r="I680" s="6">
        <f t="shared" si="522"/>
        <v>0</v>
      </c>
      <c r="J680" s="4">
        <f t="shared" ref="J680:J682" si="525">G680+J615</f>
        <v>0</v>
      </c>
      <c r="K680" s="4">
        <f t="shared" ref="K680:K682" si="526">H680+K615</f>
        <v>0</v>
      </c>
      <c r="L680" s="33" t="e">
        <f t="shared" ref="L680:L682" si="527">+J680/E680</f>
        <v>#DIV/0!</v>
      </c>
      <c r="M680" s="106">
        <v>19.688600000000001</v>
      </c>
      <c r="N680" s="36">
        <f>M680*G680</f>
        <v>0</v>
      </c>
      <c r="O680" s="88">
        <f t="shared" si="524"/>
        <v>0</v>
      </c>
      <c r="P680" s="1134"/>
    </row>
    <row r="681" spans="2:16" x14ac:dyDescent="0.3">
      <c r="B681" s="1132"/>
      <c r="C681" s="35"/>
      <c r="D681" s="119" t="s">
        <v>64</v>
      </c>
      <c r="E681" s="99">
        <v>0</v>
      </c>
      <c r="F681" s="9">
        <f t="shared" si="521"/>
        <v>0</v>
      </c>
      <c r="G681" s="9">
        <v>0</v>
      </c>
      <c r="H681" s="10">
        <v>0</v>
      </c>
      <c r="I681" s="6">
        <f t="shared" si="522"/>
        <v>0</v>
      </c>
      <c r="J681" s="4">
        <f t="shared" si="525"/>
        <v>0</v>
      </c>
      <c r="K681" s="4">
        <f t="shared" si="526"/>
        <v>0</v>
      </c>
      <c r="L681" s="33" t="e">
        <f t="shared" si="527"/>
        <v>#DIV/0!</v>
      </c>
      <c r="M681" s="106">
        <v>1.2824</v>
      </c>
      <c r="N681" s="151">
        <f>M681*G681</f>
        <v>0</v>
      </c>
      <c r="O681" s="88">
        <f>M681*J681</f>
        <v>0</v>
      </c>
      <c r="P681" s="1134"/>
    </row>
    <row r="682" spans="2:16" ht="15" thickBot="1" x14ac:dyDescent="0.35">
      <c r="B682" s="1132"/>
      <c r="C682" s="82"/>
      <c r="D682" s="120" t="s">
        <v>63</v>
      </c>
      <c r="E682" s="108">
        <v>0</v>
      </c>
      <c r="F682" s="12">
        <v>0</v>
      </c>
      <c r="G682" s="12">
        <v>12960</v>
      </c>
      <c r="H682" s="13">
        <v>212</v>
      </c>
      <c r="I682" s="21">
        <f t="shared" si="522"/>
        <v>34946</v>
      </c>
      <c r="J682" s="4">
        <f t="shared" si="525"/>
        <v>34560</v>
      </c>
      <c r="K682" s="4">
        <f t="shared" si="526"/>
        <v>386</v>
      </c>
      <c r="L682" s="81" t="e">
        <f t="shared" si="527"/>
        <v>#DIV/0!</v>
      </c>
      <c r="M682" s="107">
        <v>18.2316</v>
      </c>
      <c r="N682" s="75"/>
      <c r="O682" s="89">
        <f t="shared" ref="O682" si="528">M682*J682</f>
        <v>630084.09600000002</v>
      </c>
      <c r="P682" s="1136"/>
    </row>
    <row r="683" spans="2:16" ht="15" thickBot="1" x14ac:dyDescent="0.35">
      <c r="B683" s="1116" t="s">
        <v>112</v>
      </c>
      <c r="C683" s="1117"/>
      <c r="D683" s="1117"/>
      <c r="E683" s="124"/>
      <c r="F683" s="125">
        <f>+G683+H683</f>
        <v>13172</v>
      </c>
      <c r="G683" s="125">
        <f>SUM(G678:G682)</f>
        <v>12960</v>
      </c>
      <c r="H683" s="126">
        <f>SUM(H678:H682)</f>
        <v>212</v>
      </c>
      <c r="I683" s="121">
        <f>J683+K683</f>
        <v>34946</v>
      </c>
      <c r="J683" s="122">
        <f>SUM(J678:J682)</f>
        <v>34560</v>
      </c>
      <c r="K683" s="123">
        <f>SUM(K678:K682)</f>
        <v>386</v>
      </c>
      <c r="L683" s="138"/>
      <c r="M683" s="139"/>
      <c r="N683" s="140"/>
      <c r="O683" s="141">
        <f>SUM(O678:O682)</f>
        <v>630084.09600000002</v>
      </c>
      <c r="P683" s="197"/>
    </row>
    <row r="684" spans="2:16" ht="15" thickBot="1" x14ac:dyDescent="0.35">
      <c r="B684" s="1116" t="s">
        <v>105</v>
      </c>
      <c r="C684" s="1117"/>
      <c r="D684" s="1117"/>
      <c r="E684" s="1139"/>
      <c r="F684" s="1139"/>
      <c r="G684" s="1139"/>
      <c r="H684" s="1139"/>
      <c r="I684" s="1117"/>
      <c r="J684" s="1117"/>
      <c r="K684" s="1117"/>
      <c r="L684" s="1117"/>
      <c r="M684" s="1117"/>
      <c r="N684" s="1140"/>
      <c r="O684" s="83">
        <f>O677+O683</f>
        <v>5811437.6959999995</v>
      </c>
      <c r="P684" s="197"/>
    </row>
    <row r="685" spans="2:16" x14ac:dyDescent="0.3">
      <c r="B685" s="1131" t="s">
        <v>65</v>
      </c>
      <c r="C685" s="37" t="s">
        <v>66</v>
      </c>
      <c r="D685" s="28" t="s">
        <v>67</v>
      </c>
      <c r="E685" s="38">
        <v>0</v>
      </c>
      <c r="F685" s="14">
        <f>+G685+H685</f>
        <v>0</v>
      </c>
      <c r="G685" s="14">
        <v>0</v>
      </c>
      <c r="H685" s="5">
        <v>0</v>
      </c>
      <c r="I685" s="17">
        <f t="shared" ref="I685:I691" si="529">J685+K685</f>
        <v>0</v>
      </c>
      <c r="J685" s="4">
        <f>G685+J620</f>
        <v>0</v>
      </c>
      <c r="K685" s="4">
        <f>H685+K620</f>
        <v>0</v>
      </c>
      <c r="L685" s="30" t="e">
        <f>+J685/E685</f>
        <v>#DIV/0!</v>
      </c>
      <c r="M685" s="146">
        <v>2.2141000000000002</v>
      </c>
      <c r="N685" s="15">
        <f>+M685*G685</f>
        <v>0</v>
      </c>
      <c r="O685" s="90">
        <f>+M685*J685</f>
        <v>0</v>
      </c>
      <c r="P685" s="1142"/>
    </row>
    <row r="686" spans="2:16" x14ac:dyDescent="0.3">
      <c r="B686" s="1132"/>
      <c r="C686" s="39"/>
      <c r="D686" s="22" t="s">
        <v>68</v>
      </c>
      <c r="E686" s="3">
        <v>0</v>
      </c>
      <c r="F686" s="9">
        <f t="shared" ref="F686:F691" si="530">+G686+H686</f>
        <v>0</v>
      </c>
      <c r="G686" s="4">
        <v>0</v>
      </c>
      <c r="H686" s="8">
        <v>0</v>
      </c>
      <c r="I686" s="6">
        <f t="shared" si="529"/>
        <v>0</v>
      </c>
      <c r="J686" s="4">
        <f>+G686+J621</f>
        <v>0</v>
      </c>
      <c r="K686" s="4">
        <f>+H686+K621</f>
        <v>0</v>
      </c>
      <c r="L686" s="40" t="e">
        <f t="shared" ref="L686:L687" si="531">+J686/E686</f>
        <v>#DIV/0!</v>
      </c>
      <c r="M686" s="145">
        <v>2.4565999999999999</v>
      </c>
      <c r="N686" s="11">
        <f t="shared" ref="N686:N688" si="532">+M686*G686</f>
        <v>0</v>
      </c>
      <c r="O686" s="91">
        <f t="shared" ref="O686:O688" si="533">+M686*J686</f>
        <v>0</v>
      </c>
      <c r="P686" s="1143"/>
    </row>
    <row r="687" spans="2:16" x14ac:dyDescent="0.3">
      <c r="B687" s="1132"/>
      <c r="C687" s="39"/>
      <c r="D687" s="23" t="s">
        <v>133</v>
      </c>
      <c r="E687" s="3">
        <v>0</v>
      </c>
      <c r="F687" s="9">
        <f t="shared" si="530"/>
        <v>0</v>
      </c>
      <c r="G687" s="4">
        <v>0</v>
      </c>
      <c r="H687" s="8">
        <v>0</v>
      </c>
      <c r="I687" s="6">
        <f t="shared" si="529"/>
        <v>0</v>
      </c>
      <c r="J687" s="4">
        <f t="shared" ref="J687:J688" si="534">+G687+J622</f>
        <v>0</v>
      </c>
      <c r="K687" s="4">
        <f t="shared" ref="K687:K691" si="535">+H687+K622</f>
        <v>0</v>
      </c>
      <c r="L687" s="40" t="e">
        <f t="shared" si="531"/>
        <v>#DIV/0!</v>
      </c>
      <c r="M687" s="145">
        <v>2.2907000000000002</v>
      </c>
      <c r="N687" s="11">
        <f t="shared" si="532"/>
        <v>0</v>
      </c>
      <c r="O687" s="91">
        <f t="shared" si="533"/>
        <v>0</v>
      </c>
      <c r="P687" s="1143"/>
    </row>
    <row r="688" spans="2:16" x14ac:dyDescent="0.3">
      <c r="B688" s="1132"/>
      <c r="C688" s="39"/>
      <c r="D688" s="22" t="s">
        <v>138</v>
      </c>
      <c r="E688" s="3"/>
      <c r="F688" s="9">
        <f t="shared" si="530"/>
        <v>0</v>
      </c>
      <c r="G688" s="4">
        <v>0</v>
      </c>
      <c r="H688" s="8">
        <v>0</v>
      </c>
      <c r="I688" s="6">
        <f t="shared" si="529"/>
        <v>0</v>
      </c>
      <c r="J688" s="4">
        <f t="shared" si="534"/>
        <v>0</v>
      </c>
      <c r="K688" s="4">
        <f t="shared" si="535"/>
        <v>0</v>
      </c>
      <c r="L688" s="33"/>
      <c r="M688" s="150">
        <v>2.544</v>
      </c>
      <c r="N688" s="11">
        <f t="shared" si="532"/>
        <v>0</v>
      </c>
      <c r="O688" s="91">
        <f t="shared" si="533"/>
        <v>0</v>
      </c>
      <c r="P688" s="1143"/>
    </row>
    <row r="689" spans="2:16" x14ac:dyDescent="0.3">
      <c r="B689" s="1132"/>
      <c r="C689" s="39" t="s">
        <v>69</v>
      </c>
      <c r="D689" s="22" t="s">
        <v>140</v>
      </c>
      <c r="E689" s="3">
        <v>0</v>
      </c>
      <c r="F689" s="9">
        <f t="shared" si="530"/>
        <v>33430</v>
      </c>
      <c r="G689" s="4">
        <v>31500</v>
      </c>
      <c r="H689" s="8">
        <v>1930</v>
      </c>
      <c r="I689" s="6">
        <f t="shared" si="529"/>
        <v>524562</v>
      </c>
      <c r="J689" s="4">
        <f>+G689+J624</f>
        <v>511750</v>
      </c>
      <c r="K689" s="4">
        <f t="shared" si="535"/>
        <v>12812</v>
      </c>
      <c r="L689" s="33" t="e">
        <f>+J689/E689</f>
        <v>#DIV/0!</v>
      </c>
      <c r="M689" s="144">
        <v>2.2141000000000002</v>
      </c>
      <c r="N689" s="7">
        <f>+M689*G689</f>
        <v>69744.150000000009</v>
      </c>
      <c r="O689" s="85">
        <f>+M689*J689</f>
        <v>1133065.675</v>
      </c>
      <c r="P689" s="1143"/>
    </row>
    <row r="690" spans="2:16" x14ac:dyDescent="0.3">
      <c r="B690" s="1132"/>
      <c r="C690" s="39"/>
      <c r="D690" s="22" t="s">
        <v>68</v>
      </c>
      <c r="E690" s="3">
        <v>0</v>
      </c>
      <c r="F690" s="9">
        <f t="shared" si="530"/>
        <v>0</v>
      </c>
      <c r="G690" s="4">
        <v>0</v>
      </c>
      <c r="H690" s="8">
        <v>0</v>
      </c>
      <c r="I690" s="6">
        <f t="shared" si="529"/>
        <v>0</v>
      </c>
      <c r="J690" s="4">
        <f t="shared" ref="J690:J691" si="536">+G690+J625</f>
        <v>0</v>
      </c>
      <c r="K690" s="4">
        <f t="shared" si="535"/>
        <v>0</v>
      </c>
      <c r="L690" s="40" t="e">
        <f t="shared" ref="L690:L691" si="537">+J690/E690</f>
        <v>#DIV/0!</v>
      </c>
      <c r="M690" s="145">
        <v>2.4565999999999999</v>
      </c>
      <c r="N690" s="11">
        <f t="shared" ref="N690:N691" si="538">+M690*G690</f>
        <v>0</v>
      </c>
      <c r="O690" s="91">
        <f t="shared" ref="O690" si="539">+M690*J690</f>
        <v>0</v>
      </c>
      <c r="P690" s="1143"/>
    </row>
    <row r="691" spans="2:16" ht="15" thickBot="1" x14ac:dyDescent="0.35">
      <c r="B691" s="1132"/>
      <c r="C691" s="39"/>
      <c r="D691" s="22" t="s">
        <v>133</v>
      </c>
      <c r="E691" s="3">
        <v>0</v>
      </c>
      <c r="F691" s="9">
        <f t="shared" si="530"/>
        <v>0</v>
      </c>
      <c r="G691" s="4">
        <v>0</v>
      </c>
      <c r="H691" s="8">
        <v>0</v>
      </c>
      <c r="I691" s="6">
        <f t="shared" si="529"/>
        <v>0</v>
      </c>
      <c r="J691" s="4">
        <f t="shared" si="536"/>
        <v>0</v>
      </c>
      <c r="K691" s="4">
        <f t="shared" si="535"/>
        <v>0</v>
      </c>
      <c r="L691" s="40" t="e">
        <f t="shared" si="537"/>
        <v>#DIV/0!</v>
      </c>
      <c r="M691" s="145">
        <v>2.2907000000000002</v>
      </c>
      <c r="N691" s="11">
        <f t="shared" si="538"/>
        <v>0</v>
      </c>
      <c r="O691" s="154">
        <f>+M691*J691</f>
        <v>0</v>
      </c>
      <c r="P691" s="1144"/>
    </row>
    <row r="692" spans="2:16" ht="15" thickBot="1" x14ac:dyDescent="0.35">
      <c r="B692" s="1132"/>
      <c r="C692" s="41" t="s">
        <v>29</v>
      </c>
      <c r="D692" s="27" t="str">
        <f>+C692</f>
        <v>TOTAL 1/2</v>
      </c>
      <c r="E692" s="42">
        <f>SUM(E685:E691)</f>
        <v>0</v>
      </c>
      <c r="F692" s="43">
        <f>SUM(F685:F691)</f>
        <v>33430</v>
      </c>
      <c r="G692" s="43">
        <f>SUM(G685:G691)</f>
        <v>31500</v>
      </c>
      <c r="H692" s="44">
        <f>SUM(H685:H691)</f>
        <v>1930</v>
      </c>
      <c r="I692" s="45">
        <f>SUM(I689:I691)</f>
        <v>524562</v>
      </c>
      <c r="J692" s="43">
        <f>SUM(J685:J691)</f>
        <v>511750</v>
      </c>
      <c r="K692" s="43">
        <f>SUM(K685:K691)</f>
        <v>12812</v>
      </c>
      <c r="L692" s="46" t="e">
        <f>+J692/E692</f>
        <v>#DIV/0!</v>
      </c>
      <c r="M692" s="47"/>
      <c r="N692" s="48">
        <f>SUM(N689:N691)</f>
        <v>69744.150000000009</v>
      </c>
      <c r="O692" s="49">
        <f>SUM(O685:O691)</f>
        <v>1133065.675</v>
      </c>
      <c r="P692" s="198"/>
    </row>
    <row r="693" spans="2:16" x14ac:dyDescent="0.3">
      <c r="B693" s="1132"/>
      <c r="C693" s="1145" t="s">
        <v>70</v>
      </c>
      <c r="D693" s="22" t="s">
        <v>67</v>
      </c>
      <c r="E693" s="3">
        <v>0</v>
      </c>
      <c r="F693" s="4">
        <f>G693+H693</f>
        <v>0</v>
      </c>
      <c r="G693" s="4">
        <v>0</v>
      </c>
      <c r="H693" s="8">
        <v>0</v>
      </c>
      <c r="I693" s="16">
        <f>J693+K693</f>
        <v>109220</v>
      </c>
      <c r="J693" s="4">
        <f>G693+J628</f>
        <v>105750</v>
      </c>
      <c r="K693" s="4">
        <f>H693+K628</f>
        <v>3470</v>
      </c>
      <c r="L693" s="50" t="e">
        <f>+J693/E693</f>
        <v>#DIV/0!</v>
      </c>
      <c r="M693" s="144">
        <v>4.1712999999999996</v>
      </c>
      <c r="N693" s="7">
        <f>+M693*G693</f>
        <v>0</v>
      </c>
      <c r="O693" s="93">
        <f>+M693*J693</f>
        <v>441114.97499999998</v>
      </c>
      <c r="P693" s="1142"/>
    </row>
    <row r="694" spans="2:16" x14ac:dyDescent="0.3">
      <c r="B694" s="1132"/>
      <c r="C694" s="1146"/>
      <c r="D694" s="22" t="s">
        <v>68</v>
      </c>
      <c r="E694" s="3">
        <v>0</v>
      </c>
      <c r="F694" s="4">
        <f>G694+H694</f>
        <v>0</v>
      </c>
      <c r="G694" s="4">
        <v>0</v>
      </c>
      <c r="H694" s="8">
        <v>0</v>
      </c>
      <c r="I694" s="6">
        <f>+R1738+F694</f>
        <v>0</v>
      </c>
      <c r="J694" s="4">
        <f>G694+J629</f>
        <v>120000</v>
      </c>
      <c r="K694" s="4">
        <f>H694+K629</f>
        <v>3230</v>
      </c>
      <c r="L694" s="51" t="e">
        <f t="shared" ref="L694:L698" si="540">+J694/E694</f>
        <v>#DIV/0!</v>
      </c>
      <c r="M694" s="145">
        <v>4.8285999999999998</v>
      </c>
      <c r="N694" s="11">
        <f t="shared" ref="N694:N696" si="541">+M694*G694</f>
        <v>0</v>
      </c>
      <c r="O694" s="94">
        <f t="shared" ref="O694:O696" si="542">+M694*J694</f>
        <v>579432</v>
      </c>
      <c r="P694" s="1143"/>
    </row>
    <row r="695" spans="2:16" x14ac:dyDescent="0.3">
      <c r="B695" s="1132"/>
      <c r="C695" s="1146"/>
      <c r="D695" s="22" t="s">
        <v>134</v>
      </c>
      <c r="E695" s="3"/>
      <c r="F695" s="4">
        <f>G695+H695</f>
        <v>0</v>
      </c>
      <c r="G695" s="4">
        <v>0</v>
      </c>
      <c r="H695" s="8">
        <v>0</v>
      </c>
      <c r="I695" s="6">
        <f>+R1739+F695</f>
        <v>0</v>
      </c>
      <c r="J695" s="4">
        <f t="shared" ref="J695:J696" si="543">G695+J630</f>
        <v>0</v>
      </c>
      <c r="K695" s="4">
        <f t="shared" ref="K695:K696" si="544">H695+K630</f>
        <v>0</v>
      </c>
      <c r="L695" s="51" t="e">
        <f t="shared" si="540"/>
        <v>#DIV/0!</v>
      </c>
      <c r="M695" s="144">
        <v>4.5023</v>
      </c>
      <c r="N695" s="11">
        <f t="shared" si="541"/>
        <v>0</v>
      </c>
      <c r="O695" s="94">
        <f t="shared" si="542"/>
        <v>0</v>
      </c>
      <c r="P695" s="1143"/>
    </row>
    <row r="696" spans="2:16" ht="15" thickBot="1" x14ac:dyDescent="0.35">
      <c r="B696" s="1132"/>
      <c r="C696" s="1146"/>
      <c r="D696" s="22" t="s">
        <v>118</v>
      </c>
      <c r="E696" s="3">
        <v>0</v>
      </c>
      <c r="F696" s="4">
        <f t="shared" ref="F696" si="545">G696+H696</f>
        <v>0</v>
      </c>
      <c r="G696" s="4">
        <v>0</v>
      </c>
      <c r="H696" s="8">
        <v>0</v>
      </c>
      <c r="I696" s="6">
        <f>+R1739+F696</f>
        <v>0</v>
      </c>
      <c r="J696" s="4">
        <f t="shared" si="543"/>
        <v>0</v>
      </c>
      <c r="K696" s="4">
        <f t="shared" si="544"/>
        <v>0</v>
      </c>
      <c r="L696" s="51" t="e">
        <f t="shared" si="540"/>
        <v>#DIV/0!</v>
      </c>
      <c r="M696" s="144">
        <v>4.4065000000000003</v>
      </c>
      <c r="N696" s="11">
        <f t="shared" si="541"/>
        <v>0</v>
      </c>
      <c r="O696" s="94">
        <f t="shared" si="542"/>
        <v>0</v>
      </c>
      <c r="P696" s="1143"/>
    </row>
    <row r="697" spans="2:16" ht="15" thickBot="1" x14ac:dyDescent="0.35">
      <c r="B697" s="1132"/>
      <c r="C697" s="41" t="s">
        <v>31</v>
      </c>
      <c r="D697" s="18" t="str">
        <f>+C697</f>
        <v>TOTAL 4/4</v>
      </c>
      <c r="E697" s="42">
        <f t="shared" ref="E697:K697" si="546">SUM(E693:E696)</f>
        <v>0</v>
      </c>
      <c r="F697" s="43">
        <f t="shared" si="546"/>
        <v>0</v>
      </c>
      <c r="G697" s="43">
        <f t="shared" si="546"/>
        <v>0</v>
      </c>
      <c r="H697" s="44">
        <f t="shared" si="546"/>
        <v>0</v>
      </c>
      <c r="I697" s="45">
        <f t="shared" si="546"/>
        <v>109220</v>
      </c>
      <c r="J697" s="43">
        <f t="shared" si="546"/>
        <v>225750</v>
      </c>
      <c r="K697" s="43">
        <f t="shared" si="546"/>
        <v>6700</v>
      </c>
      <c r="L697" s="46" t="e">
        <f t="shared" si="540"/>
        <v>#DIV/0!</v>
      </c>
      <c r="M697" s="47"/>
      <c r="N697" s="48">
        <f>SUM(N693:N696)</f>
        <v>0</v>
      </c>
      <c r="O697" s="92">
        <f>SUM(O693:O696)</f>
        <v>1020546.975</v>
      </c>
      <c r="P697" s="1144"/>
    </row>
    <row r="698" spans="2:16" ht="15" thickBot="1" x14ac:dyDescent="0.35">
      <c r="B698" s="1141"/>
      <c r="C698" s="41" t="s">
        <v>71</v>
      </c>
      <c r="D698" s="27" t="s">
        <v>67</v>
      </c>
      <c r="E698" s="25">
        <v>0</v>
      </c>
      <c r="F698" s="20">
        <f>G698+H698</f>
        <v>0</v>
      </c>
      <c r="G698" s="20">
        <v>0</v>
      </c>
      <c r="H698" s="24">
        <v>0</v>
      </c>
      <c r="I698" s="19">
        <f>J698+K698</f>
        <v>0</v>
      </c>
      <c r="J698" s="4">
        <f>G698+J633</f>
        <v>0</v>
      </c>
      <c r="K698" s="4">
        <f>H698+K633</f>
        <v>0</v>
      </c>
      <c r="L698" s="52" t="e">
        <f t="shared" si="540"/>
        <v>#DIV/0!</v>
      </c>
      <c r="M698" s="149">
        <v>1.4086000000000001</v>
      </c>
      <c r="N698" s="26">
        <f t="shared" ref="N698" si="547">+M698*G698</f>
        <v>0</v>
      </c>
      <c r="O698" s="95">
        <f t="shared" ref="O698" si="548">+M698*J698</f>
        <v>0</v>
      </c>
      <c r="P698" s="53"/>
    </row>
    <row r="699" spans="2:16" ht="15" thickBot="1" x14ac:dyDescent="0.35">
      <c r="B699" s="1116" t="s">
        <v>102</v>
      </c>
      <c r="C699" s="1117"/>
      <c r="D699" s="1117"/>
      <c r="E699" s="1117"/>
      <c r="F699" s="1117"/>
      <c r="G699" s="1117"/>
      <c r="H699" s="1117"/>
      <c r="I699" s="110">
        <f>J699+K699</f>
        <v>757012</v>
      </c>
      <c r="J699" s="110">
        <f>J692+J697+J698</f>
        <v>737500</v>
      </c>
      <c r="K699" s="110">
        <f>K692+K697+K698</f>
        <v>19512</v>
      </c>
      <c r="L699" s="111"/>
      <c r="M699" s="112"/>
      <c r="N699" s="109"/>
      <c r="O699" s="77">
        <f>+O698+O697+O692</f>
        <v>2153612.65</v>
      </c>
      <c r="P699" s="84"/>
    </row>
    <row r="700" spans="2:16" x14ac:dyDescent="0.3">
      <c r="B700" s="1118" t="s">
        <v>72</v>
      </c>
      <c r="C700" s="1121" t="s">
        <v>73</v>
      </c>
      <c r="D700" s="54" t="s">
        <v>74</v>
      </c>
      <c r="E700" s="55">
        <v>0</v>
      </c>
      <c r="F700" s="56">
        <f>G700+H700</f>
        <v>5000</v>
      </c>
      <c r="G700" s="56">
        <v>5000</v>
      </c>
      <c r="H700" s="57">
        <v>0</v>
      </c>
      <c r="I700" s="78">
        <f>J700+K700</f>
        <v>10070</v>
      </c>
      <c r="J700" s="4">
        <f>G700+J635</f>
        <v>10000</v>
      </c>
      <c r="K700" s="4">
        <f>H700+K635</f>
        <v>70</v>
      </c>
      <c r="L700" s="58" t="e">
        <f t="shared" ref="L700" si="549">+J700/E700</f>
        <v>#DIV/0!</v>
      </c>
      <c r="M700" s="59">
        <v>32.946300000000001</v>
      </c>
      <c r="N700" s="60">
        <f>+M700*G700</f>
        <v>164731.5</v>
      </c>
      <c r="O700" s="60">
        <f>M700*J700</f>
        <v>329463</v>
      </c>
      <c r="P700" s="1123"/>
    </row>
    <row r="701" spans="2:16" x14ac:dyDescent="0.3">
      <c r="B701" s="1119"/>
      <c r="C701" s="1122"/>
      <c r="D701" s="61" t="s">
        <v>75</v>
      </c>
      <c r="E701" s="62">
        <v>0</v>
      </c>
      <c r="F701" s="63">
        <f>G701+H701</f>
        <v>0</v>
      </c>
      <c r="G701" s="63">
        <v>0</v>
      </c>
      <c r="H701" s="64">
        <v>0</v>
      </c>
      <c r="I701" s="79">
        <f>J701+K701</f>
        <v>31833</v>
      </c>
      <c r="J701" s="4">
        <f>G701+J636</f>
        <v>31420</v>
      </c>
      <c r="K701" s="4">
        <f>H701+K636</f>
        <v>413</v>
      </c>
      <c r="L701" s="65" t="e">
        <f>+J701/E701</f>
        <v>#DIV/0!</v>
      </c>
      <c r="M701" s="66">
        <v>35.398400000000002</v>
      </c>
      <c r="N701" s="67">
        <f>+M701*G701</f>
        <v>0</v>
      </c>
      <c r="O701" s="67">
        <f>M701*J701</f>
        <v>1112217.7280000001</v>
      </c>
      <c r="P701" s="1124"/>
    </row>
    <row r="702" spans="2:16" x14ac:dyDescent="0.3">
      <c r="B702" s="1119"/>
      <c r="C702" s="1122"/>
      <c r="D702" s="61" t="s">
        <v>76</v>
      </c>
      <c r="E702" s="62">
        <v>0</v>
      </c>
      <c r="F702" s="63">
        <f t="shared" ref="F702:F705" si="550">G702+H702</f>
        <v>0</v>
      </c>
      <c r="G702" s="63">
        <v>0</v>
      </c>
      <c r="H702" s="64">
        <v>0</v>
      </c>
      <c r="I702" s="79">
        <f t="shared" ref="I702:I711" si="551">J702+K702</f>
        <v>0</v>
      </c>
      <c r="J702" s="4">
        <f t="shared" ref="J702:J727" si="552">G702+J637</f>
        <v>0</v>
      </c>
      <c r="K702" s="4">
        <f t="shared" ref="K702:K706" si="553">H702+K637</f>
        <v>0</v>
      </c>
      <c r="L702" s="65" t="e">
        <f t="shared" ref="L702:L715" si="554">+J702/E702</f>
        <v>#DIV/0!</v>
      </c>
      <c r="M702" s="66">
        <v>32.946300000000001</v>
      </c>
      <c r="N702" s="67">
        <f t="shared" ref="N702:N722" si="555">+M702*G702</f>
        <v>0</v>
      </c>
      <c r="O702" s="67">
        <f t="shared" ref="O702:O710" si="556">M702*J702</f>
        <v>0</v>
      </c>
      <c r="P702" s="1124"/>
    </row>
    <row r="703" spans="2:16" x14ac:dyDescent="0.3">
      <c r="B703" s="1119"/>
      <c r="C703" s="1122" t="s">
        <v>77</v>
      </c>
      <c r="D703" s="61" t="s">
        <v>78</v>
      </c>
      <c r="E703" s="62">
        <v>0</v>
      </c>
      <c r="F703" s="63">
        <f t="shared" si="550"/>
        <v>0</v>
      </c>
      <c r="G703" s="63">
        <v>0</v>
      </c>
      <c r="H703" s="64">
        <v>0</v>
      </c>
      <c r="I703" s="79">
        <f t="shared" si="551"/>
        <v>12279</v>
      </c>
      <c r="J703" s="4">
        <f t="shared" si="552"/>
        <v>12000</v>
      </c>
      <c r="K703" s="4">
        <f t="shared" si="553"/>
        <v>279</v>
      </c>
      <c r="L703" s="65" t="e">
        <f t="shared" si="554"/>
        <v>#DIV/0!</v>
      </c>
      <c r="M703" s="66">
        <v>55.4758</v>
      </c>
      <c r="N703" s="67">
        <f t="shared" si="555"/>
        <v>0</v>
      </c>
      <c r="O703" s="67">
        <f t="shared" si="556"/>
        <v>665709.6</v>
      </c>
      <c r="P703" s="1124"/>
    </row>
    <row r="704" spans="2:16" x14ac:dyDescent="0.3">
      <c r="B704" s="1119"/>
      <c r="C704" s="1122"/>
      <c r="D704" s="61" t="s">
        <v>141</v>
      </c>
      <c r="E704" s="62">
        <v>0</v>
      </c>
      <c r="F704" s="63">
        <f t="shared" si="550"/>
        <v>0</v>
      </c>
      <c r="G704" s="63">
        <v>0</v>
      </c>
      <c r="H704" s="64">
        <v>0</v>
      </c>
      <c r="I704" s="79">
        <f t="shared" si="551"/>
        <v>0</v>
      </c>
      <c r="J704" s="4">
        <f t="shared" si="552"/>
        <v>0</v>
      </c>
      <c r="K704" s="4">
        <f t="shared" si="553"/>
        <v>0</v>
      </c>
      <c r="L704" s="65" t="e">
        <f t="shared" si="554"/>
        <v>#DIV/0!</v>
      </c>
      <c r="M704" s="66">
        <v>53.515999999999998</v>
      </c>
      <c r="N704" s="67">
        <f t="shared" si="555"/>
        <v>0</v>
      </c>
      <c r="O704" s="67">
        <f t="shared" si="556"/>
        <v>0</v>
      </c>
      <c r="P704" s="1124"/>
    </row>
    <row r="705" spans="2:16" x14ac:dyDescent="0.3">
      <c r="B705" s="1119"/>
      <c r="C705" s="1122"/>
      <c r="D705" s="61" t="s">
        <v>75</v>
      </c>
      <c r="E705" s="62">
        <v>0</v>
      </c>
      <c r="F705" s="63">
        <f t="shared" si="550"/>
        <v>0</v>
      </c>
      <c r="G705" s="63">
        <v>0</v>
      </c>
      <c r="H705" s="64">
        <v>0</v>
      </c>
      <c r="I705" s="79">
        <f t="shared" si="551"/>
        <v>9804</v>
      </c>
      <c r="J705" s="4">
        <f t="shared" si="552"/>
        <v>9600</v>
      </c>
      <c r="K705" s="4">
        <f t="shared" si="553"/>
        <v>204</v>
      </c>
      <c r="L705" s="65" t="e">
        <f t="shared" si="554"/>
        <v>#DIV/0!</v>
      </c>
      <c r="M705" s="66">
        <v>58.836300000000001</v>
      </c>
      <c r="N705" s="67">
        <f t="shared" si="555"/>
        <v>0</v>
      </c>
      <c r="O705" s="67">
        <f t="shared" si="556"/>
        <v>564828.48</v>
      </c>
      <c r="P705" s="1124"/>
    </row>
    <row r="706" spans="2:16" x14ac:dyDescent="0.3">
      <c r="B706" s="1119"/>
      <c r="C706" s="1126" t="s">
        <v>79</v>
      </c>
      <c r="D706" s="61" t="s">
        <v>80</v>
      </c>
      <c r="E706" s="62">
        <v>0</v>
      </c>
      <c r="F706" s="63">
        <f>G706+H706</f>
        <v>3015</v>
      </c>
      <c r="G706" s="63">
        <v>3000</v>
      </c>
      <c r="H706" s="64">
        <v>15</v>
      </c>
      <c r="I706" s="79">
        <f t="shared" si="551"/>
        <v>6690</v>
      </c>
      <c r="J706" s="4">
        <f t="shared" si="552"/>
        <v>6575</v>
      </c>
      <c r="K706" s="4">
        <f t="shared" si="553"/>
        <v>115</v>
      </c>
      <c r="L706" s="65" t="e">
        <f t="shared" si="554"/>
        <v>#DIV/0!</v>
      </c>
      <c r="M706" s="66">
        <v>25.687200000000001</v>
      </c>
      <c r="N706" s="67">
        <f t="shared" si="555"/>
        <v>77061.600000000006</v>
      </c>
      <c r="O706" s="67">
        <f t="shared" si="556"/>
        <v>168893.34</v>
      </c>
      <c r="P706" s="1124"/>
    </row>
    <row r="707" spans="2:16" x14ac:dyDescent="0.3">
      <c r="B707" s="1119"/>
      <c r="C707" s="1127"/>
      <c r="D707" s="61" t="s">
        <v>124</v>
      </c>
      <c r="E707" s="62">
        <v>0</v>
      </c>
      <c r="F707" s="63">
        <f>G707+H707</f>
        <v>0</v>
      </c>
      <c r="G707" s="63">
        <v>0</v>
      </c>
      <c r="H707" s="64">
        <v>0</v>
      </c>
      <c r="I707" s="79">
        <f t="shared" si="551"/>
        <v>0</v>
      </c>
      <c r="J707" s="4">
        <f t="shared" si="552"/>
        <v>0</v>
      </c>
      <c r="K707" s="4">
        <f>H707+K642</f>
        <v>0</v>
      </c>
      <c r="L707" s="65" t="e">
        <f t="shared" si="554"/>
        <v>#DIV/0!</v>
      </c>
      <c r="M707" s="66">
        <v>25.033899999999999</v>
      </c>
      <c r="N707" s="67">
        <f t="shared" si="555"/>
        <v>0</v>
      </c>
      <c r="O707" s="67">
        <f t="shared" si="556"/>
        <v>0</v>
      </c>
      <c r="P707" s="1124"/>
    </row>
    <row r="708" spans="2:16" x14ac:dyDescent="0.3">
      <c r="B708" s="1119"/>
      <c r="C708" s="1126" t="s">
        <v>81</v>
      </c>
      <c r="D708" s="61" t="s">
        <v>82</v>
      </c>
      <c r="E708" s="62">
        <v>0</v>
      </c>
      <c r="F708" s="63">
        <f t="shared" ref="F708:F727" si="557">G708+H708</f>
        <v>2085</v>
      </c>
      <c r="G708" s="63">
        <v>2000</v>
      </c>
      <c r="H708" s="64">
        <v>85</v>
      </c>
      <c r="I708" s="79">
        <f t="shared" si="551"/>
        <v>14273</v>
      </c>
      <c r="J708" s="4">
        <f t="shared" si="552"/>
        <v>14000</v>
      </c>
      <c r="K708" s="4">
        <f t="shared" ref="K708:K727" si="558">H708+K643</f>
        <v>273</v>
      </c>
      <c r="L708" s="65" t="e">
        <f t="shared" si="554"/>
        <v>#DIV/0!</v>
      </c>
      <c r="M708" s="66">
        <v>41.992699999999999</v>
      </c>
      <c r="N708" s="67">
        <f t="shared" si="555"/>
        <v>83985.4</v>
      </c>
      <c r="O708" s="67">
        <f t="shared" si="556"/>
        <v>587897.80000000005</v>
      </c>
      <c r="P708" s="1124"/>
    </row>
    <row r="709" spans="2:16" x14ac:dyDescent="0.3">
      <c r="B709" s="1119"/>
      <c r="C709" s="1127"/>
      <c r="D709" s="61" t="s">
        <v>75</v>
      </c>
      <c r="E709" s="62">
        <v>0</v>
      </c>
      <c r="F709" s="63">
        <f t="shared" si="557"/>
        <v>0</v>
      </c>
      <c r="G709" s="63">
        <v>0</v>
      </c>
      <c r="H709" s="64">
        <v>0</v>
      </c>
      <c r="I709" s="79">
        <f t="shared" si="551"/>
        <v>0</v>
      </c>
      <c r="J709" s="4">
        <f t="shared" si="552"/>
        <v>0</v>
      </c>
      <c r="K709" s="4">
        <f t="shared" si="558"/>
        <v>0</v>
      </c>
      <c r="L709" s="65" t="e">
        <f t="shared" si="554"/>
        <v>#DIV/0!</v>
      </c>
      <c r="M709" s="66">
        <v>42.283799999999999</v>
      </c>
      <c r="N709" s="67">
        <f t="shared" si="555"/>
        <v>0</v>
      </c>
      <c r="O709" s="67">
        <f t="shared" si="556"/>
        <v>0</v>
      </c>
      <c r="P709" s="1124"/>
    </row>
    <row r="710" spans="2:16" x14ac:dyDescent="0.3">
      <c r="B710" s="1119"/>
      <c r="C710" s="196" t="s">
        <v>83</v>
      </c>
      <c r="D710" s="61" t="s">
        <v>84</v>
      </c>
      <c r="E710" s="62">
        <v>0</v>
      </c>
      <c r="F710" s="63">
        <f t="shared" si="557"/>
        <v>0</v>
      </c>
      <c r="G710" s="63">
        <v>0</v>
      </c>
      <c r="H710" s="64">
        <v>0</v>
      </c>
      <c r="I710" s="79">
        <f t="shared" si="551"/>
        <v>24803</v>
      </c>
      <c r="J710" s="4">
        <f t="shared" si="552"/>
        <v>24000</v>
      </c>
      <c r="K710" s="4">
        <f t="shared" si="558"/>
        <v>803</v>
      </c>
      <c r="L710" s="65" t="e">
        <f t="shared" si="554"/>
        <v>#DIV/0!</v>
      </c>
      <c r="M710" s="66">
        <v>4.3535000000000004</v>
      </c>
      <c r="N710" s="67">
        <f t="shared" si="555"/>
        <v>0</v>
      </c>
      <c r="O710" s="67">
        <f t="shared" si="556"/>
        <v>104484.00000000001</v>
      </c>
      <c r="P710" s="1124"/>
    </row>
    <row r="711" spans="2:16" x14ac:dyDescent="0.3">
      <c r="B711" s="1119"/>
      <c r="C711" s="1122" t="s">
        <v>85</v>
      </c>
      <c r="D711" s="61" t="s">
        <v>80</v>
      </c>
      <c r="E711" s="62">
        <v>0</v>
      </c>
      <c r="F711" s="63">
        <f t="shared" si="557"/>
        <v>0</v>
      </c>
      <c r="G711" s="63">
        <v>0</v>
      </c>
      <c r="H711" s="64">
        <v>0</v>
      </c>
      <c r="I711" s="79">
        <f t="shared" si="551"/>
        <v>0</v>
      </c>
      <c r="J711" s="4">
        <f t="shared" si="552"/>
        <v>0</v>
      </c>
      <c r="K711" s="4">
        <f t="shared" si="558"/>
        <v>0</v>
      </c>
      <c r="L711" s="65" t="e">
        <f t="shared" si="554"/>
        <v>#DIV/0!</v>
      </c>
      <c r="M711" s="66">
        <v>4.6184000000000003</v>
      </c>
      <c r="N711" s="67">
        <f t="shared" si="555"/>
        <v>0</v>
      </c>
      <c r="O711" s="67">
        <f>M711*J711</f>
        <v>0</v>
      </c>
      <c r="P711" s="1124"/>
    </row>
    <row r="712" spans="2:16" x14ac:dyDescent="0.3">
      <c r="B712" s="1119"/>
      <c r="C712" s="1122"/>
      <c r="D712" s="61" t="s">
        <v>126</v>
      </c>
      <c r="E712" s="62">
        <v>0</v>
      </c>
      <c r="F712" s="63">
        <f t="shared" si="557"/>
        <v>0</v>
      </c>
      <c r="G712" s="63">
        <v>0</v>
      </c>
      <c r="H712" s="64">
        <v>0</v>
      </c>
      <c r="I712" s="79">
        <f>J712+K712</f>
        <v>0</v>
      </c>
      <c r="J712" s="4">
        <f t="shared" si="552"/>
        <v>0</v>
      </c>
      <c r="K712" s="4">
        <f t="shared" si="558"/>
        <v>0</v>
      </c>
      <c r="L712" s="65" t="e">
        <f t="shared" si="554"/>
        <v>#DIV/0!</v>
      </c>
      <c r="M712" s="153">
        <v>4.6184000000000003</v>
      </c>
      <c r="N712" s="67">
        <f t="shared" si="555"/>
        <v>0</v>
      </c>
      <c r="O712" s="67">
        <f>M712*J712</f>
        <v>0</v>
      </c>
      <c r="P712" s="1124"/>
    </row>
    <row r="713" spans="2:16" x14ac:dyDescent="0.3">
      <c r="B713" s="1119"/>
      <c r="C713" s="1122"/>
      <c r="D713" s="61" t="s">
        <v>130</v>
      </c>
      <c r="E713" s="62">
        <v>0</v>
      </c>
      <c r="F713" s="63">
        <f t="shared" si="557"/>
        <v>0</v>
      </c>
      <c r="G713" s="63">
        <v>0</v>
      </c>
      <c r="H713" s="64">
        <v>0</v>
      </c>
      <c r="I713" s="79">
        <f t="shared" ref="I713:I727" si="559">J713+K713</f>
        <v>0</v>
      </c>
      <c r="J713" s="4">
        <f t="shared" si="552"/>
        <v>0</v>
      </c>
      <c r="K713" s="4">
        <f t="shared" si="558"/>
        <v>0</v>
      </c>
      <c r="L713" s="65" t="e">
        <f t="shared" si="554"/>
        <v>#DIV/0!</v>
      </c>
      <c r="M713" s="153">
        <v>4.6184000000000003</v>
      </c>
      <c r="N713" s="67">
        <f t="shared" si="555"/>
        <v>0</v>
      </c>
      <c r="O713" s="67">
        <f t="shared" ref="O713:O718" si="560">M713*J713</f>
        <v>0</v>
      </c>
      <c r="P713" s="1124"/>
    </row>
    <row r="714" spans="2:16" x14ac:dyDescent="0.3">
      <c r="B714" s="1119"/>
      <c r="C714" s="1122"/>
      <c r="D714" s="61" t="s">
        <v>131</v>
      </c>
      <c r="E714" s="62">
        <v>0</v>
      </c>
      <c r="F714" s="63">
        <f t="shared" si="557"/>
        <v>22742</v>
      </c>
      <c r="G714" s="63">
        <v>22000</v>
      </c>
      <c r="H714" s="64">
        <v>742</v>
      </c>
      <c r="I714" s="79">
        <f t="shared" si="559"/>
        <v>216801</v>
      </c>
      <c r="J714" s="4">
        <f t="shared" si="552"/>
        <v>210235</v>
      </c>
      <c r="K714" s="4">
        <f t="shared" si="558"/>
        <v>6566</v>
      </c>
      <c r="L714" s="65" t="e">
        <f t="shared" si="554"/>
        <v>#DIV/0!</v>
      </c>
      <c r="M714" s="153">
        <v>4.7636000000000003</v>
      </c>
      <c r="N714" s="67">
        <f t="shared" si="555"/>
        <v>104799.20000000001</v>
      </c>
      <c r="O714" s="67">
        <f t="shared" si="560"/>
        <v>1001475.4460000001</v>
      </c>
      <c r="P714" s="1124"/>
    </row>
    <row r="715" spans="2:16" x14ac:dyDescent="0.3">
      <c r="B715" s="1119"/>
      <c r="C715" s="1122"/>
      <c r="D715" s="61" t="s">
        <v>86</v>
      </c>
      <c r="E715" s="62">
        <v>0</v>
      </c>
      <c r="F715" s="63">
        <f t="shared" si="557"/>
        <v>0</v>
      </c>
      <c r="G715" s="63">
        <v>0</v>
      </c>
      <c r="H715" s="64">
        <v>0</v>
      </c>
      <c r="I715" s="79">
        <f t="shared" si="559"/>
        <v>0</v>
      </c>
      <c r="J715" s="4">
        <f t="shared" si="552"/>
        <v>0</v>
      </c>
      <c r="K715" s="4">
        <f t="shared" si="558"/>
        <v>0</v>
      </c>
      <c r="L715" s="65" t="e">
        <f t="shared" si="554"/>
        <v>#DIV/0!</v>
      </c>
      <c r="M715" s="66">
        <v>4.8738000000000001</v>
      </c>
      <c r="N715" s="67">
        <f t="shared" si="555"/>
        <v>0</v>
      </c>
      <c r="O715" s="67">
        <f t="shared" si="560"/>
        <v>0</v>
      </c>
      <c r="P715" s="1124"/>
    </row>
    <row r="716" spans="2:16" x14ac:dyDescent="0.3">
      <c r="B716" s="1119"/>
      <c r="C716" s="196" t="s">
        <v>135</v>
      </c>
      <c r="D716" s="61" t="s">
        <v>131</v>
      </c>
      <c r="E716" s="62"/>
      <c r="F716" s="63">
        <f t="shared" si="557"/>
        <v>0</v>
      </c>
      <c r="G716" s="63">
        <v>0</v>
      </c>
      <c r="H716" s="64">
        <v>0</v>
      </c>
      <c r="I716" s="79">
        <f t="shared" si="559"/>
        <v>0</v>
      </c>
      <c r="J716" s="4">
        <f t="shared" si="552"/>
        <v>0</v>
      </c>
      <c r="K716" s="4">
        <f t="shared" si="558"/>
        <v>0</v>
      </c>
      <c r="L716" s="65"/>
      <c r="M716" s="66">
        <v>4.8738000000000001</v>
      </c>
      <c r="N716" s="67">
        <f t="shared" si="555"/>
        <v>0</v>
      </c>
      <c r="O716" s="67">
        <f t="shared" si="560"/>
        <v>0</v>
      </c>
      <c r="P716" s="1124"/>
    </row>
    <row r="717" spans="2:16" x14ac:dyDescent="0.3">
      <c r="B717" s="1119"/>
      <c r="C717" s="1122" t="s">
        <v>87</v>
      </c>
      <c r="D717" s="61" t="s">
        <v>80</v>
      </c>
      <c r="E717" s="62">
        <v>0</v>
      </c>
      <c r="F717" s="63">
        <f t="shared" si="557"/>
        <v>18042</v>
      </c>
      <c r="G717" s="63">
        <v>18000</v>
      </c>
      <c r="H717" s="64">
        <v>42</v>
      </c>
      <c r="I717" s="79">
        <f t="shared" si="559"/>
        <v>190900</v>
      </c>
      <c r="J717" s="4">
        <f t="shared" si="552"/>
        <v>188900</v>
      </c>
      <c r="K717" s="4">
        <f t="shared" si="558"/>
        <v>2000</v>
      </c>
      <c r="L717" s="65" t="e">
        <f t="shared" ref="L717:L727" si="561">+J717/E717</f>
        <v>#DIV/0!</v>
      </c>
      <c r="M717" s="66">
        <v>4.9344999999999999</v>
      </c>
      <c r="N717" s="67">
        <f t="shared" si="555"/>
        <v>88821</v>
      </c>
      <c r="O717" s="67">
        <f t="shared" si="560"/>
        <v>932127.04999999993</v>
      </c>
      <c r="P717" s="1124"/>
    </row>
    <row r="718" spans="2:16" x14ac:dyDescent="0.3">
      <c r="B718" s="1119"/>
      <c r="C718" s="1122"/>
      <c r="D718" s="61" t="s">
        <v>142</v>
      </c>
      <c r="E718" s="62"/>
      <c r="F718" s="63">
        <f t="shared" si="557"/>
        <v>4028</v>
      </c>
      <c r="G718" s="63">
        <v>3050</v>
      </c>
      <c r="H718" s="64">
        <v>978</v>
      </c>
      <c r="I718" s="79">
        <f t="shared" si="559"/>
        <v>4028</v>
      </c>
      <c r="J718" s="4">
        <f t="shared" si="552"/>
        <v>3050</v>
      </c>
      <c r="K718" s="4">
        <f t="shared" si="558"/>
        <v>978</v>
      </c>
      <c r="L718" s="65" t="e">
        <f t="shared" si="561"/>
        <v>#DIV/0!</v>
      </c>
      <c r="M718" s="66">
        <v>4.9344999999999999</v>
      </c>
      <c r="N718" s="67">
        <f t="shared" si="555"/>
        <v>15050.225</v>
      </c>
      <c r="O718" s="67">
        <f t="shared" si="560"/>
        <v>15050.225</v>
      </c>
      <c r="P718" s="1124"/>
    </row>
    <row r="719" spans="2:16" x14ac:dyDescent="0.3">
      <c r="B719" s="1119"/>
      <c r="C719" s="1122"/>
      <c r="D719" s="61" t="s">
        <v>136</v>
      </c>
      <c r="E719" s="62">
        <v>0</v>
      </c>
      <c r="F719" s="63">
        <f t="shared" si="557"/>
        <v>0</v>
      </c>
      <c r="G719" s="155">
        <v>0</v>
      </c>
      <c r="H719" s="156">
        <v>0</v>
      </c>
      <c r="I719" s="157">
        <f t="shared" si="559"/>
        <v>0</v>
      </c>
      <c r="J719" s="4">
        <f t="shared" si="552"/>
        <v>0</v>
      </c>
      <c r="K719" s="4">
        <f t="shared" si="558"/>
        <v>0</v>
      </c>
      <c r="L719" s="158" t="e">
        <f t="shared" si="561"/>
        <v>#DIV/0!</v>
      </c>
      <c r="M719" s="66">
        <v>4.9344999999999999</v>
      </c>
      <c r="N719" s="159">
        <f t="shared" si="555"/>
        <v>0</v>
      </c>
      <c r="O719" s="67">
        <f>M719*J719</f>
        <v>0</v>
      </c>
      <c r="P719" s="1124"/>
    </row>
    <row r="720" spans="2:16" x14ac:dyDescent="0.3">
      <c r="B720" s="1119"/>
      <c r="C720" s="1122" t="s">
        <v>88</v>
      </c>
      <c r="D720" s="61" t="s">
        <v>80</v>
      </c>
      <c r="E720" s="62">
        <v>0</v>
      </c>
      <c r="F720" s="63">
        <f t="shared" si="557"/>
        <v>0</v>
      </c>
      <c r="G720" s="63">
        <v>0</v>
      </c>
      <c r="H720" s="64">
        <v>0</v>
      </c>
      <c r="I720" s="79">
        <f t="shared" si="559"/>
        <v>138276</v>
      </c>
      <c r="J720" s="4">
        <f t="shared" si="552"/>
        <v>130950</v>
      </c>
      <c r="K720" s="4">
        <f t="shared" si="558"/>
        <v>7326</v>
      </c>
      <c r="L720" s="65" t="e">
        <f t="shared" si="561"/>
        <v>#DIV/0!</v>
      </c>
      <c r="M720" s="148">
        <v>5.5069999999999997</v>
      </c>
      <c r="N720" s="67">
        <f t="shared" si="555"/>
        <v>0</v>
      </c>
      <c r="O720" s="67">
        <f>M720*J720</f>
        <v>721141.64999999991</v>
      </c>
      <c r="P720" s="1124"/>
    </row>
    <row r="721" spans="2:16" x14ac:dyDescent="0.3">
      <c r="B721" s="1119"/>
      <c r="C721" s="1122"/>
      <c r="D721" s="61" t="s">
        <v>119</v>
      </c>
      <c r="E721" s="62">
        <v>0</v>
      </c>
      <c r="F721" s="63">
        <f t="shared" si="557"/>
        <v>18198</v>
      </c>
      <c r="G721" s="63">
        <v>17550</v>
      </c>
      <c r="H721" s="64">
        <v>648</v>
      </c>
      <c r="I721" s="79">
        <f t="shared" si="559"/>
        <v>49376</v>
      </c>
      <c r="J721" s="4">
        <f t="shared" si="552"/>
        <v>47700</v>
      </c>
      <c r="K721" s="4">
        <f t="shared" si="558"/>
        <v>1676</v>
      </c>
      <c r="L721" s="65" t="e">
        <f t="shared" si="561"/>
        <v>#DIV/0!</v>
      </c>
      <c r="M721" s="147">
        <v>5.6550000000000002</v>
      </c>
      <c r="N721" s="67">
        <f t="shared" si="555"/>
        <v>99245.25</v>
      </c>
      <c r="O721" s="67">
        <f>M721*J721</f>
        <v>269743.5</v>
      </c>
      <c r="P721" s="1124"/>
    </row>
    <row r="722" spans="2:16" x14ac:dyDescent="0.3">
      <c r="B722" s="1119"/>
      <c r="C722" s="1122"/>
      <c r="D722" s="61" t="s">
        <v>125</v>
      </c>
      <c r="E722" s="62">
        <v>0</v>
      </c>
      <c r="F722" s="63">
        <f t="shared" si="557"/>
        <v>0</v>
      </c>
      <c r="G722" s="63">
        <v>0</v>
      </c>
      <c r="H722" s="64">
        <v>0</v>
      </c>
      <c r="I722" s="79">
        <f t="shared" si="559"/>
        <v>0</v>
      </c>
      <c r="J722" s="4">
        <f t="shared" si="552"/>
        <v>0</v>
      </c>
      <c r="K722" s="4">
        <f t="shared" si="558"/>
        <v>0</v>
      </c>
      <c r="L722" s="65" t="e">
        <f t="shared" si="561"/>
        <v>#DIV/0!</v>
      </c>
      <c r="M722" s="152">
        <v>5.6550000000000002</v>
      </c>
      <c r="N722" s="67">
        <f t="shared" si="555"/>
        <v>0</v>
      </c>
      <c r="O722" s="67">
        <f>M722*J722</f>
        <v>0</v>
      </c>
      <c r="P722" s="1124"/>
    </row>
    <row r="723" spans="2:16" x14ac:dyDescent="0.3">
      <c r="B723" s="1119"/>
      <c r="C723" s="1122"/>
      <c r="D723" s="61" t="s">
        <v>128</v>
      </c>
      <c r="E723" s="62">
        <v>0</v>
      </c>
      <c r="F723" s="63">
        <f t="shared" si="557"/>
        <v>0</v>
      </c>
      <c r="G723" s="63">
        <v>0</v>
      </c>
      <c r="H723" s="64">
        <v>0</v>
      </c>
      <c r="I723" s="79">
        <f t="shared" si="559"/>
        <v>28324</v>
      </c>
      <c r="J723" s="4">
        <f t="shared" si="552"/>
        <v>26710</v>
      </c>
      <c r="K723" s="4">
        <f t="shared" si="558"/>
        <v>1614</v>
      </c>
      <c r="L723" s="65" t="e">
        <f t="shared" si="561"/>
        <v>#DIV/0!</v>
      </c>
      <c r="M723" s="66">
        <v>5.7885299999999997</v>
      </c>
      <c r="N723" s="67">
        <f>+M723*G723</f>
        <v>0</v>
      </c>
      <c r="O723" s="67">
        <f>M723*J723</f>
        <v>154611.63629999998</v>
      </c>
      <c r="P723" s="1124"/>
    </row>
    <row r="724" spans="2:16" x14ac:dyDescent="0.3">
      <c r="B724" s="1119"/>
      <c r="C724" s="1122"/>
      <c r="D724" s="61" t="s">
        <v>143</v>
      </c>
      <c r="E724" s="62">
        <v>0</v>
      </c>
      <c r="F724" s="63">
        <f t="shared" si="557"/>
        <v>0</v>
      </c>
      <c r="G724" s="63">
        <v>0</v>
      </c>
      <c r="H724" s="64">
        <v>0</v>
      </c>
      <c r="I724" s="79">
        <f t="shared" si="559"/>
        <v>0</v>
      </c>
      <c r="J724" s="4">
        <f t="shared" si="552"/>
        <v>0</v>
      </c>
      <c r="K724" s="4">
        <f t="shared" si="558"/>
        <v>0</v>
      </c>
      <c r="L724" s="65" t="e">
        <f t="shared" si="561"/>
        <v>#DIV/0!</v>
      </c>
      <c r="M724" s="152">
        <v>5.6550000000000002</v>
      </c>
      <c r="N724" s="67">
        <f t="shared" ref="N724:N726" si="562">+M724*G724</f>
        <v>0</v>
      </c>
      <c r="O724" s="67">
        <f t="shared" ref="O724:O727" si="563">M724*J724</f>
        <v>0</v>
      </c>
      <c r="P724" s="1124"/>
    </row>
    <row r="725" spans="2:16" x14ac:dyDescent="0.3">
      <c r="B725" s="1119"/>
      <c r="C725" s="196" t="s">
        <v>89</v>
      </c>
      <c r="D725" s="61" t="s">
        <v>80</v>
      </c>
      <c r="E725" s="62">
        <v>0</v>
      </c>
      <c r="F725" s="63">
        <f t="shared" si="557"/>
        <v>0</v>
      </c>
      <c r="G725" s="63">
        <v>0</v>
      </c>
      <c r="H725" s="64">
        <v>0</v>
      </c>
      <c r="I725" s="79">
        <f t="shared" si="559"/>
        <v>0</v>
      </c>
      <c r="J725" s="4">
        <f t="shared" si="552"/>
        <v>0</v>
      </c>
      <c r="K725" s="4">
        <f t="shared" si="558"/>
        <v>0</v>
      </c>
      <c r="L725" s="65" t="e">
        <f t="shared" si="561"/>
        <v>#DIV/0!</v>
      </c>
      <c r="M725" s="66">
        <v>3.2963</v>
      </c>
      <c r="N725" s="67">
        <f t="shared" si="562"/>
        <v>0</v>
      </c>
      <c r="O725" s="67">
        <f t="shared" si="563"/>
        <v>0</v>
      </c>
      <c r="P725" s="1124"/>
    </row>
    <row r="726" spans="2:16" x14ac:dyDescent="0.3">
      <c r="B726" s="1119"/>
      <c r="C726" s="196" t="s">
        <v>90</v>
      </c>
      <c r="D726" s="61" t="s">
        <v>80</v>
      </c>
      <c r="E726" s="62">
        <v>0</v>
      </c>
      <c r="F726" s="63">
        <f t="shared" si="557"/>
        <v>0</v>
      </c>
      <c r="G726" s="63">
        <v>0</v>
      </c>
      <c r="H726" s="64">
        <v>0</v>
      </c>
      <c r="I726" s="79">
        <f t="shared" si="559"/>
        <v>0</v>
      </c>
      <c r="J726" s="4">
        <f t="shared" si="552"/>
        <v>0</v>
      </c>
      <c r="K726" s="4">
        <f t="shared" si="558"/>
        <v>0</v>
      </c>
      <c r="L726" s="65" t="e">
        <f t="shared" si="561"/>
        <v>#DIV/0!</v>
      </c>
      <c r="M726" s="66">
        <v>3.2963</v>
      </c>
      <c r="N726" s="67">
        <f t="shared" si="562"/>
        <v>0</v>
      </c>
      <c r="O726" s="67">
        <f t="shared" si="563"/>
        <v>0</v>
      </c>
      <c r="P726" s="1124"/>
    </row>
    <row r="727" spans="2:16" ht="15" thickBot="1" x14ac:dyDescent="0.35">
      <c r="B727" s="1119"/>
      <c r="C727" s="68" t="s">
        <v>91</v>
      </c>
      <c r="D727" s="69" t="s">
        <v>92</v>
      </c>
      <c r="E727" s="70">
        <v>0</v>
      </c>
      <c r="F727" s="71">
        <f t="shared" si="557"/>
        <v>0</v>
      </c>
      <c r="G727" s="71">
        <v>0</v>
      </c>
      <c r="H727" s="72">
        <v>0</v>
      </c>
      <c r="I727" s="80">
        <f t="shared" si="559"/>
        <v>65030</v>
      </c>
      <c r="J727" s="4">
        <f t="shared" si="552"/>
        <v>65000</v>
      </c>
      <c r="K727" s="4">
        <f t="shared" si="558"/>
        <v>30</v>
      </c>
      <c r="L727" s="65" t="e">
        <f t="shared" si="561"/>
        <v>#DIV/0!</v>
      </c>
      <c r="M727" s="73">
        <v>2.3201000000000001</v>
      </c>
      <c r="N727" s="74">
        <f t="shared" ref="N727" si="564">M727*G727</f>
        <v>0</v>
      </c>
      <c r="O727" s="74">
        <f t="shared" si="563"/>
        <v>150806.5</v>
      </c>
      <c r="P727" s="1125"/>
    </row>
    <row r="728" spans="2:16" ht="15" thickBot="1" x14ac:dyDescent="0.35">
      <c r="B728" s="1120"/>
      <c r="C728" s="1128" t="s">
        <v>106</v>
      </c>
      <c r="D728" s="1129"/>
      <c r="E728" s="1129"/>
      <c r="F728" s="1129"/>
      <c r="G728" s="1129"/>
      <c r="H728" s="1130"/>
      <c r="I728" s="116">
        <f>J728+K728</f>
        <v>802487</v>
      </c>
      <c r="J728" s="115">
        <f>SUM(J700:J727)</f>
        <v>780140</v>
      </c>
      <c r="K728" s="115">
        <f>SUM(K700:K727)</f>
        <v>22347</v>
      </c>
      <c r="L728" s="114"/>
      <c r="M728" s="113"/>
      <c r="N728" s="114"/>
      <c r="O728" s="97">
        <f>SUM(O700:O727)</f>
        <v>6778449.9553000005</v>
      </c>
      <c r="P728" s="96"/>
    </row>
    <row r="729" spans="2:16" ht="15" thickBot="1" x14ac:dyDescent="0.35">
      <c r="B729" s="100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2"/>
    </row>
    <row r="730" spans="2:16" ht="15" thickBot="1" x14ac:dyDescent="0.35">
      <c r="B730" s="1113" t="s">
        <v>107</v>
      </c>
      <c r="C730" s="1114"/>
      <c r="D730" s="1114"/>
      <c r="E730" s="1114"/>
      <c r="F730" s="1114"/>
      <c r="G730" s="1114"/>
      <c r="H730" s="1114"/>
      <c r="I730" s="1114"/>
      <c r="J730" s="1114"/>
      <c r="K730" s="1114"/>
      <c r="L730" s="1114"/>
      <c r="M730" s="1114"/>
      <c r="N730" s="1115"/>
      <c r="O730" s="103">
        <f>+O728+O699+O684</f>
        <v>14743500.3013</v>
      </c>
      <c r="P730" s="96"/>
    </row>
    <row r="731" spans="2:16" ht="15" thickBot="1" x14ac:dyDescent="0.35"/>
    <row r="732" spans="2:16" x14ac:dyDescent="0.3">
      <c r="B732" s="1147" t="s">
        <v>1</v>
      </c>
      <c r="C732" s="1149" t="s">
        <v>2</v>
      </c>
      <c r="D732" s="1152" t="s">
        <v>3</v>
      </c>
      <c r="E732" s="1155" t="s">
        <v>4</v>
      </c>
      <c r="F732" s="1156"/>
      <c r="G732" s="1156"/>
      <c r="H732" s="1156"/>
      <c r="I732" s="1156"/>
      <c r="J732" s="1156"/>
      <c r="K732" s="1156"/>
      <c r="L732" s="1157"/>
      <c r="M732" s="1158" t="s">
        <v>5</v>
      </c>
      <c r="N732" s="1159"/>
      <c r="O732" s="1160"/>
      <c r="P732" s="1152" t="s">
        <v>6</v>
      </c>
    </row>
    <row r="733" spans="2:16" x14ac:dyDescent="0.3">
      <c r="B733" s="1148"/>
      <c r="C733" s="1150"/>
      <c r="D733" s="1153"/>
      <c r="E733" s="1161" t="s">
        <v>7</v>
      </c>
      <c r="F733" s="1163" t="s">
        <v>159</v>
      </c>
      <c r="G733" s="1163"/>
      <c r="H733" s="1164"/>
      <c r="I733" s="1165" t="s">
        <v>8</v>
      </c>
      <c r="J733" s="1163"/>
      <c r="K733" s="1163"/>
      <c r="L733" s="1164" t="s">
        <v>9</v>
      </c>
      <c r="M733" s="1167" t="s">
        <v>10</v>
      </c>
      <c r="N733" s="1169" t="s">
        <v>11</v>
      </c>
      <c r="O733" s="1171" t="s">
        <v>12</v>
      </c>
      <c r="P733" s="1153"/>
    </row>
    <row r="734" spans="2:16" ht="15" thickBot="1" x14ac:dyDescent="0.35">
      <c r="B734" s="1148"/>
      <c r="C734" s="1151"/>
      <c r="D734" s="1154"/>
      <c r="E734" s="1162"/>
      <c r="F734" s="2" t="s">
        <v>13</v>
      </c>
      <c r="G734" s="2" t="s">
        <v>14</v>
      </c>
      <c r="H734" s="203" t="s">
        <v>15</v>
      </c>
      <c r="I734" s="142" t="s">
        <v>13</v>
      </c>
      <c r="J734" s="2" t="s">
        <v>14</v>
      </c>
      <c r="K734" s="2" t="s">
        <v>15</v>
      </c>
      <c r="L734" s="1166"/>
      <c r="M734" s="1168"/>
      <c r="N734" s="1170"/>
      <c r="O734" s="1172"/>
      <c r="P734" s="1154"/>
    </row>
    <row r="735" spans="2:16" x14ac:dyDescent="0.3">
      <c r="B735" s="1131" t="s">
        <v>56</v>
      </c>
      <c r="C735" s="29"/>
      <c r="D735" s="117" t="s">
        <v>151</v>
      </c>
      <c r="E735" s="98">
        <v>0</v>
      </c>
      <c r="F735" s="4">
        <f>+G735+H735</f>
        <v>0</v>
      </c>
      <c r="G735" s="4">
        <v>0</v>
      </c>
      <c r="H735" s="8">
        <v>0</v>
      </c>
      <c r="I735" s="6">
        <f>J735+K735</f>
        <v>285266</v>
      </c>
      <c r="J735" s="4">
        <f>G735+J670</f>
        <v>280000</v>
      </c>
      <c r="K735" s="4">
        <f>H735+K670</f>
        <v>5266</v>
      </c>
      <c r="L735" s="33" t="e">
        <f>+J735/E735</f>
        <v>#DIV/0!</v>
      </c>
      <c r="M735" s="104">
        <v>1.3652</v>
      </c>
      <c r="N735" s="31">
        <f>G735*M735</f>
        <v>0</v>
      </c>
      <c r="O735" s="86">
        <f>M735*J735</f>
        <v>382256</v>
      </c>
      <c r="P735" s="1133"/>
    </row>
    <row r="736" spans="2:16" x14ac:dyDescent="0.3">
      <c r="B736" s="1132"/>
      <c r="C736" s="32"/>
      <c r="D736" s="118" t="s">
        <v>116</v>
      </c>
      <c r="E736" s="99">
        <v>0</v>
      </c>
      <c r="F736" s="9">
        <f>+G736+H736</f>
        <v>0</v>
      </c>
      <c r="G736" s="9">
        <v>0</v>
      </c>
      <c r="H736" s="10">
        <v>0</v>
      </c>
      <c r="I736" s="6">
        <f>J736+K736</f>
        <v>0</v>
      </c>
      <c r="J736" s="4">
        <f>+G736+J671</f>
        <v>0</v>
      </c>
      <c r="K736" s="4">
        <f>+H736+K671</f>
        <v>0</v>
      </c>
      <c r="L736" s="33"/>
      <c r="M736" s="105">
        <v>5.9917999999999996</v>
      </c>
      <c r="N736" s="34">
        <f>M736*G736</f>
        <v>0</v>
      </c>
      <c r="O736" s="87">
        <f>M736*J736</f>
        <v>0</v>
      </c>
      <c r="P736" s="1134"/>
    </row>
    <row r="737" spans="2:16" x14ac:dyDescent="0.3">
      <c r="B737" s="1132"/>
      <c r="C737" s="35"/>
      <c r="D737" s="119" t="s">
        <v>58</v>
      </c>
      <c r="E737" s="99">
        <v>0</v>
      </c>
      <c r="F737" s="9">
        <f t="shared" ref="F737:F741" si="565">+G737+H737</f>
        <v>231586</v>
      </c>
      <c r="G737" s="9">
        <v>230000</v>
      </c>
      <c r="H737" s="10">
        <v>1586</v>
      </c>
      <c r="I737" s="6">
        <f t="shared" ref="I737:I741" si="566">J737+K737</f>
        <v>2263092</v>
      </c>
      <c r="J737" s="4">
        <f t="shared" ref="J737:J741" si="567">+G737+J672</f>
        <v>2245750</v>
      </c>
      <c r="K737" s="4">
        <f t="shared" ref="K737:K741" si="568">+H737+K672</f>
        <v>17342</v>
      </c>
      <c r="L737" s="33" t="e">
        <f t="shared" ref="L737" si="569">+J737/E737</f>
        <v>#DIV/0!</v>
      </c>
      <c r="M737" s="106">
        <v>2.3807999999999998</v>
      </c>
      <c r="N737" s="36">
        <f>G737*M737</f>
        <v>547584</v>
      </c>
      <c r="O737" s="88">
        <f>M737*J737</f>
        <v>5346681.5999999996</v>
      </c>
      <c r="P737" s="1134"/>
    </row>
    <row r="738" spans="2:16" x14ac:dyDescent="0.3">
      <c r="B738" s="1132"/>
      <c r="C738" s="35"/>
      <c r="D738" s="119" t="s">
        <v>59</v>
      </c>
      <c r="E738" s="99">
        <v>0</v>
      </c>
      <c r="F738" s="9">
        <f t="shared" si="565"/>
        <v>0</v>
      </c>
      <c r="G738" s="9">
        <v>0</v>
      </c>
      <c r="H738" s="10">
        <v>0</v>
      </c>
      <c r="I738" s="6">
        <f t="shared" si="566"/>
        <v>0</v>
      </c>
      <c r="J738" s="4">
        <f t="shared" si="567"/>
        <v>0</v>
      </c>
      <c r="K738" s="4">
        <f t="shared" si="568"/>
        <v>0</v>
      </c>
      <c r="L738" s="33"/>
      <c r="M738" s="106">
        <v>2.1457999999999999</v>
      </c>
      <c r="N738" s="36">
        <f t="shared" ref="N738:N741" si="570">G738*M738</f>
        <v>0</v>
      </c>
      <c r="O738" s="88">
        <f>M738*J738</f>
        <v>0</v>
      </c>
      <c r="P738" s="1134"/>
    </row>
    <row r="739" spans="2:16" x14ac:dyDescent="0.3">
      <c r="B739" s="1132"/>
      <c r="C739" s="35"/>
      <c r="D739" s="119" t="s">
        <v>113</v>
      </c>
      <c r="E739" s="99">
        <v>0</v>
      </c>
      <c r="F739" s="9">
        <f t="shared" si="565"/>
        <v>0</v>
      </c>
      <c r="G739" s="9">
        <v>0</v>
      </c>
      <c r="H739" s="10">
        <v>0</v>
      </c>
      <c r="I739" s="6">
        <f t="shared" si="566"/>
        <v>0</v>
      </c>
      <c r="J739" s="4">
        <f t="shared" si="567"/>
        <v>0</v>
      </c>
      <c r="K739" s="4">
        <f t="shared" si="568"/>
        <v>0</v>
      </c>
      <c r="L739" s="33" t="e">
        <f t="shared" ref="L739:L740" si="571">+J739/E739</f>
        <v>#DIV/0!</v>
      </c>
      <c r="M739" s="143">
        <v>4.0426000000000002</v>
      </c>
      <c r="N739" s="36">
        <f t="shared" si="570"/>
        <v>0</v>
      </c>
      <c r="O739" s="88">
        <f>M739*J739</f>
        <v>0</v>
      </c>
      <c r="P739" s="1134"/>
    </row>
    <row r="740" spans="2:16" x14ac:dyDescent="0.3">
      <c r="B740" s="1132"/>
      <c r="C740" s="35"/>
      <c r="D740" s="119" t="s">
        <v>117</v>
      </c>
      <c r="E740" s="99">
        <v>0</v>
      </c>
      <c r="F740" s="9">
        <f t="shared" si="565"/>
        <v>0</v>
      </c>
      <c r="G740" s="9">
        <v>0</v>
      </c>
      <c r="H740" s="10">
        <v>0</v>
      </c>
      <c r="I740" s="6">
        <f t="shared" si="566"/>
        <v>0</v>
      </c>
      <c r="J740" s="4">
        <f t="shared" si="567"/>
        <v>0</v>
      </c>
      <c r="K740" s="4">
        <f t="shared" si="568"/>
        <v>0</v>
      </c>
      <c r="L740" s="33" t="e">
        <f t="shared" si="571"/>
        <v>#DIV/0!</v>
      </c>
      <c r="M740" s="143">
        <v>3.8715000000000002</v>
      </c>
      <c r="N740" s="36">
        <f t="shared" si="570"/>
        <v>0</v>
      </c>
      <c r="O740" s="88">
        <f t="shared" ref="O740:O741" si="572">M740*J740</f>
        <v>0</v>
      </c>
      <c r="P740" s="1134"/>
    </row>
    <row r="741" spans="2:16" ht="15" thickBot="1" x14ac:dyDescent="0.35">
      <c r="B741" s="1132"/>
      <c r="C741" s="82"/>
      <c r="D741" s="120" t="s">
        <v>60</v>
      </c>
      <c r="E741" s="108">
        <v>0</v>
      </c>
      <c r="F741" s="12">
        <f t="shared" si="565"/>
        <v>0</v>
      </c>
      <c r="G741" s="12">
        <v>0</v>
      </c>
      <c r="H741" s="13">
        <v>0</v>
      </c>
      <c r="I741" s="21">
        <f t="shared" si="566"/>
        <v>0</v>
      </c>
      <c r="J741" s="4">
        <f t="shared" si="567"/>
        <v>0</v>
      </c>
      <c r="K741" s="4">
        <f t="shared" si="568"/>
        <v>0</v>
      </c>
      <c r="L741" s="81"/>
      <c r="M741" s="127">
        <v>12.284700000000001</v>
      </c>
      <c r="N741" s="36">
        <f t="shared" si="570"/>
        <v>0</v>
      </c>
      <c r="O741" s="128">
        <f t="shared" si="572"/>
        <v>0</v>
      </c>
      <c r="P741" s="1134"/>
    </row>
    <row r="742" spans="2:16" ht="15" thickBot="1" x14ac:dyDescent="0.35">
      <c r="B742" s="1132"/>
      <c r="C742" s="1137" t="s">
        <v>111</v>
      </c>
      <c r="D742" s="1138"/>
      <c r="E742" s="129"/>
      <c r="F742" s="130">
        <f>SUM(F735:F741)</f>
        <v>231586</v>
      </c>
      <c r="G742" s="130">
        <f>SUM(G735:G741)</f>
        <v>230000</v>
      </c>
      <c r="H742" s="131">
        <f>SUM(H735:H741)</f>
        <v>1586</v>
      </c>
      <c r="I742" s="132">
        <f>+J742+K742</f>
        <v>2548358</v>
      </c>
      <c r="J742" s="133">
        <f>SUM(J735:J741)</f>
        <v>2525750</v>
      </c>
      <c r="K742" s="133">
        <f>SUM(K735:K741)</f>
        <v>22608</v>
      </c>
      <c r="L742" s="134"/>
      <c r="M742" s="135"/>
      <c r="N742" s="136"/>
      <c r="O742" s="137">
        <f>SUM(O735:O741)</f>
        <v>5728937.5999999996</v>
      </c>
      <c r="P742" s="1135"/>
    </row>
    <row r="743" spans="2:16" x14ac:dyDescent="0.3">
      <c r="B743" s="1132"/>
      <c r="C743" s="32"/>
      <c r="D743" s="118" t="s">
        <v>61</v>
      </c>
      <c r="E743" s="98">
        <v>0</v>
      </c>
      <c r="F743" s="4">
        <f t="shared" ref="F743:F746" si="573">+G743+H743</f>
        <v>0</v>
      </c>
      <c r="G743" s="4">
        <v>0</v>
      </c>
      <c r="H743" s="8">
        <v>0</v>
      </c>
      <c r="I743" s="6">
        <f t="shared" ref="I743:I747" si="574">J743+K743</f>
        <v>0</v>
      </c>
      <c r="J743" s="4">
        <f>G743+J678</f>
        <v>0</v>
      </c>
      <c r="K743" s="4">
        <f>H743+K678</f>
        <v>0</v>
      </c>
      <c r="L743" s="33" t="e">
        <f t="shared" ref="L743" si="575">+J743/E743</f>
        <v>#DIV/0!</v>
      </c>
      <c r="M743" s="105">
        <v>12.029500000000001</v>
      </c>
      <c r="N743" s="34">
        <f>M743*G743</f>
        <v>0</v>
      </c>
      <c r="O743" s="87">
        <f t="shared" ref="O743:O745" si="576">M743*J743</f>
        <v>0</v>
      </c>
      <c r="P743" s="1134"/>
    </row>
    <row r="744" spans="2:16" x14ac:dyDescent="0.3">
      <c r="B744" s="1132"/>
      <c r="C744" s="35"/>
      <c r="D744" s="119" t="s">
        <v>62</v>
      </c>
      <c r="E744" s="99">
        <v>0</v>
      </c>
      <c r="F744" s="9">
        <f t="shared" si="573"/>
        <v>0</v>
      </c>
      <c r="G744" s="9">
        <v>0</v>
      </c>
      <c r="H744" s="10">
        <v>0</v>
      </c>
      <c r="I744" s="6">
        <f t="shared" si="574"/>
        <v>0</v>
      </c>
      <c r="J744" s="4">
        <f>G744+J679</f>
        <v>0</v>
      </c>
      <c r="K744" s="4">
        <f>H744+K679</f>
        <v>0</v>
      </c>
      <c r="L744" s="33"/>
      <c r="M744" s="106">
        <v>0</v>
      </c>
      <c r="N744" s="36"/>
      <c r="O744" s="88">
        <f t="shared" si="576"/>
        <v>0</v>
      </c>
      <c r="P744" s="1134"/>
    </row>
    <row r="745" spans="2:16" x14ac:dyDescent="0.3">
      <c r="B745" s="1132"/>
      <c r="C745" s="35"/>
      <c r="D745" s="119" t="s">
        <v>104</v>
      </c>
      <c r="E745" s="99">
        <v>0</v>
      </c>
      <c r="F745" s="9">
        <f t="shared" si="573"/>
        <v>0</v>
      </c>
      <c r="G745" s="9">
        <v>0</v>
      </c>
      <c r="H745" s="10">
        <v>0</v>
      </c>
      <c r="I745" s="6">
        <f t="shared" si="574"/>
        <v>0</v>
      </c>
      <c r="J745" s="4">
        <f t="shared" ref="J745:J747" si="577">G745+J680</f>
        <v>0</v>
      </c>
      <c r="K745" s="4">
        <f t="shared" ref="K745:K747" si="578">H745+K680</f>
        <v>0</v>
      </c>
      <c r="L745" s="33" t="e">
        <f t="shared" ref="L745:L747" si="579">+J745/E745</f>
        <v>#DIV/0!</v>
      </c>
      <c r="M745" s="106">
        <v>19.688600000000001</v>
      </c>
      <c r="N745" s="36">
        <f>M745*G745</f>
        <v>0</v>
      </c>
      <c r="O745" s="88">
        <f t="shared" si="576"/>
        <v>0</v>
      </c>
      <c r="P745" s="1134"/>
    </row>
    <row r="746" spans="2:16" x14ac:dyDescent="0.3">
      <c r="B746" s="1132"/>
      <c r="C746" s="35"/>
      <c r="D746" s="119" t="s">
        <v>64</v>
      </c>
      <c r="E746" s="99">
        <v>0</v>
      </c>
      <c r="F746" s="9">
        <f t="shared" si="573"/>
        <v>0</v>
      </c>
      <c r="G746" s="9">
        <v>0</v>
      </c>
      <c r="H746" s="10">
        <v>0</v>
      </c>
      <c r="I746" s="6">
        <f t="shared" si="574"/>
        <v>0</v>
      </c>
      <c r="J746" s="4">
        <f t="shared" si="577"/>
        <v>0</v>
      </c>
      <c r="K746" s="4">
        <f t="shared" si="578"/>
        <v>0</v>
      </c>
      <c r="L746" s="33" t="e">
        <f t="shared" si="579"/>
        <v>#DIV/0!</v>
      </c>
      <c r="M746" s="106">
        <v>1.2824</v>
      </c>
      <c r="N746" s="151">
        <f>M746*G746</f>
        <v>0</v>
      </c>
      <c r="O746" s="88">
        <f>M746*J746</f>
        <v>0</v>
      </c>
      <c r="P746" s="1134"/>
    </row>
    <row r="747" spans="2:16" ht="15" thickBot="1" x14ac:dyDescent="0.35">
      <c r="B747" s="1132"/>
      <c r="C747" s="82"/>
      <c r="D747" s="120" t="s">
        <v>63</v>
      </c>
      <c r="E747" s="108">
        <v>0</v>
      </c>
      <c r="F747" s="12">
        <v>0</v>
      </c>
      <c r="G747" s="12">
        <v>12960</v>
      </c>
      <c r="H747" s="13">
        <v>184</v>
      </c>
      <c r="I747" s="21">
        <f t="shared" si="574"/>
        <v>48090</v>
      </c>
      <c r="J747" s="4">
        <f t="shared" si="577"/>
        <v>47520</v>
      </c>
      <c r="K747" s="4">
        <f t="shared" si="578"/>
        <v>570</v>
      </c>
      <c r="L747" s="81" t="e">
        <f t="shared" si="579"/>
        <v>#DIV/0!</v>
      </c>
      <c r="M747" s="107">
        <v>18.2316</v>
      </c>
      <c r="N747" s="75"/>
      <c r="O747" s="89">
        <f t="shared" ref="O747" si="580">M747*J747</f>
        <v>866365.63199999998</v>
      </c>
      <c r="P747" s="1136"/>
    </row>
    <row r="748" spans="2:16" ht="15" thickBot="1" x14ac:dyDescent="0.35">
      <c r="B748" s="1116" t="s">
        <v>112</v>
      </c>
      <c r="C748" s="1117"/>
      <c r="D748" s="1117"/>
      <c r="E748" s="124"/>
      <c r="F748" s="125">
        <f>+G748+H748</f>
        <v>13144</v>
      </c>
      <c r="G748" s="125">
        <f>SUM(G743:G747)</f>
        <v>12960</v>
      </c>
      <c r="H748" s="126">
        <f>SUM(H743:H747)</f>
        <v>184</v>
      </c>
      <c r="I748" s="121">
        <f>J748+K748</f>
        <v>48090</v>
      </c>
      <c r="J748" s="122">
        <f>SUM(J743:J747)</f>
        <v>47520</v>
      </c>
      <c r="K748" s="123">
        <f>SUM(K743:K747)</f>
        <v>570</v>
      </c>
      <c r="L748" s="138"/>
      <c r="M748" s="139"/>
      <c r="N748" s="140"/>
      <c r="O748" s="141">
        <f>SUM(O743:O747)</f>
        <v>866365.63199999998</v>
      </c>
      <c r="P748" s="201"/>
    </row>
    <row r="749" spans="2:16" ht="15" thickBot="1" x14ac:dyDescent="0.35">
      <c r="B749" s="1116" t="s">
        <v>105</v>
      </c>
      <c r="C749" s="1117"/>
      <c r="D749" s="1117"/>
      <c r="E749" s="1139"/>
      <c r="F749" s="1139"/>
      <c r="G749" s="1139"/>
      <c r="H749" s="1139"/>
      <c r="I749" s="1117"/>
      <c r="J749" s="1117"/>
      <c r="K749" s="1117"/>
      <c r="L749" s="1117"/>
      <c r="M749" s="1117"/>
      <c r="N749" s="1140"/>
      <c r="O749" s="83">
        <f>O742+O748</f>
        <v>6595303.2319999998</v>
      </c>
      <c r="P749" s="201"/>
    </row>
    <row r="750" spans="2:16" x14ac:dyDescent="0.3">
      <c r="B750" s="1131" t="s">
        <v>65</v>
      </c>
      <c r="C750" s="37" t="s">
        <v>66</v>
      </c>
      <c r="D750" s="28" t="s">
        <v>67</v>
      </c>
      <c r="E750" s="38">
        <v>0</v>
      </c>
      <c r="F750" s="14">
        <f>+G750+H750</f>
        <v>0</v>
      </c>
      <c r="G750" s="14">
        <v>0</v>
      </c>
      <c r="H750" s="5">
        <v>0</v>
      </c>
      <c r="I750" s="17">
        <f t="shared" ref="I750:I756" si="581">J750+K750</f>
        <v>0</v>
      </c>
      <c r="J750" s="4">
        <f>G750+J685</f>
        <v>0</v>
      </c>
      <c r="K750" s="4">
        <f>H750+K685</f>
        <v>0</v>
      </c>
      <c r="L750" s="30" t="e">
        <f>+J750/E750</f>
        <v>#DIV/0!</v>
      </c>
      <c r="M750" s="146">
        <v>2.2141000000000002</v>
      </c>
      <c r="N750" s="15">
        <f>+M750*G750</f>
        <v>0</v>
      </c>
      <c r="O750" s="90">
        <f>+M750*J750</f>
        <v>0</v>
      </c>
      <c r="P750" s="1142"/>
    </row>
    <row r="751" spans="2:16" x14ac:dyDescent="0.3">
      <c r="B751" s="1132"/>
      <c r="C751" s="39"/>
      <c r="D751" s="22" t="s">
        <v>68</v>
      </c>
      <c r="E751" s="3">
        <v>0</v>
      </c>
      <c r="F751" s="9">
        <f t="shared" ref="F751:F756" si="582">+G751+H751</f>
        <v>0</v>
      </c>
      <c r="G751" s="4">
        <v>0</v>
      </c>
      <c r="H751" s="8">
        <v>0</v>
      </c>
      <c r="I751" s="6">
        <f t="shared" si="581"/>
        <v>0</v>
      </c>
      <c r="J751" s="4">
        <f>+G751+J686</f>
        <v>0</v>
      </c>
      <c r="K751" s="4">
        <f>+H751+K686</f>
        <v>0</v>
      </c>
      <c r="L751" s="40" t="e">
        <f t="shared" ref="L751:L752" si="583">+J751/E751</f>
        <v>#DIV/0!</v>
      </c>
      <c r="M751" s="145">
        <v>2.4565999999999999</v>
      </c>
      <c r="N751" s="11">
        <f t="shared" ref="N751:N753" si="584">+M751*G751</f>
        <v>0</v>
      </c>
      <c r="O751" s="91">
        <f t="shared" ref="O751:O753" si="585">+M751*J751</f>
        <v>0</v>
      </c>
      <c r="P751" s="1143"/>
    </row>
    <row r="752" spans="2:16" x14ac:dyDescent="0.3">
      <c r="B752" s="1132"/>
      <c r="C752" s="39"/>
      <c r="D752" s="23" t="s">
        <v>133</v>
      </c>
      <c r="E752" s="3">
        <v>0</v>
      </c>
      <c r="F752" s="9">
        <f t="shared" si="582"/>
        <v>0</v>
      </c>
      <c r="G752" s="4">
        <v>0</v>
      </c>
      <c r="H752" s="8">
        <v>0</v>
      </c>
      <c r="I752" s="6">
        <f t="shared" si="581"/>
        <v>0</v>
      </c>
      <c r="J752" s="4">
        <f t="shared" ref="J752:J753" si="586">+G752+J687</f>
        <v>0</v>
      </c>
      <c r="K752" s="4">
        <f t="shared" ref="K752:K756" si="587">+H752+K687</f>
        <v>0</v>
      </c>
      <c r="L752" s="40" t="e">
        <f t="shared" si="583"/>
        <v>#DIV/0!</v>
      </c>
      <c r="M752" s="145">
        <v>2.2907000000000002</v>
      </c>
      <c r="N752" s="11">
        <f t="shared" si="584"/>
        <v>0</v>
      </c>
      <c r="O752" s="91">
        <f t="shared" si="585"/>
        <v>0</v>
      </c>
      <c r="P752" s="1143"/>
    </row>
    <row r="753" spans="2:16" x14ac:dyDescent="0.3">
      <c r="B753" s="1132"/>
      <c r="C753" s="39"/>
      <c r="D753" s="22" t="s">
        <v>138</v>
      </c>
      <c r="E753" s="3"/>
      <c r="F753" s="9">
        <f t="shared" si="582"/>
        <v>0</v>
      </c>
      <c r="G753" s="4">
        <v>0</v>
      </c>
      <c r="H753" s="8">
        <v>0</v>
      </c>
      <c r="I753" s="6">
        <f t="shared" si="581"/>
        <v>0</v>
      </c>
      <c r="J753" s="4">
        <f t="shared" si="586"/>
        <v>0</v>
      </c>
      <c r="K753" s="4">
        <f t="shared" si="587"/>
        <v>0</v>
      </c>
      <c r="L753" s="33"/>
      <c r="M753" s="150">
        <v>2.544</v>
      </c>
      <c r="N753" s="11">
        <f t="shared" si="584"/>
        <v>0</v>
      </c>
      <c r="O753" s="91">
        <f t="shared" si="585"/>
        <v>0</v>
      </c>
      <c r="P753" s="1143"/>
    </row>
    <row r="754" spans="2:16" x14ac:dyDescent="0.3">
      <c r="B754" s="1132"/>
      <c r="C754" s="39" t="s">
        <v>69</v>
      </c>
      <c r="D754" s="22" t="s">
        <v>140</v>
      </c>
      <c r="E754" s="3">
        <v>0</v>
      </c>
      <c r="F754" s="9">
        <f t="shared" si="582"/>
        <v>20100</v>
      </c>
      <c r="G754" s="4">
        <v>18750</v>
      </c>
      <c r="H754" s="8">
        <v>1350</v>
      </c>
      <c r="I754" s="6">
        <f t="shared" si="581"/>
        <v>544662</v>
      </c>
      <c r="J754" s="4">
        <f>+G754+J689</f>
        <v>530500</v>
      </c>
      <c r="K754" s="4">
        <f t="shared" si="587"/>
        <v>14162</v>
      </c>
      <c r="L754" s="33" t="e">
        <f>+J754/E754</f>
        <v>#DIV/0!</v>
      </c>
      <c r="M754" s="144">
        <v>2.2141000000000002</v>
      </c>
      <c r="N754" s="7">
        <f>+M754*G754</f>
        <v>41514.375</v>
      </c>
      <c r="O754" s="85">
        <f>+M754*J754</f>
        <v>1174580.05</v>
      </c>
      <c r="P754" s="1143"/>
    </row>
    <row r="755" spans="2:16" x14ac:dyDescent="0.3">
      <c r="B755" s="1132"/>
      <c r="C755" s="39"/>
      <c r="D755" s="22" t="s">
        <v>68</v>
      </c>
      <c r="E755" s="3">
        <v>0</v>
      </c>
      <c r="F755" s="9">
        <f t="shared" si="582"/>
        <v>0</v>
      </c>
      <c r="G755" s="4">
        <v>0</v>
      </c>
      <c r="H755" s="8">
        <v>0</v>
      </c>
      <c r="I755" s="6">
        <f t="shared" si="581"/>
        <v>0</v>
      </c>
      <c r="J755" s="4">
        <f t="shared" ref="J755:J756" si="588">+G755+J690</f>
        <v>0</v>
      </c>
      <c r="K755" s="4">
        <f t="shared" si="587"/>
        <v>0</v>
      </c>
      <c r="L755" s="40" t="e">
        <f t="shared" ref="L755:L756" si="589">+J755/E755</f>
        <v>#DIV/0!</v>
      </c>
      <c r="M755" s="145">
        <v>2.4565999999999999</v>
      </c>
      <c r="N755" s="11">
        <f t="shared" ref="N755:N756" si="590">+M755*G755</f>
        <v>0</v>
      </c>
      <c r="O755" s="91">
        <f t="shared" ref="O755" si="591">+M755*J755</f>
        <v>0</v>
      </c>
      <c r="P755" s="1143"/>
    </row>
    <row r="756" spans="2:16" ht="15" thickBot="1" x14ac:dyDescent="0.35">
      <c r="B756" s="1132"/>
      <c r="C756" s="39"/>
      <c r="D756" s="22" t="s">
        <v>133</v>
      </c>
      <c r="E756" s="3">
        <v>0</v>
      </c>
      <c r="F756" s="9">
        <f t="shared" si="582"/>
        <v>0</v>
      </c>
      <c r="G756" s="4">
        <v>0</v>
      </c>
      <c r="H756" s="8">
        <v>0</v>
      </c>
      <c r="I756" s="6">
        <f t="shared" si="581"/>
        <v>0</v>
      </c>
      <c r="J756" s="4">
        <f t="shared" si="588"/>
        <v>0</v>
      </c>
      <c r="K756" s="4">
        <f t="shared" si="587"/>
        <v>0</v>
      </c>
      <c r="L756" s="40" t="e">
        <f t="shared" si="589"/>
        <v>#DIV/0!</v>
      </c>
      <c r="M756" s="145">
        <v>2.2907000000000002</v>
      </c>
      <c r="N756" s="11">
        <f t="shared" si="590"/>
        <v>0</v>
      </c>
      <c r="O756" s="154">
        <f>+M756*J756</f>
        <v>0</v>
      </c>
      <c r="P756" s="1144"/>
    </row>
    <row r="757" spans="2:16" ht="15" thickBot="1" x14ac:dyDescent="0.35">
      <c r="B757" s="1132"/>
      <c r="C757" s="41" t="s">
        <v>29</v>
      </c>
      <c r="D757" s="27" t="str">
        <f>+C757</f>
        <v>TOTAL 1/2</v>
      </c>
      <c r="E757" s="42">
        <f>SUM(E750:E756)</f>
        <v>0</v>
      </c>
      <c r="F757" s="43">
        <f>SUM(F750:F756)</f>
        <v>20100</v>
      </c>
      <c r="G757" s="43">
        <f>SUM(G750:G756)</f>
        <v>18750</v>
      </c>
      <c r="H757" s="44">
        <f>SUM(H750:H756)</f>
        <v>1350</v>
      </c>
      <c r="I757" s="45">
        <f>SUM(I754:I756)</f>
        <v>544662</v>
      </c>
      <c r="J757" s="43">
        <f>SUM(J750:J756)</f>
        <v>530500</v>
      </c>
      <c r="K757" s="43">
        <f>SUM(K750:K756)</f>
        <v>14162</v>
      </c>
      <c r="L757" s="46" t="e">
        <f>+J757/E757</f>
        <v>#DIV/0!</v>
      </c>
      <c r="M757" s="47"/>
      <c r="N757" s="48">
        <f>SUM(N754:N756)</f>
        <v>41514.375</v>
      </c>
      <c r="O757" s="49">
        <f>SUM(O750:O756)</f>
        <v>1174580.05</v>
      </c>
      <c r="P757" s="202"/>
    </row>
    <row r="758" spans="2:16" x14ac:dyDescent="0.3">
      <c r="B758" s="1132"/>
      <c r="C758" s="1145" t="s">
        <v>70</v>
      </c>
      <c r="D758" s="22" t="s">
        <v>67</v>
      </c>
      <c r="E758" s="3">
        <v>0</v>
      </c>
      <c r="F758" s="4">
        <f>G758+H758</f>
        <v>0</v>
      </c>
      <c r="G758" s="4">
        <v>0</v>
      </c>
      <c r="H758" s="8">
        <v>0</v>
      </c>
      <c r="I758" s="16">
        <f>J758+K758</f>
        <v>109220</v>
      </c>
      <c r="J758" s="4">
        <f>G758+J693</f>
        <v>105750</v>
      </c>
      <c r="K758" s="4">
        <f>H758+K693</f>
        <v>3470</v>
      </c>
      <c r="L758" s="50" t="e">
        <f>+J758/E758</f>
        <v>#DIV/0!</v>
      </c>
      <c r="M758" s="144">
        <v>4.1712999999999996</v>
      </c>
      <c r="N758" s="7">
        <f>+M758*G758</f>
        <v>0</v>
      </c>
      <c r="O758" s="93">
        <f>+M758*J758</f>
        <v>441114.97499999998</v>
      </c>
      <c r="P758" s="1142"/>
    </row>
    <row r="759" spans="2:16" x14ac:dyDescent="0.3">
      <c r="B759" s="1132"/>
      <c r="C759" s="1146"/>
      <c r="D759" s="22" t="s">
        <v>68</v>
      </c>
      <c r="E759" s="3">
        <v>0</v>
      </c>
      <c r="F759" s="4">
        <f>G759+H759</f>
        <v>0</v>
      </c>
      <c r="G759" s="4">
        <v>0</v>
      </c>
      <c r="H759" s="8">
        <v>0</v>
      </c>
      <c r="I759" s="6">
        <f>+R1803+F759</f>
        <v>0</v>
      </c>
      <c r="J759" s="4">
        <f>G759+J694</f>
        <v>120000</v>
      </c>
      <c r="K759" s="4">
        <f>H759+K694</f>
        <v>3230</v>
      </c>
      <c r="L759" s="51" t="e">
        <f t="shared" ref="L759:L763" si="592">+J759/E759</f>
        <v>#DIV/0!</v>
      </c>
      <c r="M759" s="145">
        <v>4.8285999999999998</v>
      </c>
      <c r="N759" s="11">
        <f t="shared" ref="N759:N761" si="593">+M759*G759</f>
        <v>0</v>
      </c>
      <c r="O759" s="94">
        <f t="shared" ref="O759:O761" si="594">+M759*J759</f>
        <v>579432</v>
      </c>
      <c r="P759" s="1143"/>
    </row>
    <row r="760" spans="2:16" x14ac:dyDescent="0.3">
      <c r="B760" s="1132"/>
      <c r="C760" s="1146"/>
      <c r="D760" s="22" t="s">
        <v>134</v>
      </c>
      <c r="E760" s="3"/>
      <c r="F760" s="4">
        <f>G760+H760</f>
        <v>0</v>
      </c>
      <c r="G760" s="4">
        <v>0</v>
      </c>
      <c r="H760" s="8">
        <v>0</v>
      </c>
      <c r="I760" s="6">
        <f>+R1804+F760</f>
        <v>0</v>
      </c>
      <c r="J760" s="4">
        <f t="shared" ref="J760:J761" si="595">G760+J695</f>
        <v>0</v>
      </c>
      <c r="K760" s="4">
        <f t="shared" ref="K760:K761" si="596">H760+K695</f>
        <v>0</v>
      </c>
      <c r="L760" s="51" t="e">
        <f t="shared" si="592"/>
        <v>#DIV/0!</v>
      </c>
      <c r="M760" s="144">
        <v>4.5023</v>
      </c>
      <c r="N760" s="11">
        <f t="shared" si="593"/>
        <v>0</v>
      </c>
      <c r="O760" s="94">
        <f t="shared" si="594"/>
        <v>0</v>
      </c>
      <c r="P760" s="1143"/>
    </row>
    <row r="761" spans="2:16" ht="15" thickBot="1" x14ac:dyDescent="0.35">
      <c r="B761" s="1132"/>
      <c r="C761" s="1146"/>
      <c r="D761" s="22" t="s">
        <v>118</v>
      </c>
      <c r="E761" s="3">
        <v>0</v>
      </c>
      <c r="F761" s="4">
        <f t="shared" ref="F761" si="597">G761+H761</f>
        <v>0</v>
      </c>
      <c r="G761" s="4">
        <v>0</v>
      </c>
      <c r="H761" s="8">
        <v>0</v>
      </c>
      <c r="I761" s="6">
        <f>+R1804+F761</f>
        <v>0</v>
      </c>
      <c r="J761" s="4">
        <f t="shared" si="595"/>
        <v>0</v>
      </c>
      <c r="K761" s="4">
        <f t="shared" si="596"/>
        <v>0</v>
      </c>
      <c r="L761" s="51" t="e">
        <f t="shared" si="592"/>
        <v>#DIV/0!</v>
      </c>
      <c r="M761" s="144">
        <v>4.4065000000000003</v>
      </c>
      <c r="N761" s="11">
        <f t="shared" si="593"/>
        <v>0</v>
      </c>
      <c r="O761" s="94">
        <f t="shared" si="594"/>
        <v>0</v>
      </c>
      <c r="P761" s="1143"/>
    </row>
    <row r="762" spans="2:16" ht="15" thickBot="1" x14ac:dyDescent="0.35">
      <c r="B762" s="1132"/>
      <c r="C762" s="41" t="s">
        <v>31</v>
      </c>
      <c r="D762" s="18" t="str">
        <f>+C762</f>
        <v>TOTAL 4/4</v>
      </c>
      <c r="E762" s="42">
        <f t="shared" ref="E762:K762" si="598">SUM(E758:E761)</f>
        <v>0</v>
      </c>
      <c r="F762" s="43">
        <f t="shared" si="598"/>
        <v>0</v>
      </c>
      <c r="G762" s="43">
        <f t="shared" si="598"/>
        <v>0</v>
      </c>
      <c r="H762" s="44">
        <f t="shared" si="598"/>
        <v>0</v>
      </c>
      <c r="I762" s="45">
        <f t="shared" si="598"/>
        <v>109220</v>
      </c>
      <c r="J762" s="43">
        <f t="shared" si="598"/>
        <v>225750</v>
      </c>
      <c r="K762" s="43">
        <f t="shared" si="598"/>
        <v>6700</v>
      </c>
      <c r="L762" s="46" t="e">
        <f t="shared" si="592"/>
        <v>#DIV/0!</v>
      </c>
      <c r="M762" s="47"/>
      <c r="N762" s="48">
        <f>SUM(N758:N761)</f>
        <v>0</v>
      </c>
      <c r="O762" s="92">
        <f>SUM(O758:O761)</f>
        <v>1020546.975</v>
      </c>
      <c r="P762" s="1144"/>
    </row>
    <row r="763" spans="2:16" ht="15" thickBot="1" x14ac:dyDescent="0.35">
      <c r="B763" s="1141"/>
      <c r="C763" s="41" t="s">
        <v>71</v>
      </c>
      <c r="D763" s="27" t="s">
        <v>67</v>
      </c>
      <c r="E763" s="25">
        <v>0</v>
      </c>
      <c r="F763" s="20">
        <f>G763+H763</f>
        <v>0</v>
      </c>
      <c r="G763" s="20">
        <v>0</v>
      </c>
      <c r="H763" s="24">
        <v>0</v>
      </c>
      <c r="I763" s="19">
        <f>J763+K763</f>
        <v>0</v>
      </c>
      <c r="J763" s="4">
        <f>G763+J698</f>
        <v>0</v>
      </c>
      <c r="K763" s="4">
        <f>H763+K698</f>
        <v>0</v>
      </c>
      <c r="L763" s="52" t="e">
        <f t="shared" si="592"/>
        <v>#DIV/0!</v>
      </c>
      <c r="M763" s="149">
        <v>1.4086000000000001</v>
      </c>
      <c r="N763" s="26">
        <f t="shared" ref="N763" si="599">+M763*G763</f>
        <v>0</v>
      </c>
      <c r="O763" s="95">
        <f t="shared" ref="O763" si="600">+M763*J763</f>
        <v>0</v>
      </c>
      <c r="P763" s="53"/>
    </row>
    <row r="764" spans="2:16" ht="15" thickBot="1" x14ac:dyDescent="0.35">
      <c r="B764" s="1116" t="s">
        <v>102</v>
      </c>
      <c r="C764" s="1117"/>
      <c r="D764" s="1117"/>
      <c r="E764" s="1117"/>
      <c r="F764" s="1117"/>
      <c r="G764" s="1117"/>
      <c r="H764" s="1117"/>
      <c r="I764" s="110">
        <f>J764+K764</f>
        <v>777112</v>
      </c>
      <c r="J764" s="110">
        <f>J757+J762+J763</f>
        <v>756250</v>
      </c>
      <c r="K764" s="110">
        <f>K757+K762+K763</f>
        <v>20862</v>
      </c>
      <c r="L764" s="111"/>
      <c r="M764" s="112"/>
      <c r="N764" s="109"/>
      <c r="O764" s="77">
        <f>+O763+O762+O757</f>
        <v>2195127.0249999999</v>
      </c>
      <c r="P764" s="84"/>
    </row>
    <row r="765" spans="2:16" x14ac:dyDescent="0.3">
      <c r="B765" s="1118" t="s">
        <v>72</v>
      </c>
      <c r="C765" s="1121" t="s">
        <v>73</v>
      </c>
      <c r="D765" s="54" t="s">
        <v>74</v>
      </c>
      <c r="E765" s="55">
        <v>0</v>
      </c>
      <c r="F765" s="56">
        <f>G765+H765</f>
        <v>5063</v>
      </c>
      <c r="G765" s="56">
        <v>5000</v>
      </c>
      <c r="H765" s="57">
        <v>63</v>
      </c>
      <c r="I765" s="78">
        <f>J765+K765</f>
        <v>15133</v>
      </c>
      <c r="J765" s="4">
        <f>G765+J700</f>
        <v>15000</v>
      </c>
      <c r="K765" s="4">
        <f>H765+K700</f>
        <v>133</v>
      </c>
      <c r="L765" s="58" t="e">
        <f t="shared" ref="L765" si="601">+J765/E765</f>
        <v>#DIV/0!</v>
      </c>
      <c r="M765" s="59">
        <v>32.946300000000001</v>
      </c>
      <c r="N765" s="60">
        <f>+M765*G765</f>
        <v>164731.5</v>
      </c>
      <c r="O765" s="60">
        <f>M765*J765</f>
        <v>494194.5</v>
      </c>
      <c r="P765" s="1123"/>
    </row>
    <row r="766" spans="2:16" x14ac:dyDescent="0.3">
      <c r="B766" s="1119"/>
      <c r="C766" s="1122"/>
      <c r="D766" s="61" t="s">
        <v>75</v>
      </c>
      <c r="E766" s="62">
        <v>0</v>
      </c>
      <c r="F766" s="63">
        <f>G766+H766</f>
        <v>0</v>
      </c>
      <c r="G766" s="63">
        <v>0</v>
      </c>
      <c r="H766" s="64">
        <v>0</v>
      </c>
      <c r="I766" s="79">
        <f>J766+K766</f>
        <v>31833</v>
      </c>
      <c r="J766" s="4">
        <f>G766+J701</f>
        <v>31420</v>
      </c>
      <c r="K766" s="4">
        <f>H766+K701</f>
        <v>413</v>
      </c>
      <c r="L766" s="65" t="e">
        <f>+J766/E766</f>
        <v>#DIV/0!</v>
      </c>
      <c r="M766" s="66">
        <v>35.398400000000002</v>
      </c>
      <c r="N766" s="67">
        <f>+M766*G766</f>
        <v>0</v>
      </c>
      <c r="O766" s="67">
        <f>M766*J766</f>
        <v>1112217.7280000001</v>
      </c>
      <c r="P766" s="1124"/>
    </row>
    <row r="767" spans="2:16" x14ac:dyDescent="0.3">
      <c r="B767" s="1119"/>
      <c r="C767" s="1122"/>
      <c r="D767" s="61" t="s">
        <v>76</v>
      </c>
      <c r="E767" s="62">
        <v>0</v>
      </c>
      <c r="F767" s="63">
        <f t="shared" ref="F767:F770" si="602">G767+H767</f>
        <v>0</v>
      </c>
      <c r="G767" s="63">
        <v>0</v>
      </c>
      <c r="H767" s="64">
        <v>0</v>
      </c>
      <c r="I767" s="79">
        <f t="shared" ref="I767:I776" si="603">J767+K767</f>
        <v>0</v>
      </c>
      <c r="J767" s="4">
        <f t="shared" ref="J767:J792" si="604">G767+J702</f>
        <v>0</v>
      </c>
      <c r="K767" s="4">
        <f t="shared" ref="K767:K771" si="605">H767+K702</f>
        <v>0</v>
      </c>
      <c r="L767" s="65" t="e">
        <f t="shared" ref="L767:L780" si="606">+J767/E767</f>
        <v>#DIV/0!</v>
      </c>
      <c r="M767" s="66">
        <v>32.946300000000001</v>
      </c>
      <c r="N767" s="67">
        <f t="shared" ref="N767:N787" si="607">+M767*G767</f>
        <v>0</v>
      </c>
      <c r="O767" s="67">
        <f t="shared" ref="O767:O775" si="608">M767*J767</f>
        <v>0</v>
      </c>
      <c r="P767" s="1124"/>
    </row>
    <row r="768" spans="2:16" x14ac:dyDescent="0.3">
      <c r="B768" s="1119"/>
      <c r="C768" s="1122" t="s">
        <v>77</v>
      </c>
      <c r="D768" s="61" t="s">
        <v>78</v>
      </c>
      <c r="E768" s="62">
        <v>0</v>
      </c>
      <c r="F768" s="63">
        <f t="shared" si="602"/>
        <v>2479</v>
      </c>
      <c r="G768" s="63">
        <v>2400</v>
      </c>
      <c r="H768" s="64">
        <v>79</v>
      </c>
      <c r="I768" s="79">
        <f t="shared" si="603"/>
        <v>14758</v>
      </c>
      <c r="J768" s="4">
        <f t="shared" si="604"/>
        <v>14400</v>
      </c>
      <c r="K768" s="4">
        <f t="shared" si="605"/>
        <v>358</v>
      </c>
      <c r="L768" s="65" t="e">
        <f t="shared" si="606"/>
        <v>#DIV/0!</v>
      </c>
      <c r="M768" s="66">
        <v>55.4758</v>
      </c>
      <c r="N768" s="67">
        <f t="shared" si="607"/>
        <v>133141.92000000001</v>
      </c>
      <c r="O768" s="67">
        <f t="shared" si="608"/>
        <v>798851.52</v>
      </c>
      <c r="P768" s="1124"/>
    </row>
    <row r="769" spans="2:16" x14ac:dyDescent="0.3">
      <c r="B769" s="1119"/>
      <c r="C769" s="1122"/>
      <c r="D769" s="61" t="s">
        <v>141</v>
      </c>
      <c r="E769" s="62">
        <v>0</v>
      </c>
      <c r="F769" s="63">
        <f t="shared" si="602"/>
        <v>0</v>
      </c>
      <c r="G769" s="63">
        <v>0</v>
      </c>
      <c r="H769" s="64">
        <v>0</v>
      </c>
      <c r="I769" s="79">
        <f t="shared" si="603"/>
        <v>0</v>
      </c>
      <c r="J769" s="4">
        <f t="shared" si="604"/>
        <v>0</v>
      </c>
      <c r="K769" s="4">
        <f t="shared" si="605"/>
        <v>0</v>
      </c>
      <c r="L769" s="65" t="e">
        <f t="shared" si="606"/>
        <v>#DIV/0!</v>
      </c>
      <c r="M769" s="66">
        <v>53.515999999999998</v>
      </c>
      <c r="N769" s="67">
        <f t="shared" si="607"/>
        <v>0</v>
      </c>
      <c r="O769" s="67">
        <f t="shared" si="608"/>
        <v>0</v>
      </c>
      <c r="P769" s="1124"/>
    </row>
    <row r="770" spans="2:16" x14ac:dyDescent="0.3">
      <c r="B770" s="1119"/>
      <c r="C770" s="1122"/>
      <c r="D770" s="61" t="s">
        <v>75</v>
      </c>
      <c r="E770" s="62">
        <v>0</v>
      </c>
      <c r="F770" s="63">
        <f t="shared" si="602"/>
        <v>0</v>
      </c>
      <c r="G770" s="63">
        <v>0</v>
      </c>
      <c r="H770" s="64">
        <v>0</v>
      </c>
      <c r="I770" s="79">
        <f t="shared" si="603"/>
        <v>9804</v>
      </c>
      <c r="J770" s="4">
        <f t="shared" si="604"/>
        <v>9600</v>
      </c>
      <c r="K770" s="4">
        <f t="shared" si="605"/>
        <v>204</v>
      </c>
      <c r="L770" s="65" t="e">
        <f t="shared" si="606"/>
        <v>#DIV/0!</v>
      </c>
      <c r="M770" s="66">
        <v>58.836300000000001</v>
      </c>
      <c r="N770" s="67">
        <f t="shared" si="607"/>
        <v>0</v>
      </c>
      <c r="O770" s="67">
        <f t="shared" si="608"/>
        <v>564828.48</v>
      </c>
      <c r="P770" s="1124"/>
    </row>
    <row r="771" spans="2:16" x14ac:dyDescent="0.3">
      <c r="B771" s="1119"/>
      <c r="C771" s="1126" t="s">
        <v>79</v>
      </c>
      <c r="D771" s="61" t="s">
        <v>80</v>
      </c>
      <c r="E771" s="62">
        <v>0</v>
      </c>
      <c r="F771" s="63">
        <f>G771+H771</f>
        <v>0</v>
      </c>
      <c r="G771" s="63">
        <v>0</v>
      </c>
      <c r="H771" s="64">
        <v>0</v>
      </c>
      <c r="I771" s="79">
        <f t="shared" si="603"/>
        <v>6690</v>
      </c>
      <c r="J771" s="4">
        <f t="shared" si="604"/>
        <v>6575</v>
      </c>
      <c r="K771" s="4">
        <f t="shared" si="605"/>
        <v>115</v>
      </c>
      <c r="L771" s="65" t="e">
        <f t="shared" si="606"/>
        <v>#DIV/0!</v>
      </c>
      <c r="M771" s="66">
        <v>25.687200000000001</v>
      </c>
      <c r="N771" s="67">
        <f t="shared" si="607"/>
        <v>0</v>
      </c>
      <c r="O771" s="67">
        <f t="shared" si="608"/>
        <v>168893.34</v>
      </c>
      <c r="P771" s="1124"/>
    </row>
    <row r="772" spans="2:16" x14ac:dyDescent="0.3">
      <c r="B772" s="1119"/>
      <c r="C772" s="1127"/>
      <c r="D772" s="61" t="s">
        <v>124</v>
      </c>
      <c r="E772" s="62">
        <v>0</v>
      </c>
      <c r="F772" s="63">
        <f>G772+H772</f>
        <v>0</v>
      </c>
      <c r="G772" s="63">
        <v>0</v>
      </c>
      <c r="H772" s="64">
        <v>0</v>
      </c>
      <c r="I772" s="79">
        <f t="shared" si="603"/>
        <v>0</v>
      </c>
      <c r="J772" s="4">
        <f t="shared" si="604"/>
        <v>0</v>
      </c>
      <c r="K772" s="4">
        <f>H772+K707</f>
        <v>0</v>
      </c>
      <c r="L772" s="65" t="e">
        <f t="shared" si="606"/>
        <v>#DIV/0!</v>
      </c>
      <c r="M772" s="66">
        <v>25.033899999999999</v>
      </c>
      <c r="N772" s="67">
        <f t="shared" si="607"/>
        <v>0</v>
      </c>
      <c r="O772" s="67">
        <f t="shared" si="608"/>
        <v>0</v>
      </c>
      <c r="P772" s="1124"/>
    </row>
    <row r="773" spans="2:16" x14ac:dyDescent="0.3">
      <c r="B773" s="1119"/>
      <c r="C773" s="1126" t="s">
        <v>81</v>
      </c>
      <c r="D773" s="61" t="s">
        <v>82</v>
      </c>
      <c r="E773" s="62">
        <v>0</v>
      </c>
      <c r="F773" s="63">
        <f t="shared" ref="F773:F792" si="609">G773+H773</f>
        <v>0</v>
      </c>
      <c r="G773" s="63">
        <v>0</v>
      </c>
      <c r="H773" s="64">
        <v>0</v>
      </c>
      <c r="I773" s="79">
        <f t="shared" si="603"/>
        <v>14273</v>
      </c>
      <c r="J773" s="4">
        <f t="shared" si="604"/>
        <v>14000</v>
      </c>
      <c r="K773" s="4">
        <f t="shared" ref="K773:K792" si="610">H773+K708</f>
        <v>273</v>
      </c>
      <c r="L773" s="65" t="e">
        <f t="shared" si="606"/>
        <v>#DIV/0!</v>
      </c>
      <c r="M773" s="66">
        <v>41.992699999999999</v>
      </c>
      <c r="N773" s="67">
        <f t="shared" si="607"/>
        <v>0</v>
      </c>
      <c r="O773" s="67">
        <f t="shared" si="608"/>
        <v>587897.80000000005</v>
      </c>
      <c r="P773" s="1124"/>
    </row>
    <row r="774" spans="2:16" x14ac:dyDescent="0.3">
      <c r="B774" s="1119"/>
      <c r="C774" s="1127"/>
      <c r="D774" s="61" t="s">
        <v>75</v>
      </c>
      <c r="E774" s="62">
        <v>0</v>
      </c>
      <c r="F774" s="63">
        <f t="shared" si="609"/>
        <v>0</v>
      </c>
      <c r="G774" s="63">
        <v>0</v>
      </c>
      <c r="H774" s="64">
        <v>0</v>
      </c>
      <c r="I774" s="79">
        <f t="shared" si="603"/>
        <v>0</v>
      </c>
      <c r="J774" s="4">
        <f t="shared" si="604"/>
        <v>0</v>
      </c>
      <c r="K774" s="4">
        <f t="shared" si="610"/>
        <v>0</v>
      </c>
      <c r="L774" s="65" t="e">
        <f t="shared" si="606"/>
        <v>#DIV/0!</v>
      </c>
      <c r="M774" s="66">
        <v>42.283799999999999</v>
      </c>
      <c r="N774" s="67">
        <f t="shared" si="607"/>
        <v>0</v>
      </c>
      <c r="O774" s="67">
        <f t="shared" si="608"/>
        <v>0</v>
      </c>
      <c r="P774" s="1124"/>
    </row>
    <row r="775" spans="2:16" x14ac:dyDescent="0.3">
      <c r="B775" s="1119"/>
      <c r="C775" s="200" t="s">
        <v>83</v>
      </c>
      <c r="D775" s="61" t="s">
        <v>84</v>
      </c>
      <c r="E775" s="62">
        <v>0</v>
      </c>
      <c r="F775" s="63">
        <f t="shared" si="609"/>
        <v>0</v>
      </c>
      <c r="G775" s="63">
        <v>0</v>
      </c>
      <c r="H775" s="64">
        <v>0</v>
      </c>
      <c r="I775" s="79">
        <f t="shared" si="603"/>
        <v>24803</v>
      </c>
      <c r="J775" s="4">
        <f t="shared" si="604"/>
        <v>24000</v>
      </c>
      <c r="K775" s="4">
        <f t="shared" si="610"/>
        <v>803</v>
      </c>
      <c r="L775" s="65" t="e">
        <f t="shared" si="606"/>
        <v>#DIV/0!</v>
      </c>
      <c r="M775" s="66">
        <v>4.3535000000000004</v>
      </c>
      <c r="N775" s="67">
        <f t="shared" si="607"/>
        <v>0</v>
      </c>
      <c r="O775" s="67">
        <f t="shared" si="608"/>
        <v>104484.00000000001</v>
      </c>
      <c r="P775" s="1124"/>
    </row>
    <row r="776" spans="2:16" x14ac:dyDescent="0.3">
      <c r="B776" s="1119"/>
      <c r="C776" s="1122" t="s">
        <v>85</v>
      </c>
      <c r="D776" s="61" t="s">
        <v>80</v>
      </c>
      <c r="E776" s="62">
        <v>0</v>
      </c>
      <c r="F776" s="63">
        <f t="shared" si="609"/>
        <v>0</v>
      </c>
      <c r="G776" s="63">
        <v>0</v>
      </c>
      <c r="H776" s="64">
        <v>0</v>
      </c>
      <c r="I776" s="79">
        <f t="shared" si="603"/>
        <v>0</v>
      </c>
      <c r="J776" s="4">
        <f t="shared" si="604"/>
        <v>0</v>
      </c>
      <c r="K776" s="4">
        <f t="shared" si="610"/>
        <v>0</v>
      </c>
      <c r="L776" s="65" t="e">
        <f t="shared" si="606"/>
        <v>#DIV/0!</v>
      </c>
      <c r="M776" s="66">
        <v>4.6184000000000003</v>
      </c>
      <c r="N776" s="67">
        <f t="shared" si="607"/>
        <v>0</v>
      </c>
      <c r="O776" s="67">
        <f>M776*J776</f>
        <v>0</v>
      </c>
      <c r="P776" s="1124"/>
    </row>
    <row r="777" spans="2:16" x14ac:dyDescent="0.3">
      <c r="B777" s="1119"/>
      <c r="C777" s="1122"/>
      <c r="D777" s="61" t="s">
        <v>126</v>
      </c>
      <c r="E777" s="62">
        <v>0</v>
      </c>
      <c r="F777" s="63">
        <f t="shared" si="609"/>
        <v>0</v>
      </c>
      <c r="G777" s="63">
        <v>0</v>
      </c>
      <c r="H777" s="64">
        <v>0</v>
      </c>
      <c r="I777" s="79">
        <f>J777+K777</f>
        <v>0</v>
      </c>
      <c r="J777" s="4">
        <f t="shared" si="604"/>
        <v>0</v>
      </c>
      <c r="K777" s="4">
        <f t="shared" si="610"/>
        <v>0</v>
      </c>
      <c r="L777" s="65" t="e">
        <f t="shared" si="606"/>
        <v>#DIV/0!</v>
      </c>
      <c r="M777" s="153">
        <v>4.6184000000000003</v>
      </c>
      <c r="N777" s="67">
        <f t="shared" si="607"/>
        <v>0</v>
      </c>
      <c r="O777" s="67">
        <f>M777*J777</f>
        <v>0</v>
      </c>
      <c r="P777" s="1124"/>
    </row>
    <row r="778" spans="2:16" x14ac:dyDescent="0.3">
      <c r="B778" s="1119"/>
      <c r="C778" s="1122"/>
      <c r="D778" s="61" t="s">
        <v>130</v>
      </c>
      <c r="E778" s="62">
        <v>0</v>
      </c>
      <c r="F778" s="63">
        <f t="shared" si="609"/>
        <v>0</v>
      </c>
      <c r="G778" s="63">
        <v>0</v>
      </c>
      <c r="H778" s="64">
        <v>0</v>
      </c>
      <c r="I778" s="79">
        <f t="shared" ref="I778:I792" si="611">J778+K778</f>
        <v>0</v>
      </c>
      <c r="J778" s="4">
        <f t="shared" si="604"/>
        <v>0</v>
      </c>
      <c r="K778" s="4">
        <f t="shared" si="610"/>
        <v>0</v>
      </c>
      <c r="L778" s="65" t="e">
        <f t="shared" si="606"/>
        <v>#DIV/0!</v>
      </c>
      <c r="M778" s="153">
        <v>4.6184000000000003</v>
      </c>
      <c r="N778" s="67">
        <f t="shared" si="607"/>
        <v>0</v>
      </c>
      <c r="O778" s="67">
        <f t="shared" ref="O778:O783" si="612">M778*J778</f>
        <v>0</v>
      </c>
      <c r="P778" s="1124"/>
    </row>
    <row r="779" spans="2:16" x14ac:dyDescent="0.3">
      <c r="B779" s="1119"/>
      <c r="C779" s="1122"/>
      <c r="D779" s="61" t="s">
        <v>131</v>
      </c>
      <c r="E779" s="62">
        <v>0</v>
      </c>
      <c r="F779" s="63">
        <f t="shared" si="609"/>
        <v>20397</v>
      </c>
      <c r="G779" s="63">
        <v>20100</v>
      </c>
      <c r="H779" s="64">
        <v>297</v>
      </c>
      <c r="I779" s="79">
        <f t="shared" si="611"/>
        <v>237198</v>
      </c>
      <c r="J779" s="4">
        <f t="shared" si="604"/>
        <v>230335</v>
      </c>
      <c r="K779" s="4">
        <f t="shared" si="610"/>
        <v>6863</v>
      </c>
      <c r="L779" s="65" t="e">
        <f t="shared" si="606"/>
        <v>#DIV/0!</v>
      </c>
      <c r="M779" s="153">
        <v>4.7636000000000003</v>
      </c>
      <c r="N779" s="67">
        <f t="shared" si="607"/>
        <v>95748.36</v>
      </c>
      <c r="O779" s="67">
        <f t="shared" si="612"/>
        <v>1097223.8060000001</v>
      </c>
      <c r="P779" s="1124"/>
    </row>
    <row r="780" spans="2:16" x14ac:dyDescent="0.3">
      <c r="B780" s="1119"/>
      <c r="C780" s="1122"/>
      <c r="D780" s="61" t="s">
        <v>86</v>
      </c>
      <c r="E780" s="62">
        <v>0</v>
      </c>
      <c r="F780" s="63">
        <f t="shared" si="609"/>
        <v>0</v>
      </c>
      <c r="G780" s="63">
        <v>0</v>
      </c>
      <c r="H780" s="64">
        <v>0</v>
      </c>
      <c r="I780" s="79">
        <f t="shared" si="611"/>
        <v>0</v>
      </c>
      <c r="J780" s="4">
        <f t="shared" si="604"/>
        <v>0</v>
      </c>
      <c r="K780" s="4">
        <f t="shared" si="610"/>
        <v>0</v>
      </c>
      <c r="L780" s="65" t="e">
        <f t="shared" si="606"/>
        <v>#DIV/0!</v>
      </c>
      <c r="M780" s="66">
        <v>4.8738000000000001</v>
      </c>
      <c r="N780" s="67">
        <f t="shared" si="607"/>
        <v>0</v>
      </c>
      <c r="O780" s="67">
        <f t="shared" si="612"/>
        <v>0</v>
      </c>
      <c r="P780" s="1124"/>
    </row>
    <row r="781" spans="2:16" x14ac:dyDescent="0.3">
      <c r="B781" s="1119"/>
      <c r="C781" s="200" t="s">
        <v>135</v>
      </c>
      <c r="D781" s="61" t="s">
        <v>131</v>
      </c>
      <c r="E781" s="62"/>
      <c r="F781" s="63">
        <f t="shared" si="609"/>
        <v>0</v>
      </c>
      <c r="G781" s="63">
        <v>0</v>
      </c>
      <c r="H781" s="64">
        <v>0</v>
      </c>
      <c r="I781" s="79">
        <f t="shared" si="611"/>
        <v>0</v>
      </c>
      <c r="J781" s="4">
        <f t="shared" si="604"/>
        <v>0</v>
      </c>
      <c r="K781" s="4">
        <f t="shared" si="610"/>
        <v>0</v>
      </c>
      <c r="L781" s="65"/>
      <c r="M781" s="66">
        <v>4.8738000000000001</v>
      </c>
      <c r="N781" s="67">
        <f t="shared" si="607"/>
        <v>0</v>
      </c>
      <c r="O781" s="67">
        <f t="shared" si="612"/>
        <v>0</v>
      </c>
      <c r="P781" s="1124"/>
    </row>
    <row r="782" spans="2:16" x14ac:dyDescent="0.3">
      <c r="B782" s="1119"/>
      <c r="C782" s="1122" t="s">
        <v>87</v>
      </c>
      <c r="D782" s="61" t="s">
        <v>80</v>
      </c>
      <c r="E782" s="62">
        <v>0</v>
      </c>
      <c r="F782" s="63">
        <f t="shared" si="609"/>
        <v>0</v>
      </c>
      <c r="G782" s="63">
        <v>0</v>
      </c>
      <c r="H782" s="64">
        <v>0</v>
      </c>
      <c r="I782" s="79">
        <f t="shared" si="611"/>
        <v>190900</v>
      </c>
      <c r="J782" s="4">
        <f t="shared" si="604"/>
        <v>188900</v>
      </c>
      <c r="K782" s="4">
        <f t="shared" si="610"/>
        <v>2000</v>
      </c>
      <c r="L782" s="65" t="e">
        <f t="shared" ref="L782:L792" si="613">+J782/E782</f>
        <v>#DIV/0!</v>
      </c>
      <c r="M782" s="66">
        <v>4.9344999999999999</v>
      </c>
      <c r="N782" s="67">
        <f t="shared" si="607"/>
        <v>0</v>
      </c>
      <c r="O782" s="67">
        <f t="shared" si="612"/>
        <v>932127.04999999993</v>
      </c>
      <c r="P782" s="1124"/>
    </row>
    <row r="783" spans="2:16" x14ac:dyDescent="0.3">
      <c r="B783" s="1119"/>
      <c r="C783" s="1122"/>
      <c r="D783" s="61" t="s">
        <v>142</v>
      </c>
      <c r="E783" s="62"/>
      <c r="F783" s="63">
        <f t="shared" si="609"/>
        <v>20789</v>
      </c>
      <c r="G783" s="63">
        <v>19800</v>
      </c>
      <c r="H783" s="64">
        <v>989</v>
      </c>
      <c r="I783" s="79">
        <f t="shared" si="611"/>
        <v>24817</v>
      </c>
      <c r="J783" s="4">
        <f t="shared" si="604"/>
        <v>22850</v>
      </c>
      <c r="K783" s="4">
        <f t="shared" si="610"/>
        <v>1967</v>
      </c>
      <c r="L783" s="65" t="e">
        <f t="shared" si="613"/>
        <v>#DIV/0!</v>
      </c>
      <c r="M783" s="66">
        <v>4.9344999999999999</v>
      </c>
      <c r="N783" s="67">
        <f t="shared" si="607"/>
        <v>97703.099999999991</v>
      </c>
      <c r="O783" s="67">
        <f t="shared" si="612"/>
        <v>112753.325</v>
      </c>
      <c r="P783" s="1124"/>
    </row>
    <row r="784" spans="2:16" x14ac:dyDescent="0.3">
      <c r="B784" s="1119"/>
      <c r="C784" s="1122"/>
      <c r="D784" s="61" t="s">
        <v>136</v>
      </c>
      <c r="E784" s="62">
        <v>0</v>
      </c>
      <c r="F784" s="63">
        <f t="shared" si="609"/>
        <v>0</v>
      </c>
      <c r="G784" s="155">
        <v>0</v>
      </c>
      <c r="H784" s="156">
        <v>0</v>
      </c>
      <c r="I784" s="157">
        <f t="shared" si="611"/>
        <v>0</v>
      </c>
      <c r="J784" s="4">
        <f t="shared" si="604"/>
        <v>0</v>
      </c>
      <c r="K784" s="4">
        <f t="shared" si="610"/>
        <v>0</v>
      </c>
      <c r="L784" s="158" t="e">
        <f t="shared" si="613"/>
        <v>#DIV/0!</v>
      </c>
      <c r="M784" s="66">
        <v>4.9344999999999999</v>
      </c>
      <c r="N784" s="159">
        <f t="shared" si="607"/>
        <v>0</v>
      </c>
      <c r="O784" s="67">
        <f>M784*J784</f>
        <v>0</v>
      </c>
      <c r="P784" s="1124"/>
    </row>
    <row r="785" spans="2:16" x14ac:dyDescent="0.3">
      <c r="B785" s="1119"/>
      <c r="C785" s="1122" t="s">
        <v>88</v>
      </c>
      <c r="D785" s="61" t="s">
        <v>80</v>
      </c>
      <c r="E785" s="62">
        <v>0</v>
      </c>
      <c r="F785" s="63">
        <f t="shared" si="609"/>
        <v>0</v>
      </c>
      <c r="G785" s="63">
        <v>0</v>
      </c>
      <c r="H785" s="64">
        <v>0</v>
      </c>
      <c r="I785" s="79">
        <f t="shared" si="611"/>
        <v>138276</v>
      </c>
      <c r="J785" s="4">
        <f t="shared" si="604"/>
        <v>130950</v>
      </c>
      <c r="K785" s="4">
        <f t="shared" si="610"/>
        <v>7326</v>
      </c>
      <c r="L785" s="65" t="e">
        <f t="shared" si="613"/>
        <v>#DIV/0!</v>
      </c>
      <c r="M785" s="148">
        <v>5.5069999999999997</v>
      </c>
      <c r="N785" s="67">
        <f t="shared" si="607"/>
        <v>0</v>
      </c>
      <c r="O785" s="67">
        <f>M785*J785</f>
        <v>721141.64999999991</v>
      </c>
      <c r="P785" s="1124"/>
    </row>
    <row r="786" spans="2:16" x14ac:dyDescent="0.3">
      <c r="B786" s="1119"/>
      <c r="C786" s="1122"/>
      <c r="D786" s="61" t="s">
        <v>119</v>
      </c>
      <c r="E786" s="62">
        <v>0</v>
      </c>
      <c r="F786" s="63">
        <f t="shared" si="609"/>
        <v>19389</v>
      </c>
      <c r="G786" s="63">
        <v>18900</v>
      </c>
      <c r="H786" s="64">
        <v>489</v>
      </c>
      <c r="I786" s="79">
        <f t="shared" si="611"/>
        <v>68765</v>
      </c>
      <c r="J786" s="4">
        <f t="shared" si="604"/>
        <v>66600</v>
      </c>
      <c r="K786" s="4">
        <f t="shared" si="610"/>
        <v>2165</v>
      </c>
      <c r="L786" s="65" t="e">
        <f t="shared" si="613"/>
        <v>#DIV/0!</v>
      </c>
      <c r="M786" s="147">
        <v>5.6550000000000002</v>
      </c>
      <c r="N786" s="67">
        <f t="shared" si="607"/>
        <v>106879.5</v>
      </c>
      <c r="O786" s="67">
        <f>M786*J786</f>
        <v>376623</v>
      </c>
      <c r="P786" s="1124"/>
    </row>
    <row r="787" spans="2:16" x14ac:dyDescent="0.3">
      <c r="B787" s="1119"/>
      <c r="C787" s="1122"/>
      <c r="D787" s="61" t="s">
        <v>125</v>
      </c>
      <c r="E787" s="62">
        <v>0</v>
      </c>
      <c r="F787" s="63">
        <f t="shared" si="609"/>
        <v>0</v>
      </c>
      <c r="G787" s="63">
        <v>0</v>
      </c>
      <c r="H787" s="64">
        <v>0</v>
      </c>
      <c r="I787" s="79">
        <f t="shared" si="611"/>
        <v>0</v>
      </c>
      <c r="J787" s="4">
        <f t="shared" si="604"/>
        <v>0</v>
      </c>
      <c r="K787" s="4">
        <f t="shared" si="610"/>
        <v>0</v>
      </c>
      <c r="L787" s="65" t="e">
        <f t="shared" si="613"/>
        <v>#DIV/0!</v>
      </c>
      <c r="M787" s="152">
        <v>5.6550000000000002</v>
      </c>
      <c r="N787" s="67">
        <f t="shared" si="607"/>
        <v>0</v>
      </c>
      <c r="O787" s="67">
        <f>M787*J787</f>
        <v>0</v>
      </c>
      <c r="P787" s="1124"/>
    </row>
    <row r="788" spans="2:16" x14ac:dyDescent="0.3">
      <c r="B788" s="1119"/>
      <c r="C788" s="1122"/>
      <c r="D788" s="61" t="s">
        <v>128</v>
      </c>
      <c r="E788" s="62">
        <v>0</v>
      </c>
      <c r="F788" s="63">
        <f t="shared" si="609"/>
        <v>0</v>
      </c>
      <c r="G788" s="63">
        <v>0</v>
      </c>
      <c r="H788" s="64">
        <v>0</v>
      </c>
      <c r="I788" s="79">
        <f t="shared" si="611"/>
        <v>28324</v>
      </c>
      <c r="J788" s="4">
        <f t="shared" si="604"/>
        <v>26710</v>
      </c>
      <c r="K788" s="4">
        <f t="shared" si="610"/>
        <v>1614</v>
      </c>
      <c r="L788" s="65" t="e">
        <f t="shared" si="613"/>
        <v>#DIV/0!</v>
      </c>
      <c r="M788" s="66">
        <v>5.7885299999999997</v>
      </c>
      <c r="N788" s="67">
        <f>+M788*G788</f>
        <v>0</v>
      </c>
      <c r="O788" s="67">
        <f>M788*J788</f>
        <v>154611.63629999998</v>
      </c>
      <c r="P788" s="1124"/>
    </row>
    <row r="789" spans="2:16" x14ac:dyDescent="0.3">
      <c r="B789" s="1119"/>
      <c r="C789" s="1122"/>
      <c r="D789" s="61" t="s">
        <v>143</v>
      </c>
      <c r="E789" s="62">
        <v>0</v>
      </c>
      <c r="F789" s="63">
        <f t="shared" si="609"/>
        <v>0</v>
      </c>
      <c r="G789" s="63">
        <v>0</v>
      </c>
      <c r="H789" s="64">
        <v>0</v>
      </c>
      <c r="I789" s="79">
        <f t="shared" si="611"/>
        <v>0</v>
      </c>
      <c r="J789" s="4">
        <f t="shared" si="604"/>
        <v>0</v>
      </c>
      <c r="K789" s="4">
        <f t="shared" si="610"/>
        <v>0</v>
      </c>
      <c r="L789" s="65" t="e">
        <f t="shared" si="613"/>
        <v>#DIV/0!</v>
      </c>
      <c r="M789" s="152">
        <v>5.6550000000000002</v>
      </c>
      <c r="N789" s="67">
        <f t="shared" ref="N789:N791" si="614">+M789*G789</f>
        <v>0</v>
      </c>
      <c r="O789" s="67">
        <f t="shared" ref="O789:O792" si="615">M789*J789</f>
        <v>0</v>
      </c>
      <c r="P789" s="1124"/>
    </row>
    <row r="790" spans="2:16" x14ac:dyDescent="0.3">
      <c r="B790" s="1119"/>
      <c r="C790" s="200" t="s">
        <v>89</v>
      </c>
      <c r="D790" s="61" t="s">
        <v>80</v>
      </c>
      <c r="E790" s="62">
        <v>0</v>
      </c>
      <c r="F790" s="63">
        <f t="shared" si="609"/>
        <v>0</v>
      </c>
      <c r="G790" s="63">
        <v>0</v>
      </c>
      <c r="H790" s="64">
        <v>0</v>
      </c>
      <c r="I790" s="79">
        <f t="shared" si="611"/>
        <v>0</v>
      </c>
      <c r="J790" s="4">
        <f t="shared" si="604"/>
        <v>0</v>
      </c>
      <c r="K790" s="4">
        <f t="shared" si="610"/>
        <v>0</v>
      </c>
      <c r="L790" s="65" t="e">
        <f t="shared" si="613"/>
        <v>#DIV/0!</v>
      </c>
      <c r="M790" s="66">
        <v>3.2963</v>
      </c>
      <c r="N790" s="67">
        <f t="shared" si="614"/>
        <v>0</v>
      </c>
      <c r="O790" s="67">
        <f t="shared" si="615"/>
        <v>0</v>
      </c>
      <c r="P790" s="1124"/>
    </row>
    <row r="791" spans="2:16" x14ac:dyDescent="0.3">
      <c r="B791" s="1119"/>
      <c r="C791" s="200" t="s">
        <v>90</v>
      </c>
      <c r="D791" s="61" t="s">
        <v>80</v>
      </c>
      <c r="E791" s="62">
        <v>0</v>
      </c>
      <c r="F791" s="63">
        <f t="shared" si="609"/>
        <v>0</v>
      </c>
      <c r="G791" s="63">
        <v>0</v>
      </c>
      <c r="H791" s="64">
        <v>0</v>
      </c>
      <c r="I791" s="79">
        <f t="shared" si="611"/>
        <v>0</v>
      </c>
      <c r="J791" s="4">
        <f t="shared" si="604"/>
        <v>0</v>
      </c>
      <c r="K791" s="4">
        <f t="shared" si="610"/>
        <v>0</v>
      </c>
      <c r="L791" s="65" t="e">
        <f t="shared" si="613"/>
        <v>#DIV/0!</v>
      </c>
      <c r="M791" s="66">
        <v>3.2963</v>
      </c>
      <c r="N791" s="67">
        <f t="shared" si="614"/>
        <v>0</v>
      </c>
      <c r="O791" s="67">
        <f t="shared" si="615"/>
        <v>0</v>
      </c>
      <c r="P791" s="1124"/>
    </row>
    <row r="792" spans="2:16" ht="15" thickBot="1" x14ac:dyDescent="0.35">
      <c r="B792" s="1119"/>
      <c r="C792" s="68" t="s">
        <v>91</v>
      </c>
      <c r="D792" s="69" t="s">
        <v>92</v>
      </c>
      <c r="E792" s="70">
        <v>0</v>
      </c>
      <c r="F792" s="71">
        <f t="shared" si="609"/>
        <v>0</v>
      </c>
      <c r="G792" s="71">
        <v>0</v>
      </c>
      <c r="H792" s="72">
        <v>0</v>
      </c>
      <c r="I792" s="80">
        <f t="shared" si="611"/>
        <v>65030</v>
      </c>
      <c r="J792" s="4">
        <f t="shared" si="604"/>
        <v>65000</v>
      </c>
      <c r="K792" s="4">
        <f t="shared" si="610"/>
        <v>30</v>
      </c>
      <c r="L792" s="65" t="e">
        <f t="shared" si="613"/>
        <v>#DIV/0!</v>
      </c>
      <c r="M792" s="73">
        <v>2.3201000000000001</v>
      </c>
      <c r="N792" s="74">
        <f t="shared" ref="N792" si="616">M792*G792</f>
        <v>0</v>
      </c>
      <c r="O792" s="74">
        <f t="shared" si="615"/>
        <v>150806.5</v>
      </c>
      <c r="P792" s="1125"/>
    </row>
    <row r="793" spans="2:16" ht="15" thickBot="1" x14ac:dyDescent="0.35">
      <c r="B793" s="1120"/>
      <c r="C793" s="1128" t="s">
        <v>106</v>
      </c>
      <c r="D793" s="1129"/>
      <c r="E793" s="1129"/>
      <c r="F793" s="1129"/>
      <c r="G793" s="1129"/>
      <c r="H793" s="1130"/>
      <c r="I793" s="116">
        <f>J793+K793</f>
        <v>870604</v>
      </c>
      <c r="J793" s="115">
        <f>SUM(J765:J792)</f>
        <v>846340</v>
      </c>
      <c r="K793" s="115">
        <f>SUM(K765:K792)</f>
        <v>24264</v>
      </c>
      <c r="L793" s="114"/>
      <c r="M793" s="113"/>
      <c r="N793" s="114"/>
      <c r="O793" s="97">
        <f>SUM(O765:O792)</f>
        <v>7376654.3352999995</v>
      </c>
      <c r="P793" s="96"/>
    </row>
    <row r="794" spans="2:16" ht="15" thickBot="1" x14ac:dyDescent="0.35">
      <c r="B794" s="100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2"/>
    </row>
    <row r="795" spans="2:16" ht="15" thickBot="1" x14ac:dyDescent="0.35">
      <c r="B795" s="1113" t="s">
        <v>107</v>
      </c>
      <c r="C795" s="1114"/>
      <c r="D795" s="1114"/>
      <c r="E795" s="1114"/>
      <c r="F795" s="1114"/>
      <c r="G795" s="1114"/>
      <c r="H795" s="1114"/>
      <c r="I795" s="1114"/>
      <c r="J795" s="1114"/>
      <c r="K795" s="1114"/>
      <c r="L795" s="1114"/>
      <c r="M795" s="1114"/>
      <c r="N795" s="1115"/>
      <c r="O795" s="103">
        <f>+O793+O764+O749</f>
        <v>16167084.592299998</v>
      </c>
      <c r="P795" s="96"/>
    </row>
    <row r="796" spans="2:16" ht="15" thickBot="1" x14ac:dyDescent="0.35"/>
    <row r="797" spans="2:16" x14ac:dyDescent="0.3">
      <c r="B797" s="1147" t="s">
        <v>1</v>
      </c>
      <c r="C797" s="1149" t="s">
        <v>2</v>
      </c>
      <c r="D797" s="1152" t="s">
        <v>3</v>
      </c>
      <c r="E797" s="1155" t="s">
        <v>4</v>
      </c>
      <c r="F797" s="1156"/>
      <c r="G797" s="1156"/>
      <c r="H797" s="1156"/>
      <c r="I797" s="1156"/>
      <c r="J797" s="1156"/>
      <c r="K797" s="1156"/>
      <c r="L797" s="1157"/>
      <c r="M797" s="1158" t="s">
        <v>5</v>
      </c>
      <c r="N797" s="1159"/>
      <c r="O797" s="1160"/>
      <c r="P797" s="1152" t="s">
        <v>6</v>
      </c>
    </row>
    <row r="798" spans="2:16" x14ac:dyDescent="0.3">
      <c r="B798" s="1148"/>
      <c r="C798" s="1150"/>
      <c r="D798" s="1153"/>
      <c r="E798" s="1161" t="s">
        <v>7</v>
      </c>
      <c r="F798" s="1163" t="s">
        <v>160</v>
      </c>
      <c r="G798" s="1163"/>
      <c r="H798" s="1164"/>
      <c r="I798" s="1165" t="s">
        <v>8</v>
      </c>
      <c r="J798" s="1163"/>
      <c r="K798" s="1163"/>
      <c r="L798" s="1164" t="s">
        <v>9</v>
      </c>
      <c r="M798" s="1167" t="s">
        <v>10</v>
      </c>
      <c r="N798" s="1169" t="s">
        <v>11</v>
      </c>
      <c r="O798" s="1171" t="s">
        <v>12</v>
      </c>
      <c r="P798" s="1153"/>
    </row>
    <row r="799" spans="2:16" ht="15" thickBot="1" x14ac:dyDescent="0.35">
      <c r="B799" s="1148"/>
      <c r="C799" s="1151"/>
      <c r="D799" s="1154"/>
      <c r="E799" s="1162"/>
      <c r="F799" s="2" t="s">
        <v>13</v>
      </c>
      <c r="G799" s="2" t="s">
        <v>14</v>
      </c>
      <c r="H799" s="207" t="s">
        <v>15</v>
      </c>
      <c r="I799" s="142" t="s">
        <v>13</v>
      </c>
      <c r="J799" s="2" t="s">
        <v>14</v>
      </c>
      <c r="K799" s="2" t="s">
        <v>15</v>
      </c>
      <c r="L799" s="1166"/>
      <c r="M799" s="1168"/>
      <c r="N799" s="1170"/>
      <c r="O799" s="1172"/>
      <c r="P799" s="1154"/>
    </row>
    <row r="800" spans="2:16" x14ac:dyDescent="0.3">
      <c r="B800" s="1131" t="s">
        <v>56</v>
      </c>
      <c r="C800" s="29"/>
      <c r="D800" s="117" t="s">
        <v>151</v>
      </c>
      <c r="E800" s="98">
        <v>0</v>
      </c>
      <c r="F800" s="4">
        <f>+G800+H800</f>
        <v>0</v>
      </c>
      <c r="G800" s="4">
        <v>0</v>
      </c>
      <c r="H800" s="8">
        <v>0</v>
      </c>
      <c r="I800" s="6">
        <f>J800+K800</f>
        <v>285266</v>
      </c>
      <c r="J800" s="4">
        <f>G800+J735</f>
        <v>280000</v>
      </c>
      <c r="K800" s="4">
        <f>H800+K735</f>
        <v>5266</v>
      </c>
      <c r="L800" s="33" t="e">
        <f>+J800/E800</f>
        <v>#DIV/0!</v>
      </c>
      <c r="M800" s="104">
        <v>1.3652</v>
      </c>
      <c r="N800" s="31">
        <f>G800*M800</f>
        <v>0</v>
      </c>
      <c r="O800" s="86">
        <f>M800*J800</f>
        <v>382256</v>
      </c>
      <c r="P800" s="1133"/>
    </row>
    <row r="801" spans="2:16" x14ac:dyDescent="0.3">
      <c r="B801" s="1132"/>
      <c r="C801" s="32"/>
      <c r="D801" s="118" t="s">
        <v>116</v>
      </c>
      <c r="E801" s="99">
        <v>0</v>
      </c>
      <c r="F801" s="9">
        <f>+G801+H801</f>
        <v>0</v>
      </c>
      <c r="G801" s="9">
        <v>0</v>
      </c>
      <c r="H801" s="10">
        <v>0</v>
      </c>
      <c r="I801" s="6">
        <f>J801+K801</f>
        <v>0</v>
      </c>
      <c r="J801" s="4">
        <f>+G801+J736</f>
        <v>0</v>
      </c>
      <c r="K801" s="4">
        <f>+H801+K736</f>
        <v>0</v>
      </c>
      <c r="L801" s="33"/>
      <c r="M801" s="105">
        <v>5.9917999999999996</v>
      </c>
      <c r="N801" s="34">
        <f>M801*G801</f>
        <v>0</v>
      </c>
      <c r="O801" s="87">
        <f>M801*J801</f>
        <v>0</v>
      </c>
      <c r="P801" s="1134"/>
    </row>
    <row r="802" spans="2:16" x14ac:dyDescent="0.3">
      <c r="B802" s="1132"/>
      <c r="C802" s="35"/>
      <c r="D802" s="119" t="s">
        <v>58</v>
      </c>
      <c r="E802" s="99">
        <v>0</v>
      </c>
      <c r="F802" s="9">
        <f t="shared" ref="F802:F806" si="617">+G802+H802</f>
        <v>173596</v>
      </c>
      <c r="G802" s="9">
        <v>172500</v>
      </c>
      <c r="H802" s="10">
        <v>1096</v>
      </c>
      <c r="I802" s="6">
        <f t="shared" ref="I802:I806" si="618">J802+K802</f>
        <v>2436688</v>
      </c>
      <c r="J802" s="4">
        <f t="shared" ref="J802:J806" si="619">+G802+J737</f>
        <v>2418250</v>
      </c>
      <c r="K802" s="4">
        <f t="shared" ref="K802:K806" si="620">+H802+K737</f>
        <v>18438</v>
      </c>
      <c r="L802" s="33" t="e">
        <f t="shared" ref="L802" si="621">+J802/E802</f>
        <v>#DIV/0!</v>
      </c>
      <c r="M802" s="106">
        <v>2.3807999999999998</v>
      </c>
      <c r="N802" s="36">
        <f>G802*M802</f>
        <v>410687.99999999994</v>
      </c>
      <c r="O802" s="88">
        <f>M802*J802</f>
        <v>5757369.5999999996</v>
      </c>
      <c r="P802" s="1134"/>
    </row>
    <row r="803" spans="2:16" x14ac:dyDescent="0.3">
      <c r="B803" s="1132"/>
      <c r="C803" s="35"/>
      <c r="D803" s="119" t="s">
        <v>59</v>
      </c>
      <c r="E803" s="99">
        <v>0</v>
      </c>
      <c r="F803" s="9">
        <f t="shared" si="617"/>
        <v>0</v>
      </c>
      <c r="G803" s="9">
        <v>0</v>
      </c>
      <c r="H803" s="10">
        <v>0</v>
      </c>
      <c r="I803" s="6">
        <f t="shared" si="618"/>
        <v>0</v>
      </c>
      <c r="J803" s="4">
        <f t="shared" si="619"/>
        <v>0</v>
      </c>
      <c r="K803" s="4">
        <f t="shared" si="620"/>
        <v>0</v>
      </c>
      <c r="L803" s="33"/>
      <c r="M803" s="106">
        <v>2.1457999999999999</v>
      </c>
      <c r="N803" s="36">
        <f t="shared" ref="N803:N806" si="622">G803*M803</f>
        <v>0</v>
      </c>
      <c r="O803" s="88">
        <f>M803*J803</f>
        <v>0</v>
      </c>
      <c r="P803" s="1134"/>
    </row>
    <row r="804" spans="2:16" x14ac:dyDescent="0.3">
      <c r="B804" s="1132"/>
      <c r="C804" s="35"/>
      <c r="D804" s="119" t="s">
        <v>113</v>
      </c>
      <c r="E804" s="99">
        <v>0</v>
      </c>
      <c r="F804" s="9">
        <f t="shared" si="617"/>
        <v>53280</v>
      </c>
      <c r="G804" s="9">
        <v>42000</v>
      </c>
      <c r="H804" s="10">
        <v>11280</v>
      </c>
      <c r="I804" s="6">
        <f t="shared" si="618"/>
        <v>53280</v>
      </c>
      <c r="J804" s="4">
        <f t="shared" si="619"/>
        <v>42000</v>
      </c>
      <c r="K804" s="4">
        <f t="shared" si="620"/>
        <v>11280</v>
      </c>
      <c r="L804" s="33" t="e">
        <f t="shared" ref="L804:L805" si="623">+J804/E804</f>
        <v>#DIV/0!</v>
      </c>
      <c r="M804" s="143">
        <v>4.0426000000000002</v>
      </c>
      <c r="N804" s="36">
        <f t="shared" si="622"/>
        <v>169789.2</v>
      </c>
      <c r="O804" s="88">
        <f>M804*J804</f>
        <v>169789.2</v>
      </c>
      <c r="P804" s="1134"/>
    </row>
    <row r="805" spans="2:16" x14ac:dyDescent="0.3">
      <c r="B805" s="1132"/>
      <c r="C805" s="35"/>
      <c r="D805" s="119" t="s">
        <v>117</v>
      </c>
      <c r="E805" s="99">
        <v>0</v>
      </c>
      <c r="F805" s="9">
        <f t="shared" si="617"/>
        <v>0</v>
      </c>
      <c r="G805" s="9">
        <v>0</v>
      </c>
      <c r="H805" s="10">
        <v>0</v>
      </c>
      <c r="I805" s="6">
        <f t="shared" si="618"/>
        <v>0</v>
      </c>
      <c r="J805" s="4">
        <f t="shared" si="619"/>
        <v>0</v>
      </c>
      <c r="K805" s="4">
        <f t="shared" si="620"/>
        <v>0</v>
      </c>
      <c r="L805" s="33" t="e">
        <f t="shared" si="623"/>
        <v>#DIV/0!</v>
      </c>
      <c r="M805" s="143">
        <v>3.8715000000000002</v>
      </c>
      <c r="N805" s="36">
        <f t="shared" si="622"/>
        <v>0</v>
      </c>
      <c r="O805" s="88">
        <f t="shared" ref="O805:O806" si="624">M805*J805</f>
        <v>0</v>
      </c>
      <c r="P805" s="1134"/>
    </row>
    <row r="806" spans="2:16" ht="15" thickBot="1" x14ac:dyDescent="0.35">
      <c r="B806" s="1132"/>
      <c r="C806" s="82"/>
      <c r="D806" s="120" t="s">
        <v>60</v>
      </c>
      <c r="E806" s="108">
        <v>0</v>
      </c>
      <c r="F806" s="12">
        <f t="shared" si="617"/>
        <v>0</v>
      </c>
      <c r="G806" s="12">
        <v>0</v>
      </c>
      <c r="H806" s="13">
        <v>0</v>
      </c>
      <c r="I806" s="21">
        <f t="shared" si="618"/>
        <v>0</v>
      </c>
      <c r="J806" s="4">
        <f t="shared" si="619"/>
        <v>0</v>
      </c>
      <c r="K806" s="4">
        <f t="shared" si="620"/>
        <v>0</v>
      </c>
      <c r="L806" s="81"/>
      <c r="M806" s="127">
        <v>12.284700000000001</v>
      </c>
      <c r="N806" s="36">
        <f t="shared" si="622"/>
        <v>0</v>
      </c>
      <c r="O806" s="128">
        <f t="shared" si="624"/>
        <v>0</v>
      </c>
      <c r="P806" s="1134"/>
    </row>
    <row r="807" spans="2:16" ht="15" thickBot="1" x14ac:dyDescent="0.35">
      <c r="B807" s="1132"/>
      <c r="C807" s="1137" t="s">
        <v>111</v>
      </c>
      <c r="D807" s="1138"/>
      <c r="E807" s="129"/>
      <c r="F807" s="130">
        <f>SUM(F800:F806)</f>
        <v>226876</v>
      </c>
      <c r="G807" s="130">
        <f>SUM(G800:G806)</f>
        <v>214500</v>
      </c>
      <c r="H807" s="131">
        <f>SUM(H800:H806)</f>
        <v>12376</v>
      </c>
      <c r="I807" s="132">
        <f>+J807+K807</f>
        <v>2775234</v>
      </c>
      <c r="J807" s="133">
        <f>SUM(J800:J806)</f>
        <v>2740250</v>
      </c>
      <c r="K807" s="133">
        <f>SUM(K800:K806)</f>
        <v>34984</v>
      </c>
      <c r="L807" s="134"/>
      <c r="M807" s="135"/>
      <c r="N807" s="136"/>
      <c r="O807" s="137">
        <f>SUM(O800:O806)</f>
        <v>6309414.7999999998</v>
      </c>
      <c r="P807" s="1135"/>
    </row>
    <row r="808" spans="2:16" x14ac:dyDescent="0.3">
      <c r="B808" s="1132"/>
      <c r="C808" s="32"/>
      <c r="D808" s="118" t="s">
        <v>61</v>
      </c>
      <c r="E808" s="98">
        <v>0</v>
      </c>
      <c r="F808" s="4">
        <f t="shared" ref="F808:F811" si="625">+G808+H808</f>
        <v>0</v>
      </c>
      <c r="G808" s="4">
        <v>0</v>
      </c>
      <c r="H808" s="8">
        <v>0</v>
      </c>
      <c r="I808" s="6">
        <f t="shared" ref="I808:I812" si="626">J808+K808</f>
        <v>0</v>
      </c>
      <c r="J808" s="4">
        <f>G808+J743</f>
        <v>0</v>
      </c>
      <c r="K808" s="4">
        <f>H808+K743</f>
        <v>0</v>
      </c>
      <c r="L808" s="33" t="e">
        <f t="shared" ref="L808" si="627">+J808/E808</f>
        <v>#DIV/0!</v>
      </c>
      <c r="M808" s="105">
        <v>12.029500000000001</v>
      </c>
      <c r="N808" s="34">
        <f>M808*G808</f>
        <v>0</v>
      </c>
      <c r="O808" s="87">
        <f t="shared" ref="O808:O810" si="628">M808*J808</f>
        <v>0</v>
      </c>
      <c r="P808" s="1134"/>
    </row>
    <row r="809" spans="2:16" x14ac:dyDescent="0.3">
      <c r="B809" s="1132"/>
      <c r="C809" s="35"/>
      <c r="D809" s="119" t="s">
        <v>62</v>
      </c>
      <c r="E809" s="99">
        <v>0</v>
      </c>
      <c r="F809" s="9">
        <f t="shared" si="625"/>
        <v>0</v>
      </c>
      <c r="G809" s="9">
        <v>0</v>
      </c>
      <c r="H809" s="10">
        <v>0</v>
      </c>
      <c r="I809" s="6">
        <f t="shared" si="626"/>
        <v>0</v>
      </c>
      <c r="J809" s="4">
        <f>G809+J744</f>
        <v>0</v>
      </c>
      <c r="K809" s="4">
        <f>H809+K744</f>
        <v>0</v>
      </c>
      <c r="L809" s="33"/>
      <c r="M809" s="106">
        <v>0</v>
      </c>
      <c r="N809" s="36"/>
      <c r="O809" s="88">
        <f t="shared" si="628"/>
        <v>0</v>
      </c>
      <c r="P809" s="1134"/>
    </row>
    <row r="810" spans="2:16" x14ac:dyDescent="0.3">
      <c r="B810" s="1132"/>
      <c r="C810" s="35"/>
      <c r="D810" s="119" t="s">
        <v>104</v>
      </c>
      <c r="E810" s="99">
        <v>0</v>
      </c>
      <c r="F810" s="9">
        <f t="shared" si="625"/>
        <v>0</v>
      </c>
      <c r="G810" s="9">
        <v>0</v>
      </c>
      <c r="H810" s="10">
        <v>0</v>
      </c>
      <c r="I810" s="6">
        <f t="shared" si="626"/>
        <v>0</v>
      </c>
      <c r="J810" s="4">
        <f t="shared" ref="J810:J812" si="629">G810+J745</f>
        <v>0</v>
      </c>
      <c r="K810" s="4">
        <f t="shared" ref="K810:K812" si="630">H810+K745</f>
        <v>0</v>
      </c>
      <c r="L810" s="33" t="e">
        <f t="shared" ref="L810:L812" si="631">+J810/E810</f>
        <v>#DIV/0!</v>
      </c>
      <c r="M810" s="106">
        <v>19.688600000000001</v>
      </c>
      <c r="N810" s="36">
        <f>M810*G810</f>
        <v>0</v>
      </c>
      <c r="O810" s="88">
        <f t="shared" si="628"/>
        <v>0</v>
      </c>
      <c r="P810" s="1134"/>
    </row>
    <row r="811" spans="2:16" x14ac:dyDescent="0.3">
      <c r="B811" s="1132"/>
      <c r="C811" s="35"/>
      <c r="D811" s="119" t="s">
        <v>64</v>
      </c>
      <c r="E811" s="99">
        <v>0</v>
      </c>
      <c r="F811" s="9">
        <f t="shared" si="625"/>
        <v>0</v>
      </c>
      <c r="G811" s="9">
        <v>0</v>
      </c>
      <c r="H811" s="10">
        <v>0</v>
      </c>
      <c r="I811" s="6">
        <f t="shared" si="626"/>
        <v>0</v>
      </c>
      <c r="J811" s="4">
        <f t="shared" si="629"/>
        <v>0</v>
      </c>
      <c r="K811" s="4">
        <f t="shared" si="630"/>
        <v>0</v>
      </c>
      <c r="L811" s="33" t="e">
        <f t="shared" si="631"/>
        <v>#DIV/0!</v>
      </c>
      <c r="M811" s="106">
        <v>1.2824</v>
      </c>
      <c r="N811" s="151">
        <f>M811*G811</f>
        <v>0</v>
      </c>
      <c r="O811" s="88">
        <f>M811*J811</f>
        <v>0</v>
      </c>
      <c r="P811" s="1134"/>
    </row>
    <row r="812" spans="2:16" ht="15" thickBot="1" x14ac:dyDescent="0.35">
      <c r="B812" s="1132"/>
      <c r="C812" s="82"/>
      <c r="D812" s="120" t="s">
        <v>63</v>
      </c>
      <c r="E812" s="108">
        <v>0</v>
      </c>
      <c r="F812" s="12">
        <v>0</v>
      </c>
      <c r="G812" s="12">
        <v>8640</v>
      </c>
      <c r="H812" s="13">
        <v>104</v>
      </c>
      <c r="I812" s="21">
        <f t="shared" si="626"/>
        <v>56834</v>
      </c>
      <c r="J812" s="4">
        <f t="shared" si="629"/>
        <v>56160</v>
      </c>
      <c r="K812" s="4">
        <f t="shared" si="630"/>
        <v>674</v>
      </c>
      <c r="L812" s="81" t="e">
        <f t="shared" si="631"/>
        <v>#DIV/0!</v>
      </c>
      <c r="M812" s="107">
        <v>18.2316</v>
      </c>
      <c r="N812" s="75"/>
      <c r="O812" s="89">
        <f t="shared" ref="O812" si="632">M812*J812</f>
        <v>1023886.656</v>
      </c>
      <c r="P812" s="1136"/>
    </row>
    <row r="813" spans="2:16" ht="15" thickBot="1" x14ac:dyDescent="0.35">
      <c r="B813" s="1116" t="s">
        <v>112</v>
      </c>
      <c r="C813" s="1117"/>
      <c r="D813" s="1117"/>
      <c r="E813" s="124"/>
      <c r="F813" s="125">
        <f>+G813+H813</f>
        <v>8744</v>
      </c>
      <c r="G813" s="125">
        <f>SUM(G808:G812)</f>
        <v>8640</v>
      </c>
      <c r="H813" s="126">
        <f>SUM(H808:H812)</f>
        <v>104</v>
      </c>
      <c r="I813" s="121">
        <f>J813+K813</f>
        <v>56834</v>
      </c>
      <c r="J813" s="122">
        <f>SUM(J808:J812)</f>
        <v>56160</v>
      </c>
      <c r="K813" s="123">
        <f>SUM(K808:K812)</f>
        <v>674</v>
      </c>
      <c r="L813" s="138"/>
      <c r="M813" s="139"/>
      <c r="N813" s="140"/>
      <c r="O813" s="141">
        <f>SUM(O808:O812)</f>
        <v>1023886.656</v>
      </c>
      <c r="P813" s="205"/>
    </row>
    <row r="814" spans="2:16" ht="15" thickBot="1" x14ac:dyDescent="0.35">
      <c r="B814" s="1116" t="s">
        <v>105</v>
      </c>
      <c r="C814" s="1117"/>
      <c r="D814" s="1117"/>
      <c r="E814" s="1139"/>
      <c r="F814" s="1139"/>
      <c r="G814" s="1139"/>
      <c r="H814" s="1139"/>
      <c r="I814" s="1117"/>
      <c r="J814" s="1117"/>
      <c r="K814" s="1117"/>
      <c r="L814" s="1117"/>
      <c r="M814" s="1117"/>
      <c r="N814" s="1140"/>
      <c r="O814" s="83">
        <f>O807+O813</f>
        <v>7333301.4560000002</v>
      </c>
      <c r="P814" s="205"/>
    </row>
    <row r="815" spans="2:16" x14ac:dyDescent="0.3">
      <c r="B815" s="1131" t="s">
        <v>65</v>
      </c>
      <c r="C815" s="37" t="s">
        <v>66</v>
      </c>
      <c r="D815" s="28" t="s">
        <v>67</v>
      </c>
      <c r="E815" s="38">
        <v>0</v>
      </c>
      <c r="F815" s="14">
        <f>+G815+H815</f>
        <v>0</v>
      </c>
      <c r="G815" s="14">
        <v>0</v>
      </c>
      <c r="H815" s="5">
        <v>0</v>
      </c>
      <c r="I815" s="17">
        <f t="shared" ref="I815:I821" si="633">J815+K815</f>
        <v>0</v>
      </c>
      <c r="J815" s="4">
        <f>G815+J750</f>
        <v>0</v>
      </c>
      <c r="K815" s="4">
        <f>H815+K750</f>
        <v>0</v>
      </c>
      <c r="L815" s="30" t="e">
        <f>+J815/E815</f>
        <v>#DIV/0!</v>
      </c>
      <c r="M815" s="146">
        <v>2.2141000000000002</v>
      </c>
      <c r="N815" s="15">
        <f>+M815*G815</f>
        <v>0</v>
      </c>
      <c r="O815" s="90">
        <f>+M815*J815</f>
        <v>0</v>
      </c>
      <c r="P815" s="1142"/>
    </row>
    <row r="816" spans="2:16" x14ac:dyDescent="0.3">
      <c r="B816" s="1132"/>
      <c r="C816" s="39"/>
      <c r="D816" s="22" t="s">
        <v>68</v>
      </c>
      <c r="E816" s="3">
        <v>0</v>
      </c>
      <c r="F816" s="9">
        <f t="shared" ref="F816:F821" si="634">+G816+H816</f>
        <v>0</v>
      </c>
      <c r="G816" s="4">
        <v>0</v>
      </c>
      <c r="H816" s="8">
        <v>0</v>
      </c>
      <c r="I816" s="6">
        <f t="shared" si="633"/>
        <v>0</v>
      </c>
      <c r="J816" s="4">
        <f>+G816+J751</f>
        <v>0</v>
      </c>
      <c r="K816" s="4">
        <f>+H816+K751</f>
        <v>0</v>
      </c>
      <c r="L816" s="40" t="e">
        <f t="shared" ref="L816:L817" si="635">+J816/E816</f>
        <v>#DIV/0!</v>
      </c>
      <c r="M816" s="145">
        <v>2.4565999999999999</v>
      </c>
      <c r="N816" s="11">
        <f t="shared" ref="N816:N818" si="636">+M816*G816</f>
        <v>0</v>
      </c>
      <c r="O816" s="91">
        <f t="shared" ref="O816:O818" si="637">+M816*J816</f>
        <v>0</v>
      </c>
      <c r="P816" s="1143"/>
    </row>
    <row r="817" spans="2:16" x14ac:dyDescent="0.3">
      <c r="B817" s="1132"/>
      <c r="C817" s="39"/>
      <c r="D817" s="23" t="s">
        <v>133</v>
      </c>
      <c r="E817" s="3">
        <v>0</v>
      </c>
      <c r="F817" s="9">
        <f t="shared" si="634"/>
        <v>0</v>
      </c>
      <c r="G817" s="4">
        <v>0</v>
      </c>
      <c r="H817" s="8">
        <v>0</v>
      </c>
      <c r="I817" s="6">
        <f t="shared" si="633"/>
        <v>0</v>
      </c>
      <c r="J817" s="4">
        <f t="shared" ref="J817:J818" si="638">+G817+J752</f>
        <v>0</v>
      </c>
      <c r="K817" s="4">
        <f t="shared" ref="K817:K821" si="639">+H817+K752</f>
        <v>0</v>
      </c>
      <c r="L817" s="40" t="e">
        <f t="shared" si="635"/>
        <v>#DIV/0!</v>
      </c>
      <c r="M817" s="145">
        <v>2.2907000000000002</v>
      </c>
      <c r="N817" s="11">
        <f t="shared" si="636"/>
        <v>0</v>
      </c>
      <c r="O817" s="91">
        <f t="shared" si="637"/>
        <v>0</v>
      </c>
      <c r="P817" s="1143"/>
    </row>
    <row r="818" spans="2:16" x14ac:dyDescent="0.3">
      <c r="B818" s="1132"/>
      <c r="C818" s="39"/>
      <c r="D818" s="22" t="s">
        <v>138</v>
      </c>
      <c r="E818" s="3"/>
      <c r="F818" s="9">
        <f t="shared" si="634"/>
        <v>0</v>
      </c>
      <c r="G818" s="4">
        <v>0</v>
      </c>
      <c r="H818" s="8">
        <v>0</v>
      </c>
      <c r="I818" s="6">
        <f t="shared" si="633"/>
        <v>0</v>
      </c>
      <c r="J818" s="4">
        <f t="shared" si="638"/>
        <v>0</v>
      </c>
      <c r="K818" s="4">
        <f t="shared" si="639"/>
        <v>0</v>
      </c>
      <c r="L818" s="33"/>
      <c r="M818" s="150">
        <v>2.544</v>
      </c>
      <c r="N818" s="11">
        <f t="shared" si="636"/>
        <v>0</v>
      </c>
      <c r="O818" s="91">
        <f t="shared" si="637"/>
        <v>0</v>
      </c>
      <c r="P818" s="1143"/>
    </row>
    <row r="819" spans="2:16" x14ac:dyDescent="0.3">
      <c r="B819" s="1132"/>
      <c r="C819" s="39" t="s">
        <v>69</v>
      </c>
      <c r="D819" s="22" t="s">
        <v>140</v>
      </c>
      <c r="E819" s="3">
        <v>0</v>
      </c>
      <c r="F819" s="9">
        <f t="shared" si="634"/>
        <v>23285</v>
      </c>
      <c r="G819" s="4">
        <v>22250</v>
      </c>
      <c r="H819" s="8">
        <v>1035</v>
      </c>
      <c r="I819" s="6">
        <f t="shared" si="633"/>
        <v>567947</v>
      </c>
      <c r="J819" s="4">
        <f>+G819+J754</f>
        <v>552750</v>
      </c>
      <c r="K819" s="4">
        <f t="shared" si="639"/>
        <v>15197</v>
      </c>
      <c r="L819" s="33" t="e">
        <f>+J819/E819</f>
        <v>#DIV/0!</v>
      </c>
      <c r="M819" s="144">
        <v>2.2141000000000002</v>
      </c>
      <c r="N819" s="7">
        <f>+M819*G819</f>
        <v>49263.725000000006</v>
      </c>
      <c r="O819" s="85">
        <f>+M819*J819</f>
        <v>1223843.7750000001</v>
      </c>
      <c r="P819" s="1143"/>
    </row>
    <row r="820" spans="2:16" x14ac:dyDescent="0.3">
      <c r="B820" s="1132"/>
      <c r="C820" s="39"/>
      <c r="D820" s="22" t="s">
        <v>68</v>
      </c>
      <c r="E820" s="3">
        <v>0</v>
      </c>
      <c r="F820" s="9">
        <f t="shared" si="634"/>
        <v>0</v>
      </c>
      <c r="G820" s="4">
        <v>0</v>
      </c>
      <c r="H820" s="8">
        <v>0</v>
      </c>
      <c r="I820" s="6">
        <f t="shared" si="633"/>
        <v>0</v>
      </c>
      <c r="J820" s="4">
        <f t="shared" ref="J820:J821" si="640">+G820+J755</f>
        <v>0</v>
      </c>
      <c r="K820" s="4">
        <f t="shared" si="639"/>
        <v>0</v>
      </c>
      <c r="L820" s="40" t="e">
        <f t="shared" ref="L820:L821" si="641">+J820/E820</f>
        <v>#DIV/0!</v>
      </c>
      <c r="M820" s="145">
        <v>2.4565999999999999</v>
      </c>
      <c r="N820" s="11">
        <f t="shared" ref="N820:N821" si="642">+M820*G820</f>
        <v>0</v>
      </c>
      <c r="O820" s="91">
        <f t="shared" ref="O820" si="643">+M820*J820</f>
        <v>0</v>
      </c>
      <c r="P820" s="1143"/>
    </row>
    <row r="821" spans="2:16" ht="15" thickBot="1" x14ac:dyDescent="0.35">
      <c r="B821" s="1132"/>
      <c r="C821" s="39"/>
      <c r="D821" s="22" t="s">
        <v>133</v>
      </c>
      <c r="E821" s="3">
        <v>0</v>
      </c>
      <c r="F821" s="9">
        <f t="shared" si="634"/>
        <v>0</v>
      </c>
      <c r="G821" s="4">
        <v>0</v>
      </c>
      <c r="H821" s="8">
        <v>0</v>
      </c>
      <c r="I821" s="6">
        <f t="shared" si="633"/>
        <v>0</v>
      </c>
      <c r="J821" s="4">
        <f t="shared" si="640"/>
        <v>0</v>
      </c>
      <c r="K821" s="4">
        <f t="shared" si="639"/>
        <v>0</v>
      </c>
      <c r="L821" s="40" t="e">
        <f t="shared" si="641"/>
        <v>#DIV/0!</v>
      </c>
      <c r="M821" s="145">
        <v>2.2907000000000002</v>
      </c>
      <c r="N821" s="11">
        <f t="shared" si="642"/>
        <v>0</v>
      </c>
      <c r="O821" s="154">
        <f>+M821*J821</f>
        <v>0</v>
      </c>
      <c r="P821" s="1144"/>
    </row>
    <row r="822" spans="2:16" ht="15" thickBot="1" x14ac:dyDescent="0.35">
      <c r="B822" s="1132"/>
      <c r="C822" s="41" t="s">
        <v>29</v>
      </c>
      <c r="D822" s="27" t="str">
        <f>+C822</f>
        <v>TOTAL 1/2</v>
      </c>
      <c r="E822" s="42">
        <f>SUM(E815:E821)</f>
        <v>0</v>
      </c>
      <c r="F822" s="43">
        <f>SUM(F815:F821)</f>
        <v>23285</v>
      </c>
      <c r="G822" s="43">
        <f>SUM(G815:G821)</f>
        <v>22250</v>
      </c>
      <c r="H822" s="44">
        <f>SUM(H815:H821)</f>
        <v>1035</v>
      </c>
      <c r="I822" s="45">
        <f>SUM(I819:I821)</f>
        <v>567947</v>
      </c>
      <c r="J822" s="43">
        <f>SUM(J815:J821)</f>
        <v>552750</v>
      </c>
      <c r="K822" s="43">
        <f>SUM(K815:K821)</f>
        <v>15197</v>
      </c>
      <c r="L822" s="46" t="e">
        <f>+J822/E822</f>
        <v>#DIV/0!</v>
      </c>
      <c r="M822" s="47"/>
      <c r="N822" s="48">
        <f>SUM(N819:N821)</f>
        <v>49263.725000000006</v>
      </c>
      <c r="O822" s="49">
        <f>SUM(O815:O821)</f>
        <v>1223843.7750000001</v>
      </c>
      <c r="P822" s="206"/>
    </row>
    <row r="823" spans="2:16" x14ac:dyDescent="0.3">
      <c r="B823" s="1132"/>
      <c r="C823" s="1145" t="s">
        <v>70</v>
      </c>
      <c r="D823" s="22" t="s">
        <v>67</v>
      </c>
      <c r="E823" s="3">
        <v>0</v>
      </c>
      <c r="F823" s="4">
        <f>G823+H823</f>
        <v>0</v>
      </c>
      <c r="G823" s="4">
        <v>0</v>
      </c>
      <c r="H823" s="8">
        <v>0</v>
      </c>
      <c r="I823" s="16">
        <f>J823+K823</f>
        <v>109220</v>
      </c>
      <c r="J823" s="4">
        <f>G823+J758</f>
        <v>105750</v>
      </c>
      <c r="K823" s="4">
        <f>H823+K758</f>
        <v>3470</v>
      </c>
      <c r="L823" s="50" t="e">
        <f>+J823/E823</f>
        <v>#DIV/0!</v>
      </c>
      <c r="M823" s="144">
        <v>4.1712999999999996</v>
      </c>
      <c r="N823" s="7">
        <f>+M823*G823</f>
        <v>0</v>
      </c>
      <c r="O823" s="93">
        <f>+M823*J823</f>
        <v>441114.97499999998</v>
      </c>
      <c r="P823" s="1142"/>
    </row>
    <row r="824" spans="2:16" x14ac:dyDescent="0.3">
      <c r="B824" s="1132"/>
      <c r="C824" s="1146"/>
      <c r="D824" s="22" t="s">
        <v>68</v>
      </c>
      <c r="E824" s="3">
        <v>0</v>
      </c>
      <c r="F824" s="4">
        <f>G824+H824</f>
        <v>0</v>
      </c>
      <c r="G824" s="4">
        <v>0</v>
      </c>
      <c r="H824" s="8">
        <v>0</v>
      </c>
      <c r="I824" s="6">
        <f>+R1868+F824</f>
        <v>0</v>
      </c>
      <c r="J824" s="4">
        <f>G824+J759</f>
        <v>120000</v>
      </c>
      <c r="K824" s="4">
        <f>H824+K759</f>
        <v>3230</v>
      </c>
      <c r="L824" s="51" t="e">
        <f t="shared" ref="L824:L828" si="644">+J824/E824</f>
        <v>#DIV/0!</v>
      </c>
      <c r="M824" s="145">
        <v>4.8285999999999998</v>
      </c>
      <c r="N824" s="11">
        <f t="shared" ref="N824:N826" si="645">+M824*G824</f>
        <v>0</v>
      </c>
      <c r="O824" s="94">
        <f t="shared" ref="O824:O826" si="646">+M824*J824</f>
        <v>579432</v>
      </c>
      <c r="P824" s="1143"/>
    </row>
    <row r="825" spans="2:16" x14ac:dyDescent="0.3">
      <c r="B825" s="1132"/>
      <c r="C825" s="1146"/>
      <c r="D825" s="22" t="s">
        <v>134</v>
      </c>
      <c r="E825" s="3"/>
      <c r="F825" s="4">
        <f>G825+H825</f>
        <v>0</v>
      </c>
      <c r="G825" s="4">
        <v>0</v>
      </c>
      <c r="H825" s="8">
        <v>0</v>
      </c>
      <c r="I825" s="6">
        <f>+R1869+F825</f>
        <v>0</v>
      </c>
      <c r="J825" s="4">
        <f t="shared" ref="J825:J826" si="647">G825+J760</f>
        <v>0</v>
      </c>
      <c r="K825" s="4">
        <f t="shared" ref="K825:K826" si="648">H825+K760</f>
        <v>0</v>
      </c>
      <c r="L825" s="51" t="e">
        <f t="shared" si="644"/>
        <v>#DIV/0!</v>
      </c>
      <c r="M825" s="144">
        <v>4.5023</v>
      </c>
      <c r="N825" s="11">
        <f t="shared" si="645"/>
        <v>0</v>
      </c>
      <c r="O825" s="94">
        <f t="shared" si="646"/>
        <v>0</v>
      </c>
      <c r="P825" s="1143"/>
    </row>
    <row r="826" spans="2:16" ht="15" thickBot="1" x14ac:dyDescent="0.35">
      <c r="B826" s="1132"/>
      <c r="C826" s="1146"/>
      <c r="D826" s="22" t="s">
        <v>118</v>
      </c>
      <c r="E826" s="3">
        <v>0</v>
      </c>
      <c r="F826" s="4">
        <f t="shared" ref="F826" si="649">G826+H826</f>
        <v>0</v>
      </c>
      <c r="G826" s="4">
        <v>0</v>
      </c>
      <c r="H826" s="8">
        <v>0</v>
      </c>
      <c r="I826" s="6">
        <f>+R1869+F826</f>
        <v>0</v>
      </c>
      <c r="J826" s="4">
        <f t="shared" si="647"/>
        <v>0</v>
      </c>
      <c r="K826" s="4">
        <f t="shared" si="648"/>
        <v>0</v>
      </c>
      <c r="L826" s="51" t="e">
        <f t="shared" si="644"/>
        <v>#DIV/0!</v>
      </c>
      <c r="M826" s="144">
        <v>4.4065000000000003</v>
      </c>
      <c r="N826" s="11">
        <f t="shared" si="645"/>
        <v>0</v>
      </c>
      <c r="O826" s="94">
        <f t="shared" si="646"/>
        <v>0</v>
      </c>
      <c r="P826" s="1143"/>
    </row>
    <row r="827" spans="2:16" ht="15" thickBot="1" x14ac:dyDescent="0.35">
      <c r="B827" s="1132"/>
      <c r="C827" s="41" t="s">
        <v>31</v>
      </c>
      <c r="D827" s="18" t="str">
        <f>+C827</f>
        <v>TOTAL 4/4</v>
      </c>
      <c r="E827" s="42">
        <f t="shared" ref="E827:K827" si="650">SUM(E823:E826)</f>
        <v>0</v>
      </c>
      <c r="F827" s="43">
        <f t="shared" si="650"/>
        <v>0</v>
      </c>
      <c r="G827" s="43">
        <f t="shared" si="650"/>
        <v>0</v>
      </c>
      <c r="H827" s="44">
        <f t="shared" si="650"/>
        <v>0</v>
      </c>
      <c r="I827" s="45">
        <f t="shared" si="650"/>
        <v>109220</v>
      </c>
      <c r="J827" s="43">
        <f t="shared" si="650"/>
        <v>225750</v>
      </c>
      <c r="K827" s="43">
        <f t="shared" si="650"/>
        <v>6700</v>
      </c>
      <c r="L827" s="46" t="e">
        <f t="shared" si="644"/>
        <v>#DIV/0!</v>
      </c>
      <c r="M827" s="47"/>
      <c r="N827" s="48">
        <f>SUM(N823:N826)</f>
        <v>0</v>
      </c>
      <c r="O827" s="92">
        <f>SUM(O823:O826)</f>
        <v>1020546.975</v>
      </c>
      <c r="P827" s="1144"/>
    </row>
    <row r="828" spans="2:16" ht="15" thickBot="1" x14ac:dyDescent="0.35">
      <c r="B828" s="1141"/>
      <c r="C828" s="41" t="s">
        <v>71</v>
      </c>
      <c r="D828" s="27" t="s">
        <v>67</v>
      </c>
      <c r="E828" s="25">
        <v>0</v>
      </c>
      <c r="F828" s="20">
        <f>G828+H828</f>
        <v>0</v>
      </c>
      <c r="G828" s="20">
        <v>0</v>
      </c>
      <c r="H828" s="24">
        <v>0</v>
      </c>
      <c r="I828" s="19">
        <f>J828+K828</f>
        <v>0</v>
      </c>
      <c r="J828" s="4">
        <f>G828+J763</f>
        <v>0</v>
      </c>
      <c r="K828" s="4">
        <f>H828+K763</f>
        <v>0</v>
      </c>
      <c r="L828" s="52" t="e">
        <f t="shared" si="644"/>
        <v>#DIV/0!</v>
      </c>
      <c r="M828" s="149">
        <v>1.4086000000000001</v>
      </c>
      <c r="N828" s="26">
        <f t="shared" ref="N828" si="651">+M828*G828</f>
        <v>0</v>
      </c>
      <c r="O828" s="95">
        <f t="shared" ref="O828" si="652">+M828*J828</f>
        <v>0</v>
      </c>
      <c r="P828" s="53"/>
    </row>
    <row r="829" spans="2:16" ht="15" thickBot="1" x14ac:dyDescent="0.35">
      <c r="B829" s="1116" t="s">
        <v>102</v>
      </c>
      <c r="C829" s="1117"/>
      <c r="D829" s="1117"/>
      <c r="E829" s="1117"/>
      <c r="F829" s="1117"/>
      <c r="G829" s="1117"/>
      <c r="H829" s="1117"/>
      <c r="I829" s="110">
        <f>J829+K829</f>
        <v>800397</v>
      </c>
      <c r="J829" s="110">
        <f>J822+J827+J828</f>
        <v>778500</v>
      </c>
      <c r="K829" s="110">
        <f>K822+K827+K828</f>
        <v>21897</v>
      </c>
      <c r="L829" s="111"/>
      <c r="M829" s="112"/>
      <c r="N829" s="109"/>
      <c r="O829" s="77">
        <f>+O828+O827+O822</f>
        <v>2244390.75</v>
      </c>
      <c r="P829" s="84"/>
    </row>
    <row r="830" spans="2:16" x14ac:dyDescent="0.3">
      <c r="B830" s="1118" t="s">
        <v>72</v>
      </c>
      <c r="C830" s="1121" t="s">
        <v>73</v>
      </c>
      <c r="D830" s="54" t="s">
        <v>74</v>
      </c>
      <c r="E830" s="55">
        <v>0</v>
      </c>
      <c r="F830" s="56">
        <f>G830+H830</f>
        <v>5075</v>
      </c>
      <c r="G830" s="56">
        <v>5000</v>
      </c>
      <c r="H830" s="57">
        <v>75</v>
      </c>
      <c r="I830" s="78">
        <f>J830+K830</f>
        <v>20208</v>
      </c>
      <c r="J830" s="4">
        <f>G830+J765</f>
        <v>20000</v>
      </c>
      <c r="K830" s="4">
        <f>H830+K765</f>
        <v>208</v>
      </c>
      <c r="L830" s="58" t="e">
        <f t="shared" ref="L830" si="653">+J830/E830</f>
        <v>#DIV/0!</v>
      </c>
      <c r="M830" s="59">
        <v>32.946300000000001</v>
      </c>
      <c r="N830" s="60">
        <f>+M830*G830</f>
        <v>164731.5</v>
      </c>
      <c r="O830" s="60">
        <f>M830*J830</f>
        <v>658926</v>
      </c>
      <c r="P830" s="1123"/>
    </row>
    <row r="831" spans="2:16" x14ac:dyDescent="0.3">
      <c r="B831" s="1119"/>
      <c r="C831" s="1122"/>
      <c r="D831" s="61" t="s">
        <v>75</v>
      </c>
      <c r="E831" s="62">
        <v>0</v>
      </c>
      <c r="F831" s="63">
        <f>G831+H831</f>
        <v>0</v>
      </c>
      <c r="G831" s="63">
        <v>0</v>
      </c>
      <c r="H831" s="64">
        <v>0</v>
      </c>
      <c r="I831" s="79">
        <f>J831+K831</f>
        <v>31833</v>
      </c>
      <c r="J831" s="4">
        <f>G831+J766</f>
        <v>31420</v>
      </c>
      <c r="K831" s="4">
        <f>H831+K766</f>
        <v>413</v>
      </c>
      <c r="L831" s="65" t="e">
        <f>+J831/E831</f>
        <v>#DIV/0!</v>
      </c>
      <c r="M831" s="66">
        <v>35.398400000000002</v>
      </c>
      <c r="N831" s="67">
        <f>+M831*G831</f>
        <v>0</v>
      </c>
      <c r="O831" s="67">
        <f>M831*J831</f>
        <v>1112217.7280000001</v>
      </c>
      <c r="P831" s="1124"/>
    </row>
    <row r="832" spans="2:16" x14ac:dyDescent="0.3">
      <c r="B832" s="1119"/>
      <c r="C832" s="1122"/>
      <c r="D832" s="61" t="s">
        <v>76</v>
      </c>
      <c r="E832" s="62">
        <v>0</v>
      </c>
      <c r="F832" s="63">
        <f t="shared" ref="F832:F835" si="654">G832+H832</f>
        <v>0</v>
      </c>
      <c r="G832" s="63">
        <v>0</v>
      </c>
      <c r="H832" s="64">
        <v>0</v>
      </c>
      <c r="I832" s="79">
        <f t="shared" ref="I832:I841" si="655">J832+K832</f>
        <v>0</v>
      </c>
      <c r="J832" s="4">
        <f t="shared" ref="J832:J857" si="656">G832+J767</f>
        <v>0</v>
      </c>
      <c r="K832" s="4">
        <f t="shared" ref="K832:K836" si="657">H832+K767</f>
        <v>0</v>
      </c>
      <c r="L832" s="65" t="e">
        <f t="shared" ref="L832:L845" si="658">+J832/E832</f>
        <v>#DIV/0!</v>
      </c>
      <c r="M832" s="66">
        <v>32.946300000000001</v>
      </c>
      <c r="N832" s="67">
        <f t="shared" ref="N832:N852" si="659">+M832*G832</f>
        <v>0</v>
      </c>
      <c r="O832" s="67">
        <f t="shared" ref="O832:O840" si="660">M832*J832</f>
        <v>0</v>
      </c>
      <c r="P832" s="1124"/>
    </row>
    <row r="833" spans="2:16" x14ac:dyDescent="0.3">
      <c r="B833" s="1119"/>
      <c r="C833" s="1122" t="s">
        <v>77</v>
      </c>
      <c r="D833" s="61" t="s">
        <v>78</v>
      </c>
      <c r="E833" s="62">
        <v>0</v>
      </c>
      <c r="F833" s="63">
        <f t="shared" si="654"/>
        <v>2492</v>
      </c>
      <c r="G833" s="63">
        <v>2400</v>
      </c>
      <c r="H833" s="64">
        <v>92</v>
      </c>
      <c r="I833" s="79">
        <f t="shared" si="655"/>
        <v>17250</v>
      </c>
      <c r="J833" s="4">
        <f t="shared" si="656"/>
        <v>16800</v>
      </c>
      <c r="K833" s="4">
        <f t="shared" si="657"/>
        <v>450</v>
      </c>
      <c r="L833" s="65" t="e">
        <f t="shared" si="658"/>
        <v>#DIV/0!</v>
      </c>
      <c r="M833" s="66">
        <v>55.4758</v>
      </c>
      <c r="N833" s="67">
        <f t="shared" si="659"/>
        <v>133141.92000000001</v>
      </c>
      <c r="O833" s="67">
        <f t="shared" si="660"/>
        <v>931993.44</v>
      </c>
      <c r="P833" s="1124"/>
    </row>
    <row r="834" spans="2:16" x14ac:dyDescent="0.3">
      <c r="B834" s="1119"/>
      <c r="C834" s="1122"/>
      <c r="D834" s="61" t="s">
        <v>141</v>
      </c>
      <c r="E834" s="62">
        <v>0</v>
      </c>
      <c r="F834" s="63">
        <f t="shared" si="654"/>
        <v>0</v>
      </c>
      <c r="G834" s="63">
        <v>0</v>
      </c>
      <c r="H834" s="64">
        <v>0</v>
      </c>
      <c r="I834" s="79">
        <f t="shared" si="655"/>
        <v>0</v>
      </c>
      <c r="J834" s="4">
        <f t="shared" si="656"/>
        <v>0</v>
      </c>
      <c r="K834" s="4">
        <f t="shared" si="657"/>
        <v>0</v>
      </c>
      <c r="L834" s="65" t="e">
        <f t="shared" si="658"/>
        <v>#DIV/0!</v>
      </c>
      <c r="M834" s="66">
        <v>53.515999999999998</v>
      </c>
      <c r="N834" s="67">
        <f t="shared" si="659"/>
        <v>0</v>
      </c>
      <c r="O834" s="67">
        <f t="shared" si="660"/>
        <v>0</v>
      </c>
      <c r="P834" s="1124"/>
    </row>
    <row r="835" spans="2:16" x14ac:dyDescent="0.3">
      <c r="B835" s="1119"/>
      <c r="C835" s="1122"/>
      <c r="D835" s="61" t="s">
        <v>75</v>
      </c>
      <c r="E835" s="62">
        <v>0</v>
      </c>
      <c r="F835" s="63">
        <f t="shared" si="654"/>
        <v>0</v>
      </c>
      <c r="G835" s="63">
        <v>0</v>
      </c>
      <c r="H835" s="64">
        <v>0</v>
      </c>
      <c r="I835" s="79">
        <f t="shared" si="655"/>
        <v>9804</v>
      </c>
      <c r="J835" s="4">
        <f t="shared" si="656"/>
        <v>9600</v>
      </c>
      <c r="K835" s="4">
        <f t="shared" si="657"/>
        <v>204</v>
      </c>
      <c r="L835" s="65" t="e">
        <f t="shared" si="658"/>
        <v>#DIV/0!</v>
      </c>
      <c r="M835" s="66">
        <v>58.836300000000001</v>
      </c>
      <c r="N835" s="67">
        <f t="shared" si="659"/>
        <v>0</v>
      </c>
      <c r="O835" s="67">
        <f t="shared" si="660"/>
        <v>564828.48</v>
      </c>
      <c r="P835" s="1124"/>
    </row>
    <row r="836" spans="2:16" x14ac:dyDescent="0.3">
      <c r="B836" s="1119"/>
      <c r="C836" s="1126" t="s">
        <v>79</v>
      </c>
      <c r="D836" s="61" t="s">
        <v>80</v>
      </c>
      <c r="E836" s="62">
        <v>0</v>
      </c>
      <c r="F836" s="63">
        <f>G836+H836</f>
        <v>6605</v>
      </c>
      <c r="G836" s="63">
        <v>6425</v>
      </c>
      <c r="H836" s="64">
        <v>180</v>
      </c>
      <c r="I836" s="79">
        <f t="shared" si="655"/>
        <v>13295</v>
      </c>
      <c r="J836" s="4">
        <f t="shared" si="656"/>
        <v>13000</v>
      </c>
      <c r="K836" s="4">
        <f t="shared" si="657"/>
        <v>295</v>
      </c>
      <c r="L836" s="65" t="e">
        <f t="shared" si="658"/>
        <v>#DIV/0!</v>
      </c>
      <c r="M836" s="66">
        <v>25.687200000000001</v>
      </c>
      <c r="N836" s="67">
        <f t="shared" si="659"/>
        <v>165040.26</v>
      </c>
      <c r="O836" s="67">
        <f t="shared" si="660"/>
        <v>333933.60000000003</v>
      </c>
      <c r="P836" s="1124"/>
    </row>
    <row r="837" spans="2:16" x14ac:dyDescent="0.3">
      <c r="B837" s="1119"/>
      <c r="C837" s="1127"/>
      <c r="D837" s="61" t="s">
        <v>124</v>
      </c>
      <c r="E837" s="62">
        <v>0</v>
      </c>
      <c r="F837" s="63">
        <f>G837+H837</f>
        <v>0</v>
      </c>
      <c r="G837" s="63">
        <v>0</v>
      </c>
      <c r="H837" s="64">
        <v>0</v>
      </c>
      <c r="I837" s="79">
        <f t="shared" si="655"/>
        <v>0</v>
      </c>
      <c r="J837" s="4">
        <f t="shared" si="656"/>
        <v>0</v>
      </c>
      <c r="K837" s="4">
        <f>H837+K772</f>
        <v>0</v>
      </c>
      <c r="L837" s="65" t="e">
        <f t="shared" si="658"/>
        <v>#DIV/0!</v>
      </c>
      <c r="M837" s="66">
        <v>25.033899999999999</v>
      </c>
      <c r="N837" s="67">
        <f t="shared" si="659"/>
        <v>0</v>
      </c>
      <c r="O837" s="67">
        <f t="shared" si="660"/>
        <v>0</v>
      </c>
      <c r="P837" s="1124"/>
    </row>
    <row r="838" spans="2:16" x14ac:dyDescent="0.3">
      <c r="B838" s="1119"/>
      <c r="C838" s="1126" t="s">
        <v>81</v>
      </c>
      <c r="D838" s="61" t="s">
        <v>82</v>
      </c>
      <c r="E838" s="62">
        <v>0</v>
      </c>
      <c r="F838" s="63">
        <f t="shared" ref="F838:F857" si="661">G838+H838</f>
        <v>2070</v>
      </c>
      <c r="G838" s="63">
        <v>2000</v>
      </c>
      <c r="H838" s="64">
        <v>70</v>
      </c>
      <c r="I838" s="79">
        <f t="shared" si="655"/>
        <v>16343</v>
      </c>
      <c r="J838" s="4">
        <f t="shared" si="656"/>
        <v>16000</v>
      </c>
      <c r="K838" s="4">
        <f t="shared" ref="K838:K857" si="662">H838+K773</f>
        <v>343</v>
      </c>
      <c r="L838" s="65" t="e">
        <f t="shared" si="658"/>
        <v>#DIV/0!</v>
      </c>
      <c r="M838" s="66">
        <v>41.992699999999999</v>
      </c>
      <c r="N838" s="67">
        <f t="shared" si="659"/>
        <v>83985.4</v>
      </c>
      <c r="O838" s="67">
        <f t="shared" si="660"/>
        <v>671883.2</v>
      </c>
      <c r="P838" s="1124"/>
    </row>
    <row r="839" spans="2:16" x14ac:dyDescent="0.3">
      <c r="B839" s="1119"/>
      <c r="C839" s="1127"/>
      <c r="D839" s="61" t="s">
        <v>75</v>
      </c>
      <c r="E839" s="62">
        <v>0</v>
      </c>
      <c r="F839" s="63">
        <f t="shared" si="661"/>
        <v>0</v>
      </c>
      <c r="G839" s="63">
        <v>0</v>
      </c>
      <c r="H839" s="64">
        <v>0</v>
      </c>
      <c r="I839" s="79">
        <f t="shared" si="655"/>
        <v>0</v>
      </c>
      <c r="J839" s="4">
        <f t="shared" si="656"/>
        <v>0</v>
      </c>
      <c r="K839" s="4">
        <f t="shared" si="662"/>
        <v>0</v>
      </c>
      <c r="L839" s="65" t="e">
        <f t="shared" si="658"/>
        <v>#DIV/0!</v>
      </c>
      <c r="M839" s="66">
        <v>42.283799999999999</v>
      </c>
      <c r="N839" s="67">
        <f t="shared" si="659"/>
        <v>0</v>
      </c>
      <c r="O839" s="67">
        <f t="shared" si="660"/>
        <v>0</v>
      </c>
      <c r="P839" s="1124"/>
    </row>
    <row r="840" spans="2:16" x14ac:dyDescent="0.3">
      <c r="B840" s="1119"/>
      <c r="C840" s="204" t="s">
        <v>83</v>
      </c>
      <c r="D840" s="61" t="s">
        <v>84</v>
      </c>
      <c r="E840" s="62">
        <v>0</v>
      </c>
      <c r="F840" s="63">
        <f t="shared" si="661"/>
        <v>0</v>
      </c>
      <c r="G840" s="63">
        <v>0</v>
      </c>
      <c r="H840" s="64">
        <v>0</v>
      </c>
      <c r="I840" s="79">
        <f t="shared" si="655"/>
        <v>24803</v>
      </c>
      <c r="J840" s="4">
        <f t="shared" si="656"/>
        <v>24000</v>
      </c>
      <c r="K840" s="4">
        <f t="shared" si="662"/>
        <v>803</v>
      </c>
      <c r="L840" s="65" t="e">
        <f t="shared" si="658"/>
        <v>#DIV/0!</v>
      </c>
      <c r="M840" s="66">
        <v>4.3535000000000004</v>
      </c>
      <c r="N840" s="67">
        <f t="shared" si="659"/>
        <v>0</v>
      </c>
      <c r="O840" s="67">
        <f t="shared" si="660"/>
        <v>104484.00000000001</v>
      </c>
      <c r="P840" s="1124"/>
    </row>
    <row r="841" spans="2:16" x14ac:dyDescent="0.3">
      <c r="B841" s="1119"/>
      <c r="C841" s="1122" t="s">
        <v>85</v>
      </c>
      <c r="D841" s="61" t="s">
        <v>80</v>
      </c>
      <c r="E841" s="62">
        <v>0</v>
      </c>
      <c r="F841" s="63">
        <f t="shared" si="661"/>
        <v>0</v>
      </c>
      <c r="G841" s="63">
        <v>0</v>
      </c>
      <c r="H841" s="64">
        <v>0</v>
      </c>
      <c r="I841" s="79">
        <f t="shared" si="655"/>
        <v>0</v>
      </c>
      <c r="J841" s="4">
        <f t="shared" si="656"/>
        <v>0</v>
      </c>
      <c r="K841" s="4">
        <f t="shared" si="662"/>
        <v>0</v>
      </c>
      <c r="L841" s="65" t="e">
        <f t="shared" si="658"/>
        <v>#DIV/0!</v>
      </c>
      <c r="M841" s="66">
        <v>4.6184000000000003</v>
      </c>
      <c r="N841" s="67">
        <f t="shared" si="659"/>
        <v>0</v>
      </c>
      <c r="O841" s="67">
        <f>M841*J841</f>
        <v>0</v>
      </c>
      <c r="P841" s="1124"/>
    </row>
    <row r="842" spans="2:16" x14ac:dyDescent="0.3">
      <c r="B842" s="1119"/>
      <c r="C842" s="1122"/>
      <c r="D842" s="61" t="s">
        <v>126</v>
      </c>
      <c r="E842" s="62">
        <v>0</v>
      </c>
      <c r="F842" s="63">
        <f t="shared" si="661"/>
        <v>0</v>
      </c>
      <c r="G842" s="63">
        <v>0</v>
      </c>
      <c r="H842" s="64">
        <v>0</v>
      </c>
      <c r="I842" s="79">
        <f>J842+K842</f>
        <v>0</v>
      </c>
      <c r="J842" s="4">
        <f t="shared" si="656"/>
        <v>0</v>
      </c>
      <c r="K842" s="4">
        <f t="shared" si="662"/>
        <v>0</v>
      </c>
      <c r="L842" s="65" t="e">
        <f t="shared" si="658"/>
        <v>#DIV/0!</v>
      </c>
      <c r="M842" s="153">
        <v>4.6184000000000003</v>
      </c>
      <c r="N842" s="67">
        <f t="shared" si="659"/>
        <v>0</v>
      </c>
      <c r="O842" s="67">
        <f>M842*J842</f>
        <v>0</v>
      </c>
      <c r="P842" s="1124"/>
    </row>
    <row r="843" spans="2:16" x14ac:dyDescent="0.3">
      <c r="B843" s="1119"/>
      <c r="C843" s="1122"/>
      <c r="D843" s="61" t="s">
        <v>130</v>
      </c>
      <c r="E843" s="62">
        <v>0</v>
      </c>
      <c r="F843" s="63">
        <f t="shared" si="661"/>
        <v>0</v>
      </c>
      <c r="G843" s="63">
        <v>0</v>
      </c>
      <c r="H843" s="64">
        <v>0</v>
      </c>
      <c r="I843" s="79">
        <f t="shared" ref="I843:I857" si="663">J843+K843</f>
        <v>0</v>
      </c>
      <c r="J843" s="4">
        <f t="shared" si="656"/>
        <v>0</v>
      </c>
      <c r="K843" s="4">
        <f t="shared" si="662"/>
        <v>0</v>
      </c>
      <c r="L843" s="65" t="e">
        <f t="shared" si="658"/>
        <v>#DIV/0!</v>
      </c>
      <c r="M843" s="153">
        <v>4.6184000000000003</v>
      </c>
      <c r="N843" s="67">
        <f t="shared" si="659"/>
        <v>0</v>
      </c>
      <c r="O843" s="67">
        <f t="shared" ref="O843:O848" si="664">M843*J843</f>
        <v>0</v>
      </c>
      <c r="P843" s="1124"/>
    </row>
    <row r="844" spans="2:16" x14ac:dyDescent="0.3">
      <c r="B844" s="1119"/>
      <c r="C844" s="1122"/>
      <c r="D844" s="61" t="s">
        <v>131</v>
      </c>
      <c r="E844" s="62">
        <v>0</v>
      </c>
      <c r="F844" s="63">
        <f t="shared" si="661"/>
        <v>13686</v>
      </c>
      <c r="G844" s="63">
        <v>13440</v>
      </c>
      <c r="H844" s="64">
        <v>246</v>
      </c>
      <c r="I844" s="79">
        <f t="shared" si="663"/>
        <v>250884</v>
      </c>
      <c r="J844" s="4">
        <f t="shared" si="656"/>
        <v>243775</v>
      </c>
      <c r="K844" s="4">
        <f t="shared" si="662"/>
        <v>7109</v>
      </c>
      <c r="L844" s="65" t="e">
        <f t="shared" si="658"/>
        <v>#DIV/0!</v>
      </c>
      <c r="M844" s="153">
        <v>4.7636000000000003</v>
      </c>
      <c r="N844" s="67">
        <f t="shared" si="659"/>
        <v>64022.784000000007</v>
      </c>
      <c r="O844" s="67">
        <f t="shared" si="664"/>
        <v>1161246.5900000001</v>
      </c>
      <c r="P844" s="1124"/>
    </row>
    <row r="845" spans="2:16" x14ac:dyDescent="0.3">
      <c r="B845" s="1119"/>
      <c r="C845" s="1122"/>
      <c r="D845" s="61" t="s">
        <v>86</v>
      </c>
      <c r="E845" s="62">
        <v>0</v>
      </c>
      <c r="F845" s="63">
        <f t="shared" si="661"/>
        <v>0</v>
      </c>
      <c r="G845" s="63">
        <v>0</v>
      </c>
      <c r="H845" s="64">
        <v>0</v>
      </c>
      <c r="I845" s="79">
        <f t="shared" si="663"/>
        <v>0</v>
      </c>
      <c r="J845" s="4">
        <f t="shared" si="656"/>
        <v>0</v>
      </c>
      <c r="K845" s="4">
        <f t="shared" si="662"/>
        <v>0</v>
      </c>
      <c r="L845" s="65" t="e">
        <f t="shared" si="658"/>
        <v>#DIV/0!</v>
      </c>
      <c r="M845" s="66">
        <v>4.8738000000000001</v>
      </c>
      <c r="N845" s="67">
        <f t="shared" si="659"/>
        <v>0</v>
      </c>
      <c r="O845" s="67">
        <f t="shared" si="664"/>
        <v>0</v>
      </c>
      <c r="P845" s="1124"/>
    </row>
    <row r="846" spans="2:16" x14ac:dyDescent="0.3">
      <c r="B846" s="1119"/>
      <c r="C846" s="204" t="s">
        <v>135</v>
      </c>
      <c r="D846" s="61" t="s">
        <v>131</v>
      </c>
      <c r="E846" s="62"/>
      <c r="F846" s="63">
        <f t="shared" si="661"/>
        <v>0</v>
      </c>
      <c r="G846" s="63">
        <v>0</v>
      </c>
      <c r="H846" s="64">
        <v>0</v>
      </c>
      <c r="I846" s="79">
        <f t="shared" si="663"/>
        <v>0</v>
      </c>
      <c r="J846" s="4">
        <f t="shared" si="656"/>
        <v>0</v>
      </c>
      <c r="K846" s="4">
        <f t="shared" si="662"/>
        <v>0</v>
      </c>
      <c r="L846" s="65"/>
      <c r="M846" s="66">
        <v>4.8738000000000001</v>
      </c>
      <c r="N846" s="67">
        <f t="shared" si="659"/>
        <v>0</v>
      </c>
      <c r="O846" s="67">
        <f t="shared" si="664"/>
        <v>0</v>
      </c>
      <c r="P846" s="1124"/>
    </row>
    <row r="847" spans="2:16" x14ac:dyDescent="0.3">
      <c r="B847" s="1119"/>
      <c r="C847" s="1122" t="s">
        <v>87</v>
      </c>
      <c r="D847" s="61" t="s">
        <v>80</v>
      </c>
      <c r="E847" s="62">
        <v>0</v>
      </c>
      <c r="F847" s="63">
        <f t="shared" si="661"/>
        <v>6700</v>
      </c>
      <c r="G847" s="63">
        <v>6050</v>
      </c>
      <c r="H847" s="64">
        <v>650</v>
      </c>
      <c r="I847" s="79">
        <f t="shared" si="663"/>
        <v>197600</v>
      </c>
      <c r="J847" s="4">
        <f t="shared" si="656"/>
        <v>194950</v>
      </c>
      <c r="K847" s="4">
        <f t="shared" si="662"/>
        <v>2650</v>
      </c>
      <c r="L847" s="65" t="e">
        <f t="shared" ref="L847:L857" si="665">+J847/E847</f>
        <v>#DIV/0!</v>
      </c>
      <c r="M847" s="66">
        <v>4.9344999999999999</v>
      </c>
      <c r="N847" s="67">
        <f t="shared" si="659"/>
        <v>29853.724999999999</v>
      </c>
      <c r="O847" s="67">
        <f t="shared" si="664"/>
        <v>961980.77500000002</v>
      </c>
      <c r="P847" s="1124"/>
    </row>
    <row r="848" spans="2:16" x14ac:dyDescent="0.3">
      <c r="B848" s="1119"/>
      <c r="C848" s="1122"/>
      <c r="D848" s="61" t="s">
        <v>142</v>
      </c>
      <c r="E848" s="62"/>
      <c r="F848" s="63">
        <f t="shared" si="661"/>
        <v>18465</v>
      </c>
      <c r="G848" s="63">
        <v>17650</v>
      </c>
      <c r="H848" s="64">
        <v>815</v>
      </c>
      <c r="I848" s="79">
        <f t="shared" si="663"/>
        <v>43282</v>
      </c>
      <c r="J848" s="4">
        <f t="shared" si="656"/>
        <v>40500</v>
      </c>
      <c r="K848" s="4">
        <f t="shared" si="662"/>
        <v>2782</v>
      </c>
      <c r="L848" s="65" t="e">
        <f t="shared" si="665"/>
        <v>#DIV/0!</v>
      </c>
      <c r="M848" s="66">
        <v>4.9344999999999999</v>
      </c>
      <c r="N848" s="67">
        <f t="shared" si="659"/>
        <v>87093.925000000003</v>
      </c>
      <c r="O848" s="67">
        <f t="shared" si="664"/>
        <v>199847.25</v>
      </c>
      <c r="P848" s="1124"/>
    </row>
    <row r="849" spans="2:16" x14ac:dyDescent="0.3">
      <c r="B849" s="1119"/>
      <c r="C849" s="1122"/>
      <c r="D849" s="61" t="s">
        <v>136</v>
      </c>
      <c r="E849" s="62">
        <v>0</v>
      </c>
      <c r="F849" s="63">
        <f t="shared" si="661"/>
        <v>0</v>
      </c>
      <c r="G849" s="155">
        <v>0</v>
      </c>
      <c r="H849" s="156">
        <v>0</v>
      </c>
      <c r="I849" s="157">
        <f t="shared" si="663"/>
        <v>0</v>
      </c>
      <c r="J849" s="4">
        <f t="shared" si="656"/>
        <v>0</v>
      </c>
      <c r="K849" s="4">
        <f t="shared" si="662"/>
        <v>0</v>
      </c>
      <c r="L849" s="158" t="e">
        <f t="shared" si="665"/>
        <v>#DIV/0!</v>
      </c>
      <c r="M849" s="66">
        <v>4.9344999999999999</v>
      </c>
      <c r="N849" s="159">
        <f t="shared" si="659"/>
        <v>0</v>
      </c>
      <c r="O849" s="67">
        <f>M849*J849</f>
        <v>0</v>
      </c>
      <c r="P849" s="1124"/>
    </row>
    <row r="850" spans="2:16" x14ac:dyDescent="0.3">
      <c r="B850" s="1119"/>
      <c r="C850" s="1122" t="s">
        <v>88</v>
      </c>
      <c r="D850" s="61" t="s">
        <v>80</v>
      </c>
      <c r="E850" s="62">
        <v>0</v>
      </c>
      <c r="F850" s="63">
        <f t="shared" si="661"/>
        <v>0</v>
      </c>
      <c r="G850" s="63">
        <v>0</v>
      </c>
      <c r="H850" s="64">
        <v>0</v>
      </c>
      <c r="I850" s="79">
        <f t="shared" si="663"/>
        <v>138276</v>
      </c>
      <c r="J850" s="4">
        <f t="shared" si="656"/>
        <v>130950</v>
      </c>
      <c r="K850" s="4">
        <f t="shared" si="662"/>
        <v>7326</v>
      </c>
      <c r="L850" s="65" t="e">
        <f t="shared" si="665"/>
        <v>#DIV/0!</v>
      </c>
      <c r="M850" s="148">
        <v>5.5069999999999997</v>
      </c>
      <c r="N850" s="67">
        <f t="shared" si="659"/>
        <v>0</v>
      </c>
      <c r="O850" s="67">
        <f>M850*J850</f>
        <v>721141.64999999991</v>
      </c>
      <c r="P850" s="1124"/>
    </row>
    <row r="851" spans="2:16" x14ac:dyDescent="0.3">
      <c r="B851" s="1119"/>
      <c r="C851" s="1122"/>
      <c r="D851" s="61" t="s">
        <v>119</v>
      </c>
      <c r="E851" s="62">
        <v>0</v>
      </c>
      <c r="F851" s="63">
        <f t="shared" si="661"/>
        <v>6688</v>
      </c>
      <c r="G851" s="63">
        <v>6300</v>
      </c>
      <c r="H851" s="64">
        <v>388</v>
      </c>
      <c r="I851" s="79">
        <f t="shared" si="663"/>
        <v>75453</v>
      </c>
      <c r="J851" s="4">
        <f t="shared" si="656"/>
        <v>72900</v>
      </c>
      <c r="K851" s="4">
        <f t="shared" si="662"/>
        <v>2553</v>
      </c>
      <c r="L851" s="65" t="e">
        <f t="shared" si="665"/>
        <v>#DIV/0!</v>
      </c>
      <c r="M851" s="147">
        <v>5.6550000000000002</v>
      </c>
      <c r="N851" s="67">
        <f t="shared" si="659"/>
        <v>35626.5</v>
      </c>
      <c r="O851" s="67">
        <f>M851*J851</f>
        <v>412249.5</v>
      </c>
      <c r="P851" s="1124"/>
    </row>
    <row r="852" spans="2:16" x14ac:dyDescent="0.3">
      <c r="B852" s="1119"/>
      <c r="C852" s="1122"/>
      <c r="D852" s="61" t="s">
        <v>125</v>
      </c>
      <c r="E852" s="62">
        <v>0</v>
      </c>
      <c r="F852" s="63">
        <f t="shared" si="661"/>
        <v>0</v>
      </c>
      <c r="G852" s="63">
        <v>0</v>
      </c>
      <c r="H852" s="64">
        <v>0</v>
      </c>
      <c r="I852" s="79">
        <f t="shared" si="663"/>
        <v>0</v>
      </c>
      <c r="J852" s="4">
        <f t="shared" si="656"/>
        <v>0</v>
      </c>
      <c r="K852" s="4">
        <f t="shared" si="662"/>
        <v>0</v>
      </c>
      <c r="L852" s="65" t="e">
        <f t="shared" si="665"/>
        <v>#DIV/0!</v>
      </c>
      <c r="M852" s="152">
        <v>5.6550000000000002</v>
      </c>
      <c r="N852" s="67">
        <f t="shared" si="659"/>
        <v>0</v>
      </c>
      <c r="O852" s="67">
        <f>M852*J852</f>
        <v>0</v>
      </c>
      <c r="P852" s="1124"/>
    </row>
    <row r="853" spans="2:16" x14ac:dyDescent="0.3">
      <c r="B853" s="1119"/>
      <c r="C853" s="1122"/>
      <c r="D853" s="61" t="s">
        <v>128</v>
      </c>
      <c r="E853" s="62">
        <v>0</v>
      </c>
      <c r="F853" s="63">
        <f t="shared" si="661"/>
        <v>0</v>
      </c>
      <c r="G853" s="63">
        <v>0</v>
      </c>
      <c r="H853" s="64">
        <v>0</v>
      </c>
      <c r="I853" s="79">
        <f t="shared" si="663"/>
        <v>28324</v>
      </c>
      <c r="J853" s="4">
        <f t="shared" si="656"/>
        <v>26710</v>
      </c>
      <c r="K853" s="4">
        <f t="shared" si="662"/>
        <v>1614</v>
      </c>
      <c r="L853" s="65" t="e">
        <f t="shared" si="665"/>
        <v>#DIV/0!</v>
      </c>
      <c r="M853" s="66">
        <v>5.7885299999999997</v>
      </c>
      <c r="N853" s="67">
        <f>+M853*G853</f>
        <v>0</v>
      </c>
      <c r="O853" s="67">
        <f>M853*J853</f>
        <v>154611.63629999998</v>
      </c>
      <c r="P853" s="1124"/>
    </row>
    <row r="854" spans="2:16" x14ac:dyDescent="0.3">
      <c r="B854" s="1119"/>
      <c r="C854" s="1122"/>
      <c r="D854" s="61" t="s">
        <v>143</v>
      </c>
      <c r="E854" s="62">
        <v>0</v>
      </c>
      <c r="F854" s="63">
        <f t="shared" si="661"/>
        <v>0</v>
      </c>
      <c r="G854" s="63">
        <v>0</v>
      </c>
      <c r="H854" s="64">
        <v>0</v>
      </c>
      <c r="I854" s="79">
        <f t="shared" si="663"/>
        <v>0</v>
      </c>
      <c r="J854" s="4">
        <f t="shared" si="656"/>
        <v>0</v>
      </c>
      <c r="K854" s="4">
        <f t="shared" si="662"/>
        <v>0</v>
      </c>
      <c r="L854" s="65" t="e">
        <f t="shared" si="665"/>
        <v>#DIV/0!</v>
      </c>
      <c r="M854" s="152">
        <v>5.6550000000000002</v>
      </c>
      <c r="N854" s="67">
        <f t="shared" ref="N854:N856" si="666">+M854*G854</f>
        <v>0</v>
      </c>
      <c r="O854" s="67">
        <f t="shared" ref="O854:O857" si="667">M854*J854</f>
        <v>0</v>
      </c>
      <c r="P854" s="1124"/>
    </row>
    <row r="855" spans="2:16" x14ac:dyDescent="0.3">
      <c r="B855" s="1119"/>
      <c r="C855" s="204" t="s">
        <v>89</v>
      </c>
      <c r="D855" s="61" t="s">
        <v>80</v>
      </c>
      <c r="E855" s="62">
        <v>0</v>
      </c>
      <c r="F855" s="63">
        <f t="shared" si="661"/>
        <v>0</v>
      </c>
      <c r="G855" s="63">
        <v>0</v>
      </c>
      <c r="H855" s="64">
        <v>0</v>
      </c>
      <c r="I855" s="79">
        <f t="shared" si="663"/>
        <v>0</v>
      </c>
      <c r="J855" s="4">
        <f t="shared" si="656"/>
        <v>0</v>
      </c>
      <c r="K855" s="4">
        <f t="shared" si="662"/>
        <v>0</v>
      </c>
      <c r="L855" s="65" t="e">
        <f t="shared" si="665"/>
        <v>#DIV/0!</v>
      </c>
      <c r="M855" s="66">
        <v>3.2963</v>
      </c>
      <c r="N855" s="67">
        <f t="shared" si="666"/>
        <v>0</v>
      </c>
      <c r="O855" s="67">
        <f t="shared" si="667"/>
        <v>0</v>
      </c>
      <c r="P855" s="1124"/>
    </row>
    <row r="856" spans="2:16" x14ac:dyDescent="0.3">
      <c r="B856" s="1119"/>
      <c r="C856" s="204" t="s">
        <v>90</v>
      </c>
      <c r="D856" s="61" t="s">
        <v>80</v>
      </c>
      <c r="E856" s="62">
        <v>0</v>
      </c>
      <c r="F856" s="63">
        <f t="shared" si="661"/>
        <v>0</v>
      </c>
      <c r="G856" s="63">
        <v>0</v>
      </c>
      <c r="H856" s="64">
        <v>0</v>
      </c>
      <c r="I856" s="79">
        <f t="shared" si="663"/>
        <v>0</v>
      </c>
      <c r="J856" s="4">
        <f t="shared" si="656"/>
        <v>0</v>
      </c>
      <c r="K856" s="4">
        <f t="shared" si="662"/>
        <v>0</v>
      </c>
      <c r="L856" s="65" t="e">
        <f t="shared" si="665"/>
        <v>#DIV/0!</v>
      </c>
      <c r="M856" s="66">
        <v>3.2963</v>
      </c>
      <c r="N856" s="67">
        <f t="shared" si="666"/>
        <v>0</v>
      </c>
      <c r="O856" s="67">
        <f t="shared" si="667"/>
        <v>0</v>
      </c>
      <c r="P856" s="1124"/>
    </row>
    <row r="857" spans="2:16" ht="15" thickBot="1" x14ac:dyDescent="0.35">
      <c r="B857" s="1119"/>
      <c r="C857" s="68" t="s">
        <v>91</v>
      </c>
      <c r="D857" s="69" t="s">
        <v>92</v>
      </c>
      <c r="E857" s="70">
        <v>0</v>
      </c>
      <c r="F857" s="71">
        <f t="shared" si="661"/>
        <v>0</v>
      </c>
      <c r="G857" s="71">
        <v>0</v>
      </c>
      <c r="H857" s="72">
        <v>0</v>
      </c>
      <c r="I857" s="80">
        <f t="shared" si="663"/>
        <v>65030</v>
      </c>
      <c r="J857" s="4">
        <f t="shared" si="656"/>
        <v>65000</v>
      </c>
      <c r="K857" s="4">
        <f t="shared" si="662"/>
        <v>30</v>
      </c>
      <c r="L857" s="65" t="e">
        <f t="shared" si="665"/>
        <v>#DIV/0!</v>
      </c>
      <c r="M857" s="73">
        <v>2.3201000000000001</v>
      </c>
      <c r="N857" s="74">
        <f t="shared" ref="N857" si="668">M857*G857</f>
        <v>0</v>
      </c>
      <c r="O857" s="74">
        <f t="shared" si="667"/>
        <v>150806.5</v>
      </c>
      <c r="P857" s="1125"/>
    </row>
    <row r="858" spans="2:16" ht="15" thickBot="1" x14ac:dyDescent="0.35">
      <c r="B858" s="1120"/>
      <c r="C858" s="1128" t="s">
        <v>106</v>
      </c>
      <c r="D858" s="1129"/>
      <c r="E858" s="1129"/>
      <c r="F858" s="1129"/>
      <c r="G858" s="1129"/>
      <c r="H858" s="1130"/>
      <c r="I858" s="116">
        <f>J858+K858</f>
        <v>932385</v>
      </c>
      <c r="J858" s="115">
        <f>SUM(J830:J857)</f>
        <v>905605</v>
      </c>
      <c r="K858" s="115">
        <f>SUM(K830:K857)</f>
        <v>26780</v>
      </c>
      <c r="L858" s="114"/>
      <c r="M858" s="113"/>
      <c r="N858" s="114"/>
      <c r="O858" s="97">
        <f>SUM(O830:O857)</f>
        <v>8140150.3492999999</v>
      </c>
      <c r="P858" s="96"/>
    </row>
    <row r="859" spans="2:16" ht="15" thickBot="1" x14ac:dyDescent="0.35">
      <c r="B859" s="100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2"/>
    </row>
    <row r="860" spans="2:16" ht="15" thickBot="1" x14ac:dyDescent="0.35">
      <c r="B860" s="1113" t="s">
        <v>107</v>
      </c>
      <c r="C860" s="1114"/>
      <c r="D860" s="1114"/>
      <c r="E860" s="1114"/>
      <c r="F860" s="1114"/>
      <c r="G860" s="1114"/>
      <c r="H860" s="1114"/>
      <c r="I860" s="1114"/>
      <c r="J860" s="1114"/>
      <c r="K860" s="1114"/>
      <c r="L860" s="1114"/>
      <c r="M860" s="1114"/>
      <c r="N860" s="1115"/>
      <c r="O860" s="103">
        <f>+O858+O829+O814</f>
        <v>17717842.555300001</v>
      </c>
      <c r="P860" s="96"/>
    </row>
    <row r="861" spans="2:16" ht="15" thickBot="1" x14ac:dyDescent="0.35"/>
    <row r="862" spans="2:16" x14ac:dyDescent="0.3">
      <c r="B862" s="1147" t="s">
        <v>1</v>
      </c>
      <c r="C862" s="1149" t="s">
        <v>2</v>
      </c>
      <c r="D862" s="1152" t="s">
        <v>3</v>
      </c>
      <c r="E862" s="1155" t="s">
        <v>4</v>
      </c>
      <c r="F862" s="1156"/>
      <c r="G862" s="1156"/>
      <c r="H862" s="1156"/>
      <c r="I862" s="1156"/>
      <c r="J862" s="1156"/>
      <c r="K862" s="1156"/>
      <c r="L862" s="1157"/>
      <c r="M862" s="1158" t="s">
        <v>5</v>
      </c>
      <c r="N862" s="1159"/>
      <c r="O862" s="1160"/>
      <c r="P862" s="1152" t="s">
        <v>6</v>
      </c>
    </row>
    <row r="863" spans="2:16" x14ac:dyDescent="0.3">
      <c r="B863" s="1148"/>
      <c r="C863" s="1150"/>
      <c r="D863" s="1153"/>
      <c r="E863" s="1161" t="s">
        <v>7</v>
      </c>
      <c r="F863" s="1163" t="s">
        <v>161</v>
      </c>
      <c r="G863" s="1163"/>
      <c r="H863" s="1164"/>
      <c r="I863" s="1165" t="s">
        <v>8</v>
      </c>
      <c r="J863" s="1163"/>
      <c r="K863" s="1163"/>
      <c r="L863" s="1164" t="s">
        <v>9</v>
      </c>
      <c r="M863" s="1167" t="s">
        <v>10</v>
      </c>
      <c r="N863" s="1169" t="s">
        <v>11</v>
      </c>
      <c r="O863" s="1171" t="s">
        <v>12</v>
      </c>
      <c r="P863" s="1153"/>
    </row>
    <row r="864" spans="2:16" ht="15" thickBot="1" x14ac:dyDescent="0.35">
      <c r="B864" s="1148"/>
      <c r="C864" s="1151"/>
      <c r="D864" s="1154"/>
      <c r="E864" s="1162"/>
      <c r="F864" s="2" t="s">
        <v>13</v>
      </c>
      <c r="G864" s="2" t="s">
        <v>14</v>
      </c>
      <c r="H864" s="211" t="s">
        <v>15</v>
      </c>
      <c r="I864" s="142" t="s">
        <v>13</v>
      </c>
      <c r="J864" s="2" t="s">
        <v>14</v>
      </c>
      <c r="K864" s="2" t="s">
        <v>15</v>
      </c>
      <c r="L864" s="1166"/>
      <c r="M864" s="1168"/>
      <c r="N864" s="1170"/>
      <c r="O864" s="1172"/>
      <c r="P864" s="1154"/>
    </row>
    <row r="865" spans="2:16" x14ac:dyDescent="0.3">
      <c r="B865" s="1131" t="s">
        <v>56</v>
      </c>
      <c r="C865" s="29"/>
      <c r="D865" s="117" t="s">
        <v>151</v>
      </c>
      <c r="E865" s="98">
        <v>0</v>
      </c>
      <c r="F865" s="4">
        <f>+G865+H865</f>
        <v>90940</v>
      </c>
      <c r="G865" s="4">
        <v>89600</v>
      </c>
      <c r="H865" s="8">
        <v>1340</v>
      </c>
      <c r="I865" s="6">
        <f>J865+K865</f>
        <v>376206</v>
      </c>
      <c r="J865" s="4">
        <f>G865+J800</f>
        <v>369600</v>
      </c>
      <c r="K865" s="4">
        <f>H865+K800</f>
        <v>6606</v>
      </c>
      <c r="L865" s="33" t="e">
        <f>+J865/E865</f>
        <v>#DIV/0!</v>
      </c>
      <c r="M865" s="104">
        <v>1.3652</v>
      </c>
      <c r="N865" s="31">
        <f>G865*M865</f>
        <v>122321.92</v>
      </c>
      <c r="O865" s="86">
        <f>M865*J865</f>
        <v>504577.92</v>
      </c>
      <c r="P865" s="1133"/>
    </row>
    <row r="866" spans="2:16" x14ac:dyDescent="0.3">
      <c r="B866" s="1132"/>
      <c r="C866" s="32"/>
      <c r="D866" s="118" t="s">
        <v>116</v>
      </c>
      <c r="E866" s="99">
        <v>0</v>
      </c>
      <c r="F866" s="9">
        <f>+G866+H866</f>
        <v>0</v>
      </c>
      <c r="G866" s="9">
        <v>0</v>
      </c>
      <c r="H866" s="10">
        <v>0</v>
      </c>
      <c r="I866" s="6">
        <f>J866+K866</f>
        <v>0</v>
      </c>
      <c r="J866" s="4">
        <f>+G866+J801</f>
        <v>0</v>
      </c>
      <c r="K866" s="4">
        <f>+H866+K801</f>
        <v>0</v>
      </c>
      <c r="L866" s="33"/>
      <c r="M866" s="105">
        <v>5.9917999999999996</v>
      </c>
      <c r="N866" s="34">
        <f>M866*G866</f>
        <v>0</v>
      </c>
      <c r="O866" s="87">
        <f>M866*J866</f>
        <v>0</v>
      </c>
      <c r="P866" s="1134"/>
    </row>
    <row r="867" spans="2:16" x14ac:dyDescent="0.3">
      <c r="B867" s="1132"/>
      <c r="C867" s="35"/>
      <c r="D867" s="119" t="s">
        <v>58</v>
      </c>
      <c r="E867" s="99">
        <v>0</v>
      </c>
      <c r="F867" s="9">
        <f t="shared" ref="F867:F871" si="669">+G867+H867</f>
        <v>231207</v>
      </c>
      <c r="G867" s="9">
        <v>230000</v>
      </c>
      <c r="H867" s="10">
        <v>1207</v>
      </c>
      <c r="I867" s="6">
        <f t="shared" ref="I867:I871" si="670">J867+K867</f>
        <v>2667895</v>
      </c>
      <c r="J867" s="4">
        <f t="shared" ref="J867:J871" si="671">+G867+J802</f>
        <v>2648250</v>
      </c>
      <c r="K867" s="4">
        <f t="shared" ref="K867:K871" si="672">+H867+K802</f>
        <v>19645</v>
      </c>
      <c r="L867" s="33" t="e">
        <f t="shared" ref="L867" si="673">+J867/E867</f>
        <v>#DIV/0!</v>
      </c>
      <c r="M867" s="106">
        <v>2.3807999999999998</v>
      </c>
      <c r="N867" s="36">
        <f>G867*M867</f>
        <v>547584</v>
      </c>
      <c r="O867" s="88">
        <f>M867*J867</f>
        <v>6304953.5999999996</v>
      </c>
      <c r="P867" s="1134"/>
    </row>
    <row r="868" spans="2:16" x14ac:dyDescent="0.3">
      <c r="B868" s="1132"/>
      <c r="C868" s="35"/>
      <c r="D868" s="119" t="s">
        <v>59</v>
      </c>
      <c r="E868" s="99">
        <v>0</v>
      </c>
      <c r="F868" s="9">
        <f t="shared" si="669"/>
        <v>0</v>
      </c>
      <c r="G868" s="9">
        <v>0</v>
      </c>
      <c r="H868" s="10">
        <v>0</v>
      </c>
      <c r="I868" s="6">
        <f t="shared" si="670"/>
        <v>0</v>
      </c>
      <c r="J868" s="4">
        <f t="shared" si="671"/>
        <v>0</v>
      </c>
      <c r="K868" s="4">
        <f t="shared" si="672"/>
        <v>0</v>
      </c>
      <c r="L868" s="33"/>
      <c r="M868" s="106">
        <v>2.1457999999999999</v>
      </c>
      <c r="N868" s="36">
        <f t="shared" ref="N868:N871" si="674">G868*M868</f>
        <v>0</v>
      </c>
      <c r="O868" s="88">
        <f>M868*J868</f>
        <v>0</v>
      </c>
      <c r="P868" s="1134"/>
    </row>
    <row r="869" spans="2:16" x14ac:dyDescent="0.3">
      <c r="B869" s="1132"/>
      <c r="C869" s="35"/>
      <c r="D869" s="119" t="s">
        <v>113</v>
      </c>
      <c r="E869" s="99">
        <v>0</v>
      </c>
      <c r="F869" s="9">
        <f t="shared" si="669"/>
        <v>0</v>
      </c>
      <c r="G869" s="9">
        <v>0</v>
      </c>
      <c r="H869" s="10">
        <v>0</v>
      </c>
      <c r="I869" s="6">
        <f t="shared" si="670"/>
        <v>53280</v>
      </c>
      <c r="J869" s="4">
        <f t="shared" si="671"/>
        <v>42000</v>
      </c>
      <c r="K869" s="4">
        <f t="shared" si="672"/>
        <v>11280</v>
      </c>
      <c r="L869" s="33" t="e">
        <f t="shared" ref="L869:L870" si="675">+J869/E869</f>
        <v>#DIV/0!</v>
      </c>
      <c r="M869" s="143">
        <v>4.0426000000000002</v>
      </c>
      <c r="N869" s="36">
        <f t="shared" si="674"/>
        <v>0</v>
      </c>
      <c r="O869" s="88">
        <f>M869*J869</f>
        <v>169789.2</v>
      </c>
      <c r="P869" s="1134"/>
    </row>
    <row r="870" spans="2:16" x14ac:dyDescent="0.3">
      <c r="B870" s="1132"/>
      <c r="C870" s="35"/>
      <c r="D870" s="119" t="s">
        <v>117</v>
      </c>
      <c r="E870" s="99">
        <v>0</v>
      </c>
      <c r="F870" s="9">
        <f t="shared" si="669"/>
        <v>0</v>
      </c>
      <c r="G870" s="9">
        <v>0</v>
      </c>
      <c r="H870" s="10">
        <v>0</v>
      </c>
      <c r="I870" s="6">
        <f t="shared" si="670"/>
        <v>0</v>
      </c>
      <c r="J870" s="4">
        <f t="shared" si="671"/>
        <v>0</v>
      </c>
      <c r="K870" s="4">
        <f t="shared" si="672"/>
        <v>0</v>
      </c>
      <c r="L870" s="33" t="e">
        <f t="shared" si="675"/>
        <v>#DIV/0!</v>
      </c>
      <c r="M870" s="143">
        <v>3.8715000000000002</v>
      </c>
      <c r="N870" s="36">
        <f t="shared" si="674"/>
        <v>0</v>
      </c>
      <c r="O870" s="88">
        <f t="shared" ref="O870:O871" si="676">M870*J870</f>
        <v>0</v>
      </c>
      <c r="P870" s="1134"/>
    </row>
    <row r="871" spans="2:16" ht="15" thickBot="1" x14ac:dyDescent="0.35">
      <c r="B871" s="1132"/>
      <c r="C871" s="82"/>
      <c r="D871" s="120" t="s">
        <v>60</v>
      </c>
      <c r="E871" s="108">
        <v>0</v>
      </c>
      <c r="F871" s="12">
        <f t="shared" si="669"/>
        <v>0</v>
      </c>
      <c r="G871" s="12">
        <v>0</v>
      </c>
      <c r="H871" s="13">
        <v>0</v>
      </c>
      <c r="I871" s="21">
        <f t="shared" si="670"/>
        <v>0</v>
      </c>
      <c r="J871" s="4">
        <f t="shared" si="671"/>
        <v>0</v>
      </c>
      <c r="K871" s="4">
        <f t="shared" si="672"/>
        <v>0</v>
      </c>
      <c r="L871" s="81"/>
      <c r="M871" s="127">
        <v>12.284700000000001</v>
      </c>
      <c r="N871" s="36">
        <f t="shared" si="674"/>
        <v>0</v>
      </c>
      <c r="O871" s="128">
        <f t="shared" si="676"/>
        <v>0</v>
      </c>
      <c r="P871" s="1134"/>
    </row>
    <row r="872" spans="2:16" ht="15" thickBot="1" x14ac:dyDescent="0.35">
      <c r="B872" s="1132"/>
      <c r="C872" s="1137" t="s">
        <v>111</v>
      </c>
      <c r="D872" s="1138"/>
      <c r="E872" s="129"/>
      <c r="F872" s="130">
        <f>SUM(F865:F871)</f>
        <v>322147</v>
      </c>
      <c r="G872" s="130">
        <f>SUM(G865:G871)</f>
        <v>319600</v>
      </c>
      <c r="H872" s="131">
        <f>SUM(H865:H871)</f>
        <v>2547</v>
      </c>
      <c r="I872" s="132">
        <f>+J872+K872</f>
        <v>3097381</v>
      </c>
      <c r="J872" s="133">
        <f>SUM(J865:J871)</f>
        <v>3059850</v>
      </c>
      <c r="K872" s="133">
        <f>SUM(K865:K871)</f>
        <v>37531</v>
      </c>
      <c r="L872" s="134"/>
      <c r="M872" s="135"/>
      <c r="N872" s="136"/>
      <c r="O872" s="137">
        <f>SUM(O865:O871)</f>
        <v>6979320.7199999997</v>
      </c>
      <c r="P872" s="1135"/>
    </row>
    <row r="873" spans="2:16" x14ac:dyDescent="0.3">
      <c r="B873" s="1132"/>
      <c r="C873" s="32"/>
      <c r="D873" s="118" t="s">
        <v>61</v>
      </c>
      <c r="E873" s="98">
        <v>0</v>
      </c>
      <c r="F873" s="4">
        <f t="shared" ref="F873:F876" si="677">+G873+H873</f>
        <v>0</v>
      </c>
      <c r="G873" s="4">
        <v>0</v>
      </c>
      <c r="H873" s="8">
        <v>0</v>
      </c>
      <c r="I873" s="6">
        <f t="shared" ref="I873:I877" si="678">J873+K873</f>
        <v>0</v>
      </c>
      <c r="J873" s="4">
        <f>G873+J808</f>
        <v>0</v>
      </c>
      <c r="K873" s="4">
        <f>H873+K808</f>
        <v>0</v>
      </c>
      <c r="L873" s="33" t="e">
        <f t="shared" ref="L873" si="679">+J873/E873</f>
        <v>#DIV/0!</v>
      </c>
      <c r="M873" s="105">
        <v>12.029500000000001</v>
      </c>
      <c r="N873" s="34">
        <f>M873*G873</f>
        <v>0</v>
      </c>
      <c r="O873" s="87">
        <f t="shared" ref="O873:O875" si="680">M873*J873</f>
        <v>0</v>
      </c>
      <c r="P873" s="1134"/>
    </row>
    <row r="874" spans="2:16" x14ac:dyDescent="0.3">
      <c r="B874" s="1132"/>
      <c r="C874" s="35"/>
      <c r="D874" s="119" t="s">
        <v>62</v>
      </c>
      <c r="E874" s="99">
        <v>0</v>
      </c>
      <c r="F874" s="9">
        <f t="shared" si="677"/>
        <v>0</v>
      </c>
      <c r="G874" s="9">
        <v>0</v>
      </c>
      <c r="H874" s="10">
        <v>0</v>
      </c>
      <c r="I874" s="6">
        <f t="shared" si="678"/>
        <v>0</v>
      </c>
      <c r="J874" s="4">
        <f>G874+J809</f>
        <v>0</v>
      </c>
      <c r="K874" s="4">
        <f>H874+K809</f>
        <v>0</v>
      </c>
      <c r="L874" s="33"/>
      <c r="M874" s="106">
        <v>0</v>
      </c>
      <c r="N874" s="36"/>
      <c r="O874" s="88">
        <f t="shared" si="680"/>
        <v>0</v>
      </c>
      <c r="P874" s="1134"/>
    </row>
    <row r="875" spans="2:16" x14ac:dyDescent="0.3">
      <c r="B875" s="1132"/>
      <c r="C875" s="35"/>
      <c r="D875" s="119" t="s">
        <v>104</v>
      </c>
      <c r="E875" s="99">
        <v>0</v>
      </c>
      <c r="F875" s="9">
        <f t="shared" si="677"/>
        <v>0</v>
      </c>
      <c r="G875" s="9">
        <v>0</v>
      </c>
      <c r="H875" s="10">
        <v>0</v>
      </c>
      <c r="I875" s="6">
        <f t="shared" si="678"/>
        <v>0</v>
      </c>
      <c r="J875" s="4">
        <f t="shared" ref="J875:J877" si="681">G875+J810</f>
        <v>0</v>
      </c>
      <c r="K875" s="4">
        <f t="shared" ref="K875:K877" si="682">H875+K810</f>
        <v>0</v>
      </c>
      <c r="L875" s="33" t="e">
        <f t="shared" ref="L875:L877" si="683">+J875/E875</f>
        <v>#DIV/0!</v>
      </c>
      <c r="M875" s="106">
        <v>19.688600000000001</v>
      </c>
      <c r="N875" s="36">
        <f>M875*G875</f>
        <v>0</v>
      </c>
      <c r="O875" s="88">
        <f t="shared" si="680"/>
        <v>0</v>
      </c>
      <c r="P875" s="1134"/>
    </row>
    <row r="876" spans="2:16" x14ac:dyDescent="0.3">
      <c r="B876" s="1132"/>
      <c r="C876" s="35"/>
      <c r="D876" s="119" t="s">
        <v>64</v>
      </c>
      <c r="E876" s="99">
        <v>0</v>
      </c>
      <c r="F876" s="9">
        <f t="shared" si="677"/>
        <v>60000</v>
      </c>
      <c r="G876" s="9">
        <v>60000</v>
      </c>
      <c r="H876" s="10">
        <v>0</v>
      </c>
      <c r="I876" s="6">
        <f t="shared" si="678"/>
        <v>60000</v>
      </c>
      <c r="J876" s="4">
        <f t="shared" si="681"/>
        <v>60000</v>
      </c>
      <c r="K876" s="4">
        <f t="shared" si="682"/>
        <v>0</v>
      </c>
      <c r="L876" s="33" t="e">
        <f t="shared" si="683"/>
        <v>#DIV/0!</v>
      </c>
      <c r="M876" s="106">
        <v>1.2824</v>
      </c>
      <c r="N876" s="151">
        <f>M876*G876</f>
        <v>76944</v>
      </c>
      <c r="O876" s="88">
        <f>M876*J876</f>
        <v>76944</v>
      </c>
      <c r="P876" s="1134"/>
    </row>
    <row r="877" spans="2:16" ht="15" thickBot="1" x14ac:dyDescent="0.35">
      <c r="B877" s="1132"/>
      <c r="C877" s="82"/>
      <c r="D877" s="120" t="s">
        <v>63</v>
      </c>
      <c r="E877" s="108">
        <v>0</v>
      </c>
      <c r="F877" s="12">
        <v>0</v>
      </c>
      <c r="G877" s="12">
        <v>12960</v>
      </c>
      <c r="H877" s="13">
        <v>174</v>
      </c>
      <c r="I877" s="21">
        <f t="shared" si="678"/>
        <v>69968</v>
      </c>
      <c r="J877" s="4">
        <f t="shared" si="681"/>
        <v>69120</v>
      </c>
      <c r="K877" s="4">
        <f t="shared" si="682"/>
        <v>848</v>
      </c>
      <c r="L877" s="81" t="e">
        <f t="shared" si="683"/>
        <v>#DIV/0!</v>
      </c>
      <c r="M877" s="107">
        <v>18.2316</v>
      </c>
      <c r="N877" s="75"/>
      <c r="O877" s="89">
        <f t="shared" ref="O877" si="684">M877*J877</f>
        <v>1260168.192</v>
      </c>
      <c r="P877" s="1136"/>
    </row>
    <row r="878" spans="2:16" ht="15" thickBot="1" x14ac:dyDescent="0.35">
      <c r="B878" s="1116" t="s">
        <v>112</v>
      </c>
      <c r="C878" s="1117"/>
      <c r="D878" s="1117"/>
      <c r="E878" s="124"/>
      <c r="F878" s="125">
        <f>+G878+H878</f>
        <v>73134</v>
      </c>
      <c r="G878" s="125">
        <f>SUM(G873:G877)</f>
        <v>72960</v>
      </c>
      <c r="H878" s="126">
        <f>SUM(H873:H877)</f>
        <v>174</v>
      </c>
      <c r="I878" s="121">
        <f>J878+K878</f>
        <v>129968</v>
      </c>
      <c r="J878" s="122">
        <f>SUM(J873:J877)</f>
        <v>129120</v>
      </c>
      <c r="K878" s="123">
        <f>SUM(K873:K877)</f>
        <v>848</v>
      </c>
      <c r="L878" s="138"/>
      <c r="M878" s="139"/>
      <c r="N878" s="140"/>
      <c r="O878" s="141">
        <f>SUM(O873:O877)</f>
        <v>1337112.192</v>
      </c>
      <c r="P878" s="209"/>
    </row>
    <row r="879" spans="2:16" ht="15" thickBot="1" x14ac:dyDescent="0.35">
      <c r="B879" s="1116" t="s">
        <v>105</v>
      </c>
      <c r="C879" s="1117"/>
      <c r="D879" s="1117"/>
      <c r="E879" s="1139"/>
      <c r="F879" s="1139"/>
      <c r="G879" s="1139"/>
      <c r="H879" s="1139"/>
      <c r="I879" s="1117"/>
      <c r="J879" s="1117"/>
      <c r="K879" s="1117"/>
      <c r="L879" s="1117"/>
      <c r="M879" s="1117"/>
      <c r="N879" s="1140"/>
      <c r="O879" s="83">
        <f>O872+O878</f>
        <v>8316432.9119999995</v>
      </c>
      <c r="P879" s="209"/>
    </row>
    <row r="880" spans="2:16" x14ac:dyDescent="0.3">
      <c r="B880" s="1131" t="s">
        <v>65</v>
      </c>
      <c r="C880" s="37" t="s">
        <v>66</v>
      </c>
      <c r="D880" s="28" t="s">
        <v>67</v>
      </c>
      <c r="E880" s="38">
        <v>0</v>
      </c>
      <c r="F880" s="14">
        <f>+G880+H880</f>
        <v>0</v>
      </c>
      <c r="G880" s="14">
        <v>0</v>
      </c>
      <c r="H880" s="5">
        <v>0</v>
      </c>
      <c r="I880" s="17">
        <f t="shared" ref="I880:I886" si="685">J880+K880</f>
        <v>0</v>
      </c>
      <c r="J880" s="4">
        <f>G880+J815</f>
        <v>0</v>
      </c>
      <c r="K880" s="4">
        <f>H880+K815</f>
        <v>0</v>
      </c>
      <c r="L880" s="30" t="e">
        <f>+J880/E880</f>
        <v>#DIV/0!</v>
      </c>
      <c r="M880" s="146">
        <v>2.2141000000000002</v>
      </c>
      <c r="N880" s="15">
        <f>+M880*G880</f>
        <v>0</v>
      </c>
      <c r="O880" s="90">
        <f>+M880*J880</f>
        <v>0</v>
      </c>
      <c r="P880" s="1142"/>
    </row>
    <row r="881" spans="2:16" x14ac:dyDescent="0.3">
      <c r="B881" s="1132"/>
      <c r="C881" s="39"/>
      <c r="D881" s="22" t="s">
        <v>68</v>
      </c>
      <c r="E881" s="3">
        <v>0</v>
      </c>
      <c r="F881" s="9">
        <f t="shared" ref="F881:F886" si="686">+G881+H881</f>
        <v>0</v>
      </c>
      <c r="G881" s="4">
        <v>0</v>
      </c>
      <c r="H881" s="8">
        <v>0</v>
      </c>
      <c r="I881" s="6">
        <f t="shared" si="685"/>
        <v>0</v>
      </c>
      <c r="J881" s="4">
        <f>+G881+J816</f>
        <v>0</v>
      </c>
      <c r="K881" s="4">
        <f>+H881+K816</f>
        <v>0</v>
      </c>
      <c r="L881" s="40" t="e">
        <f t="shared" ref="L881:L882" si="687">+J881/E881</f>
        <v>#DIV/0!</v>
      </c>
      <c r="M881" s="145">
        <v>2.4565999999999999</v>
      </c>
      <c r="N881" s="11">
        <f t="shared" ref="N881:N883" si="688">+M881*G881</f>
        <v>0</v>
      </c>
      <c r="O881" s="91">
        <f t="shared" ref="O881:O883" si="689">+M881*J881</f>
        <v>0</v>
      </c>
      <c r="P881" s="1143"/>
    </row>
    <row r="882" spans="2:16" x14ac:dyDescent="0.3">
      <c r="B882" s="1132"/>
      <c r="C882" s="39"/>
      <c r="D882" s="23" t="s">
        <v>133</v>
      </c>
      <c r="E882" s="3">
        <v>0</v>
      </c>
      <c r="F882" s="9">
        <f t="shared" si="686"/>
        <v>0</v>
      </c>
      <c r="G882" s="4">
        <v>0</v>
      </c>
      <c r="H882" s="8">
        <v>0</v>
      </c>
      <c r="I882" s="6">
        <f t="shared" si="685"/>
        <v>0</v>
      </c>
      <c r="J882" s="4">
        <f t="shared" ref="J882:J883" si="690">+G882+J817</f>
        <v>0</v>
      </c>
      <c r="K882" s="4">
        <f t="shared" ref="K882:K886" si="691">+H882+K817</f>
        <v>0</v>
      </c>
      <c r="L882" s="40" t="e">
        <f t="shared" si="687"/>
        <v>#DIV/0!</v>
      </c>
      <c r="M882" s="145">
        <v>2.2907000000000002</v>
      </c>
      <c r="N882" s="11">
        <f t="shared" si="688"/>
        <v>0</v>
      </c>
      <c r="O882" s="91">
        <f t="shared" si="689"/>
        <v>0</v>
      </c>
      <c r="P882" s="1143"/>
    </row>
    <row r="883" spans="2:16" x14ac:dyDescent="0.3">
      <c r="B883" s="1132"/>
      <c r="C883" s="39"/>
      <c r="D883" s="22" t="s">
        <v>138</v>
      </c>
      <c r="E883" s="3"/>
      <c r="F883" s="9">
        <f t="shared" si="686"/>
        <v>0</v>
      </c>
      <c r="G883" s="4">
        <v>0</v>
      </c>
      <c r="H883" s="8">
        <v>0</v>
      </c>
      <c r="I883" s="6">
        <f t="shared" si="685"/>
        <v>0</v>
      </c>
      <c r="J883" s="4">
        <f t="shared" si="690"/>
        <v>0</v>
      </c>
      <c r="K883" s="4">
        <f t="shared" si="691"/>
        <v>0</v>
      </c>
      <c r="L883" s="33"/>
      <c r="M883" s="150">
        <v>2.544</v>
      </c>
      <c r="N883" s="11">
        <f t="shared" si="688"/>
        <v>0</v>
      </c>
      <c r="O883" s="91">
        <f t="shared" si="689"/>
        <v>0</v>
      </c>
      <c r="P883" s="1143"/>
    </row>
    <row r="884" spans="2:16" x14ac:dyDescent="0.3">
      <c r="B884" s="1132"/>
      <c r="C884" s="39" t="s">
        <v>69</v>
      </c>
      <c r="D884" s="22" t="s">
        <v>140</v>
      </c>
      <c r="E884" s="3">
        <v>0</v>
      </c>
      <c r="F884" s="9">
        <f t="shared" si="686"/>
        <v>0</v>
      </c>
      <c r="G884" s="4">
        <v>0</v>
      </c>
      <c r="H884" s="8">
        <v>0</v>
      </c>
      <c r="I884" s="6">
        <f t="shared" si="685"/>
        <v>567947</v>
      </c>
      <c r="J884" s="4">
        <f>+G884+J819</f>
        <v>552750</v>
      </c>
      <c r="K884" s="4">
        <f t="shared" si="691"/>
        <v>15197</v>
      </c>
      <c r="L884" s="33" t="e">
        <f>+J884/E884</f>
        <v>#DIV/0!</v>
      </c>
      <c r="M884" s="144">
        <v>2.2141000000000002</v>
      </c>
      <c r="N884" s="7">
        <f>+M884*G884</f>
        <v>0</v>
      </c>
      <c r="O884" s="85">
        <f>+M884*J884</f>
        <v>1223843.7750000001</v>
      </c>
      <c r="P884" s="1143"/>
    </row>
    <row r="885" spans="2:16" x14ac:dyDescent="0.3">
      <c r="B885" s="1132"/>
      <c r="C885" s="39"/>
      <c r="D885" s="22" t="s">
        <v>68</v>
      </c>
      <c r="E885" s="3">
        <v>0</v>
      </c>
      <c r="F885" s="9">
        <f t="shared" si="686"/>
        <v>0</v>
      </c>
      <c r="G885" s="4">
        <v>0</v>
      </c>
      <c r="H885" s="8">
        <v>0</v>
      </c>
      <c r="I885" s="6">
        <f t="shared" si="685"/>
        <v>0</v>
      </c>
      <c r="J885" s="4">
        <f t="shared" ref="J885:J886" si="692">+G885+J820</f>
        <v>0</v>
      </c>
      <c r="K885" s="4">
        <f t="shared" si="691"/>
        <v>0</v>
      </c>
      <c r="L885" s="40" t="e">
        <f t="shared" ref="L885:L886" si="693">+J885/E885</f>
        <v>#DIV/0!</v>
      </c>
      <c r="M885" s="145">
        <v>2.4565999999999999</v>
      </c>
      <c r="N885" s="11">
        <f t="shared" ref="N885:N886" si="694">+M885*G885</f>
        <v>0</v>
      </c>
      <c r="O885" s="91">
        <f t="shared" ref="O885" si="695">+M885*J885</f>
        <v>0</v>
      </c>
      <c r="P885" s="1143"/>
    </row>
    <row r="886" spans="2:16" ht="15" thickBot="1" x14ac:dyDescent="0.35">
      <c r="B886" s="1132"/>
      <c r="C886" s="39"/>
      <c r="D886" s="22" t="s">
        <v>133</v>
      </c>
      <c r="E886" s="3">
        <v>0</v>
      </c>
      <c r="F886" s="9">
        <f t="shared" si="686"/>
        <v>0</v>
      </c>
      <c r="G886" s="4">
        <v>0</v>
      </c>
      <c r="H886" s="8">
        <v>0</v>
      </c>
      <c r="I886" s="6">
        <f t="shared" si="685"/>
        <v>0</v>
      </c>
      <c r="J886" s="4">
        <f t="shared" si="692"/>
        <v>0</v>
      </c>
      <c r="K886" s="4">
        <f t="shared" si="691"/>
        <v>0</v>
      </c>
      <c r="L886" s="40" t="e">
        <f t="shared" si="693"/>
        <v>#DIV/0!</v>
      </c>
      <c r="M886" s="145">
        <v>2.2907000000000002</v>
      </c>
      <c r="N886" s="11">
        <f t="shared" si="694"/>
        <v>0</v>
      </c>
      <c r="O886" s="154">
        <f>+M886*J886</f>
        <v>0</v>
      </c>
      <c r="P886" s="1144"/>
    </row>
    <row r="887" spans="2:16" ht="15" thickBot="1" x14ac:dyDescent="0.35">
      <c r="B887" s="1132"/>
      <c r="C887" s="41" t="s">
        <v>29</v>
      </c>
      <c r="D887" s="27" t="str">
        <f>+C887</f>
        <v>TOTAL 1/2</v>
      </c>
      <c r="E887" s="42">
        <f>SUM(E880:E886)</f>
        <v>0</v>
      </c>
      <c r="F887" s="43">
        <f>SUM(F880:F886)</f>
        <v>0</v>
      </c>
      <c r="G887" s="43">
        <f>SUM(G880:G886)</f>
        <v>0</v>
      </c>
      <c r="H887" s="44">
        <f>SUM(H880:H886)</f>
        <v>0</v>
      </c>
      <c r="I887" s="45">
        <f>SUM(I884:I886)</f>
        <v>567947</v>
      </c>
      <c r="J887" s="43">
        <f>SUM(J880:J886)</f>
        <v>552750</v>
      </c>
      <c r="K887" s="43">
        <f>SUM(K880:K886)</f>
        <v>15197</v>
      </c>
      <c r="L887" s="46" t="e">
        <f>+J887/E887</f>
        <v>#DIV/0!</v>
      </c>
      <c r="M887" s="47"/>
      <c r="N887" s="48">
        <f>SUM(N884:N886)</f>
        <v>0</v>
      </c>
      <c r="O887" s="49">
        <f>SUM(O880:O886)</f>
        <v>1223843.7750000001</v>
      </c>
      <c r="P887" s="210"/>
    </row>
    <row r="888" spans="2:16" x14ac:dyDescent="0.3">
      <c r="B888" s="1132"/>
      <c r="C888" s="1145" t="s">
        <v>70</v>
      </c>
      <c r="D888" s="22" t="s">
        <v>67</v>
      </c>
      <c r="E888" s="3">
        <v>0</v>
      </c>
      <c r="F888" s="4">
        <f>G888+H888</f>
        <v>0</v>
      </c>
      <c r="G888" s="4">
        <v>0</v>
      </c>
      <c r="H888" s="8">
        <v>0</v>
      </c>
      <c r="I888" s="16">
        <f>J888+K888</f>
        <v>109220</v>
      </c>
      <c r="J888" s="4">
        <f>G888+J823</f>
        <v>105750</v>
      </c>
      <c r="K888" s="4">
        <f>H888+K823</f>
        <v>3470</v>
      </c>
      <c r="L888" s="50" t="e">
        <f>+J888/E888</f>
        <v>#DIV/0!</v>
      </c>
      <c r="M888" s="144">
        <v>4.1712999999999996</v>
      </c>
      <c r="N888" s="7">
        <f>+M888*G888</f>
        <v>0</v>
      </c>
      <c r="O888" s="93">
        <f>+M888*J888</f>
        <v>441114.97499999998</v>
      </c>
      <c r="P888" s="1142"/>
    </row>
    <row r="889" spans="2:16" x14ac:dyDescent="0.3">
      <c r="B889" s="1132"/>
      <c r="C889" s="1146"/>
      <c r="D889" s="22" t="s">
        <v>68</v>
      </c>
      <c r="E889" s="3">
        <v>0</v>
      </c>
      <c r="F889" s="4">
        <f>G889+H889</f>
        <v>0</v>
      </c>
      <c r="G889" s="4">
        <v>0</v>
      </c>
      <c r="H889" s="8">
        <v>0</v>
      </c>
      <c r="I889" s="6">
        <f>+R1933+F889</f>
        <v>0</v>
      </c>
      <c r="J889" s="4">
        <f>G889+J824</f>
        <v>120000</v>
      </c>
      <c r="K889" s="4">
        <f>H889+K824</f>
        <v>3230</v>
      </c>
      <c r="L889" s="51" t="e">
        <f t="shared" ref="L889:L893" si="696">+J889/E889</f>
        <v>#DIV/0!</v>
      </c>
      <c r="M889" s="145">
        <v>4.8285999999999998</v>
      </c>
      <c r="N889" s="11">
        <f t="shared" ref="N889:N891" si="697">+M889*G889</f>
        <v>0</v>
      </c>
      <c r="O889" s="94">
        <f t="shared" ref="O889:O891" si="698">+M889*J889</f>
        <v>579432</v>
      </c>
      <c r="P889" s="1143"/>
    </row>
    <row r="890" spans="2:16" x14ac:dyDescent="0.3">
      <c r="B890" s="1132"/>
      <c r="C890" s="1146"/>
      <c r="D890" s="22" t="s">
        <v>134</v>
      </c>
      <c r="E890" s="3"/>
      <c r="F890" s="4">
        <f>G890+H890</f>
        <v>0</v>
      </c>
      <c r="G890" s="4">
        <v>0</v>
      </c>
      <c r="H890" s="8">
        <v>0</v>
      </c>
      <c r="I890" s="6">
        <f>+R1934+F890</f>
        <v>0</v>
      </c>
      <c r="J890" s="4">
        <f t="shared" ref="J890:J891" si="699">G890+J825</f>
        <v>0</v>
      </c>
      <c r="K890" s="4">
        <f t="shared" ref="K890:K891" si="700">H890+K825</f>
        <v>0</v>
      </c>
      <c r="L890" s="51" t="e">
        <f t="shared" si="696"/>
        <v>#DIV/0!</v>
      </c>
      <c r="M890" s="144">
        <v>4.5023</v>
      </c>
      <c r="N890" s="11">
        <f t="shared" si="697"/>
        <v>0</v>
      </c>
      <c r="O890" s="94">
        <f t="shared" si="698"/>
        <v>0</v>
      </c>
      <c r="P890" s="1143"/>
    </row>
    <row r="891" spans="2:16" ht="15" thickBot="1" x14ac:dyDescent="0.35">
      <c r="B891" s="1132"/>
      <c r="C891" s="1146"/>
      <c r="D891" s="22" t="s">
        <v>118</v>
      </c>
      <c r="E891" s="3">
        <v>0</v>
      </c>
      <c r="F891" s="4">
        <f t="shared" ref="F891" si="701">G891+H891</f>
        <v>0</v>
      </c>
      <c r="G891" s="4">
        <v>0</v>
      </c>
      <c r="H891" s="8">
        <v>0</v>
      </c>
      <c r="I891" s="6">
        <f>+R1934+F891</f>
        <v>0</v>
      </c>
      <c r="J891" s="4">
        <f t="shared" si="699"/>
        <v>0</v>
      </c>
      <c r="K891" s="4">
        <f t="shared" si="700"/>
        <v>0</v>
      </c>
      <c r="L891" s="51" t="e">
        <f t="shared" si="696"/>
        <v>#DIV/0!</v>
      </c>
      <c r="M891" s="144">
        <v>4.4065000000000003</v>
      </c>
      <c r="N891" s="11">
        <f t="shared" si="697"/>
        <v>0</v>
      </c>
      <c r="O891" s="94">
        <f t="shared" si="698"/>
        <v>0</v>
      </c>
      <c r="P891" s="1143"/>
    </row>
    <row r="892" spans="2:16" ht="15" thickBot="1" x14ac:dyDescent="0.35">
      <c r="B892" s="1132"/>
      <c r="C892" s="41" t="s">
        <v>31</v>
      </c>
      <c r="D892" s="18" t="str">
        <f>+C892</f>
        <v>TOTAL 4/4</v>
      </c>
      <c r="E892" s="42">
        <f t="shared" ref="E892:K892" si="702">SUM(E888:E891)</f>
        <v>0</v>
      </c>
      <c r="F892" s="43">
        <f t="shared" si="702"/>
        <v>0</v>
      </c>
      <c r="G892" s="43">
        <f t="shared" si="702"/>
        <v>0</v>
      </c>
      <c r="H892" s="44">
        <f t="shared" si="702"/>
        <v>0</v>
      </c>
      <c r="I892" s="45">
        <f t="shared" si="702"/>
        <v>109220</v>
      </c>
      <c r="J892" s="43">
        <f t="shared" si="702"/>
        <v>225750</v>
      </c>
      <c r="K892" s="43">
        <f t="shared" si="702"/>
        <v>6700</v>
      </c>
      <c r="L892" s="46" t="e">
        <f t="shared" si="696"/>
        <v>#DIV/0!</v>
      </c>
      <c r="M892" s="47"/>
      <c r="N892" s="48">
        <f>SUM(N888:N891)</f>
        <v>0</v>
      </c>
      <c r="O892" s="92">
        <f>SUM(O888:O891)</f>
        <v>1020546.975</v>
      </c>
      <c r="P892" s="1144"/>
    </row>
    <row r="893" spans="2:16" ht="15" thickBot="1" x14ac:dyDescent="0.35">
      <c r="B893" s="1141"/>
      <c r="C893" s="41" t="s">
        <v>71</v>
      </c>
      <c r="D893" s="27" t="s">
        <v>67</v>
      </c>
      <c r="E893" s="25">
        <v>0</v>
      </c>
      <c r="F893" s="20">
        <f>G893+H893</f>
        <v>0</v>
      </c>
      <c r="G893" s="20">
        <v>0</v>
      </c>
      <c r="H893" s="24">
        <v>0</v>
      </c>
      <c r="I893" s="19">
        <f>J893+K893</f>
        <v>0</v>
      </c>
      <c r="J893" s="4">
        <f>G893+J828</f>
        <v>0</v>
      </c>
      <c r="K893" s="4">
        <f>H893+K828</f>
        <v>0</v>
      </c>
      <c r="L893" s="52" t="e">
        <f t="shared" si="696"/>
        <v>#DIV/0!</v>
      </c>
      <c r="M893" s="149">
        <v>1.4086000000000001</v>
      </c>
      <c r="N893" s="26">
        <f t="shared" ref="N893" si="703">+M893*G893</f>
        <v>0</v>
      </c>
      <c r="O893" s="95">
        <f t="shared" ref="O893" si="704">+M893*J893</f>
        <v>0</v>
      </c>
      <c r="P893" s="53"/>
    </row>
    <row r="894" spans="2:16" ht="15" thickBot="1" x14ac:dyDescent="0.35">
      <c r="B894" s="1116" t="s">
        <v>102</v>
      </c>
      <c r="C894" s="1117"/>
      <c r="D894" s="1117"/>
      <c r="E894" s="1117"/>
      <c r="F894" s="1117"/>
      <c r="G894" s="1117"/>
      <c r="H894" s="1117"/>
      <c r="I894" s="110">
        <f>J894+K894</f>
        <v>800397</v>
      </c>
      <c r="J894" s="110">
        <f>J887+J892+J893</f>
        <v>778500</v>
      </c>
      <c r="K894" s="110">
        <f>K887+K892+K893</f>
        <v>21897</v>
      </c>
      <c r="L894" s="111"/>
      <c r="M894" s="112"/>
      <c r="N894" s="109"/>
      <c r="O894" s="77">
        <f>+O893+O892+O887</f>
        <v>2244390.75</v>
      </c>
      <c r="P894" s="84"/>
    </row>
    <row r="895" spans="2:16" x14ac:dyDescent="0.3">
      <c r="B895" s="1118" t="s">
        <v>72</v>
      </c>
      <c r="C895" s="1121" t="s">
        <v>73</v>
      </c>
      <c r="D895" s="54" t="s">
        <v>74</v>
      </c>
      <c r="E895" s="55">
        <v>0</v>
      </c>
      <c r="F895" s="56">
        <f>G895+H895</f>
        <v>10056</v>
      </c>
      <c r="G895" s="56">
        <v>10000</v>
      </c>
      <c r="H895" s="57">
        <v>56</v>
      </c>
      <c r="I895" s="78">
        <f>J895+K895</f>
        <v>30264</v>
      </c>
      <c r="J895" s="4">
        <f>G895+J830</f>
        <v>30000</v>
      </c>
      <c r="K895" s="4">
        <f>H895+K830</f>
        <v>264</v>
      </c>
      <c r="L895" s="58" t="e">
        <f t="shared" ref="L895" si="705">+J895/E895</f>
        <v>#DIV/0!</v>
      </c>
      <c r="M895" s="59">
        <v>32.946300000000001</v>
      </c>
      <c r="N895" s="60">
        <f>+M895*G895</f>
        <v>329463</v>
      </c>
      <c r="O895" s="60">
        <f>M895*J895</f>
        <v>988389</v>
      </c>
      <c r="P895" s="1123"/>
    </row>
    <row r="896" spans="2:16" x14ac:dyDescent="0.3">
      <c r="B896" s="1119"/>
      <c r="C896" s="1122"/>
      <c r="D896" s="61" t="s">
        <v>75</v>
      </c>
      <c r="E896" s="62">
        <v>0</v>
      </c>
      <c r="F896" s="63">
        <f>G896+H896</f>
        <v>0</v>
      </c>
      <c r="G896" s="63">
        <v>0</v>
      </c>
      <c r="H896" s="64">
        <v>0</v>
      </c>
      <c r="I896" s="79">
        <f>J896+K896</f>
        <v>31833</v>
      </c>
      <c r="J896" s="4">
        <f>G896+J831</f>
        <v>31420</v>
      </c>
      <c r="K896" s="4">
        <f>H896+K831</f>
        <v>413</v>
      </c>
      <c r="L896" s="65" t="e">
        <f>+J896/E896</f>
        <v>#DIV/0!</v>
      </c>
      <c r="M896" s="66">
        <v>35.398400000000002</v>
      </c>
      <c r="N896" s="67">
        <f>+M896*G896</f>
        <v>0</v>
      </c>
      <c r="O896" s="67">
        <f>M896*J896</f>
        <v>1112217.7280000001</v>
      </c>
      <c r="P896" s="1124"/>
    </row>
    <row r="897" spans="2:16" x14ac:dyDescent="0.3">
      <c r="B897" s="1119"/>
      <c r="C897" s="1122"/>
      <c r="D897" s="61" t="s">
        <v>76</v>
      </c>
      <c r="E897" s="62">
        <v>0</v>
      </c>
      <c r="F897" s="63">
        <f t="shared" ref="F897:F900" si="706">G897+H897</f>
        <v>0</v>
      </c>
      <c r="G897" s="63">
        <v>0</v>
      </c>
      <c r="H897" s="64">
        <v>0</v>
      </c>
      <c r="I897" s="79">
        <f t="shared" ref="I897:I906" si="707">J897+K897</f>
        <v>0</v>
      </c>
      <c r="J897" s="4">
        <f t="shared" ref="J897:J922" si="708">G897+J832</f>
        <v>0</v>
      </c>
      <c r="K897" s="4">
        <f t="shared" ref="K897:K901" si="709">H897+K832</f>
        <v>0</v>
      </c>
      <c r="L897" s="65" t="e">
        <f t="shared" ref="L897:L910" si="710">+J897/E897</f>
        <v>#DIV/0!</v>
      </c>
      <c r="M897" s="66">
        <v>32.946300000000001</v>
      </c>
      <c r="N897" s="67">
        <f t="shared" ref="N897:N917" si="711">+M897*G897</f>
        <v>0</v>
      </c>
      <c r="O897" s="67">
        <f t="shared" ref="O897:O905" si="712">M897*J897</f>
        <v>0</v>
      </c>
      <c r="P897" s="1124"/>
    </row>
    <row r="898" spans="2:16" x14ac:dyDescent="0.3">
      <c r="B898" s="1119"/>
      <c r="C898" s="1122" t="s">
        <v>77</v>
      </c>
      <c r="D898" s="61" t="s">
        <v>78</v>
      </c>
      <c r="E898" s="62">
        <v>0</v>
      </c>
      <c r="F898" s="63">
        <f t="shared" si="706"/>
        <v>2535</v>
      </c>
      <c r="G898" s="63">
        <v>2400</v>
      </c>
      <c r="H898" s="64">
        <v>135</v>
      </c>
      <c r="I898" s="79">
        <f t="shared" si="707"/>
        <v>19785</v>
      </c>
      <c r="J898" s="4">
        <f t="shared" si="708"/>
        <v>19200</v>
      </c>
      <c r="K898" s="4">
        <f t="shared" si="709"/>
        <v>585</v>
      </c>
      <c r="L898" s="65" t="e">
        <f t="shared" si="710"/>
        <v>#DIV/0!</v>
      </c>
      <c r="M898" s="66">
        <v>55.4758</v>
      </c>
      <c r="N898" s="67">
        <f t="shared" si="711"/>
        <v>133141.92000000001</v>
      </c>
      <c r="O898" s="67">
        <f t="shared" si="712"/>
        <v>1065135.3600000001</v>
      </c>
      <c r="P898" s="1124"/>
    </row>
    <row r="899" spans="2:16" x14ac:dyDescent="0.3">
      <c r="B899" s="1119"/>
      <c r="C899" s="1122"/>
      <c r="D899" s="61" t="s">
        <v>141</v>
      </c>
      <c r="E899" s="62">
        <v>0</v>
      </c>
      <c r="F899" s="63">
        <f t="shared" si="706"/>
        <v>0</v>
      </c>
      <c r="G899" s="63">
        <v>0</v>
      </c>
      <c r="H899" s="64">
        <v>0</v>
      </c>
      <c r="I899" s="79">
        <f t="shared" si="707"/>
        <v>0</v>
      </c>
      <c r="J899" s="4">
        <f t="shared" si="708"/>
        <v>0</v>
      </c>
      <c r="K899" s="4">
        <f t="shared" si="709"/>
        <v>0</v>
      </c>
      <c r="L899" s="65" t="e">
        <f t="shared" si="710"/>
        <v>#DIV/0!</v>
      </c>
      <c r="M899" s="66">
        <v>53.515999999999998</v>
      </c>
      <c r="N899" s="67">
        <f t="shared" si="711"/>
        <v>0</v>
      </c>
      <c r="O899" s="67">
        <f t="shared" si="712"/>
        <v>0</v>
      </c>
      <c r="P899" s="1124"/>
    </row>
    <row r="900" spans="2:16" x14ac:dyDescent="0.3">
      <c r="B900" s="1119"/>
      <c r="C900" s="1122"/>
      <c r="D900" s="61" t="s">
        <v>75</v>
      </c>
      <c r="E900" s="62">
        <v>0</v>
      </c>
      <c r="F900" s="63">
        <f t="shared" si="706"/>
        <v>0</v>
      </c>
      <c r="G900" s="63">
        <v>0</v>
      </c>
      <c r="H900" s="64">
        <v>0</v>
      </c>
      <c r="I900" s="79">
        <f t="shared" si="707"/>
        <v>9804</v>
      </c>
      <c r="J900" s="4">
        <f t="shared" si="708"/>
        <v>9600</v>
      </c>
      <c r="K900" s="4">
        <f t="shared" si="709"/>
        <v>204</v>
      </c>
      <c r="L900" s="65" t="e">
        <f t="shared" si="710"/>
        <v>#DIV/0!</v>
      </c>
      <c r="M900" s="66">
        <v>58.836300000000001</v>
      </c>
      <c r="N900" s="67">
        <f t="shared" si="711"/>
        <v>0</v>
      </c>
      <c r="O900" s="67">
        <f t="shared" si="712"/>
        <v>564828.48</v>
      </c>
      <c r="P900" s="1124"/>
    </row>
    <row r="901" spans="2:16" x14ac:dyDescent="0.3">
      <c r="B901" s="1119"/>
      <c r="C901" s="1126" t="s">
        <v>79</v>
      </c>
      <c r="D901" s="61" t="s">
        <v>80</v>
      </c>
      <c r="E901" s="62">
        <v>0</v>
      </c>
      <c r="F901" s="63">
        <f>G901+H901</f>
        <v>0</v>
      </c>
      <c r="G901" s="63">
        <v>0</v>
      </c>
      <c r="H901" s="64">
        <v>0</v>
      </c>
      <c r="I901" s="79">
        <f t="shared" si="707"/>
        <v>13295</v>
      </c>
      <c r="J901" s="4">
        <f t="shared" si="708"/>
        <v>13000</v>
      </c>
      <c r="K901" s="4">
        <f t="shared" si="709"/>
        <v>295</v>
      </c>
      <c r="L901" s="65" t="e">
        <f t="shared" si="710"/>
        <v>#DIV/0!</v>
      </c>
      <c r="M901" s="66">
        <v>25.687200000000001</v>
      </c>
      <c r="N901" s="67">
        <f t="shared" si="711"/>
        <v>0</v>
      </c>
      <c r="O901" s="67">
        <f t="shared" si="712"/>
        <v>333933.60000000003</v>
      </c>
      <c r="P901" s="1124"/>
    </row>
    <row r="902" spans="2:16" x14ac:dyDescent="0.3">
      <c r="B902" s="1119"/>
      <c r="C902" s="1127"/>
      <c r="D902" s="61" t="s">
        <v>124</v>
      </c>
      <c r="E902" s="62">
        <v>0</v>
      </c>
      <c r="F902" s="63">
        <f>G902+H902</f>
        <v>0</v>
      </c>
      <c r="G902" s="63">
        <v>0</v>
      </c>
      <c r="H902" s="64">
        <v>0</v>
      </c>
      <c r="I902" s="79">
        <f t="shared" si="707"/>
        <v>0</v>
      </c>
      <c r="J902" s="4">
        <f t="shared" si="708"/>
        <v>0</v>
      </c>
      <c r="K902" s="4">
        <f>H902+K837</f>
        <v>0</v>
      </c>
      <c r="L902" s="65" t="e">
        <f t="shared" si="710"/>
        <v>#DIV/0!</v>
      </c>
      <c r="M902" s="66">
        <v>25.033899999999999</v>
      </c>
      <c r="N902" s="67">
        <f t="shared" si="711"/>
        <v>0</v>
      </c>
      <c r="O902" s="67">
        <f t="shared" si="712"/>
        <v>0</v>
      </c>
      <c r="P902" s="1124"/>
    </row>
    <row r="903" spans="2:16" x14ac:dyDescent="0.3">
      <c r="B903" s="1119"/>
      <c r="C903" s="1126" t="s">
        <v>81</v>
      </c>
      <c r="D903" s="61" t="s">
        <v>82</v>
      </c>
      <c r="E903" s="62">
        <v>0</v>
      </c>
      <c r="F903" s="63">
        <f t="shared" ref="F903:F922" si="713">G903+H903</f>
        <v>0</v>
      </c>
      <c r="G903" s="63">
        <v>0</v>
      </c>
      <c r="H903" s="64">
        <v>0</v>
      </c>
      <c r="I903" s="79">
        <f t="shared" si="707"/>
        <v>16343</v>
      </c>
      <c r="J903" s="4">
        <f t="shared" si="708"/>
        <v>16000</v>
      </c>
      <c r="K903" s="4">
        <f t="shared" ref="K903:K922" si="714">H903+K838</f>
        <v>343</v>
      </c>
      <c r="L903" s="65" t="e">
        <f t="shared" si="710"/>
        <v>#DIV/0!</v>
      </c>
      <c r="M903" s="66">
        <v>41.992699999999999</v>
      </c>
      <c r="N903" s="67">
        <f t="shared" si="711"/>
        <v>0</v>
      </c>
      <c r="O903" s="67">
        <f t="shared" si="712"/>
        <v>671883.2</v>
      </c>
      <c r="P903" s="1124"/>
    </row>
    <row r="904" spans="2:16" x14ac:dyDescent="0.3">
      <c r="B904" s="1119"/>
      <c r="C904" s="1127"/>
      <c r="D904" s="61" t="s">
        <v>75</v>
      </c>
      <c r="E904" s="62">
        <v>0</v>
      </c>
      <c r="F904" s="63">
        <f t="shared" si="713"/>
        <v>0</v>
      </c>
      <c r="G904" s="63">
        <v>0</v>
      </c>
      <c r="H904" s="64">
        <v>0</v>
      </c>
      <c r="I904" s="79">
        <f t="shared" si="707"/>
        <v>0</v>
      </c>
      <c r="J904" s="4">
        <f t="shared" si="708"/>
        <v>0</v>
      </c>
      <c r="K904" s="4">
        <f t="shared" si="714"/>
        <v>0</v>
      </c>
      <c r="L904" s="65" t="e">
        <f t="shared" si="710"/>
        <v>#DIV/0!</v>
      </c>
      <c r="M904" s="66">
        <v>42.283799999999999</v>
      </c>
      <c r="N904" s="67">
        <f t="shared" si="711"/>
        <v>0</v>
      </c>
      <c r="O904" s="67">
        <f t="shared" si="712"/>
        <v>0</v>
      </c>
      <c r="P904" s="1124"/>
    </row>
    <row r="905" spans="2:16" x14ac:dyDescent="0.3">
      <c r="B905" s="1119"/>
      <c r="C905" s="208" t="s">
        <v>83</v>
      </c>
      <c r="D905" s="61" t="s">
        <v>84</v>
      </c>
      <c r="E905" s="62">
        <v>0</v>
      </c>
      <c r="F905" s="63">
        <f t="shared" si="713"/>
        <v>0</v>
      </c>
      <c r="G905" s="63">
        <v>0</v>
      </c>
      <c r="H905" s="64">
        <v>0</v>
      </c>
      <c r="I905" s="79">
        <f t="shared" si="707"/>
        <v>24803</v>
      </c>
      <c r="J905" s="4">
        <f t="shared" si="708"/>
        <v>24000</v>
      </c>
      <c r="K905" s="4">
        <f t="shared" si="714"/>
        <v>803</v>
      </c>
      <c r="L905" s="65" t="e">
        <f t="shared" si="710"/>
        <v>#DIV/0!</v>
      </c>
      <c r="M905" s="66">
        <v>4.3535000000000004</v>
      </c>
      <c r="N905" s="67">
        <f t="shared" si="711"/>
        <v>0</v>
      </c>
      <c r="O905" s="67">
        <f t="shared" si="712"/>
        <v>104484.00000000001</v>
      </c>
      <c r="P905" s="1124"/>
    </row>
    <row r="906" spans="2:16" x14ac:dyDescent="0.3">
      <c r="B906" s="1119"/>
      <c r="C906" s="1122" t="s">
        <v>85</v>
      </c>
      <c r="D906" s="61" t="s">
        <v>80</v>
      </c>
      <c r="E906" s="62">
        <v>0</v>
      </c>
      <c r="F906" s="63">
        <f t="shared" si="713"/>
        <v>0</v>
      </c>
      <c r="G906" s="63">
        <v>0</v>
      </c>
      <c r="H906" s="64">
        <v>0</v>
      </c>
      <c r="I906" s="79">
        <f t="shared" si="707"/>
        <v>0</v>
      </c>
      <c r="J906" s="4">
        <f t="shared" si="708"/>
        <v>0</v>
      </c>
      <c r="K906" s="4">
        <f t="shared" si="714"/>
        <v>0</v>
      </c>
      <c r="L906" s="65" t="e">
        <f t="shared" si="710"/>
        <v>#DIV/0!</v>
      </c>
      <c r="M906" s="66">
        <v>4.6184000000000003</v>
      </c>
      <c r="N906" s="67">
        <f t="shared" si="711"/>
        <v>0</v>
      </c>
      <c r="O906" s="67">
        <f>M906*J906</f>
        <v>0</v>
      </c>
      <c r="P906" s="1124"/>
    </row>
    <row r="907" spans="2:16" x14ac:dyDescent="0.3">
      <c r="B907" s="1119"/>
      <c r="C907" s="1122"/>
      <c r="D907" s="61" t="s">
        <v>126</v>
      </c>
      <c r="E907" s="62">
        <v>0</v>
      </c>
      <c r="F907" s="63">
        <f t="shared" si="713"/>
        <v>0</v>
      </c>
      <c r="G907" s="63">
        <v>0</v>
      </c>
      <c r="H907" s="64">
        <v>0</v>
      </c>
      <c r="I907" s="79">
        <f>J907+K907</f>
        <v>0</v>
      </c>
      <c r="J907" s="4">
        <f t="shared" si="708"/>
        <v>0</v>
      </c>
      <c r="K907" s="4">
        <f t="shared" si="714"/>
        <v>0</v>
      </c>
      <c r="L907" s="65" t="e">
        <f t="shared" si="710"/>
        <v>#DIV/0!</v>
      </c>
      <c r="M907" s="153">
        <v>4.6184000000000003</v>
      </c>
      <c r="N907" s="67">
        <f t="shared" si="711"/>
        <v>0</v>
      </c>
      <c r="O907" s="67">
        <f>M907*J907</f>
        <v>0</v>
      </c>
      <c r="P907" s="1124"/>
    </row>
    <row r="908" spans="2:16" x14ac:dyDescent="0.3">
      <c r="B908" s="1119"/>
      <c r="C908" s="1122"/>
      <c r="D908" s="61" t="s">
        <v>130</v>
      </c>
      <c r="E908" s="62">
        <v>0</v>
      </c>
      <c r="F908" s="63">
        <f t="shared" si="713"/>
        <v>0</v>
      </c>
      <c r="G908" s="63">
        <v>0</v>
      </c>
      <c r="H908" s="64">
        <v>0</v>
      </c>
      <c r="I908" s="79">
        <f t="shared" ref="I908:I922" si="715">J908+K908</f>
        <v>0</v>
      </c>
      <c r="J908" s="4">
        <f t="shared" si="708"/>
        <v>0</v>
      </c>
      <c r="K908" s="4">
        <f t="shared" si="714"/>
        <v>0</v>
      </c>
      <c r="L908" s="65" t="e">
        <f t="shared" si="710"/>
        <v>#DIV/0!</v>
      </c>
      <c r="M908" s="153">
        <v>4.6184000000000003</v>
      </c>
      <c r="N908" s="67">
        <f t="shared" si="711"/>
        <v>0</v>
      </c>
      <c r="O908" s="67">
        <f t="shared" ref="O908:O913" si="716">M908*J908</f>
        <v>0</v>
      </c>
      <c r="P908" s="1124"/>
    </row>
    <row r="909" spans="2:16" x14ac:dyDescent="0.3">
      <c r="B909" s="1119"/>
      <c r="C909" s="1122"/>
      <c r="D909" s="61" t="s">
        <v>131</v>
      </c>
      <c r="E909" s="62">
        <v>0</v>
      </c>
      <c r="F909" s="63">
        <f t="shared" si="713"/>
        <v>30800</v>
      </c>
      <c r="G909" s="63">
        <v>30500</v>
      </c>
      <c r="H909" s="64">
        <v>300</v>
      </c>
      <c r="I909" s="79">
        <f t="shared" si="715"/>
        <v>281684</v>
      </c>
      <c r="J909" s="4">
        <f t="shared" si="708"/>
        <v>274275</v>
      </c>
      <c r="K909" s="4">
        <f t="shared" si="714"/>
        <v>7409</v>
      </c>
      <c r="L909" s="65" t="e">
        <f t="shared" si="710"/>
        <v>#DIV/0!</v>
      </c>
      <c r="M909" s="153">
        <v>4.7636000000000003</v>
      </c>
      <c r="N909" s="67">
        <f t="shared" si="711"/>
        <v>145289.80000000002</v>
      </c>
      <c r="O909" s="67">
        <f t="shared" si="716"/>
        <v>1306536.3900000001</v>
      </c>
      <c r="P909" s="1124"/>
    </row>
    <row r="910" spans="2:16" x14ac:dyDescent="0.3">
      <c r="B910" s="1119"/>
      <c r="C910" s="1122"/>
      <c r="D910" s="61" t="s">
        <v>86</v>
      </c>
      <c r="E910" s="62">
        <v>0</v>
      </c>
      <c r="F910" s="63">
        <f t="shared" si="713"/>
        <v>0</v>
      </c>
      <c r="G910" s="63">
        <v>0</v>
      </c>
      <c r="H910" s="64">
        <v>0</v>
      </c>
      <c r="I910" s="79">
        <f t="shared" si="715"/>
        <v>0</v>
      </c>
      <c r="J910" s="4">
        <f t="shared" si="708"/>
        <v>0</v>
      </c>
      <c r="K910" s="4">
        <f t="shared" si="714"/>
        <v>0</v>
      </c>
      <c r="L910" s="65" t="e">
        <f t="shared" si="710"/>
        <v>#DIV/0!</v>
      </c>
      <c r="M910" s="66">
        <v>4.8738000000000001</v>
      </c>
      <c r="N910" s="67">
        <f t="shared" si="711"/>
        <v>0</v>
      </c>
      <c r="O910" s="67">
        <f t="shared" si="716"/>
        <v>0</v>
      </c>
      <c r="P910" s="1124"/>
    </row>
    <row r="911" spans="2:16" x14ac:dyDescent="0.3">
      <c r="B911" s="1119"/>
      <c r="C911" s="208" t="s">
        <v>135</v>
      </c>
      <c r="D911" s="61" t="s">
        <v>131</v>
      </c>
      <c r="E911" s="62"/>
      <c r="F911" s="63">
        <f t="shared" si="713"/>
        <v>0</v>
      </c>
      <c r="G911" s="63">
        <v>0</v>
      </c>
      <c r="H911" s="64">
        <v>0</v>
      </c>
      <c r="I911" s="79">
        <f t="shared" si="715"/>
        <v>0</v>
      </c>
      <c r="J911" s="4">
        <f t="shared" si="708"/>
        <v>0</v>
      </c>
      <c r="K911" s="4">
        <f t="shared" si="714"/>
        <v>0</v>
      </c>
      <c r="L911" s="65"/>
      <c r="M911" s="66">
        <v>4.8738000000000001</v>
      </c>
      <c r="N911" s="67">
        <f t="shared" si="711"/>
        <v>0</v>
      </c>
      <c r="O911" s="67">
        <f t="shared" si="716"/>
        <v>0</v>
      </c>
      <c r="P911" s="1124"/>
    </row>
    <row r="912" spans="2:16" x14ac:dyDescent="0.3">
      <c r="B912" s="1119"/>
      <c r="C912" s="1122" t="s">
        <v>87</v>
      </c>
      <c r="D912" s="61" t="s">
        <v>80</v>
      </c>
      <c r="E912" s="62">
        <v>0</v>
      </c>
      <c r="F912" s="63">
        <f t="shared" si="713"/>
        <v>0</v>
      </c>
      <c r="G912" s="63">
        <v>0</v>
      </c>
      <c r="H912" s="64">
        <v>0</v>
      </c>
      <c r="I912" s="79">
        <f t="shared" si="715"/>
        <v>197600</v>
      </c>
      <c r="J912" s="4">
        <f t="shared" si="708"/>
        <v>194950</v>
      </c>
      <c r="K912" s="4">
        <f t="shared" si="714"/>
        <v>2650</v>
      </c>
      <c r="L912" s="65" t="e">
        <f t="shared" ref="L912:L922" si="717">+J912/E912</f>
        <v>#DIV/0!</v>
      </c>
      <c r="M912" s="66">
        <v>4.9344999999999999</v>
      </c>
      <c r="N912" s="67">
        <f t="shared" si="711"/>
        <v>0</v>
      </c>
      <c r="O912" s="67">
        <f t="shared" si="716"/>
        <v>961980.77500000002</v>
      </c>
      <c r="P912" s="1124"/>
    </row>
    <row r="913" spans="2:16" x14ac:dyDescent="0.3">
      <c r="B913" s="1119"/>
      <c r="C913" s="1122"/>
      <c r="D913" s="61" t="s">
        <v>142</v>
      </c>
      <c r="E913" s="62"/>
      <c r="F913" s="63">
        <f t="shared" si="713"/>
        <v>0</v>
      </c>
      <c r="G913" s="63">
        <v>0</v>
      </c>
      <c r="H913" s="64">
        <v>0</v>
      </c>
      <c r="I913" s="79">
        <f t="shared" si="715"/>
        <v>43282</v>
      </c>
      <c r="J913" s="4">
        <f t="shared" si="708"/>
        <v>40500</v>
      </c>
      <c r="K913" s="4">
        <f t="shared" si="714"/>
        <v>2782</v>
      </c>
      <c r="L913" s="65" t="e">
        <f t="shared" si="717"/>
        <v>#DIV/0!</v>
      </c>
      <c r="M913" s="66">
        <v>4.9344999999999999</v>
      </c>
      <c r="N913" s="67">
        <f t="shared" si="711"/>
        <v>0</v>
      </c>
      <c r="O913" s="67">
        <f t="shared" si="716"/>
        <v>199847.25</v>
      </c>
      <c r="P913" s="1124"/>
    </row>
    <row r="914" spans="2:16" x14ac:dyDescent="0.3">
      <c r="B914" s="1119"/>
      <c r="C914" s="1122"/>
      <c r="D914" s="61" t="s">
        <v>136</v>
      </c>
      <c r="E914" s="62">
        <v>0</v>
      </c>
      <c r="F914" s="63">
        <f t="shared" si="713"/>
        <v>0</v>
      </c>
      <c r="G914" s="155">
        <v>0</v>
      </c>
      <c r="H914" s="156">
        <v>0</v>
      </c>
      <c r="I914" s="157">
        <f t="shared" si="715"/>
        <v>0</v>
      </c>
      <c r="J914" s="4">
        <f t="shared" si="708"/>
        <v>0</v>
      </c>
      <c r="K914" s="4">
        <f t="shared" si="714"/>
        <v>0</v>
      </c>
      <c r="L914" s="158" t="e">
        <f t="shared" si="717"/>
        <v>#DIV/0!</v>
      </c>
      <c r="M914" s="66">
        <v>4.9344999999999999</v>
      </c>
      <c r="N914" s="159">
        <f t="shared" si="711"/>
        <v>0</v>
      </c>
      <c r="O914" s="67">
        <f>M914*J914</f>
        <v>0</v>
      </c>
      <c r="P914" s="1124"/>
    </row>
    <row r="915" spans="2:16" x14ac:dyDescent="0.3">
      <c r="B915" s="1119"/>
      <c r="C915" s="1122" t="s">
        <v>88</v>
      </c>
      <c r="D915" s="61" t="s">
        <v>80</v>
      </c>
      <c r="E915" s="62">
        <v>0</v>
      </c>
      <c r="F915" s="63">
        <f t="shared" si="713"/>
        <v>0</v>
      </c>
      <c r="G915" s="63">
        <v>0</v>
      </c>
      <c r="H915" s="64">
        <v>0</v>
      </c>
      <c r="I915" s="79">
        <f t="shared" si="715"/>
        <v>138276</v>
      </c>
      <c r="J915" s="4">
        <f t="shared" si="708"/>
        <v>130950</v>
      </c>
      <c r="K915" s="4">
        <f t="shared" si="714"/>
        <v>7326</v>
      </c>
      <c r="L915" s="65" t="e">
        <f t="shared" si="717"/>
        <v>#DIV/0!</v>
      </c>
      <c r="M915" s="148">
        <v>5.5069999999999997</v>
      </c>
      <c r="N915" s="67">
        <f t="shared" si="711"/>
        <v>0</v>
      </c>
      <c r="O915" s="67">
        <f>M915*J915</f>
        <v>721141.64999999991</v>
      </c>
      <c r="P915" s="1124"/>
    </row>
    <row r="916" spans="2:16" x14ac:dyDescent="0.3">
      <c r="B916" s="1119"/>
      <c r="C916" s="1122"/>
      <c r="D916" s="61" t="s">
        <v>119</v>
      </c>
      <c r="E916" s="62">
        <v>0</v>
      </c>
      <c r="F916" s="63">
        <f t="shared" si="713"/>
        <v>9429</v>
      </c>
      <c r="G916" s="63">
        <v>9000</v>
      </c>
      <c r="H916" s="64">
        <v>429</v>
      </c>
      <c r="I916" s="79">
        <f t="shared" si="715"/>
        <v>84882</v>
      </c>
      <c r="J916" s="4">
        <f t="shared" si="708"/>
        <v>81900</v>
      </c>
      <c r="K916" s="4">
        <f t="shared" si="714"/>
        <v>2982</v>
      </c>
      <c r="L916" s="65" t="e">
        <f t="shared" si="717"/>
        <v>#DIV/0!</v>
      </c>
      <c r="M916" s="147">
        <v>5.6550000000000002</v>
      </c>
      <c r="N916" s="67">
        <f t="shared" si="711"/>
        <v>50895</v>
      </c>
      <c r="O916" s="67">
        <f>M916*J916</f>
        <v>463144.5</v>
      </c>
      <c r="P916" s="1124"/>
    </row>
    <row r="917" spans="2:16" x14ac:dyDescent="0.3">
      <c r="B917" s="1119"/>
      <c r="C917" s="1122"/>
      <c r="D917" s="61" t="s">
        <v>125</v>
      </c>
      <c r="E917" s="62">
        <v>0</v>
      </c>
      <c r="F917" s="63">
        <f t="shared" si="713"/>
        <v>0</v>
      </c>
      <c r="G917" s="63">
        <v>0</v>
      </c>
      <c r="H917" s="64">
        <v>0</v>
      </c>
      <c r="I917" s="79">
        <f t="shared" si="715"/>
        <v>0</v>
      </c>
      <c r="J917" s="4">
        <f t="shared" si="708"/>
        <v>0</v>
      </c>
      <c r="K917" s="4">
        <f t="shared" si="714"/>
        <v>0</v>
      </c>
      <c r="L917" s="65" t="e">
        <f t="shared" si="717"/>
        <v>#DIV/0!</v>
      </c>
      <c r="M917" s="152">
        <v>5.6550000000000002</v>
      </c>
      <c r="N917" s="67">
        <f t="shared" si="711"/>
        <v>0</v>
      </c>
      <c r="O917" s="67">
        <f>M917*J917</f>
        <v>0</v>
      </c>
      <c r="P917" s="1124"/>
    </row>
    <row r="918" spans="2:16" x14ac:dyDescent="0.3">
      <c r="B918" s="1119"/>
      <c r="C918" s="1122"/>
      <c r="D918" s="61" t="s">
        <v>128</v>
      </c>
      <c r="E918" s="62">
        <v>0</v>
      </c>
      <c r="F918" s="63">
        <f t="shared" si="713"/>
        <v>0</v>
      </c>
      <c r="G918" s="63">
        <v>0</v>
      </c>
      <c r="H918" s="64">
        <v>0</v>
      </c>
      <c r="I918" s="79">
        <f t="shared" si="715"/>
        <v>28324</v>
      </c>
      <c r="J918" s="4">
        <f t="shared" si="708"/>
        <v>26710</v>
      </c>
      <c r="K918" s="4">
        <f t="shared" si="714"/>
        <v>1614</v>
      </c>
      <c r="L918" s="65" t="e">
        <f t="shared" si="717"/>
        <v>#DIV/0!</v>
      </c>
      <c r="M918" s="66">
        <v>5.7885299999999997</v>
      </c>
      <c r="N918" s="67">
        <f>+M918*G918</f>
        <v>0</v>
      </c>
      <c r="O918" s="67">
        <f>M918*J918</f>
        <v>154611.63629999998</v>
      </c>
      <c r="P918" s="1124"/>
    </row>
    <row r="919" spans="2:16" x14ac:dyDescent="0.3">
      <c r="B919" s="1119"/>
      <c r="C919" s="1122"/>
      <c r="D919" s="61" t="s">
        <v>143</v>
      </c>
      <c r="E919" s="62">
        <v>0</v>
      </c>
      <c r="F919" s="63">
        <f t="shared" si="713"/>
        <v>0</v>
      </c>
      <c r="G919" s="63">
        <v>0</v>
      </c>
      <c r="H919" s="64">
        <v>0</v>
      </c>
      <c r="I919" s="79">
        <f t="shared" si="715"/>
        <v>0</v>
      </c>
      <c r="J919" s="4">
        <f t="shared" si="708"/>
        <v>0</v>
      </c>
      <c r="K919" s="4">
        <f t="shared" si="714"/>
        <v>0</v>
      </c>
      <c r="L919" s="65" t="e">
        <f t="shared" si="717"/>
        <v>#DIV/0!</v>
      </c>
      <c r="M919" s="152">
        <v>5.6550000000000002</v>
      </c>
      <c r="N919" s="67">
        <f t="shared" ref="N919:N921" si="718">+M919*G919</f>
        <v>0</v>
      </c>
      <c r="O919" s="67">
        <f t="shared" ref="O919:O922" si="719">M919*J919</f>
        <v>0</v>
      </c>
      <c r="P919" s="1124"/>
    </row>
    <row r="920" spans="2:16" x14ac:dyDescent="0.3">
      <c r="B920" s="1119"/>
      <c r="C920" s="208" t="s">
        <v>89</v>
      </c>
      <c r="D920" s="61" t="s">
        <v>80</v>
      </c>
      <c r="E920" s="62">
        <v>0</v>
      </c>
      <c r="F920" s="63">
        <f t="shared" si="713"/>
        <v>0</v>
      </c>
      <c r="G920" s="63">
        <v>0</v>
      </c>
      <c r="H920" s="64">
        <v>0</v>
      </c>
      <c r="I920" s="79">
        <f t="shared" si="715"/>
        <v>0</v>
      </c>
      <c r="J920" s="4">
        <f t="shared" si="708"/>
        <v>0</v>
      </c>
      <c r="K920" s="4">
        <f t="shared" si="714"/>
        <v>0</v>
      </c>
      <c r="L920" s="65" t="e">
        <f t="shared" si="717"/>
        <v>#DIV/0!</v>
      </c>
      <c r="M920" s="66">
        <v>3.2963</v>
      </c>
      <c r="N920" s="67">
        <f t="shared" si="718"/>
        <v>0</v>
      </c>
      <c r="O920" s="67">
        <f t="shared" si="719"/>
        <v>0</v>
      </c>
      <c r="P920" s="1124"/>
    </row>
    <row r="921" spans="2:16" x14ac:dyDescent="0.3">
      <c r="B921" s="1119"/>
      <c r="C921" s="208" t="s">
        <v>90</v>
      </c>
      <c r="D921" s="61" t="s">
        <v>80</v>
      </c>
      <c r="E921" s="62">
        <v>0</v>
      </c>
      <c r="F921" s="63">
        <f t="shared" si="713"/>
        <v>0</v>
      </c>
      <c r="G921" s="63">
        <v>0</v>
      </c>
      <c r="H921" s="64">
        <v>0</v>
      </c>
      <c r="I921" s="79">
        <f t="shared" si="715"/>
        <v>0</v>
      </c>
      <c r="J921" s="4">
        <f t="shared" si="708"/>
        <v>0</v>
      </c>
      <c r="K921" s="4">
        <f t="shared" si="714"/>
        <v>0</v>
      </c>
      <c r="L921" s="65" t="e">
        <f t="shared" si="717"/>
        <v>#DIV/0!</v>
      </c>
      <c r="M921" s="66">
        <v>3.2963</v>
      </c>
      <c r="N921" s="67">
        <f t="shared" si="718"/>
        <v>0</v>
      </c>
      <c r="O921" s="67">
        <f t="shared" si="719"/>
        <v>0</v>
      </c>
      <c r="P921" s="1124"/>
    </row>
    <row r="922" spans="2:16" ht="15" thickBot="1" x14ac:dyDescent="0.35">
      <c r="B922" s="1119"/>
      <c r="C922" s="68" t="s">
        <v>91</v>
      </c>
      <c r="D922" s="69" t="s">
        <v>92</v>
      </c>
      <c r="E922" s="70">
        <v>0</v>
      </c>
      <c r="F922" s="71">
        <f t="shared" si="713"/>
        <v>0</v>
      </c>
      <c r="G922" s="71">
        <v>0</v>
      </c>
      <c r="H922" s="72">
        <v>0</v>
      </c>
      <c r="I922" s="80">
        <f t="shared" si="715"/>
        <v>65030</v>
      </c>
      <c r="J922" s="4">
        <f t="shared" si="708"/>
        <v>65000</v>
      </c>
      <c r="K922" s="4">
        <f t="shared" si="714"/>
        <v>30</v>
      </c>
      <c r="L922" s="65" t="e">
        <f t="shared" si="717"/>
        <v>#DIV/0!</v>
      </c>
      <c r="M922" s="73">
        <v>2.3201000000000001</v>
      </c>
      <c r="N922" s="74">
        <f t="shared" ref="N922" si="720">M922*G922</f>
        <v>0</v>
      </c>
      <c r="O922" s="74">
        <f t="shared" si="719"/>
        <v>150806.5</v>
      </c>
      <c r="P922" s="1125"/>
    </row>
    <row r="923" spans="2:16" ht="15" thickBot="1" x14ac:dyDescent="0.35">
      <c r="B923" s="1120"/>
      <c r="C923" s="1128" t="s">
        <v>106</v>
      </c>
      <c r="D923" s="1129"/>
      <c r="E923" s="1129"/>
      <c r="F923" s="1129"/>
      <c r="G923" s="1129"/>
      <c r="H923" s="1130"/>
      <c r="I923" s="116">
        <f>J923+K923</f>
        <v>985205</v>
      </c>
      <c r="J923" s="115">
        <f>SUM(J895:J922)</f>
        <v>957505</v>
      </c>
      <c r="K923" s="115">
        <f>SUM(K895:K922)</f>
        <v>27700</v>
      </c>
      <c r="L923" s="114"/>
      <c r="M923" s="113"/>
      <c r="N923" s="114"/>
      <c r="O923" s="97">
        <f>SUM(O895:O922)</f>
        <v>8798940.0693000015</v>
      </c>
      <c r="P923" s="96"/>
    </row>
    <row r="924" spans="2:16" ht="15" thickBot="1" x14ac:dyDescent="0.35">
      <c r="B924" s="100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2"/>
    </row>
    <row r="925" spans="2:16" ht="15" thickBot="1" x14ac:dyDescent="0.35">
      <c r="B925" s="1113" t="s">
        <v>107</v>
      </c>
      <c r="C925" s="1114"/>
      <c r="D925" s="1114"/>
      <c r="E925" s="1114"/>
      <c r="F925" s="1114"/>
      <c r="G925" s="1114"/>
      <c r="H925" s="1114"/>
      <c r="I925" s="1114"/>
      <c r="J925" s="1114"/>
      <c r="K925" s="1114"/>
      <c r="L925" s="1114"/>
      <c r="M925" s="1114"/>
      <c r="N925" s="1115"/>
      <c r="O925" s="103">
        <f>+O923+O894+O879</f>
        <v>19359763.7313</v>
      </c>
      <c r="P925" s="96"/>
    </row>
    <row r="926" spans="2:16" ht="15" thickBot="1" x14ac:dyDescent="0.35"/>
    <row r="927" spans="2:16" x14ac:dyDescent="0.3">
      <c r="B927" s="1147" t="s">
        <v>1</v>
      </c>
      <c r="C927" s="1149" t="s">
        <v>2</v>
      </c>
      <c r="D927" s="1152" t="s">
        <v>3</v>
      </c>
      <c r="E927" s="1155" t="s">
        <v>4</v>
      </c>
      <c r="F927" s="1156"/>
      <c r="G927" s="1156"/>
      <c r="H927" s="1156"/>
      <c r="I927" s="1156"/>
      <c r="J927" s="1156"/>
      <c r="K927" s="1156"/>
      <c r="L927" s="1157"/>
      <c r="M927" s="1158" t="s">
        <v>5</v>
      </c>
      <c r="N927" s="1159"/>
      <c r="O927" s="1160"/>
      <c r="P927" s="1152" t="s">
        <v>6</v>
      </c>
    </row>
    <row r="928" spans="2:16" x14ac:dyDescent="0.3">
      <c r="B928" s="1148"/>
      <c r="C928" s="1150"/>
      <c r="D928" s="1153"/>
      <c r="E928" s="1161" t="s">
        <v>7</v>
      </c>
      <c r="F928" s="1163" t="s">
        <v>162</v>
      </c>
      <c r="G928" s="1163"/>
      <c r="H928" s="1164"/>
      <c r="I928" s="1165" t="s">
        <v>8</v>
      </c>
      <c r="J928" s="1163"/>
      <c r="K928" s="1163"/>
      <c r="L928" s="1164" t="s">
        <v>9</v>
      </c>
      <c r="M928" s="1167" t="s">
        <v>10</v>
      </c>
      <c r="N928" s="1169" t="s">
        <v>11</v>
      </c>
      <c r="O928" s="1171" t="s">
        <v>12</v>
      </c>
      <c r="P928" s="1153"/>
    </row>
    <row r="929" spans="2:16" ht="15" thickBot="1" x14ac:dyDescent="0.35">
      <c r="B929" s="1148"/>
      <c r="C929" s="1151"/>
      <c r="D929" s="1154"/>
      <c r="E929" s="1162"/>
      <c r="F929" s="2" t="s">
        <v>13</v>
      </c>
      <c r="G929" s="2" t="s">
        <v>14</v>
      </c>
      <c r="H929" s="215" t="s">
        <v>15</v>
      </c>
      <c r="I929" s="142" t="s">
        <v>13</v>
      </c>
      <c r="J929" s="2" t="s">
        <v>14</v>
      </c>
      <c r="K929" s="2" t="s">
        <v>15</v>
      </c>
      <c r="L929" s="1166"/>
      <c r="M929" s="1168"/>
      <c r="N929" s="1170"/>
      <c r="O929" s="1172"/>
      <c r="P929" s="1154"/>
    </row>
    <row r="930" spans="2:16" x14ac:dyDescent="0.3">
      <c r="B930" s="1131" t="s">
        <v>56</v>
      </c>
      <c r="C930" s="29"/>
      <c r="D930" s="117" t="s">
        <v>151</v>
      </c>
      <c r="E930" s="98">
        <v>0</v>
      </c>
      <c r="F930" s="4">
        <f>+G930+H930</f>
        <v>62640</v>
      </c>
      <c r="G930" s="4">
        <v>61320</v>
      </c>
      <c r="H930" s="8">
        <v>1320</v>
      </c>
      <c r="I930" s="6">
        <f>J930+K930</f>
        <v>438846</v>
      </c>
      <c r="J930" s="4">
        <f>G930+J865</f>
        <v>430920</v>
      </c>
      <c r="K930" s="4">
        <f>H930+K865</f>
        <v>7926</v>
      </c>
      <c r="L930" s="33" t="e">
        <f>+J930/E930</f>
        <v>#DIV/0!</v>
      </c>
      <c r="M930" s="104">
        <v>1.3652</v>
      </c>
      <c r="N930" s="31">
        <f>G930*M930</f>
        <v>83714.063999999998</v>
      </c>
      <c r="O930" s="86">
        <f>M930*J930</f>
        <v>588291.98399999994</v>
      </c>
      <c r="P930" s="1133"/>
    </row>
    <row r="931" spans="2:16" x14ac:dyDescent="0.3">
      <c r="B931" s="1132"/>
      <c r="C931" s="32"/>
      <c r="D931" s="118" t="s">
        <v>116</v>
      </c>
      <c r="E931" s="99">
        <v>0</v>
      </c>
      <c r="F931" s="9">
        <f>+G931+H931</f>
        <v>0</v>
      </c>
      <c r="G931" s="9">
        <v>0</v>
      </c>
      <c r="H931" s="10">
        <v>0</v>
      </c>
      <c r="I931" s="6">
        <f>J931+K931</f>
        <v>0</v>
      </c>
      <c r="J931" s="4">
        <f>+G931+J866</f>
        <v>0</v>
      </c>
      <c r="K931" s="4">
        <f>+H931+K866</f>
        <v>0</v>
      </c>
      <c r="L931" s="33"/>
      <c r="M931" s="105">
        <v>5.9917999999999996</v>
      </c>
      <c r="N931" s="34">
        <f>M931*G931</f>
        <v>0</v>
      </c>
      <c r="O931" s="87">
        <f>M931*J931</f>
        <v>0</v>
      </c>
      <c r="P931" s="1134"/>
    </row>
    <row r="932" spans="2:16" x14ac:dyDescent="0.3">
      <c r="B932" s="1132"/>
      <c r="C932" s="35"/>
      <c r="D932" s="119" t="s">
        <v>58</v>
      </c>
      <c r="E932" s="99">
        <v>0</v>
      </c>
      <c r="F932" s="9">
        <f t="shared" ref="F932:F936" si="721">+G932+H932</f>
        <v>173656</v>
      </c>
      <c r="G932" s="9">
        <v>172500</v>
      </c>
      <c r="H932" s="10">
        <v>1156</v>
      </c>
      <c r="I932" s="6">
        <f t="shared" ref="I932:I936" si="722">J932+K932</f>
        <v>2841551</v>
      </c>
      <c r="J932" s="4">
        <f t="shared" ref="J932:J936" si="723">+G932+J867</f>
        <v>2820750</v>
      </c>
      <c r="K932" s="4">
        <f t="shared" ref="K932:K936" si="724">+H932+K867</f>
        <v>20801</v>
      </c>
      <c r="L932" s="33" t="e">
        <f t="shared" ref="L932" si="725">+J932/E932</f>
        <v>#DIV/0!</v>
      </c>
      <c r="M932" s="106">
        <v>2.3807999999999998</v>
      </c>
      <c r="N932" s="36">
        <f>G932*M932</f>
        <v>410687.99999999994</v>
      </c>
      <c r="O932" s="88">
        <f>M932*J932</f>
        <v>6715641.5999999996</v>
      </c>
      <c r="P932" s="1134"/>
    </row>
    <row r="933" spans="2:16" x14ac:dyDescent="0.3">
      <c r="B933" s="1132"/>
      <c r="C933" s="35"/>
      <c r="D933" s="119" t="s">
        <v>59</v>
      </c>
      <c r="E933" s="99">
        <v>0</v>
      </c>
      <c r="F933" s="9">
        <f t="shared" si="721"/>
        <v>0</v>
      </c>
      <c r="G933" s="9">
        <v>0</v>
      </c>
      <c r="H933" s="10">
        <v>0</v>
      </c>
      <c r="I933" s="6">
        <f t="shared" si="722"/>
        <v>0</v>
      </c>
      <c r="J933" s="4">
        <f t="shared" si="723"/>
        <v>0</v>
      </c>
      <c r="K933" s="4">
        <f t="shared" si="724"/>
        <v>0</v>
      </c>
      <c r="L933" s="33"/>
      <c r="M933" s="106">
        <v>2.1457999999999999</v>
      </c>
      <c r="N933" s="36">
        <f t="shared" ref="N933:N936" si="726">G933*M933</f>
        <v>0</v>
      </c>
      <c r="O933" s="88">
        <f>M933*J933</f>
        <v>0</v>
      </c>
      <c r="P933" s="1134"/>
    </row>
    <row r="934" spans="2:16" x14ac:dyDescent="0.3">
      <c r="B934" s="1132"/>
      <c r="C934" s="35"/>
      <c r="D934" s="119" t="s">
        <v>113</v>
      </c>
      <c r="E934" s="99">
        <v>0</v>
      </c>
      <c r="F934" s="9">
        <f t="shared" si="721"/>
        <v>0</v>
      </c>
      <c r="G934" s="9">
        <v>0</v>
      </c>
      <c r="H934" s="10">
        <v>0</v>
      </c>
      <c r="I934" s="6">
        <f t="shared" si="722"/>
        <v>53280</v>
      </c>
      <c r="J934" s="4">
        <f t="shared" si="723"/>
        <v>42000</v>
      </c>
      <c r="K934" s="4">
        <f t="shared" si="724"/>
        <v>11280</v>
      </c>
      <c r="L934" s="33" t="e">
        <f t="shared" ref="L934:L935" si="727">+J934/E934</f>
        <v>#DIV/0!</v>
      </c>
      <c r="M934" s="143">
        <v>4.0426000000000002</v>
      </c>
      <c r="N934" s="36">
        <f t="shared" si="726"/>
        <v>0</v>
      </c>
      <c r="O934" s="88">
        <f>M934*J934</f>
        <v>169789.2</v>
      </c>
      <c r="P934" s="1134"/>
    </row>
    <row r="935" spans="2:16" x14ac:dyDescent="0.3">
      <c r="B935" s="1132"/>
      <c r="C935" s="35"/>
      <c r="D935" s="119" t="s">
        <v>117</v>
      </c>
      <c r="E935" s="99">
        <v>0</v>
      </c>
      <c r="F935" s="9">
        <f t="shared" si="721"/>
        <v>0</v>
      </c>
      <c r="G935" s="9">
        <v>0</v>
      </c>
      <c r="H935" s="10">
        <v>0</v>
      </c>
      <c r="I935" s="6">
        <f t="shared" si="722"/>
        <v>0</v>
      </c>
      <c r="J935" s="4">
        <f t="shared" si="723"/>
        <v>0</v>
      </c>
      <c r="K935" s="4">
        <f t="shared" si="724"/>
        <v>0</v>
      </c>
      <c r="L935" s="33" t="e">
        <f t="shared" si="727"/>
        <v>#DIV/0!</v>
      </c>
      <c r="M935" s="143">
        <v>3.8715000000000002</v>
      </c>
      <c r="N935" s="36">
        <f t="shared" si="726"/>
        <v>0</v>
      </c>
      <c r="O935" s="88">
        <f t="shared" ref="O935:O936" si="728">M935*J935</f>
        <v>0</v>
      </c>
      <c r="P935" s="1134"/>
    </row>
    <row r="936" spans="2:16" ht="15" thickBot="1" x14ac:dyDescent="0.35">
      <c r="B936" s="1132"/>
      <c r="C936" s="82"/>
      <c r="D936" s="120" t="s">
        <v>60</v>
      </c>
      <c r="E936" s="108">
        <v>0</v>
      </c>
      <c r="F936" s="12">
        <f t="shared" si="721"/>
        <v>0</v>
      </c>
      <c r="G936" s="12">
        <v>0</v>
      </c>
      <c r="H936" s="13">
        <v>0</v>
      </c>
      <c r="I936" s="21">
        <f t="shared" si="722"/>
        <v>0</v>
      </c>
      <c r="J936" s="4">
        <f t="shared" si="723"/>
        <v>0</v>
      </c>
      <c r="K936" s="4">
        <f t="shared" si="724"/>
        <v>0</v>
      </c>
      <c r="L936" s="81"/>
      <c r="M936" s="127">
        <v>12.284700000000001</v>
      </c>
      <c r="N936" s="36">
        <f t="shared" si="726"/>
        <v>0</v>
      </c>
      <c r="O936" s="128">
        <f t="shared" si="728"/>
        <v>0</v>
      </c>
      <c r="P936" s="1134"/>
    </row>
    <row r="937" spans="2:16" ht="15" thickBot="1" x14ac:dyDescent="0.35">
      <c r="B937" s="1132"/>
      <c r="C937" s="1137" t="s">
        <v>111</v>
      </c>
      <c r="D937" s="1138"/>
      <c r="E937" s="129"/>
      <c r="F937" s="130">
        <f>SUM(F930:F936)</f>
        <v>236296</v>
      </c>
      <c r="G937" s="130">
        <f>SUM(G930:G936)</f>
        <v>233820</v>
      </c>
      <c r="H937" s="131">
        <f>SUM(H930:H936)</f>
        <v>2476</v>
      </c>
      <c r="I937" s="132">
        <f>+J937+K937</f>
        <v>3333677</v>
      </c>
      <c r="J937" s="133">
        <f>SUM(J930:J936)</f>
        <v>3293670</v>
      </c>
      <c r="K937" s="133">
        <f>SUM(K930:K936)</f>
        <v>40007</v>
      </c>
      <c r="L937" s="134"/>
      <c r="M937" s="135"/>
      <c r="N937" s="136"/>
      <c r="O937" s="137">
        <f>SUM(O930:O936)</f>
        <v>7473722.784</v>
      </c>
      <c r="P937" s="1135"/>
    </row>
    <row r="938" spans="2:16" x14ac:dyDescent="0.3">
      <c r="B938" s="1132"/>
      <c r="C938" s="32"/>
      <c r="D938" s="118" t="s">
        <v>61</v>
      </c>
      <c r="E938" s="98">
        <v>0</v>
      </c>
      <c r="F938" s="4">
        <f t="shared" ref="F938:F941" si="729">+G938+H938</f>
        <v>0</v>
      </c>
      <c r="G938" s="4">
        <v>0</v>
      </c>
      <c r="H938" s="8">
        <v>0</v>
      </c>
      <c r="I938" s="6">
        <f t="shared" ref="I938:I942" si="730">J938+K938</f>
        <v>0</v>
      </c>
      <c r="J938" s="4">
        <f>G938+J873</f>
        <v>0</v>
      </c>
      <c r="K938" s="4">
        <f>H938+K873</f>
        <v>0</v>
      </c>
      <c r="L938" s="33" t="e">
        <f t="shared" ref="L938" si="731">+J938/E938</f>
        <v>#DIV/0!</v>
      </c>
      <c r="M938" s="105">
        <v>12.029500000000001</v>
      </c>
      <c r="N938" s="34">
        <f>M938*G938</f>
        <v>0</v>
      </c>
      <c r="O938" s="87">
        <f t="shared" ref="O938:O940" si="732">M938*J938</f>
        <v>0</v>
      </c>
      <c r="P938" s="1134"/>
    </row>
    <row r="939" spans="2:16" x14ac:dyDescent="0.3">
      <c r="B939" s="1132"/>
      <c r="C939" s="35"/>
      <c r="D939" s="119" t="s">
        <v>62</v>
      </c>
      <c r="E939" s="99">
        <v>0</v>
      </c>
      <c r="F939" s="9">
        <f t="shared" si="729"/>
        <v>0</v>
      </c>
      <c r="G939" s="9">
        <v>0</v>
      </c>
      <c r="H939" s="10">
        <v>0</v>
      </c>
      <c r="I939" s="6">
        <f t="shared" si="730"/>
        <v>0</v>
      </c>
      <c r="J939" s="4">
        <f>G939+J874</f>
        <v>0</v>
      </c>
      <c r="K939" s="4">
        <f>H939+K874</f>
        <v>0</v>
      </c>
      <c r="L939" s="33"/>
      <c r="M939" s="106">
        <v>0</v>
      </c>
      <c r="N939" s="36"/>
      <c r="O939" s="88">
        <f t="shared" si="732"/>
        <v>0</v>
      </c>
      <c r="P939" s="1134"/>
    </row>
    <row r="940" spans="2:16" x14ac:dyDescent="0.3">
      <c r="B940" s="1132"/>
      <c r="C940" s="35"/>
      <c r="D940" s="119" t="s">
        <v>104</v>
      </c>
      <c r="E940" s="99">
        <v>0</v>
      </c>
      <c r="F940" s="9">
        <f t="shared" si="729"/>
        <v>0</v>
      </c>
      <c r="G940" s="9">
        <v>0</v>
      </c>
      <c r="H940" s="10">
        <v>0</v>
      </c>
      <c r="I940" s="6">
        <f t="shared" si="730"/>
        <v>0</v>
      </c>
      <c r="J940" s="4">
        <f t="shared" ref="J940:J942" si="733">G940+J875</f>
        <v>0</v>
      </c>
      <c r="K940" s="4">
        <f t="shared" ref="K940:K942" si="734">H940+K875</f>
        <v>0</v>
      </c>
      <c r="L940" s="33" t="e">
        <f t="shared" ref="L940:L942" si="735">+J940/E940</f>
        <v>#DIV/0!</v>
      </c>
      <c r="M940" s="106">
        <v>19.688600000000001</v>
      </c>
      <c r="N940" s="36">
        <f>M940*G940</f>
        <v>0</v>
      </c>
      <c r="O940" s="88">
        <f t="shared" si="732"/>
        <v>0</v>
      </c>
      <c r="P940" s="1134"/>
    </row>
    <row r="941" spans="2:16" x14ac:dyDescent="0.3">
      <c r="B941" s="1132"/>
      <c r="C941" s="35"/>
      <c r="D941" s="119" t="s">
        <v>64</v>
      </c>
      <c r="E941" s="99">
        <v>0</v>
      </c>
      <c r="F941" s="9">
        <f t="shared" si="729"/>
        <v>0</v>
      </c>
      <c r="G941" s="9">
        <v>0</v>
      </c>
      <c r="H941" s="10">
        <v>0</v>
      </c>
      <c r="I941" s="6">
        <f t="shared" si="730"/>
        <v>60000</v>
      </c>
      <c r="J941" s="4">
        <f t="shared" si="733"/>
        <v>60000</v>
      </c>
      <c r="K941" s="4">
        <f t="shared" si="734"/>
        <v>0</v>
      </c>
      <c r="L941" s="33" t="e">
        <f t="shared" si="735"/>
        <v>#DIV/0!</v>
      </c>
      <c r="M941" s="106">
        <v>1.2824</v>
      </c>
      <c r="N941" s="151">
        <f>M941*G941</f>
        <v>0</v>
      </c>
      <c r="O941" s="88">
        <f>M941*J941</f>
        <v>76944</v>
      </c>
      <c r="P941" s="1134"/>
    </row>
    <row r="942" spans="2:16" ht="15" thickBot="1" x14ac:dyDescent="0.35">
      <c r="B942" s="1132"/>
      <c r="C942" s="82"/>
      <c r="D942" s="120" t="s">
        <v>63</v>
      </c>
      <c r="E942" s="108">
        <v>0</v>
      </c>
      <c r="F942" s="12">
        <v>0</v>
      </c>
      <c r="G942" s="12">
        <v>12960</v>
      </c>
      <c r="H942" s="13">
        <v>214</v>
      </c>
      <c r="I942" s="21">
        <f t="shared" si="730"/>
        <v>83142</v>
      </c>
      <c r="J942" s="4">
        <f t="shared" si="733"/>
        <v>82080</v>
      </c>
      <c r="K942" s="4">
        <f t="shared" si="734"/>
        <v>1062</v>
      </c>
      <c r="L942" s="81" t="e">
        <f t="shared" si="735"/>
        <v>#DIV/0!</v>
      </c>
      <c r="M942" s="107">
        <v>18.2316</v>
      </c>
      <c r="N942" s="75"/>
      <c r="O942" s="89">
        <f t="shared" ref="O942" si="736">M942*J942</f>
        <v>1496449.7280000001</v>
      </c>
      <c r="P942" s="1136"/>
    </row>
    <row r="943" spans="2:16" ht="15" thickBot="1" x14ac:dyDescent="0.35">
      <c r="B943" s="1116" t="s">
        <v>112</v>
      </c>
      <c r="C943" s="1117"/>
      <c r="D943" s="1117"/>
      <c r="E943" s="124"/>
      <c r="F943" s="125">
        <f>+G943+H943</f>
        <v>13174</v>
      </c>
      <c r="G943" s="125">
        <f>SUM(G938:G942)</f>
        <v>12960</v>
      </c>
      <c r="H943" s="126">
        <f>SUM(H938:H942)</f>
        <v>214</v>
      </c>
      <c r="I943" s="121">
        <f>J943+K943</f>
        <v>143142</v>
      </c>
      <c r="J943" s="122">
        <f>SUM(J938:J942)</f>
        <v>142080</v>
      </c>
      <c r="K943" s="123">
        <f>SUM(K938:K942)</f>
        <v>1062</v>
      </c>
      <c r="L943" s="138"/>
      <c r="M943" s="139"/>
      <c r="N943" s="140"/>
      <c r="O943" s="141">
        <f>SUM(O938:O942)</f>
        <v>1573393.7280000001</v>
      </c>
      <c r="P943" s="213"/>
    </row>
    <row r="944" spans="2:16" ht="15" thickBot="1" x14ac:dyDescent="0.35">
      <c r="B944" s="1116" t="s">
        <v>105</v>
      </c>
      <c r="C944" s="1117"/>
      <c r="D944" s="1117"/>
      <c r="E944" s="1139"/>
      <c r="F944" s="1139"/>
      <c r="G944" s="1139"/>
      <c r="H944" s="1139"/>
      <c r="I944" s="1117"/>
      <c r="J944" s="1117"/>
      <c r="K944" s="1117"/>
      <c r="L944" s="1117"/>
      <c r="M944" s="1117"/>
      <c r="N944" s="1140"/>
      <c r="O944" s="83">
        <f>O937+O943</f>
        <v>9047116.5120000001</v>
      </c>
      <c r="P944" s="213"/>
    </row>
    <row r="945" spans="2:16" x14ac:dyDescent="0.3">
      <c r="B945" s="1131" t="s">
        <v>65</v>
      </c>
      <c r="C945" s="37" t="s">
        <v>66</v>
      </c>
      <c r="D945" s="28" t="s">
        <v>67</v>
      </c>
      <c r="E945" s="38">
        <v>0</v>
      </c>
      <c r="F945" s="14">
        <f>+G945+H945</f>
        <v>0</v>
      </c>
      <c r="G945" s="14">
        <v>0</v>
      </c>
      <c r="H945" s="5">
        <v>0</v>
      </c>
      <c r="I945" s="17">
        <f t="shared" ref="I945:I951" si="737">J945+K945</f>
        <v>0</v>
      </c>
      <c r="J945" s="4">
        <f>G945+J880</f>
        <v>0</v>
      </c>
      <c r="K945" s="4">
        <f>H945+K880</f>
        <v>0</v>
      </c>
      <c r="L945" s="30" t="e">
        <f>+J945/E945</f>
        <v>#DIV/0!</v>
      </c>
      <c r="M945" s="146">
        <v>2.2141000000000002</v>
      </c>
      <c r="N945" s="15">
        <f>+M945*G945</f>
        <v>0</v>
      </c>
      <c r="O945" s="90">
        <f>+M945*J945</f>
        <v>0</v>
      </c>
      <c r="P945" s="1142"/>
    </row>
    <row r="946" spans="2:16" x14ac:dyDescent="0.3">
      <c r="B946" s="1132"/>
      <c r="C946" s="39"/>
      <c r="D946" s="22" t="s">
        <v>68</v>
      </c>
      <c r="E946" s="3">
        <v>0</v>
      </c>
      <c r="F946" s="9">
        <f t="shared" ref="F946:F951" si="738">+G946+H946</f>
        <v>0</v>
      </c>
      <c r="G946" s="4">
        <v>0</v>
      </c>
      <c r="H946" s="8">
        <v>0</v>
      </c>
      <c r="I946" s="6">
        <f t="shared" si="737"/>
        <v>0</v>
      </c>
      <c r="J946" s="4">
        <f>+G946+J881</f>
        <v>0</v>
      </c>
      <c r="K946" s="4">
        <f>+H946+K881</f>
        <v>0</v>
      </c>
      <c r="L946" s="40" t="e">
        <f t="shared" ref="L946:L947" si="739">+J946/E946</f>
        <v>#DIV/0!</v>
      </c>
      <c r="M946" s="145">
        <v>2.4565999999999999</v>
      </c>
      <c r="N946" s="11">
        <f t="shared" ref="N946:N948" si="740">+M946*G946</f>
        <v>0</v>
      </c>
      <c r="O946" s="91">
        <f t="shared" ref="O946:O948" si="741">+M946*J946</f>
        <v>0</v>
      </c>
      <c r="P946" s="1143"/>
    </row>
    <row r="947" spans="2:16" x14ac:dyDescent="0.3">
      <c r="B947" s="1132"/>
      <c r="C947" s="39"/>
      <c r="D947" s="23" t="s">
        <v>133</v>
      </c>
      <c r="E947" s="3">
        <v>0</v>
      </c>
      <c r="F947" s="9">
        <f t="shared" si="738"/>
        <v>0</v>
      </c>
      <c r="G947" s="4">
        <v>0</v>
      </c>
      <c r="H947" s="8">
        <v>0</v>
      </c>
      <c r="I947" s="6">
        <f t="shared" si="737"/>
        <v>0</v>
      </c>
      <c r="J947" s="4">
        <f t="shared" ref="J947:J948" si="742">+G947+J882</f>
        <v>0</v>
      </c>
      <c r="K947" s="4">
        <f t="shared" ref="K947:K951" si="743">+H947+K882</f>
        <v>0</v>
      </c>
      <c r="L947" s="40" t="e">
        <f t="shared" si="739"/>
        <v>#DIV/0!</v>
      </c>
      <c r="M947" s="145">
        <v>2.2907000000000002</v>
      </c>
      <c r="N947" s="11">
        <f t="shared" si="740"/>
        <v>0</v>
      </c>
      <c r="O947" s="91">
        <f t="shared" si="741"/>
        <v>0</v>
      </c>
      <c r="P947" s="1143"/>
    </row>
    <row r="948" spans="2:16" x14ac:dyDescent="0.3">
      <c r="B948" s="1132"/>
      <c r="C948" s="39"/>
      <c r="D948" s="22" t="s">
        <v>138</v>
      </c>
      <c r="E948" s="3"/>
      <c r="F948" s="9">
        <f t="shared" si="738"/>
        <v>0</v>
      </c>
      <c r="G948" s="4">
        <v>0</v>
      </c>
      <c r="H948" s="8">
        <v>0</v>
      </c>
      <c r="I948" s="6">
        <f t="shared" si="737"/>
        <v>0</v>
      </c>
      <c r="J948" s="4">
        <f t="shared" si="742"/>
        <v>0</v>
      </c>
      <c r="K948" s="4">
        <f t="shared" si="743"/>
        <v>0</v>
      </c>
      <c r="L948" s="33"/>
      <c r="M948" s="150">
        <v>2.544</v>
      </c>
      <c r="N948" s="11">
        <f t="shared" si="740"/>
        <v>0</v>
      </c>
      <c r="O948" s="91">
        <f t="shared" si="741"/>
        <v>0</v>
      </c>
      <c r="P948" s="1143"/>
    </row>
    <row r="949" spans="2:16" x14ac:dyDescent="0.3">
      <c r="B949" s="1132"/>
      <c r="C949" s="39" t="s">
        <v>69</v>
      </c>
      <c r="D949" s="22" t="s">
        <v>140</v>
      </c>
      <c r="E949" s="3">
        <v>0</v>
      </c>
      <c r="F949" s="9">
        <f t="shared" si="738"/>
        <v>0</v>
      </c>
      <c r="G949" s="4">
        <v>0</v>
      </c>
      <c r="H949" s="8">
        <v>0</v>
      </c>
      <c r="I949" s="6">
        <f t="shared" si="737"/>
        <v>567947</v>
      </c>
      <c r="J949" s="4">
        <f>+G949+J884</f>
        <v>552750</v>
      </c>
      <c r="K949" s="4">
        <f t="shared" si="743"/>
        <v>15197</v>
      </c>
      <c r="L949" s="33" t="e">
        <f>+J949/E949</f>
        <v>#DIV/0!</v>
      </c>
      <c r="M949" s="144">
        <v>2.2141000000000002</v>
      </c>
      <c r="N949" s="7">
        <f>+M949*G949</f>
        <v>0</v>
      </c>
      <c r="O949" s="85">
        <f>+M949*J949</f>
        <v>1223843.7750000001</v>
      </c>
      <c r="P949" s="1143"/>
    </row>
    <row r="950" spans="2:16" x14ac:dyDescent="0.3">
      <c r="B950" s="1132"/>
      <c r="C950" s="39"/>
      <c r="D950" s="22" t="s">
        <v>68</v>
      </c>
      <c r="E950" s="3">
        <v>0</v>
      </c>
      <c r="F950" s="9">
        <f t="shared" si="738"/>
        <v>0</v>
      </c>
      <c r="G950" s="4">
        <v>0</v>
      </c>
      <c r="H950" s="8">
        <v>0</v>
      </c>
      <c r="I950" s="6">
        <f t="shared" si="737"/>
        <v>0</v>
      </c>
      <c r="J950" s="4">
        <f t="shared" ref="J950:J951" si="744">+G950+J885</f>
        <v>0</v>
      </c>
      <c r="K950" s="4">
        <f t="shared" si="743"/>
        <v>0</v>
      </c>
      <c r="L950" s="40" t="e">
        <f t="shared" ref="L950:L951" si="745">+J950/E950</f>
        <v>#DIV/0!</v>
      </c>
      <c r="M950" s="145">
        <v>2.4565999999999999</v>
      </c>
      <c r="N950" s="11">
        <f t="shared" ref="N950:N951" si="746">+M950*G950</f>
        <v>0</v>
      </c>
      <c r="O950" s="91">
        <f t="shared" ref="O950" si="747">+M950*J950</f>
        <v>0</v>
      </c>
      <c r="P950" s="1143"/>
    </row>
    <row r="951" spans="2:16" ht="15" thickBot="1" x14ac:dyDescent="0.35">
      <c r="B951" s="1132"/>
      <c r="C951" s="39"/>
      <c r="D951" s="22" t="s">
        <v>133</v>
      </c>
      <c r="E951" s="3">
        <v>0</v>
      </c>
      <c r="F951" s="9">
        <f t="shared" si="738"/>
        <v>0</v>
      </c>
      <c r="G951" s="4">
        <v>0</v>
      </c>
      <c r="H951" s="8">
        <v>0</v>
      </c>
      <c r="I951" s="6">
        <f t="shared" si="737"/>
        <v>0</v>
      </c>
      <c r="J951" s="4">
        <f t="shared" si="744"/>
        <v>0</v>
      </c>
      <c r="K951" s="4">
        <f t="shared" si="743"/>
        <v>0</v>
      </c>
      <c r="L951" s="40" t="e">
        <f t="shared" si="745"/>
        <v>#DIV/0!</v>
      </c>
      <c r="M951" s="145">
        <v>2.2907000000000002</v>
      </c>
      <c r="N951" s="11">
        <f t="shared" si="746"/>
        <v>0</v>
      </c>
      <c r="O951" s="154">
        <f>+M951*J951</f>
        <v>0</v>
      </c>
      <c r="P951" s="1144"/>
    </row>
    <row r="952" spans="2:16" ht="15" thickBot="1" x14ac:dyDescent="0.35">
      <c r="B952" s="1132"/>
      <c r="C952" s="41" t="s">
        <v>29</v>
      </c>
      <c r="D952" s="27" t="str">
        <f>+C952</f>
        <v>TOTAL 1/2</v>
      </c>
      <c r="E952" s="42">
        <f>SUM(E945:E951)</f>
        <v>0</v>
      </c>
      <c r="F952" s="43">
        <f>SUM(F945:F951)</f>
        <v>0</v>
      </c>
      <c r="G952" s="43">
        <f>SUM(G945:G951)</f>
        <v>0</v>
      </c>
      <c r="H952" s="44">
        <f>SUM(H945:H951)</f>
        <v>0</v>
      </c>
      <c r="I952" s="45">
        <f>SUM(I949:I951)</f>
        <v>567947</v>
      </c>
      <c r="J952" s="43">
        <f>SUM(J945:J951)</f>
        <v>552750</v>
      </c>
      <c r="K952" s="43">
        <f>SUM(K945:K951)</f>
        <v>15197</v>
      </c>
      <c r="L952" s="46" t="e">
        <f>+J952/E952</f>
        <v>#DIV/0!</v>
      </c>
      <c r="M952" s="47"/>
      <c r="N952" s="48">
        <f>SUM(N949:N951)</f>
        <v>0</v>
      </c>
      <c r="O952" s="49">
        <f>SUM(O945:O951)</f>
        <v>1223843.7750000001</v>
      </c>
      <c r="P952" s="214"/>
    </row>
    <row r="953" spans="2:16" x14ac:dyDescent="0.3">
      <c r="B953" s="1132"/>
      <c r="C953" s="1145" t="s">
        <v>70</v>
      </c>
      <c r="D953" s="22" t="s">
        <v>67</v>
      </c>
      <c r="E953" s="3">
        <v>0</v>
      </c>
      <c r="F953" s="4">
        <f>G953+H953</f>
        <v>0</v>
      </c>
      <c r="G953" s="4">
        <v>0</v>
      </c>
      <c r="H953" s="8">
        <v>0</v>
      </c>
      <c r="I953" s="16">
        <f>J953+K953</f>
        <v>109220</v>
      </c>
      <c r="J953" s="4">
        <f>G953+J888</f>
        <v>105750</v>
      </c>
      <c r="K953" s="4">
        <f>H953+K888</f>
        <v>3470</v>
      </c>
      <c r="L953" s="50" t="e">
        <f>+J953/E953</f>
        <v>#DIV/0!</v>
      </c>
      <c r="M953" s="144">
        <v>4.1712999999999996</v>
      </c>
      <c r="N953" s="7">
        <f>+M953*G953</f>
        <v>0</v>
      </c>
      <c r="O953" s="93">
        <f>+M953*J953</f>
        <v>441114.97499999998</v>
      </c>
      <c r="P953" s="1142"/>
    </row>
    <row r="954" spans="2:16" x14ac:dyDescent="0.3">
      <c r="B954" s="1132"/>
      <c r="C954" s="1146"/>
      <c r="D954" s="22" t="s">
        <v>68</v>
      </c>
      <c r="E954" s="3">
        <v>0</v>
      </c>
      <c r="F954" s="4">
        <f>G954+H954</f>
        <v>27980</v>
      </c>
      <c r="G954" s="4">
        <v>26500</v>
      </c>
      <c r="H954" s="8">
        <v>1480</v>
      </c>
      <c r="I954" s="6">
        <f>+R1998+F954</f>
        <v>27980</v>
      </c>
      <c r="J954" s="4">
        <f>G954+J889</f>
        <v>146500</v>
      </c>
      <c r="K954" s="4">
        <f>H954+K889</f>
        <v>4710</v>
      </c>
      <c r="L954" s="51" t="e">
        <f t="shared" ref="L954:L958" si="748">+J954/E954</f>
        <v>#DIV/0!</v>
      </c>
      <c r="M954" s="145">
        <v>4.8285999999999998</v>
      </c>
      <c r="N954" s="11">
        <f t="shared" ref="N954:N956" si="749">+M954*G954</f>
        <v>127957.9</v>
      </c>
      <c r="O954" s="94">
        <f t="shared" ref="O954:O956" si="750">+M954*J954</f>
        <v>707389.9</v>
      </c>
      <c r="P954" s="1143"/>
    </row>
    <row r="955" spans="2:16" x14ac:dyDescent="0.3">
      <c r="B955" s="1132"/>
      <c r="C955" s="1146"/>
      <c r="D955" s="22" t="s">
        <v>134</v>
      </c>
      <c r="E955" s="3"/>
      <c r="F955" s="4">
        <f>G955+H955</f>
        <v>0</v>
      </c>
      <c r="G955" s="4">
        <v>0</v>
      </c>
      <c r="H955" s="8">
        <v>0</v>
      </c>
      <c r="I955" s="6">
        <f>+R1999+F955</f>
        <v>0</v>
      </c>
      <c r="J955" s="4">
        <f t="shared" ref="J955:J956" si="751">G955+J890</f>
        <v>0</v>
      </c>
      <c r="K955" s="4">
        <f t="shared" ref="K955:K956" si="752">H955+K890</f>
        <v>0</v>
      </c>
      <c r="L955" s="51" t="e">
        <f t="shared" si="748"/>
        <v>#DIV/0!</v>
      </c>
      <c r="M955" s="144">
        <v>4.5023</v>
      </c>
      <c r="N955" s="11">
        <f t="shared" si="749"/>
        <v>0</v>
      </c>
      <c r="O955" s="94">
        <f t="shared" si="750"/>
        <v>0</v>
      </c>
      <c r="P955" s="1143"/>
    </row>
    <row r="956" spans="2:16" ht="15" thickBot="1" x14ac:dyDescent="0.35">
      <c r="B956" s="1132"/>
      <c r="C956" s="1146"/>
      <c r="D956" s="22" t="s">
        <v>118</v>
      </c>
      <c r="E956" s="3">
        <v>0</v>
      </c>
      <c r="F956" s="4">
        <f t="shared" ref="F956" si="753">G956+H956</f>
        <v>0</v>
      </c>
      <c r="G956" s="4">
        <v>0</v>
      </c>
      <c r="H956" s="8">
        <v>0</v>
      </c>
      <c r="I956" s="6">
        <f>+R1999+F956</f>
        <v>0</v>
      </c>
      <c r="J956" s="4">
        <f t="shared" si="751"/>
        <v>0</v>
      </c>
      <c r="K956" s="4">
        <f t="shared" si="752"/>
        <v>0</v>
      </c>
      <c r="L956" s="51" t="e">
        <f t="shared" si="748"/>
        <v>#DIV/0!</v>
      </c>
      <c r="M956" s="144">
        <v>4.4065000000000003</v>
      </c>
      <c r="N956" s="11">
        <f t="shared" si="749"/>
        <v>0</v>
      </c>
      <c r="O956" s="94">
        <f t="shared" si="750"/>
        <v>0</v>
      </c>
      <c r="P956" s="1143"/>
    </row>
    <row r="957" spans="2:16" ht="15" thickBot="1" x14ac:dyDescent="0.35">
      <c r="B957" s="1132"/>
      <c r="C957" s="41" t="s">
        <v>31</v>
      </c>
      <c r="D957" s="18" t="str">
        <f>+C957</f>
        <v>TOTAL 4/4</v>
      </c>
      <c r="E957" s="42">
        <f t="shared" ref="E957:K957" si="754">SUM(E953:E956)</f>
        <v>0</v>
      </c>
      <c r="F957" s="43">
        <f t="shared" si="754"/>
        <v>27980</v>
      </c>
      <c r="G957" s="43">
        <f t="shared" si="754"/>
        <v>26500</v>
      </c>
      <c r="H957" s="44">
        <f t="shared" si="754"/>
        <v>1480</v>
      </c>
      <c r="I957" s="45">
        <f t="shared" si="754"/>
        <v>137200</v>
      </c>
      <c r="J957" s="43">
        <f t="shared" si="754"/>
        <v>252250</v>
      </c>
      <c r="K957" s="43">
        <f t="shared" si="754"/>
        <v>8180</v>
      </c>
      <c r="L957" s="46" t="e">
        <f t="shared" si="748"/>
        <v>#DIV/0!</v>
      </c>
      <c r="M957" s="47"/>
      <c r="N957" s="48">
        <f>SUM(N953:N956)</f>
        <v>127957.9</v>
      </c>
      <c r="O957" s="92">
        <f>SUM(O953:O956)</f>
        <v>1148504.875</v>
      </c>
      <c r="P957" s="1144"/>
    </row>
    <row r="958" spans="2:16" ht="15" thickBot="1" x14ac:dyDescent="0.35">
      <c r="B958" s="1141"/>
      <c r="C958" s="41" t="s">
        <v>71</v>
      </c>
      <c r="D958" s="27" t="s">
        <v>67</v>
      </c>
      <c r="E958" s="25">
        <v>0</v>
      </c>
      <c r="F958" s="20">
        <f>G958+H958</f>
        <v>0</v>
      </c>
      <c r="G958" s="20">
        <v>0</v>
      </c>
      <c r="H958" s="24">
        <v>0</v>
      </c>
      <c r="I958" s="19">
        <f>J958+K958</f>
        <v>0</v>
      </c>
      <c r="J958" s="4">
        <f>G958+J893</f>
        <v>0</v>
      </c>
      <c r="K958" s="4">
        <f>H958+K893</f>
        <v>0</v>
      </c>
      <c r="L958" s="52" t="e">
        <f t="shared" si="748"/>
        <v>#DIV/0!</v>
      </c>
      <c r="M958" s="149">
        <v>1.4086000000000001</v>
      </c>
      <c r="N958" s="26">
        <f t="shared" ref="N958" si="755">+M958*G958</f>
        <v>0</v>
      </c>
      <c r="O958" s="95">
        <f t="shared" ref="O958" si="756">+M958*J958</f>
        <v>0</v>
      </c>
      <c r="P958" s="53"/>
    </row>
    <row r="959" spans="2:16" ht="15" thickBot="1" x14ac:dyDescent="0.35">
      <c r="B959" s="1116" t="s">
        <v>102</v>
      </c>
      <c r="C959" s="1117"/>
      <c r="D959" s="1117"/>
      <c r="E959" s="1117"/>
      <c r="F959" s="1117"/>
      <c r="G959" s="1117"/>
      <c r="H959" s="1117"/>
      <c r="I959" s="110">
        <f>J959+K959</f>
        <v>828377</v>
      </c>
      <c r="J959" s="110">
        <f>J952+J957+J958</f>
        <v>805000</v>
      </c>
      <c r="K959" s="110">
        <f>K952+K957+K958</f>
        <v>23377</v>
      </c>
      <c r="L959" s="111"/>
      <c r="M959" s="112"/>
      <c r="N959" s="109"/>
      <c r="O959" s="77">
        <f>+O958+O957+O952</f>
        <v>2372348.6500000004</v>
      </c>
      <c r="P959" s="84"/>
    </row>
    <row r="960" spans="2:16" x14ac:dyDescent="0.3">
      <c r="B960" s="1118" t="s">
        <v>72</v>
      </c>
      <c r="C960" s="1121" t="s">
        <v>73</v>
      </c>
      <c r="D960" s="54" t="s">
        <v>74</v>
      </c>
      <c r="E960" s="55">
        <v>0</v>
      </c>
      <c r="F960" s="56">
        <f>G960+H960</f>
        <v>6689</v>
      </c>
      <c r="G960" s="56">
        <v>6600</v>
      </c>
      <c r="H960" s="57">
        <v>89</v>
      </c>
      <c r="I960" s="78">
        <f>J960+K960</f>
        <v>36953</v>
      </c>
      <c r="J960" s="4">
        <f>G960+J895</f>
        <v>36600</v>
      </c>
      <c r="K960" s="4">
        <f>H960+K895</f>
        <v>353</v>
      </c>
      <c r="L960" s="58" t="e">
        <f t="shared" ref="L960" si="757">+J960/E960</f>
        <v>#DIV/0!</v>
      </c>
      <c r="M960" s="59">
        <v>32.946300000000001</v>
      </c>
      <c r="N960" s="60">
        <f>+M960*G960</f>
        <v>217445.58000000002</v>
      </c>
      <c r="O960" s="60">
        <f>M960*J960</f>
        <v>1205834.58</v>
      </c>
      <c r="P960" s="1123"/>
    </row>
    <row r="961" spans="2:16" x14ac:dyDescent="0.3">
      <c r="B961" s="1119"/>
      <c r="C961" s="1122"/>
      <c r="D961" s="61" t="s">
        <v>75</v>
      </c>
      <c r="E961" s="62">
        <v>0</v>
      </c>
      <c r="F961" s="63">
        <f>G961+H961</f>
        <v>0</v>
      </c>
      <c r="G961" s="63">
        <v>0</v>
      </c>
      <c r="H961" s="64">
        <v>0</v>
      </c>
      <c r="I961" s="79">
        <f>J961+K961</f>
        <v>31833</v>
      </c>
      <c r="J961" s="4">
        <f>G961+J896</f>
        <v>31420</v>
      </c>
      <c r="K961" s="4">
        <f>H961+K896</f>
        <v>413</v>
      </c>
      <c r="L961" s="65" t="e">
        <f>+J961/E961</f>
        <v>#DIV/0!</v>
      </c>
      <c r="M961" s="66">
        <v>35.398400000000002</v>
      </c>
      <c r="N961" s="67">
        <f>+M961*G961</f>
        <v>0</v>
      </c>
      <c r="O961" s="67">
        <f>M961*J961</f>
        <v>1112217.7280000001</v>
      </c>
      <c r="P961" s="1124"/>
    </row>
    <row r="962" spans="2:16" x14ac:dyDescent="0.3">
      <c r="B962" s="1119"/>
      <c r="C962" s="1122"/>
      <c r="D962" s="61" t="s">
        <v>76</v>
      </c>
      <c r="E962" s="62">
        <v>0</v>
      </c>
      <c r="F962" s="63">
        <f t="shared" ref="F962:F965" si="758">G962+H962</f>
        <v>0</v>
      </c>
      <c r="G962" s="63">
        <v>0</v>
      </c>
      <c r="H962" s="64">
        <v>0</v>
      </c>
      <c r="I962" s="79">
        <f t="shared" ref="I962:I971" si="759">J962+K962</f>
        <v>0</v>
      </c>
      <c r="J962" s="4">
        <f t="shared" ref="J962:J987" si="760">G962+J897</f>
        <v>0</v>
      </c>
      <c r="K962" s="4">
        <f t="shared" ref="K962:K966" si="761">H962+K897</f>
        <v>0</v>
      </c>
      <c r="L962" s="65" t="e">
        <f t="shared" ref="L962:L975" si="762">+J962/E962</f>
        <v>#DIV/0!</v>
      </c>
      <c r="M962" s="66">
        <v>32.946300000000001</v>
      </c>
      <c r="N962" s="67">
        <f t="shared" ref="N962:N982" si="763">+M962*G962</f>
        <v>0</v>
      </c>
      <c r="O962" s="67">
        <f t="shared" ref="O962:O970" si="764">M962*J962</f>
        <v>0</v>
      </c>
      <c r="P962" s="1124"/>
    </row>
    <row r="963" spans="2:16" x14ac:dyDescent="0.3">
      <c r="B963" s="1119"/>
      <c r="C963" s="1122" t="s">
        <v>77</v>
      </c>
      <c r="D963" s="61" t="s">
        <v>78</v>
      </c>
      <c r="E963" s="62">
        <v>0</v>
      </c>
      <c r="F963" s="63">
        <f t="shared" si="758"/>
        <v>9750</v>
      </c>
      <c r="G963" s="63">
        <v>9600</v>
      </c>
      <c r="H963" s="64">
        <v>150</v>
      </c>
      <c r="I963" s="79">
        <f t="shared" si="759"/>
        <v>29535</v>
      </c>
      <c r="J963" s="4">
        <f t="shared" si="760"/>
        <v>28800</v>
      </c>
      <c r="K963" s="4">
        <f t="shared" si="761"/>
        <v>735</v>
      </c>
      <c r="L963" s="65" t="e">
        <f t="shared" si="762"/>
        <v>#DIV/0!</v>
      </c>
      <c r="M963" s="66">
        <v>55.4758</v>
      </c>
      <c r="N963" s="67">
        <f t="shared" si="763"/>
        <v>532567.68000000005</v>
      </c>
      <c r="O963" s="67">
        <f t="shared" si="764"/>
        <v>1597703.04</v>
      </c>
      <c r="P963" s="1124"/>
    </row>
    <row r="964" spans="2:16" x14ac:dyDescent="0.3">
      <c r="B964" s="1119"/>
      <c r="C964" s="1122"/>
      <c r="D964" s="61" t="s">
        <v>141</v>
      </c>
      <c r="E964" s="62">
        <v>0</v>
      </c>
      <c r="F964" s="63">
        <f t="shared" si="758"/>
        <v>0</v>
      </c>
      <c r="G964" s="63">
        <v>0</v>
      </c>
      <c r="H964" s="64">
        <v>0</v>
      </c>
      <c r="I964" s="79">
        <f t="shared" si="759"/>
        <v>0</v>
      </c>
      <c r="J964" s="4">
        <f t="shared" si="760"/>
        <v>0</v>
      </c>
      <c r="K964" s="4">
        <f t="shared" si="761"/>
        <v>0</v>
      </c>
      <c r="L964" s="65" t="e">
        <f t="shared" si="762"/>
        <v>#DIV/0!</v>
      </c>
      <c r="M964" s="66">
        <v>53.515999999999998</v>
      </c>
      <c r="N964" s="67">
        <f t="shared" si="763"/>
        <v>0</v>
      </c>
      <c r="O964" s="67">
        <f t="shared" si="764"/>
        <v>0</v>
      </c>
      <c r="P964" s="1124"/>
    </row>
    <row r="965" spans="2:16" x14ac:dyDescent="0.3">
      <c r="B965" s="1119"/>
      <c r="C965" s="1122"/>
      <c r="D965" s="61" t="s">
        <v>75</v>
      </c>
      <c r="E965" s="62">
        <v>0</v>
      </c>
      <c r="F965" s="63">
        <f t="shared" si="758"/>
        <v>0</v>
      </c>
      <c r="G965" s="63">
        <v>0</v>
      </c>
      <c r="H965" s="64">
        <v>0</v>
      </c>
      <c r="I965" s="79">
        <f t="shared" si="759"/>
        <v>9804</v>
      </c>
      <c r="J965" s="4">
        <f t="shared" si="760"/>
        <v>9600</v>
      </c>
      <c r="K965" s="4">
        <f t="shared" si="761"/>
        <v>204</v>
      </c>
      <c r="L965" s="65" t="e">
        <f t="shared" si="762"/>
        <v>#DIV/0!</v>
      </c>
      <c r="M965" s="66">
        <v>58.836300000000001</v>
      </c>
      <c r="N965" s="67">
        <f t="shared" si="763"/>
        <v>0</v>
      </c>
      <c r="O965" s="67">
        <f t="shared" si="764"/>
        <v>564828.48</v>
      </c>
      <c r="P965" s="1124"/>
    </row>
    <row r="966" spans="2:16" x14ac:dyDescent="0.3">
      <c r="B966" s="1119"/>
      <c r="C966" s="1126" t="s">
        <v>79</v>
      </c>
      <c r="D966" s="61" t="s">
        <v>80</v>
      </c>
      <c r="E966" s="62">
        <v>0</v>
      </c>
      <c r="F966" s="63">
        <f>G966+H966</f>
        <v>0</v>
      </c>
      <c r="G966" s="63">
        <v>0</v>
      </c>
      <c r="H966" s="64">
        <v>0</v>
      </c>
      <c r="I966" s="79">
        <f t="shared" si="759"/>
        <v>13295</v>
      </c>
      <c r="J966" s="4">
        <f t="shared" si="760"/>
        <v>13000</v>
      </c>
      <c r="K966" s="4">
        <f t="shared" si="761"/>
        <v>295</v>
      </c>
      <c r="L966" s="65" t="e">
        <f t="shared" si="762"/>
        <v>#DIV/0!</v>
      </c>
      <c r="M966" s="66">
        <v>25.687200000000001</v>
      </c>
      <c r="N966" s="67">
        <f t="shared" si="763"/>
        <v>0</v>
      </c>
      <c r="O966" s="67">
        <f t="shared" si="764"/>
        <v>333933.60000000003</v>
      </c>
      <c r="P966" s="1124"/>
    </row>
    <row r="967" spans="2:16" x14ac:dyDescent="0.3">
      <c r="B967" s="1119"/>
      <c r="C967" s="1127"/>
      <c r="D967" s="61" t="s">
        <v>124</v>
      </c>
      <c r="E967" s="62">
        <v>0</v>
      </c>
      <c r="F967" s="63">
        <f>G967+H967</f>
        <v>0</v>
      </c>
      <c r="G967" s="63">
        <v>0</v>
      </c>
      <c r="H967" s="64">
        <v>0</v>
      </c>
      <c r="I967" s="79">
        <f t="shared" si="759"/>
        <v>0</v>
      </c>
      <c r="J967" s="4">
        <f t="shared" si="760"/>
        <v>0</v>
      </c>
      <c r="K967" s="4">
        <f>H967+K902</f>
        <v>0</v>
      </c>
      <c r="L967" s="65" t="e">
        <f t="shared" si="762"/>
        <v>#DIV/0!</v>
      </c>
      <c r="M967" s="66">
        <v>25.033899999999999</v>
      </c>
      <c r="N967" s="67">
        <f t="shared" si="763"/>
        <v>0</v>
      </c>
      <c r="O967" s="67">
        <f t="shared" si="764"/>
        <v>0</v>
      </c>
      <c r="P967" s="1124"/>
    </row>
    <row r="968" spans="2:16" x14ac:dyDescent="0.3">
      <c r="B968" s="1119"/>
      <c r="C968" s="1126" t="s">
        <v>81</v>
      </c>
      <c r="D968" s="61" t="s">
        <v>82</v>
      </c>
      <c r="E968" s="62">
        <v>0</v>
      </c>
      <c r="F968" s="63">
        <f t="shared" ref="F968:F987" si="765">G968+H968</f>
        <v>0</v>
      </c>
      <c r="G968" s="63">
        <v>0</v>
      </c>
      <c r="H968" s="64">
        <v>0</v>
      </c>
      <c r="I968" s="79">
        <f t="shared" si="759"/>
        <v>16343</v>
      </c>
      <c r="J968" s="4">
        <f t="shared" si="760"/>
        <v>16000</v>
      </c>
      <c r="K968" s="4">
        <f t="shared" ref="K968:K987" si="766">H968+K903</f>
        <v>343</v>
      </c>
      <c r="L968" s="65" t="e">
        <f t="shared" si="762"/>
        <v>#DIV/0!</v>
      </c>
      <c r="M968" s="66">
        <v>41.992699999999999</v>
      </c>
      <c r="N968" s="67">
        <f t="shared" si="763"/>
        <v>0</v>
      </c>
      <c r="O968" s="67">
        <f t="shared" si="764"/>
        <v>671883.2</v>
      </c>
      <c r="P968" s="1124"/>
    </row>
    <row r="969" spans="2:16" x14ac:dyDescent="0.3">
      <c r="B969" s="1119"/>
      <c r="C969" s="1127"/>
      <c r="D969" s="61" t="s">
        <v>75</v>
      </c>
      <c r="E969" s="62">
        <v>0</v>
      </c>
      <c r="F969" s="63">
        <f t="shared" si="765"/>
        <v>0</v>
      </c>
      <c r="G969" s="63">
        <v>0</v>
      </c>
      <c r="H969" s="64">
        <v>0</v>
      </c>
      <c r="I969" s="79">
        <f t="shared" si="759"/>
        <v>0</v>
      </c>
      <c r="J969" s="4">
        <f t="shared" si="760"/>
        <v>0</v>
      </c>
      <c r="K969" s="4">
        <f t="shared" si="766"/>
        <v>0</v>
      </c>
      <c r="L969" s="65" t="e">
        <f t="shared" si="762"/>
        <v>#DIV/0!</v>
      </c>
      <c r="M969" s="66">
        <v>42.283799999999999</v>
      </c>
      <c r="N969" s="67">
        <f t="shared" si="763"/>
        <v>0</v>
      </c>
      <c r="O969" s="67">
        <f t="shared" si="764"/>
        <v>0</v>
      </c>
      <c r="P969" s="1124"/>
    </row>
    <row r="970" spans="2:16" x14ac:dyDescent="0.3">
      <c r="B970" s="1119"/>
      <c r="C970" s="212" t="s">
        <v>83</v>
      </c>
      <c r="D970" s="61" t="s">
        <v>84</v>
      </c>
      <c r="E970" s="62">
        <v>0</v>
      </c>
      <c r="F970" s="63">
        <f t="shared" si="765"/>
        <v>0</v>
      </c>
      <c r="G970" s="63">
        <v>0</v>
      </c>
      <c r="H970" s="64">
        <v>0</v>
      </c>
      <c r="I970" s="79">
        <f t="shared" si="759"/>
        <v>24803</v>
      </c>
      <c r="J970" s="4">
        <f t="shared" si="760"/>
        <v>24000</v>
      </c>
      <c r="K970" s="4">
        <f t="shared" si="766"/>
        <v>803</v>
      </c>
      <c r="L970" s="65" t="e">
        <f t="shared" si="762"/>
        <v>#DIV/0!</v>
      </c>
      <c r="M970" s="66">
        <v>4.3535000000000004</v>
      </c>
      <c r="N970" s="67">
        <f t="shared" si="763"/>
        <v>0</v>
      </c>
      <c r="O970" s="67">
        <f t="shared" si="764"/>
        <v>104484.00000000001</v>
      </c>
      <c r="P970" s="1124"/>
    </row>
    <row r="971" spans="2:16" x14ac:dyDescent="0.3">
      <c r="B971" s="1119"/>
      <c r="C971" s="1122" t="s">
        <v>85</v>
      </c>
      <c r="D971" s="61" t="s">
        <v>80</v>
      </c>
      <c r="E971" s="62">
        <v>0</v>
      </c>
      <c r="F971" s="63">
        <f t="shared" si="765"/>
        <v>0</v>
      </c>
      <c r="G971" s="63">
        <v>0</v>
      </c>
      <c r="H971" s="64">
        <v>0</v>
      </c>
      <c r="I971" s="79">
        <f t="shared" si="759"/>
        <v>0</v>
      </c>
      <c r="J971" s="4">
        <f t="shared" si="760"/>
        <v>0</v>
      </c>
      <c r="K971" s="4">
        <f t="shared" si="766"/>
        <v>0</v>
      </c>
      <c r="L971" s="65" t="e">
        <f t="shared" si="762"/>
        <v>#DIV/0!</v>
      </c>
      <c r="M971" s="66">
        <v>4.6184000000000003</v>
      </c>
      <c r="N971" s="67">
        <f t="shared" si="763"/>
        <v>0</v>
      </c>
      <c r="O971" s="67">
        <f>M971*J971</f>
        <v>0</v>
      </c>
      <c r="P971" s="1124"/>
    </row>
    <row r="972" spans="2:16" x14ac:dyDescent="0.3">
      <c r="B972" s="1119"/>
      <c r="C972" s="1122"/>
      <c r="D972" s="61" t="s">
        <v>126</v>
      </c>
      <c r="E972" s="62">
        <v>0</v>
      </c>
      <c r="F972" s="63">
        <f t="shared" si="765"/>
        <v>9582</v>
      </c>
      <c r="G972" s="63">
        <v>9200</v>
      </c>
      <c r="H972" s="64">
        <v>382</v>
      </c>
      <c r="I972" s="79">
        <f>J972+K972</f>
        <v>9582</v>
      </c>
      <c r="J972" s="4">
        <f t="shared" si="760"/>
        <v>9200</v>
      </c>
      <c r="K972" s="4">
        <f t="shared" si="766"/>
        <v>382</v>
      </c>
      <c r="L972" s="65" t="e">
        <f t="shared" si="762"/>
        <v>#DIV/0!</v>
      </c>
      <c r="M972" s="153">
        <v>4.6184000000000003</v>
      </c>
      <c r="N972" s="67">
        <f t="shared" si="763"/>
        <v>42489.280000000006</v>
      </c>
      <c r="O972" s="67">
        <f>M972*J972</f>
        <v>42489.280000000006</v>
      </c>
      <c r="P972" s="1124"/>
    </row>
    <row r="973" spans="2:16" x14ac:dyDescent="0.3">
      <c r="B973" s="1119"/>
      <c r="C973" s="1122"/>
      <c r="D973" s="61" t="s">
        <v>130</v>
      </c>
      <c r="E973" s="62">
        <v>0</v>
      </c>
      <c r="F973" s="63">
        <f t="shared" si="765"/>
        <v>0</v>
      </c>
      <c r="G973" s="63">
        <v>0</v>
      </c>
      <c r="H973" s="64">
        <v>0</v>
      </c>
      <c r="I973" s="79">
        <f t="shared" ref="I973:I987" si="767">J973+K973</f>
        <v>0</v>
      </c>
      <c r="J973" s="4">
        <f t="shared" si="760"/>
        <v>0</v>
      </c>
      <c r="K973" s="4">
        <f t="shared" si="766"/>
        <v>0</v>
      </c>
      <c r="L973" s="65" t="e">
        <f t="shared" si="762"/>
        <v>#DIV/0!</v>
      </c>
      <c r="M973" s="153">
        <v>4.6184000000000003</v>
      </c>
      <c r="N973" s="67">
        <f t="shared" si="763"/>
        <v>0</v>
      </c>
      <c r="O973" s="67">
        <f t="shared" ref="O973:O978" si="768">M973*J973</f>
        <v>0</v>
      </c>
      <c r="P973" s="1124"/>
    </row>
    <row r="974" spans="2:16" x14ac:dyDescent="0.3">
      <c r="B974" s="1119"/>
      <c r="C974" s="1122"/>
      <c r="D974" s="61" t="s">
        <v>131</v>
      </c>
      <c r="E974" s="62">
        <v>0</v>
      </c>
      <c r="F974" s="63">
        <f t="shared" si="765"/>
        <v>0</v>
      </c>
      <c r="G974" s="63">
        <v>0</v>
      </c>
      <c r="H974" s="64">
        <v>0</v>
      </c>
      <c r="I974" s="79">
        <f t="shared" si="767"/>
        <v>281684</v>
      </c>
      <c r="J974" s="4">
        <f t="shared" si="760"/>
        <v>274275</v>
      </c>
      <c r="K974" s="4">
        <f t="shared" si="766"/>
        <v>7409</v>
      </c>
      <c r="L974" s="65" t="e">
        <f t="shared" si="762"/>
        <v>#DIV/0!</v>
      </c>
      <c r="M974" s="153">
        <v>4.7636000000000003</v>
      </c>
      <c r="N974" s="67">
        <f t="shared" si="763"/>
        <v>0</v>
      </c>
      <c r="O974" s="67">
        <f t="shared" si="768"/>
        <v>1306536.3900000001</v>
      </c>
      <c r="P974" s="1124"/>
    </row>
    <row r="975" spans="2:16" x14ac:dyDescent="0.3">
      <c r="B975" s="1119"/>
      <c r="C975" s="1122"/>
      <c r="D975" s="61" t="s">
        <v>86</v>
      </c>
      <c r="E975" s="62">
        <v>0</v>
      </c>
      <c r="F975" s="63">
        <f t="shared" si="765"/>
        <v>0</v>
      </c>
      <c r="G975" s="63">
        <v>0</v>
      </c>
      <c r="H975" s="64">
        <v>0</v>
      </c>
      <c r="I975" s="79">
        <f t="shared" si="767"/>
        <v>0</v>
      </c>
      <c r="J975" s="4">
        <f t="shared" si="760"/>
        <v>0</v>
      </c>
      <c r="K975" s="4">
        <f t="shared" si="766"/>
        <v>0</v>
      </c>
      <c r="L975" s="65" t="e">
        <f t="shared" si="762"/>
        <v>#DIV/0!</v>
      </c>
      <c r="M975" s="66">
        <v>4.8738000000000001</v>
      </c>
      <c r="N975" s="67">
        <f t="shared" si="763"/>
        <v>0</v>
      </c>
      <c r="O975" s="67">
        <f t="shared" si="768"/>
        <v>0</v>
      </c>
      <c r="P975" s="1124"/>
    </row>
    <row r="976" spans="2:16" x14ac:dyDescent="0.3">
      <c r="B976" s="1119"/>
      <c r="C976" s="212" t="s">
        <v>135</v>
      </c>
      <c r="D976" s="61" t="s">
        <v>131</v>
      </c>
      <c r="E976" s="62"/>
      <c r="F976" s="63">
        <f t="shared" si="765"/>
        <v>0</v>
      </c>
      <c r="G976" s="63">
        <v>0</v>
      </c>
      <c r="H976" s="64">
        <v>0</v>
      </c>
      <c r="I976" s="79">
        <f t="shared" si="767"/>
        <v>0</v>
      </c>
      <c r="J976" s="4">
        <f t="shared" si="760"/>
        <v>0</v>
      </c>
      <c r="K976" s="4">
        <f t="shared" si="766"/>
        <v>0</v>
      </c>
      <c r="L976" s="65"/>
      <c r="M976" s="66">
        <v>4.8738000000000001</v>
      </c>
      <c r="N976" s="67">
        <f t="shared" si="763"/>
        <v>0</v>
      </c>
      <c r="O976" s="67">
        <f t="shared" si="768"/>
        <v>0</v>
      </c>
      <c r="P976" s="1124"/>
    </row>
    <row r="977" spans="2:16" x14ac:dyDescent="0.3">
      <c r="B977" s="1119"/>
      <c r="C977" s="1122" t="s">
        <v>87</v>
      </c>
      <c r="D977" s="61" t="s">
        <v>80</v>
      </c>
      <c r="E977" s="62">
        <v>0</v>
      </c>
      <c r="F977" s="63">
        <f t="shared" si="765"/>
        <v>0</v>
      </c>
      <c r="G977" s="63">
        <v>0</v>
      </c>
      <c r="H977" s="64">
        <v>0</v>
      </c>
      <c r="I977" s="79">
        <f t="shared" si="767"/>
        <v>197600</v>
      </c>
      <c r="J977" s="4">
        <f t="shared" si="760"/>
        <v>194950</v>
      </c>
      <c r="K977" s="4">
        <f t="shared" si="766"/>
        <v>2650</v>
      </c>
      <c r="L977" s="65" t="e">
        <f t="shared" ref="L977:L987" si="769">+J977/E977</f>
        <v>#DIV/0!</v>
      </c>
      <c r="M977" s="66">
        <v>4.9344999999999999</v>
      </c>
      <c r="N977" s="67">
        <f t="shared" si="763"/>
        <v>0</v>
      </c>
      <c r="O977" s="67">
        <f t="shared" si="768"/>
        <v>961980.77500000002</v>
      </c>
      <c r="P977" s="1124"/>
    </row>
    <row r="978" spans="2:16" x14ac:dyDescent="0.3">
      <c r="B978" s="1119"/>
      <c r="C978" s="1122"/>
      <c r="D978" s="61" t="s">
        <v>142</v>
      </c>
      <c r="E978" s="62"/>
      <c r="F978" s="63">
        <f t="shared" si="765"/>
        <v>18296</v>
      </c>
      <c r="G978" s="63">
        <v>18000</v>
      </c>
      <c r="H978" s="64">
        <v>296</v>
      </c>
      <c r="I978" s="79">
        <f t="shared" si="767"/>
        <v>61578</v>
      </c>
      <c r="J978" s="4">
        <f t="shared" si="760"/>
        <v>58500</v>
      </c>
      <c r="K978" s="4">
        <f t="shared" si="766"/>
        <v>3078</v>
      </c>
      <c r="L978" s="65" t="e">
        <f t="shared" si="769"/>
        <v>#DIV/0!</v>
      </c>
      <c r="M978" s="66">
        <v>4.9344999999999999</v>
      </c>
      <c r="N978" s="67">
        <f t="shared" si="763"/>
        <v>88821</v>
      </c>
      <c r="O978" s="67">
        <f t="shared" si="768"/>
        <v>288668.25</v>
      </c>
      <c r="P978" s="1124"/>
    </row>
    <row r="979" spans="2:16" x14ac:dyDescent="0.3">
      <c r="B979" s="1119"/>
      <c r="C979" s="1122"/>
      <c r="D979" s="61" t="s">
        <v>136</v>
      </c>
      <c r="E979" s="62">
        <v>0</v>
      </c>
      <c r="F979" s="63">
        <f t="shared" si="765"/>
        <v>0</v>
      </c>
      <c r="G979" s="155">
        <v>0</v>
      </c>
      <c r="H979" s="156">
        <v>0</v>
      </c>
      <c r="I979" s="157">
        <f t="shared" si="767"/>
        <v>0</v>
      </c>
      <c r="J979" s="4">
        <f t="shared" si="760"/>
        <v>0</v>
      </c>
      <c r="K979" s="4">
        <f t="shared" si="766"/>
        <v>0</v>
      </c>
      <c r="L979" s="158" t="e">
        <f t="shared" si="769"/>
        <v>#DIV/0!</v>
      </c>
      <c r="M979" s="66">
        <v>4.9344999999999999</v>
      </c>
      <c r="N979" s="159">
        <f t="shared" si="763"/>
        <v>0</v>
      </c>
      <c r="O979" s="67">
        <f>M979*J979</f>
        <v>0</v>
      </c>
      <c r="P979" s="1124"/>
    </row>
    <row r="980" spans="2:16" x14ac:dyDescent="0.3">
      <c r="B980" s="1119"/>
      <c r="C980" s="1122" t="s">
        <v>88</v>
      </c>
      <c r="D980" s="61" t="s">
        <v>80</v>
      </c>
      <c r="E980" s="62">
        <v>0</v>
      </c>
      <c r="F980" s="63">
        <f t="shared" si="765"/>
        <v>0</v>
      </c>
      <c r="G980" s="63">
        <v>0</v>
      </c>
      <c r="H980" s="64">
        <v>0</v>
      </c>
      <c r="I980" s="79">
        <f t="shared" si="767"/>
        <v>138276</v>
      </c>
      <c r="J980" s="4">
        <f t="shared" si="760"/>
        <v>130950</v>
      </c>
      <c r="K980" s="4">
        <f t="shared" si="766"/>
        <v>7326</v>
      </c>
      <c r="L980" s="65" t="e">
        <f t="shared" si="769"/>
        <v>#DIV/0!</v>
      </c>
      <c r="M980" s="148">
        <v>5.5069999999999997</v>
      </c>
      <c r="N980" s="67">
        <f t="shared" si="763"/>
        <v>0</v>
      </c>
      <c r="O980" s="67">
        <f>M980*J980</f>
        <v>721141.64999999991</v>
      </c>
      <c r="P980" s="1124"/>
    </row>
    <row r="981" spans="2:16" x14ac:dyDescent="0.3">
      <c r="B981" s="1119"/>
      <c r="C981" s="1122"/>
      <c r="D981" s="61" t="s">
        <v>119</v>
      </c>
      <c r="E981" s="62">
        <v>0</v>
      </c>
      <c r="F981" s="63">
        <f t="shared" si="765"/>
        <v>10862</v>
      </c>
      <c r="G981" s="63">
        <v>10350</v>
      </c>
      <c r="H981" s="64">
        <v>512</v>
      </c>
      <c r="I981" s="79">
        <f t="shared" si="767"/>
        <v>95744</v>
      </c>
      <c r="J981" s="4">
        <f t="shared" si="760"/>
        <v>92250</v>
      </c>
      <c r="K981" s="4">
        <f t="shared" si="766"/>
        <v>3494</v>
      </c>
      <c r="L981" s="65" t="e">
        <f t="shared" si="769"/>
        <v>#DIV/0!</v>
      </c>
      <c r="M981" s="147">
        <v>5.6550000000000002</v>
      </c>
      <c r="N981" s="67">
        <f t="shared" si="763"/>
        <v>58529.25</v>
      </c>
      <c r="O981" s="67">
        <f>M981*J981</f>
        <v>521673.75</v>
      </c>
      <c r="P981" s="1124"/>
    </row>
    <row r="982" spans="2:16" x14ac:dyDescent="0.3">
      <c r="B982" s="1119"/>
      <c r="C982" s="1122"/>
      <c r="D982" s="61" t="s">
        <v>125</v>
      </c>
      <c r="E982" s="62">
        <v>0</v>
      </c>
      <c r="F982" s="63">
        <f t="shared" si="765"/>
        <v>0</v>
      </c>
      <c r="G982" s="63">
        <v>0</v>
      </c>
      <c r="H982" s="64">
        <v>0</v>
      </c>
      <c r="I982" s="79">
        <f t="shared" si="767"/>
        <v>0</v>
      </c>
      <c r="J982" s="4">
        <f t="shared" si="760"/>
        <v>0</v>
      </c>
      <c r="K982" s="4">
        <f t="shared" si="766"/>
        <v>0</v>
      </c>
      <c r="L982" s="65" t="e">
        <f t="shared" si="769"/>
        <v>#DIV/0!</v>
      </c>
      <c r="M982" s="152">
        <v>5.6550000000000002</v>
      </c>
      <c r="N982" s="67">
        <f t="shared" si="763"/>
        <v>0</v>
      </c>
      <c r="O982" s="67">
        <f>M982*J982</f>
        <v>0</v>
      </c>
      <c r="P982" s="1124"/>
    </row>
    <row r="983" spans="2:16" x14ac:dyDescent="0.3">
      <c r="B983" s="1119"/>
      <c r="C983" s="1122"/>
      <c r="D983" s="61" t="s">
        <v>128</v>
      </c>
      <c r="E983" s="62">
        <v>0</v>
      </c>
      <c r="F983" s="63">
        <f t="shared" si="765"/>
        <v>0</v>
      </c>
      <c r="G983" s="63">
        <v>0</v>
      </c>
      <c r="H983" s="64">
        <v>0</v>
      </c>
      <c r="I983" s="79">
        <f t="shared" si="767"/>
        <v>28324</v>
      </c>
      <c r="J983" s="4">
        <f t="shared" si="760"/>
        <v>26710</v>
      </c>
      <c r="K983" s="4">
        <f t="shared" si="766"/>
        <v>1614</v>
      </c>
      <c r="L983" s="65" t="e">
        <f t="shared" si="769"/>
        <v>#DIV/0!</v>
      </c>
      <c r="M983" s="66">
        <v>5.7885299999999997</v>
      </c>
      <c r="N983" s="67">
        <f>+M983*G983</f>
        <v>0</v>
      </c>
      <c r="O983" s="67">
        <f>M983*J983</f>
        <v>154611.63629999998</v>
      </c>
      <c r="P983" s="1124"/>
    </row>
    <row r="984" spans="2:16" x14ac:dyDescent="0.3">
      <c r="B984" s="1119"/>
      <c r="C984" s="1122"/>
      <c r="D984" s="61" t="s">
        <v>143</v>
      </c>
      <c r="E984" s="62">
        <v>0</v>
      </c>
      <c r="F984" s="63">
        <f t="shared" si="765"/>
        <v>0</v>
      </c>
      <c r="G984" s="63">
        <v>0</v>
      </c>
      <c r="H984" s="64">
        <v>0</v>
      </c>
      <c r="I984" s="79">
        <f t="shared" si="767"/>
        <v>0</v>
      </c>
      <c r="J984" s="4">
        <f t="shared" si="760"/>
        <v>0</v>
      </c>
      <c r="K984" s="4">
        <f t="shared" si="766"/>
        <v>0</v>
      </c>
      <c r="L984" s="65" t="e">
        <f t="shared" si="769"/>
        <v>#DIV/0!</v>
      </c>
      <c r="M984" s="152">
        <v>5.6550000000000002</v>
      </c>
      <c r="N984" s="67">
        <f t="shared" ref="N984:N986" si="770">+M984*G984</f>
        <v>0</v>
      </c>
      <c r="O984" s="67">
        <f t="shared" ref="O984:O987" si="771">M984*J984</f>
        <v>0</v>
      </c>
      <c r="P984" s="1124"/>
    </row>
    <row r="985" spans="2:16" x14ac:dyDescent="0.3">
      <c r="B985" s="1119"/>
      <c r="C985" s="212" t="s">
        <v>89</v>
      </c>
      <c r="D985" s="61" t="s">
        <v>80</v>
      </c>
      <c r="E985" s="62">
        <v>0</v>
      </c>
      <c r="F985" s="63">
        <f t="shared" si="765"/>
        <v>0</v>
      </c>
      <c r="G985" s="63">
        <v>0</v>
      </c>
      <c r="H985" s="64">
        <v>0</v>
      </c>
      <c r="I985" s="79">
        <f t="shared" si="767"/>
        <v>0</v>
      </c>
      <c r="J985" s="4">
        <f t="shared" si="760"/>
        <v>0</v>
      </c>
      <c r="K985" s="4">
        <f t="shared" si="766"/>
        <v>0</v>
      </c>
      <c r="L985" s="65" t="e">
        <f t="shared" si="769"/>
        <v>#DIV/0!</v>
      </c>
      <c r="M985" s="66">
        <v>3.2963</v>
      </c>
      <c r="N985" s="67">
        <f t="shared" si="770"/>
        <v>0</v>
      </c>
      <c r="O985" s="67">
        <f t="shared" si="771"/>
        <v>0</v>
      </c>
      <c r="P985" s="1124"/>
    </row>
    <row r="986" spans="2:16" x14ac:dyDescent="0.3">
      <c r="B986" s="1119"/>
      <c r="C986" s="212" t="s">
        <v>90</v>
      </c>
      <c r="D986" s="61" t="s">
        <v>80</v>
      </c>
      <c r="E986" s="62">
        <v>0</v>
      </c>
      <c r="F986" s="63">
        <f t="shared" si="765"/>
        <v>0</v>
      </c>
      <c r="G986" s="63">
        <v>0</v>
      </c>
      <c r="H986" s="64">
        <v>0</v>
      </c>
      <c r="I986" s="79">
        <f t="shared" si="767"/>
        <v>0</v>
      </c>
      <c r="J986" s="4">
        <f t="shared" si="760"/>
        <v>0</v>
      </c>
      <c r="K986" s="4">
        <f t="shared" si="766"/>
        <v>0</v>
      </c>
      <c r="L986" s="65" t="e">
        <f t="shared" si="769"/>
        <v>#DIV/0!</v>
      </c>
      <c r="M986" s="66">
        <v>3.2963</v>
      </c>
      <c r="N986" s="67">
        <f t="shared" si="770"/>
        <v>0</v>
      </c>
      <c r="O986" s="67">
        <f t="shared" si="771"/>
        <v>0</v>
      </c>
      <c r="P986" s="1124"/>
    </row>
    <row r="987" spans="2:16" ht="15" thickBot="1" x14ac:dyDescent="0.35">
      <c r="B987" s="1119"/>
      <c r="C987" s="68" t="s">
        <v>91</v>
      </c>
      <c r="D987" s="69" t="s">
        <v>92</v>
      </c>
      <c r="E987" s="70">
        <v>0</v>
      </c>
      <c r="F987" s="71">
        <f t="shared" si="765"/>
        <v>0</v>
      </c>
      <c r="G987" s="71">
        <v>0</v>
      </c>
      <c r="H987" s="72">
        <v>0</v>
      </c>
      <c r="I987" s="80">
        <f t="shared" si="767"/>
        <v>65030</v>
      </c>
      <c r="J987" s="4">
        <f t="shared" si="760"/>
        <v>65000</v>
      </c>
      <c r="K987" s="4">
        <f t="shared" si="766"/>
        <v>30</v>
      </c>
      <c r="L987" s="65" t="e">
        <f t="shared" si="769"/>
        <v>#DIV/0!</v>
      </c>
      <c r="M987" s="73">
        <v>2.3201000000000001</v>
      </c>
      <c r="N987" s="74">
        <f t="shared" ref="N987" si="772">M987*G987</f>
        <v>0</v>
      </c>
      <c r="O987" s="74">
        <f t="shared" si="771"/>
        <v>150806.5</v>
      </c>
      <c r="P987" s="1125"/>
    </row>
    <row r="988" spans="2:16" ht="15" thickBot="1" x14ac:dyDescent="0.35">
      <c r="B988" s="1120"/>
      <c r="C988" s="1128" t="s">
        <v>106</v>
      </c>
      <c r="D988" s="1129"/>
      <c r="E988" s="1129"/>
      <c r="F988" s="1129"/>
      <c r="G988" s="1129"/>
      <c r="H988" s="1130"/>
      <c r="I988" s="116">
        <f>J988+K988</f>
        <v>1040384</v>
      </c>
      <c r="J988" s="115">
        <f>SUM(J960:J987)</f>
        <v>1011255</v>
      </c>
      <c r="K988" s="115">
        <f>SUM(K960:K987)</f>
        <v>29129</v>
      </c>
      <c r="L988" s="114"/>
      <c r="M988" s="113"/>
      <c r="N988" s="114"/>
      <c r="O988" s="97">
        <f>SUM(O960:O987)</f>
        <v>9738792.8593000006</v>
      </c>
      <c r="P988" s="96"/>
    </row>
    <row r="989" spans="2:16" ht="15" thickBot="1" x14ac:dyDescent="0.35">
      <c r="B989" s="100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2"/>
    </row>
    <row r="990" spans="2:16" ht="15" thickBot="1" x14ac:dyDescent="0.35">
      <c r="B990" s="1113" t="s">
        <v>107</v>
      </c>
      <c r="C990" s="1114"/>
      <c r="D990" s="1114"/>
      <c r="E990" s="1114"/>
      <c r="F990" s="1114"/>
      <c r="G990" s="1114"/>
      <c r="H990" s="1114"/>
      <c r="I990" s="1114"/>
      <c r="J990" s="1114"/>
      <c r="K990" s="1114"/>
      <c r="L990" s="1114"/>
      <c r="M990" s="1114"/>
      <c r="N990" s="1115"/>
      <c r="O990" s="103">
        <f>+O988+O959+O944</f>
        <v>21158258.021300003</v>
      </c>
      <c r="P990" s="96"/>
    </row>
    <row r="991" spans="2:16" ht="15" thickBot="1" x14ac:dyDescent="0.35"/>
    <row r="992" spans="2:16" x14ac:dyDescent="0.3">
      <c r="B992" s="1147" t="s">
        <v>1</v>
      </c>
      <c r="C992" s="1149" t="s">
        <v>2</v>
      </c>
      <c r="D992" s="1152" t="s">
        <v>3</v>
      </c>
      <c r="E992" s="1155" t="s">
        <v>4</v>
      </c>
      <c r="F992" s="1156"/>
      <c r="G992" s="1156"/>
      <c r="H992" s="1156"/>
      <c r="I992" s="1156"/>
      <c r="J992" s="1156"/>
      <c r="K992" s="1156"/>
      <c r="L992" s="1157"/>
      <c r="M992" s="1158" t="s">
        <v>5</v>
      </c>
      <c r="N992" s="1159"/>
      <c r="O992" s="1160"/>
      <c r="P992" s="1152" t="s">
        <v>6</v>
      </c>
    </row>
    <row r="993" spans="2:16" x14ac:dyDescent="0.3">
      <c r="B993" s="1148"/>
      <c r="C993" s="1150"/>
      <c r="D993" s="1153"/>
      <c r="E993" s="1161" t="s">
        <v>7</v>
      </c>
      <c r="F993" s="1163" t="s">
        <v>163</v>
      </c>
      <c r="G993" s="1163"/>
      <c r="H993" s="1164"/>
      <c r="I993" s="1165" t="s">
        <v>8</v>
      </c>
      <c r="J993" s="1163"/>
      <c r="K993" s="1163"/>
      <c r="L993" s="1164" t="s">
        <v>9</v>
      </c>
      <c r="M993" s="1167" t="s">
        <v>10</v>
      </c>
      <c r="N993" s="1169" t="s">
        <v>11</v>
      </c>
      <c r="O993" s="1171" t="s">
        <v>12</v>
      </c>
      <c r="P993" s="1153"/>
    </row>
    <row r="994" spans="2:16" ht="15" thickBot="1" x14ac:dyDescent="0.35">
      <c r="B994" s="1148"/>
      <c r="C994" s="1151"/>
      <c r="D994" s="1154"/>
      <c r="E994" s="1162"/>
      <c r="F994" s="2" t="s">
        <v>13</v>
      </c>
      <c r="G994" s="2" t="s">
        <v>14</v>
      </c>
      <c r="H994" s="219" t="s">
        <v>15</v>
      </c>
      <c r="I994" s="142" t="s">
        <v>13</v>
      </c>
      <c r="J994" s="2" t="s">
        <v>14</v>
      </c>
      <c r="K994" s="2" t="s">
        <v>15</v>
      </c>
      <c r="L994" s="1166"/>
      <c r="M994" s="1168"/>
      <c r="N994" s="1170"/>
      <c r="O994" s="1172"/>
      <c r="P994" s="1154"/>
    </row>
    <row r="995" spans="2:16" x14ac:dyDescent="0.3">
      <c r="B995" s="1131" t="s">
        <v>56</v>
      </c>
      <c r="C995" s="29"/>
      <c r="D995" s="117" t="s">
        <v>151</v>
      </c>
      <c r="E995" s="98">
        <v>0</v>
      </c>
      <c r="F995" s="4">
        <f>+G995+H995</f>
        <v>45480</v>
      </c>
      <c r="G995" s="4">
        <v>44240</v>
      </c>
      <c r="H995" s="8">
        <v>1240</v>
      </c>
      <c r="I995" s="6">
        <f>J995+K995</f>
        <v>484326</v>
      </c>
      <c r="J995" s="4">
        <f>G995+J930</f>
        <v>475160</v>
      </c>
      <c r="K995" s="4">
        <f>H995+K930</f>
        <v>9166</v>
      </c>
      <c r="L995" s="33" t="e">
        <f>+J995/E995</f>
        <v>#DIV/0!</v>
      </c>
      <c r="M995" s="104">
        <v>1.3652</v>
      </c>
      <c r="N995" s="31">
        <f>G995*M995</f>
        <v>60396.447999999997</v>
      </c>
      <c r="O995" s="86">
        <f>M995*J995</f>
        <v>648688.43200000003</v>
      </c>
      <c r="P995" s="1133"/>
    </row>
    <row r="996" spans="2:16" x14ac:dyDescent="0.3">
      <c r="B996" s="1132"/>
      <c r="C996" s="32"/>
      <c r="D996" s="118" t="s">
        <v>116</v>
      </c>
      <c r="E996" s="99">
        <v>0</v>
      </c>
      <c r="F996" s="9">
        <f>+G996+H996</f>
        <v>0</v>
      </c>
      <c r="G996" s="9">
        <v>0</v>
      </c>
      <c r="H996" s="10">
        <v>0</v>
      </c>
      <c r="I996" s="6">
        <f>J996+K996</f>
        <v>0</v>
      </c>
      <c r="J996" s="4">
        <f>+G996+J931</f>
        <v>0</v>
      </c>
      <c r="K996" s="4">
        <f>+H996+K931</f>
        <v>0</v>
      </c>
      <c r="L996" s="33"/>
      <c r="M996" s="105">
        <v>5.9917999999999996</v>
      </c>
      <c r="N996" s="34">
        <f>M996*G996</f>
        <v>0</v>
      </c>
      <c r="O996" s="87">
        <f>M996*J996</f>
        <v>0</v>
      </c>
      <c r="P996" s="1134"/>
    </row>
    <row r="997" spans="2:16" x14ac:dyDescent="0.3">
      <c r="B997" s="1132"/>
      <c r="C997" s="35"/>
      <c r="D997" s="119" t="s">
        <v>58</v>
      </c>
      <c r="E997" s="99">
        <v>0</v>
      </c>
      <c r="F997" s="9">
        <f t="shared" ref="F997:F1001" si="773">+G997+H997</f>
        <v>161248</v>
      </c>
      <c r="G997" s="9">
        <v>160250</v>
      </c>
      <c r="H997" s="10">
        <v>998</v>
      </c>
      <c r="I997" s="6">
        <f t="shared" ref="I997:I1001" si="774">J997+K997</f>
        <v>3002799</v>
      </c>
      <c r="J997" s="4">
        <f t="shared" ref="J997:J1001" si="775">+G997+J932</f>
        <v>2981000</v>
      </c>
      <c r="K997" s="4">
        <f t="shared" ref="K997:K1001" si="776">+H997+K932</f>
        <v>21799</v>
      </c>
      <c r="L997" s="33" t="e">
        <f t="shared" ref="L997" si="777">+J997/E997</f>
        <v>#DIV/0!</v>
      </c>
      <c r="M997" s="106">
        <v>2.3807999999999998</v>
      </c>
      <c r="N997" s="36">
        <f>G997*M997</f>
        <v>381523.19999999995</v>
      </c>
      <c r="O997" s="88">
        <f>M997*J997</f>
        <v>7097164.7999999998</v>
      </c>
      <c r="P997" s="1134"/>
    </row>
    <row r="998" spans="2:16" x14ac:dyDescent="0.3">
      <c r="B998" s="1132"/>
      <c r="C998" s="35"/>
      <c r="D998" s="119" t="s">
        <v>59</v>
      </c>
      <c r="E998" s="99">
        <v>0</v>
      </c>
      <c r="F998" s="9">
        <f t="shared" si="773"/>
        <v>0</v>
      </c>
      <c r="G998" s="9">
        <v>0</v>
      </c>
      <c r="H998" s="10">
        <v>0</v>
      </c>
      <c r="I998" s="6">
        <f t="shared" si="774"/>
        <v>0</v>
      </c>
      <c r="J998" s="4">
        <f t="shared" si="775"/>
        <v>0</v>
      </c>
      <c r="K998" s="4">
        <f t="shared" si="776"/>
        <v>0</v>
      </c>
      <c r="L998" s="33"/>
      <c r="M998" s="106">
        <v>2.1457999999999999</v>
      </c>
      <c r="N998" s="36">
        <f t="shared" ref="N998:N1001" si="778">G998*M998</f>
        <v>0</v>
      </c>
      <c r="O998" s="88">
        <f>M998*J998</f>
        <v>0</v>
      </c>
      <c r="P998" s="1134"/>
    </row>
    <row r="999" spans="2:16" x14ac:dyDescent="0.3">
      <c r="B999" s="1132"/>
      <c r="C999" s="35"/>
      <c r="D999" s="119" t="s">
        <v>113</v>
      </c>
      <c r="E999" s="99">
        <v>0</v>
      </c>
      <c r="F999" s="9">
        <f t="shared" si="773"/>
        <v>0</v>
      </c>
      <c r="G999" s="9">
        <v>0</v>
      </c>
      <c r="H999" s="10">
        <v>0</v>
      </c>
      <c r="I999" s="6">
        <f t="shared" si="774"/>
        <v>53280</v>
      </c>
      <c r="J999" s="4">
        <f t="shared" si="775"/>
        <v>42000</v>
      </c>
      <c r="K999" s="4">
        <f t="shared" si="776"/>
        <v>11280</v>
      </c>
      <c r="L999" s="33" t="e">
        <f t="shared" ref="L999:L1000" si="779">+J999/E999</f>
        <v>#DIV/0!</v>
      </c>
      <c r="M999" s="143">
        <v>4.0426000000000002</v>
      </c>
      <c r="N999" s="36">
        <f t="shared" si="778"/>
        <v>0</v>
      </c>
      <c r="O999" s="88">
        <f>M999*J999</f>
        <v>169789.2</v>
      </c>
      <c r="P999" s="1134"/>
    </row>
    <row r="1000" spans="2:16" x14ac:dyDescent="0.3">
      <c r="B1000" s="1132"/>
      <c r="C1000" s="35"/>
      <c r="D1000" s="119" t="s">
        <v>117</v>
      </c>
      <c r="E1000" s="99">
        <v>0</v>
      </c>
      <c r="F1000" s="9">
        <f t="shared" si="773"/>
        <v>0</v>
      </c>
      <c r="G1000" s="9">
        <v>0</v>
      </c>
      <c r="H1000" s="10">
        <v>0</v>
      </c>
      <c r="I1000" s="6">
        <f t="shared" si="774"/>
        <v>0</v>
      </c>
      <c r="J1000" s="4">
        <f t="shared" si="775"/>
        <v>0</v>
      </c>
      <c r="K1000" s="4">
        <f t="shared" si="776"/>
        <v>0</v>
      </c>
      <c r="L1000" s="33" t="e">
        <f t="shared" si="779"/>
        <v>#DIV/0!</v>
      </c>
      <c r="M1000" s="143">
        <v>3.8715000000000002</v>
      </c>
      <c r="N1000" s="36">
        <f t="shared" si="778"/>
        <v>0</v>
      </c>
      <c r="O1000" s="88">
        <f t="shared" ref="O1000:O1001" si="780">M1000*J1000</f>
        <v>0</v>
      </c>
      <c r="P1000" s="1134"/>
    </row>
    <row r="1001" spans="2:16" ht="15" thickBot="1" x14ac:dyDescent="0.35">
      <c r="B1001" s="1132"/>
      <c r="C1001" s="82"/>
      <c r="D1001" s="120" t="s">
        <v>60</v>
      </c>
      <c r="E1001" s="108">
        <v>0</v>
      </c>
      <c r="F1001" s="12">
        <f t="shared" si="773"/>
        <v>0</v>
      </c>
      <c r="G1001" s="12">
        <v>0</v>
      </c>
      <c r="H1001" s="13">
        <v>0</v>
      </c>
      <c r="I1001" s="21">
        <f t="shared" si="774"/>
        <v>0</v>
      </c>
      <c r="J1001" s="4">
        <f t="shared" si="775"/>
        <v>0</v>
      </c>
      <c r="K1001" s="4">
        <f t="shared" si="776"/>
        <v>0</v>
      </c>
      <c r="L1001" s="81"/>
      <c r="M1001" s="127">
        <v>12.284700000000001</v>
      </c>
      <c r="N1001" s="36">
        <f t="shared" si="778"/>
        <v>0</v>
      </c>
      <c r="O1001" s="128">
        <f t="shared" si="780"/>
        <v>0</v>
      </c>
      <c r="P1001" s="1134"/>
    </row>
    <row r="1002" spans="2:16" ht="15" thickBot="1" x14ac:dyDescent="0.35">
      <c r="B1002" s="1132"/>
      <c r="C1002" s="1137" t="s">
        <v>111</v>
      </c>
      <c r="D1002" s="1138"/>
      <c r="E1002" s="129"/>
      <c r="F1002" s="130">
        <f>SUM(F995:F1001)</f>
        <v>206728</v>
      </c>
      <c r="G1002" s="130">
        <f>SUM(G995:G1001)</f>
        <v>204490</v>
      </c>
      <c r="H1002" s="131">
        <f>SUM(H995:H1001)</f>
        <v>2238</v>
      </c>
      <c r="I1002" s="132">
        <f>+J1002+K1002</f>
        <v>3540405</v>
      </c>
      <c r="J1002" s="133">
        <f>SUM(J995:J1001)</f>
        <v>3498160</v>
      </c>
      <c r="K1002" s="133">
        <f>SUM(K995:K1001)</f>
        <v>42245</v>
      </c>
      <c r="L1002" s="134"/>
      <c r="M1002" s="135"/>
      <c r="N1002" s="136"/>
      <c r="O1002" s="137">
        <f>SUM(O995:O1001)</f>
        <v>7915642.432</v>
      </c>
      <c r="P1002" s="1135"/>
    </row>
    <row r="1003" spans="2:16" x14ac:dyDescent="0.3">
      <c r="B1003" s="1132"/>
      <c r="C1003" s="32"/>
      <c r="D1003" s="118" t="s">
        <v>61</v>
      </c>
      <c r="E1003" s="98">
        <v>0</v>
      </c>
      <c r="F1003" s="4">
        <f t="shared" ref="F1003:F1006" si="781">+G1003+H1003</f>
        <v>0</v>
      </c>
      <c r="G1003" s="4">
        <v>0</v>
      </c>
      <c r="H1003" s="8">
        <v>0</v>
      </c>
      <c r="I1003" s="6">
        <f t="shared" ref="I1003:I1007" si="782">J1003+K1003</f>
        <v>0</v>
      </c>
      <c r="J1003" s="4">
        <f>G1003+J938</f>
        <v>0</v>
      </c>
      <c r="K1003" s="4">
        <f>H1003+K938</f>
        <v>0</v>
      </c>
      <c r="L1003" s="33" t="e">
        <f t="shared" ref="L1003" si="783">+J1003/E1003</f>
        <v>#DIV/0!</v>
      </c>
      <c r="M1003" s="105">
        <v>12.029500000000001</v>
      </c>
      <c r="N1003" s="34">
        <f>M1003*G1003</f>
        <v>0</v>
      </c>
      <c r="O1003" s="87">
        <f t="shared" ref="O1003:O1005" si="784">M1003*J1003</f>
        <v>0</v>
      </c>
      <c r="P1003" s="1134"/>
    </row>
    <row r="1004" spans="2:16" x14ac:dyDescent="0.3">
      <c r="B1004" s="1132"/>
      <c r="C1004" s="35"/>
      <c r="D1004" s="119" t="s">
        <v>62</v>
      </c>
      <c r="E1004" s="99">
        <v>0</v>
      </c>
      <c r="F1004" s="9">
        <f t="shared" si="781"/>
        <v>0</v>
      </c>
      <c r="G1004" s="9">
        <v>0</v>
      </c>
      <c r="H1004" s="10">
        <v>0</v>
      </c>
      <c r="I1004" s="6">
        <f t="shared" si="782"/>
        <v>0</v>
      </c>
      <c r="J1004" s="4">
        <f>G1004+J939</f>
        <v>0</v>
      </c>
      <c r="K1004" s="4">
        <f>H1004+K939</f>
        <v>0</v>
      </c>
      <c r="L1004" s="33"/>
      <c r="M1004" s="106">
        <v>0</v>
      </c>
      <c r="N1004" s="36"/>
      <c r="O1004" s="88">
        <f t="shared" si="784"/>
        <v>0</v>
      </c>
      <c r="P1004" s="1134"/>
    </row>
    <row r="1005" spans="2:16" x14ac:dyDescent="0.3">
      <c r="B1005" s="1132"/>
      <c r="C1005" s="35"/>
      <c r="D1005" s="119" t="s">
        <v>104</v>
      </c>
      <c r="E1005" s="99">
        <v>0</v>
      </c>
      <c r="F1005" s="9">
        <f t="shared" si="781"/>
        <v>0</v>
      </c>
      <c r="G1005" s="9">
        <v>0</v>
      </c>
      <c r="H1005" s="10">
        <v>0</v>
      </c>
      <c r="I1005" s="6">
        <f t="shared" si="782"/>
        <v>0</v>
      </c>
      <c r="J1005" s="4">
        <f t="shared" ref="J1005:J1007" si="785">G1005+J940</f>
        <v>0</v>
      </c>
      <c r="K1005" s="4">
        <f t="shared" ref="K1005:K1007" si="786">H1005+K940</f>
        <v>0</v>
      </c>
      <c r="L1005" s="33" t="e">
        <f t="shared" ref="L1005:L1007" si="787">+J1005/E1005</f>
        <v>#DIV/0!</v>
      </c>
      <c r="M1005" s="106">
        <v>19.688600000000001</v>
      </c>
      <c r="N1005" s="36">
        <f>M1005*G1005</f>
        <v>0</v>
      </c>
      <c r="O1005" s="88">
        <f t="shared" si="784"/>
        <v>0</v>
      </c>
      <c r="P1005" s="1134"/>
    </row>
    <row r="1006" spans="2:16" x14ac:dyDescent="0.3">
      <c r="B1006" s="1132"/>
      <c r="C1006" s="35"/>
      <c r="D1006" s="119" t="s">
        <v>64</v>
      </c>
      <c r="E1006" s="99">
        <v>0</v>
      </c>
      <c r="F1006" s="9">
        <f t="shared" si="781"/>
        <v>0</v>
      </c>
      <c r="G1006" s="9">
        <v>0</v>
      </c>
      <c r="H1006" s="10">
        <v>0</v>
      </c>
      <c r="I1006" s="6">
        <f t="shared" si="782"/>
        <v>60000</v>
      </c>
      <c r="J1006" s="4">
        <f t="shared" si="785"/>
        <v>60000</v>
      </c>
      <c r="K1006" s="4">
        <f t="shared" si="786"/>
        <v>0</v>
      </c>
      <c r="L1006" s="33" t="e">
        <f t="shared" si="787"/>
        <v>#DIV/0!</v>
      </c>
      <c r="M1006" s="106">
        <v>1.2824</v>
      </c>
      <c r="N1006" s="151">
        <f>M1006*G1006</f>
        <v>0</v>
      </c>
      <c r="O1006" s="88">
        <f>M1006*J1006</f>
        <v>76944</v>
      </c>
      <c r="P1006" s="1134"/>
    </row>
    <row r="1007" spans="2:16" ht="15" thickBot="1" x14ac:dyDescent="0.35">
      <c r="B1007" s="1132"/>
      <c r="C1007" s="82"/>
      <c r="D1007" s="120" t="s">
        <v>63</v>
      </c>
      <c r="E1007" s="108">
        <v>0</v>
      </c>
      <c r="F1007" s="12">
        <v>0</v>
      </c>
      <c r="G1007" s="12">
        <v>12960</v>
      </c>
      <c r="H1007" s="13">
        <v>182</v>
      </c>
      <c r="I1007" s="21">
        <f t="shared" si="782"/>
        <v>96284</v>
      </c>
      <c r="J1007" s="4">
        <f t="shared" si="785"/>
        <v>95040</v>
      </c>
      <c r="K1007" s="4">
        <f t="shared" si="786"/>
        <v>1244</v>
      </c>
      <c r="L1007" s="81" t="e">
        <f t="shared" si="787"/>
        <v>#DIV/0!</v>
      </c>
      <c r="M1007" s="107">
        <v>18.2316</v>
      </c>
      <c r="N1007" s="75"/>
      <c r="O1007" s="89">
        <f t="shared" ref="O1007" si="788">M1007*J1007</f>
        <v>1732731.264</v>
      </c>
      <c r="P1007" s="1136"/>
    </row>
    <row r="1008" spans="2:16" ht="15" thickBot="1" x14ac:dyDescent="0.35">
      <c r="B1008" s="1116" t="s">
        <v>112</v>
      </c>
      <c r="C1008" s="1117"/>
      <c r="D1008" s="1117"/>
      <c r="E1008" s="124"/>
      <c r="F1008" s="125">
        <f>+G1008+H1008</f>
        <v>13142</v>
      </c>
      <c r="G1008" s="125">
        <f>SUM(G1003:G1007)</f>
        <v>12960</v>
      </c>
      <c r="H1008" s="126">
        <f>SUM(H1003:H1007)</f>
        <v>182</v>
      </c>
      <c r="I1008" s="121">
        <f>J1008+K1008</f>
        <v>156284</v>
      </c>
      <c r="J1008" s="122">
        <f>SUM(J1003:J1007)</f>
        <v>155040</v>
      </c>
      <c r="K1008" s="123">
        <f>SUM(K1003:K1007)</f>
        <v>1244</v>
      </c>
      <c r="L1008" s="138"/>
      <c r="M1008" s="139"/>
      <c r="N1008" s="140"/>
      <c r="O1008" s="141">
        <f>SUM(O1003:O1007)</f>
        <v>1809675.264</v>
      </c>
      <c r="P1008" s="217"/>
    </row>
    <row r="1009" spans="2:16" ht="15" thickBot="1" x14ac:dyDescent="0.35">
      <c r="B1009" s="1116" t="s">
        <v>105</v>
      </c>
      <c r="C1009" s="1117"/>
      <c r="D1009" s="1117"/>
      <c r="E1009" s="1139"/>
      <c r="F1009" s="1139"/>
      <c r="G1009" s="1139"/>
      <c r="H1009" s="1139"/>
      <c r="I1009" s="1117"/>
      <c r="J1009" s="1117"/>
      <c r="K1009" s="1117"/>
      <c r="L1009" s="1117"/>
      <c r="M1009" s="1117"/>
      <c r="N1009" s="1140"/>
      <c r="O1009" s="83">
        <f>O1002+O1008</f>
        <v>9725317.6960000005</v>
      </c>
      <c r="P1009" s="217"/>
    </row>
    <row r="1010" spans="2:16" x14ac:dyDescent="0.3">
      <c r="B1010" s="1131" t="s">
        <v>65</v>
      </c>
      <c r="C1010" s="37" t="s">
        <v>66</v>
      </c>
      <c r="D1010" s="28" t="s">
        <v>67</v>
      </c>
      <c r="E1010" s="38">
        <v>0</v>
      </c>
      <c r="F1010" s="14">
        <f>+G1010+H1010</f>
        <v>0</v>
      </c>
      <c r="G1010" s="14">
        <v>0</v>
      </c>
      <c r="H1010" s="5">
        <v>0</v>
      </c>
      <c r="I1010" s="17">
        <f t="shared" ref="I1010:I1016" si="789">J1010+K1010</f>
        <v>0</v>
      </c>
      <c r="J1010" s="4">
        <f>G1010+J945</f>
        <v>0</v>
      </c>
      <c r="K1010" s="4">
        <f>H1010+K945</f>
        <v>0</v>
      </c>
      <c r="L1010" s="30" t="e">
        <f>+J1010/E1010</f>
        <v>#DIV/0!</v>
      </c>
      <c r="M1010" s="146">
        <v>2.2141000000000002</v>
      </c>
      <c r="N1010" s="15">
        <f>+M1010*G1010</f>
        <v>0</v>
      </c>
      <c r="O1010" s="90">
        <f>+M1010*J1010</f>
        <v>0</v>
      </c>
      <c r="P1010" s="1142"/>
    </row>
    <row r="1011" spans="2:16" x14ac:dyDescent="0.3">
      <c r="B1011" s="1132"/>
      <c r="C1011" s="39"/>
      <c r="D1011" s="22" t="s">
        <v>68</v>
      </c>
      <c r="E1011" s="3">
        <v>0</v>
      </c>
      <c r="F1011" s="9">
        <f t="shared" ref="F1011:F1016" si="790">+G1011+H1011</f>
        <v>0</v>
      </c>
      <c r="G1011" s="4">
        <v>0</v>
      </c>
      <c r="H1011" s="8">
        <v>0</v>
      </c>
      <c r="I1011" s="6">
        <f t="shared" si="789"/>
        <v>0</v>
      </c>
      <c r="J1011" s="4">
        <f>+G1011+J946</f>
        <v>0</v>
      </c>
      <c r="K1011" s="4">
        <f>+H1011+K946</f>
        <v>0</v>
      </c>
      <c r="L1011" s="40" t="e">
        <f t="shared" ref="L1011:L1012" si="791">+J1011/E1011</f>
        <v>#DIV/0!</v>
      </c>
      <c r="M1011" s="145">
        <v>2.4565999999999999</v>
      </c>
      <c r="N1011" s="11">
        <f t="shared" ref="N1011:N1013" si="792">+M1011*G1011</f>
        <v>0</v>
      </c>
      <c r="O1011" s="91">
        <f t="shared" ref="O1011:O1013" si="793">+M1011*J1011</f>
        <v>0</v>
      </c>
      <c r="P1011" s="1143"/>
    </row>
    <row r="1012" spans="2:16" x14ac:dyDescent="0.3">
      <c r="B1012" s="1132"/>
      <c r="C1012" s="39"/>
      <c r="D1012" s="23" t="s">
        <v>133</v>
      </c>
      <c r="E1012" s="3">
        <v>0</v>
      </c>
      <c r="F1012" s="9">
        <f t="shared" si="790"/>
        <v>0</v>
      </c>
      <c r="G1012" s="4">
        <v>0</v>
      </c>
      <c r="H1012" s="8">
        <v>0</v>
      </c>
      <c r="I1012" s="6">
        <f t="shared" si="789"/>
        <v>0</v>
      </c>
      <c r="J1012" s="4">
        <f t="shared" ref="J1012:J1013" si="794">+G1012+J947</f>
        <v>0</v>
      </c>
      <c r="K1012" s="4">
        <f t="shared" ref="K1012:K1016" si="795">+H1012+K947</f>
        <v>0</v>
      </c>
      <c r="L1012" s="40" t="e">
        <f t="shared" si="791"/>
        <v>#DIV/0!</v>
      </c>
      <c r="M1012" s="145">
        <v>2.2907000000000002</v>
      </c>
      <c r="N1012" s="11">
        <f t="shared" si="792"/>
        <v>0</v>
      </c>
      <c r="O1012" s="91">
        <f t="shared" si="793"/>
        <v>0</v>
      </c>
      <c r="P1012" s="1143"/>
    </row>
    <row r="1013" spans="2:16" x14ac:dyDescent="0.3">
      <c r="B1013" s="1132"/>
      <c r="C1013" s="39"/>
      <c r="D1013" s="22" t="s">
        <v>138</v>
      </c>
      <c r="E1013" s="3"/>
      <c r="F1013" s="9">
        <f t="shared" si="790"/>
        <v>0</v>
      </c>
      <c r="G1013" s="4">
        <v>0</v>
      </c>
      <c r="H1013" s="8">
        <v>0</v>
      </c>
      <c r="I1013" s="6">
        <f t="shared" si="789"/>
        <v>0</v>
      </c>
      <c r="J1013" s="4">
        <f t="shared" si="794"/>
        <v>0</v>
      </c>
      <c r="K1013" s="4">
        <f t="shared" si="795"/>
        <v>0</v>
      </c>
      <c r="L1013" s="33"/>
      <c r="M1013" s="150">
        <v>2.544</v>
      </c>
      <c r="N1013" s="11">
        <f t="shared" si="792"/>
        <v>0</v>
      </c>
      <c r="O1013" s="91">
        <f t="shared" si="793"/>
        <v>0</v>
      </c>
      <c r="P1013" s="1143"/>
    </row>
    <row r="1014" spans="2:16" x14ac:dyDescent="0.3">
      <c r="B1014" s="1132"/>
      <c r="C1014" s="39" t="s">
        <v>69</v>
      </c>
      <c r="D1014" s="22" t="s">
        <v>140</v>
      </c>
      <c r="E1014" s="3">
        <v>0</v>
      </c>
      <c r="F1014" s="9">
        <f t="shared" si="790"/>
        <v>0</v>
      </c>
      <c r="G1014" s="4">
        <v>0</v>
      </c>
      <c r="H1014" s="8">
        <v>0</v>
      </c>
      <c r="I1014" s="6">
        <f t="shared" si="789"/>
        <v>567947</v>
      </c>
      <c r="J1014" s="4">
        <f>+G1014+J949</f>
        <v>552750</v>
      </c>
      <c r="K1014" s="4">
        <f t="shared" si="795"/>
        <v>15197</v>
      </c>
      <c r="L1014" s="33" t="e">
        <f>+J1014/E1014</f>
        <v>#DIV/0!</v>
      </c>
      <c r="M1014" s="144">
        <v>2.2141000000000002</v>
      </c>
      <c r="N1014" s="7">
        <f>+M1014*G1014</f>
        <v>0</v>
      </c>
      <c r="O1014" s="85">
        <f>+M1014*J1014</f>
        <v>1223843.7750000001</v>
      </c>
      <c r="P1014" s="1143"/>
    </row>
    <row r="1015" spans="2:16" x14ac:dyDescent="0.3">
      <c r="B1015" s="1132"/>
      <c r="C1015" s="39"/>
      <c r="D1015" s="22" t="s">
        <v>68</v>
      </c>
      <c r="E1015" s="3">
        <v>0</v>
      </c>
      <c r="F1015" s="9">
        <f t="shared" si="790"/>
        <v>0</v>
      </c>
      <c r="G1015" s="4">
        <v>0</v>
      </c>
      <c r="H1015" s="8">
        <v>0</v>
      </c>
      <c r="I1015" s="6">
        <f t="shared" si="789"/>
        <v>0</v>
      </c>
      <c r="J1015" s="4">
        <f t="shared" ref="J1015:J1016" si="796">+G1015+J950</f>
        <v>0</v>
      </c>
      <c r="K1015" s="4">
        <f t="shared" si="795"/>
        <v>0</v>
      </c>
      <c r="L1015" s="40" t="e">
        <f t="shared" ref="L1015:L1016" si="797">+J1015/E1015</f>
        <v>#DIV/0!</v>
      </c>
      <c r="M1015" s="145">
        <v>2.4565999999999999</v>
      </c>
      <c r="N1015" s="11">
        <f t="shared" ref="N1015:N1016" si="798">+M1015*G1015</f>
        <v>0</v>
      </c>
      <c r="O1015" s="91">
        <f t="shared" ref="O1015" si="799">+M1015*J1015</f>
        <v>0</v>
      </c>
      <c r="P1015" s="1143"/>
    </row>
    <row r="1016" spans="2:16" ht="15" thickBot="1" x14ac:dyDescent="0.35">
      <c r="B1016" s="1132"/>
      <c r="C1016" s="39"/>
      <c r="D1016" s="22" t="s">
        <v>133</v>
      </c>
      <c r="E1016" s="3">
        <v>0</v>
      </c>
      <c r="F1016" s="9">
        <f t="shared" si="790"/>
        <v>0</v>
      </c>
      <c r="G1016" s="4">
        <v>0</v>
      </c>
      <c r="H1016" s="8">
        <v>0</v>
      </c>
      <c r="I1016" s="6">
        <f t="shared" si="789"/>
        <v>0</v>
      </c>
      <c r="J1016" s="4">
        <f t="shared" si="796"/>
        <v>0</v>
      </c>
      <c r="K1016" s="4">
        <f t="shared" si="795"/>
        <v>0</v>
      </c>
      <c r="L1016" s="40" t="e">
        <f t="shared" si="797"/>
        <v>#DIV/0!</v>
      </c>
      <c r="M1016" s="145">
        <v>2.2907000000000002</v>
      </c>
      <c r="N1016" s="11">
        <f t="shared" si="798"/>
        <v>0</v>
      </c>
      <c r="O1016" s="154">
        <f>+M1016*J1016</f>
        <v>0</v>
      </c>
      <c r="P1016" s="1144"/>
    </row>
    <row r="1017" spans="2:16" ht="15" thickBot="1" x14ac:dyDescent="0.35">
      <c r="B1017" s="1132"/>
      <c r="C1017" s="41" t="s">
        <v>29</v>
      </c>
      <c r="D1017" s="27" t="str">
        <f>+C1017</f>
        <v>TOTAL 1/2</v>
      </c>
      <c r="E1017" s="42">
        <f>SUM(E1010:E1016)</f>
        <v>0</v>
      </c>
      <c r="F1017" s="43">
        <f>SUM(F1010:F1016)</f>
        <v>0</v>
      </c>
      <c r="G1017" s="43">
        <f>SUM(G1010:G1016)</f>
        <v>0</v>
      </c>
      <c r="H1017" s="44">
        <f>SUM(H1010:H1016)</f>
        <v>0</v>
      </c>
      <c r="I1017" s="45">
        <f>SUM(I1014:I1016)</f>
        <v>567947</v>
      </c>
      <c r="J1017" s="43">
        <f>SUM(J1010:J1016)</f>
        <v>552750</v>
      </c>
      <c r="K1017" s="43">
        <f>SUM(K1010:K1016)</f>
        <v>15197</v>
      </c>
      <c r="L1017" s="46" t="e">
        <f>+J1017/E1017</f>
        <v>#DIV/0!</v>
      </c>
      <c r="M1017" s="47"/>
      <c r="N1017" s="48">
        <f>SUM(N1014:N1016)</f>
        <v>0</v>
      </c>
      <c r="O1017" s="49">
        <f>SUM(O1010:O1016)</f>
        <v>1223843.7750000001</v>
      </c>
      <c r="P1017" s="218"/>
    </row>
    <row r="1018" spans="2:16" x14ac:dyDescent="0.3">
      <c r="B1018" s="1132"/>
      <c r="C1018" s="1145" t="s">
        <v>70</v>
      </c>
      <c r="D1018" s="22" t="s">
        <v>67</v>
      </c>
      <c r="E1018" s="3">
        <v>0</v>
      </c>
      <c r="F1018" s="4">
        <f>G1018+H1018</f>
        <v>0</v>
      </c>
      <c r="G1018" s="4">
        <v>0</v>
      </c>
      <c r="H1018" s="8">
        <v>0</v>
      </c>
      <c r="I1018" s="16">
        <f>J1018+K1018</f>
        <v>109220</v>
      </c>
      <c r="J1018" s="4">
        <f>G1018+J953</f>
        <v>105750</v>
      </c>
      <c r="K1018" s="4">
        <f>H1018+K953</f>
        <v>3470</v>
      </c>
      <c r="L1018" s="50" t="e">
        <f>+J1018/E1018</f>
        <v>#DIV/0!</v>
      </c>
      <c r="M1018" s="144">
        <v>4.1712999999999996</v>
      </c>
      <c r="N1018" s="7">
        <f>+M1018*G1018</f>
        <v>0</v>
      </c>
      <c r="O1018" s="93">
        <f>+M1018*J1018</f>
        <v>441114.97499999998</v>
      </c>
      <c r="P1018" s="1142"/>
    </row>
    <row r="1019" spans="2:16" x14ac:dyDescent="0.3">
      <c r="B1019" s="1132"/>
      <c r="C1019" s="1146"/>
      <c r="D1019" s="22" t="s">
        <v>68</v>
      </c>
      <c r="E1019" s="3">
        <v>0</v>
      </c>
      <c r="F1019" s="4">
        <f>G1019+H1019</f>
        <v>31370</v>
      </c>
      <c r="G1019" s="4">
        <v>30000</v>
      </c>
      <c r="H1019" s="8">
        <v>1370</v>
      </c>
      <c r="I1019" s="6">
        <f>+R2063+F1019</f>
        <v>31370</v>
      </c>
      <c r="J1019" s="4">
        <f>G1019+J954</f>
        <v>176500</v>
      </c>
      <c r="K1019" s="4">
        <f>H1019+K954</f>
        <v>6080</v>
      </c>
      <c r="L1019" s="51" t="e">
        <f t="shared" ref="L1019:L1023" si="800">+J1019/E1019</f>
        <v>#DIV/0!</v>
      </c>
      <c r="M1019" s="145">
        <v>4.8285999999999998</v>
      </c>
      <c r="N1019" s="11">
        <f t="shared" ref="N1019:N1021" si="801">+M1019*G1019</f>
        <v>144858</v>
      </c>
      <c r="O1019" s="94">
        <f t="shared" ref="O1019:O1021" si="802">+M1019*J1019</f>
        <v>852247.89999999991</v>
      </c>
      <c r="P1019" s="1143"/>
    </row>
    <row r="1020" spans="2:16" x14ac:dyDescent="0.3">
      <c r="B1020" s="1132"/>
      <c r="C1020" s="1146"/>
      <c r="D1020" s="22" t="s">
        <v>134</v>
      </c>
      <c r="E1020" s="3"/>
      <c r="F1020" s="4">
        <f>G1020+H1020</f>
        <v>0</v>
      </c>
      <c r="G1020" s="4">
        <v>0</v>
      </c>
      <c r="H1020" s="8">
        <v>0</v>
      </c>
      <c r="I1020" s="6">
        <f>+R2064+F1020</f>
        <v>0</v>
      </c>
      <c r="J1020" s="4">
        <f t="shared" ref="J1020:J1021" si="803">G1020+J955</f>
        <v>0</v>
      </c>
      <c r="K1020" s="4">
        <f t="shared" ref="K1020:K1021" si="804">H1020+K955</f>
        <v>0</v>
      </c>
      <c r="L1020" s="51" t="e">
        <f t="shared" si="800"/>
        <v>#DIV/0!</v>
      </c>
      <c r="M1020" s="144">
        <v>4.5023</v>
      </c>
      <c r="N1020" s="11">
        <f t="shared" si="801"/>
        <v>0</v>
      </c>
      <c r="O1020" s="94">
        <f t="shared" si="802"/>
        <v>0</v>
      </c>
      <c r="P1020" s="1143"/>
    </row>
    <row r="1021" spans="2:16" ht="15" thickBot="1" x14ac:dyDescent="0.35">
      <c r="B1021" s="1132"/>
      <c r="C1021" s="1146"/>
      <c r="D1021" s="22" t="s">
        <v>118</v>
      </c>
      <c r="E1021" s="3">
        <v>0</v>
      </c>
      <c r="F1021" s="4">
        <f t="shared" ref="F1021" si="805">G1021+H1021</f>
        <v>0</v>
      </c>
      <c r="G1021" s="4">
        <v>0</v>
      </c>
      <c r="H1021" s="8">
        <v>0</v>
      </c>
      <c r="I1021" s="6">
        <f>+R2064+F1021</f>
        <v>0</v>
      </c>
      <c r="J1021" s="4">
        <f t="shared" si="803"/>
        <v>0</v>
      </c>
      <c r="K1021" s="4">
        <f t="shared" si="804"/>
        <v>0</v>
      </c>
      <c r="L1021" s="51" t="e">
        <f t="shared" si="800"/>
        <v>#DIV/0!</v>
      </c>
      <c r="M1021" s="144">
        <v>4.4065000000000003</v>
      </c>
      <c r="N1021" s="11">
        <f t="shared" si="801"/>
        <v>0</v>
      </c>
      <c r="O1021" s="94">
        <f t="shared" si="802"/>
        <v>0</v>
      </c>
      <c r="P1021" s="1143"/>
    </row>
    <row r="1022" spans="2:16" ht="15" thickBot="1" x14ac:dyDescent="0.35">
      <c r="B1022" s="1132"/>
      <c r="C1022" s="41" t="s">
        <v>31</v>
      </c>
      <c r="D1022" s="18" t="str">
        <f>+C1022</f>
        <v>TOTAL 4/4</v>
      </c>
      <c r="E1022" s="42">
        <f t="shared" ref="E1022:K1022" si="806">SUM(E1018:E1021)</f>
        <v>0</v>
      </c>
      <c r="F1022" s="43">
        <f t="shared" si="806"/>
        <v>31370</v>
      </c>
      <c r="G1022" s="43">
        <f t="shared" si="806"/>
        <v>30000</v>
      </c>
      <c r="H1022" s="44">
        <f t="shared" si="806"/>
        <v>1370</v>
      </c>
      <c r="I1022" s="45">
        <f t="shared" si="806"/>
        <v>140590</v>
      </c>
      <c r="J1022" s="43">
        <f t="shared" si="806"/>
        <v>282250</v>
      </c>
      <c r="K1022" s="43">
        <f t="shared" si="806"/>
        <v>9550</v>
      </c>
      <c r="L1022" s="46" t="e">
        <f t="shared" si="800"/>
        <v>#DIV/0!</v>
      </c>
      <c r="M1022" s="47"/>
      <c r="N1022" s="48">
        <f>SUM(N1018:N1021)</f>
        <v>144858</v>
      </c>
      <c r="O1022" s="92">
        <f>SUM(O1018:O1021)</f>
        <v>1293362.875</v>
      </c>
      <c r="P1022" s="1144"/>
    </row>
    <row r="1023" spans="2:16" ht="15" thickBot="1" x14ac:dyDescent="0.35">
      <c r="B1023" s="1141"/>
      <c r="C1023" s="41" t="s">
        <v>71</v>
      </c>
      <c r="D1023" s="27" t="s">
        <v>67</v>
      </c>
      <c r="E1023" s="25">
        <v>0</v>
      </c>
      <c r="F1023" s="20">
        <f>G1023+H1023</f>
        <v>0</v>
      </c>
      <c r="G1023" s="20">
        <v>0</v>
      </c>
      <c r="H1023" s="24">
        <v>0</v>
      </c>
      <c r="I1023" s="19">
        <f>J1023+K1023</f>
        <v>0</v>
      </c>
      <c r="J1023" s="4">
        <f>G1023+J958</f>
        <v>0</v>
      </c>
      <c r="K1023" s="4">
        <f>H1023+K958</f>
        <v>0</v>
      </c>
      <c r="L1023" s="52" t="e">
        <f t="shared" si="800"/>
        <v>#DIV/0!</v>
      </c>
      <c r="M1023" s="149">
        <v>1.4086000000000001</v>
      </c>
      <c r="N1023" s="26">
        <f t="shared" ref="N1023" si="807">+M1023*G1023</f>
        <v>0</v>
      </c>
      <c r="O1023" s="95">
        <f t="shared" ref="O1023" si="808">+M1023*J1023</f>
        <v>0</v>
      </c>
      <c r="P1023" s="53"/>
    </row>
    <row r="1024" spans="2:16" ht="15" thickBot="1" x14ac:dyDescent="0.35">
      <c r="B1024" s="1116" t="s">
        <v>102</v>
      </c>
      <c r="C1024" s="1117"/>
      <c r="D1024" s="1117"/>
      <c r="E1024" s="1117"/>
      <c r="F1024" s="1117"/>
      <c r="G1024" s="1117"/>
      <c r="H1024" s="1117"/>
      <c r="I1024" s="110">
        <f>J1024+K1024</f>
        <v>859747</v>
      </c>
      <c r="J1024" s="110">
        <f>J1017+J1022+J1023</f>
        <v>835000</v>
      </c>
      <c r="K1024" s="110">
        <f>K1017+K1022+K1023</f>
        <v>24747</v>
      </c>
      <c r="L1024" s="111"/>
      <c r="M1024" s="112"/>
      <c r="N1024" s="109"/>
      <c r="O1024" s="77">
        <f>+O1023+O1022+O1017</f>
        <v>2517206.6500000004</v>
      </c>
      <c r="P1024" s="84"/>
    </row>
    <row r="1025" spans="2:16" x14ac:dyDescent="0.3">
      <c r="B1025" s="1118" t="s">
        <v>72</v>
      </c>
      <c r="C1025" s="1121" t="s">
        <v>73</v>
      </c>
      <c r="D1025" s="54" t="s">
        <v>74</v>
      </c>
      <c r="E1025" s="55">
        <v>0</v>
      </c>
      <c r="F1025" s="56">
        <f>G1025+H1025</f>
        <v>10089</v>
      </c>
      <c r="G1025" s="56">
        <v>10000</v>
      </c>
      <c r="H1025" s="57">
        <v>89</v>
      </c>
      <c r="I1025" s="78">
        <f>J1025+K1025</f>
        <v>47042</v>
      </c>
      <c r="J1025" s="4">
        <f>G1025+J960</f>
        <v>46600</v>
      </c>
      <c r="K1025" s="4">
        <f>H1025+K960</f>
        <v>442</v>
      </c>
      <c r="L1025" s="58" t="e">
        <f t="shared" ref="L1025" si="809">+J1025/E1025</f>
        <v>#DIV/0!</v>
      </c>
      <c r="M1025" s="59">
        <v>32.946300000000001</v>
      </c>
      <c r="N1025" s="60">
        <f>+M1025*G1025</f>
        <v>329463</v>
      </c>
      <c r="O1025" s="60">
        <f>M1025*J1025</f>
        <v>1535297.58</v>
      </c>
      <c r="P1025" s="1123"/>
    </row>
    <row r="1026" spans="2:16" x14ac:dyDescent="0.3">
      <c r="B1026" s="1119"/>
      <c r="C1026" s="1122"/>
      <c r="D1026" s="61" t="s">
        <v>75</v>
      </c>
      <c r="E1026" s="62">
        <v>0</v>
      </c>
      <c r="F1026" s="63">
        <f>G1026+H1026</f>
        <v>0</v>
      </c>
      <c r="G1026" s="63">
        <v>0</v>
      </c>
      <c r="H1026" s="64">
        <v>0</v>
      </c>
      <c r="I1026" s="79">
        <f>J1026+K1026</f>
        <v>31833</v>
      </c>
      <c r="J1026" s="4">
        <f>G1026+J961</f>
        <v>31420</v>
      </c>
      <c r="K1026" s="4">
        <f>H1026+K961</f>
        <v>413</v>
      </c>
      <c r="L1026" s="65" t="e">
        <f>+J1026/E1026</f>
        <v>#DIV/0!</v>
      </c>
      <c r="M1026" s="66">
        <v>35.398400000000002</v>
      </c>
      <c r="N1026" s="67">
        <f>+M1026*G1026</f>
        <v>0</v>
      </c>
      <c r="O1026" s="67">
        <f>M1026*J1026</f>
        <v>1112217.7280000001</v>
      </c>
      <c r="P1026" s="1124"/>
    </row>
    <row r="1027" spans="2:16" x14ac:dyDescent="0.3">
      <c r="B1027" s="1119"/>
      <c r="C1027" s="1122"/>
      <c r="D1027" s="61" t="s">
        <v>76</v>
      </c>
      <c r="E1027" s="62">
        <v>0</v>
      </c>
      <c r="F1027" s="63">
        <f t="shared" ref="F1027:F1030" si="810">G1027+H1027</f>
        <v>0</v>
      </c>
      <c r="G1027" s="63">
        <v>0</v>
      </c>
      <c r="H1027" s="64">
        <v>0</v>
      </c>
      <c r="I1027" s="79">
        <f t="shared" ref="I1027:I1036" si="811">J1027+K1027</f>
        <v>0</v>
      </c>
      <c r="J1027" s="4">
        <f t="shared" ref="J1027:J1052" si="812">G1027+J962</f>
        <v>0</v>
      </c>
      <c r="K1027" s="4">
        <f t="shared" ref="K1027:K1031" si="813">H1027+K962</f>
        <v>0</v>
      </c>
      <c r="L1027" s="65" t="e">
        <f t="shared" ref="L1027:L1040" si="814">+J1027/E1027</f>
        <v>#DIV/0!</v>
      </c>
      <c r="M1027" s="66">
        <v>32.946300000000001</v>
      </c>
      <c r="N1027" s="67">
        <f t="shared" ref="N1027:N1047" si="815">+M1027*G1027</f>
        <v>0</v>
      </c>
      <c r="O1027" s="67">
        <f t="shared" ref="O1027:O1035" si="816">M1027*J1027</f>
        <v>0</v>
      </c>
      <c r="P1027" s="1124"/>
    </row>
    <row r="1028" spans="2:16" x14ac:dyDescent="0.3">
      <c r="B1028" s="1119"/>
      <c r="C1028" s="1122" t="s">
        <v>77</v>
      </c>
      <c r="D1028" s="61" t="s">
        <v>78</v>
      </c>
      <c r="E1028" s="62">
        <v>0</v>
      </c>
      <c r="F1028" s="63">
        <f t="shared" si="810"/>
        <v>4980</v>
      </c>
      <c r="G1028" s="63">
        <v>4800</v>
      </c>
      <c r="H1028" s="64">
        <v>180</v>
      </c>
      <c r="I1028" s="79">
        <f t="shared" si="811"/>
        <v>34515</v>
      </c>
      <c r="J1028" s="4">
        <f t="shared" si="812"/>
        <v>33600</v>
      </c>
      <c r="K1028" s="4">
        <f t="shared" si="813"/>
        <v>915</v>
      </c>
      <c r="L1028" s="65" t="e">
        <f t="shared" si="814"/>
        <v>#DIV/0!</v>
      </c>
      <c r="M1028" s="66">
        <v>55.4758</v>
      </c>
      <c r="N1028" s="67">
        <f t="shared" si="815"/>
        <v>266283.84000000003</v>
      </c>
      <c r="O1028" s="67">
        <f t="shared" si="816"/>
        <v>1863986.88</v>
      </c>
      <c r="P1028" s="1124"/>
    </row>
    <row r="1029" spans="2:16" x14ac:dyDescent="0.3">
      <c r="B1029" s="1119"/>
      <c r="C1029" s="1122"/>
      <c r="D1029" s="61" t="s">
        <v>141</v>
      </c>
      <c r="E1029" s="62">
        <v>0</v>
      </c>
      <c r="F1029" s="63">
        <f t="shared" si="810"/>
        <v>0</v>
      </c>
      <c r="G1029" s="63">
        <v>0</v>
      </c>
      <c r="H1029" s="64">
        <v>0</v>
      </c>
      <c r="I1029" s="79">
        <f t="shared" si="811"/>
        <v>0</v>
      </c>
      <c r="J1029" s="4">
        <f t="shared" si="812"/>
        <v>0</v>
      </c>
      <c r="K1029" s="4">
        <f t="shared" si="813"/>
        <v>0</v>
      </c>
      <c r="L1029" s="65" t="e">
        <f t="shared" si="814"/>
        <v>#DIV/0!</v>
      </c>
      <c r="M1029" s="66">
        <v>53.515999999999998</v>
      </c>
      <c r="N1029" s="67">
        <f t="shared" si="815"/>
        <v>0</v>
      </c>
      <c r="O1029" s="67">
        <f t="shared" si="816"/>
        <v>0</v>
      </c>
      <c r="P1029" s="1124"/>
    </row>
    <row r="1030" spans="2:16" x14ac:dyDescent="0.3">
      <c r="B1030" s="1119"/>
      <c r="C1030" s="1122"/>
      <c r="D1030" s="61" t="s">
        <v>75</v>
      </c>
      <c r="E1030" s="62">
        <v>0</v>
      </c>
      <c r="F1030" s="63">
        <f t="shared" si="810"/>
        <v>0</v>
      </c>
      <c r="G1030" s="63">
        <v>0</v>
      </c>
      <c r="H1030" s="64">
        <v>0</v>
      </c>
      <c r="I1030" s="79">
        <f t="shared" si="811"/>
        <v>9804</v>
      </c>
      <c r="J1030" s="4">
        <f t="shared" si="812"/>
        <v>9600</v>
      </c>
      <c r="K1030" s="4">
        <f t="shared" si="813"/>
        <v>204</v>
      </c>
      <c r="L1030" s="65" t="e">
        <f t="shared" si="814"/>
        <v>#DIV/0!</v>
      </c>
      <c r="M1030" s="66">
        <v>58.836300000000001</v>
      </c>
      <c r="N1030" s="67">
        <f t="shared" si="815"/>
        <v>0</v>
      </c>
      <c r="O1030" s="67">
        <f t="shared" si="816"/>
        <v>564828.48</v>
      </c>
      <c r="P1030" s="1124"/>
    </row>
    <row r="1031" spans="2:16" x14ac:dyDescent="0.3">
      <c r="B1031" s="1119"/>
      <c r="C1031" s="1126" t="s">
        <v>79</v>
      </c>
      <c r="D1031" s="61" t="s">
        <v>80</v>
      </c>
      <c r="E1031" s="62">
        <v>0</v>
      </c>
      <c r="F1031" s="63">
        <f>G1031+H1031</f>
        <v>0</v>
      </c>
      <c r="G1031" s="63">
        <v>0</v>
      </c>
      <c r="H1031" s="64">
        <v>0</v>
      </c>
      <c r="I1031" s="79">
        <f t="shared" si="811"/>
        <v>13295</v>
      </c>
      <c r="J1031" s="4">
        <f t="shared" si="812"/>
        <v>13000</v>
      </c>
      <c r="K1031" s="4">
        <f t="shared" si="813"/>
        <v>295</v>
      </c>
      <c r="L1031" s="65" t="e">
        <f t="shared" si="814"/>
        <v>#DIV/0!</v>
      </c>
      <c r="M1031" s="66">
        <v>25.687200000000001</v>
      </c>
      <c r="N1031" s="67">
        <f t="shared" si="815"/>
        <v>0</v>
      </c>
      <c r="O1031" s="67">
        <f t="shared" si="816"/>
        <v>333933.60000000003</v>
      </c>
      <c r="P1031" s="1124"/>
    </row>
    <row r="1032" spans="2:16" x14ac:dyDescent="0.3">
      <c r="B1032" s="1119"/>
      <c r="C1032" s="1127"/>
      <c r="D1032" s="61" t="s">
        <v>124</v>
      </c>
      <c r="E1032" s="62">
        <v>0</v>
      </c>
      <c r="F1032" s="63">
        <f>G1032+H1032</f>
        <v>0</v>
      </c>
      <c r="G1032" s="63">
        <v>0</v>
      </c>
      <c r="H1032" s="64">
        <v>0</v>
      </c>
      <c r="I1032" s="79">
        <f t="shared" si="811"/>
        <v>0</v>
      </c>
      <c r="J1032" s="4">
        <f t="shared" si="812"/>
        <v>0</v>
      </c>
      <c r="K1032" s="4">
        <f>H1032+K967</f>
        <v>0</v>
      </c>
      <c r="L1032" s="65" t="e">
        <f t="shared" si="814"/>
        <v>#DIV/0!</v>
      </c>
      <c r="M1032" s="66">
        <v>25.033899999999999</v>
      </c>
      <c r="N1032" s="67">
        <f t="shared" si="815"/>
        <v>0</v>
      </c>
      <c r="O1032" s="67">
        <f t="shared" si="816"/>
        <v>0</v>
      </c>
      <c r="P1032" s="1124"/>
    </row>
    <row r="1033" spans="2:16" x14ac:dyDescent="0.3">
      <c r="B1033" s="1119"/>
      <c r="C1033" s="1126" t="s">
        <v>81</v>
      </c>
      <c r="D1033" s="61" t="s">
        <v>82</v>
      </c>
      <c r="E1033" s="62">
        <v>0</v>
      </c>
      <c r="F1033" s="63">
        <f t="shared" ref="F1033:F1052" si="817">G1033+H1033</f>
        <v>0</v>
      </c>
      <c r="G1033" s="63">
        <v>0</v>
      </c>
      <c r="H1033" s="64">
        <v>0</v>
      </c>
      <c r="I1033" s="79">
        <f t="shared" si="811"/>
        <v>16343</v>
      </c>
      <c r="J1033" s="4">
        <f t="shared" si="812"/>
        <v>16000</v>
      </c>
      <c r="K1033" s="4">
        <f t="shared" ref="K1033:K1052" si="818">H1033+K968</f>
        <v>343</v>
      </c>
      <c r="L1033" s="65" t="e">
        <f t="shared" si="814"/>
        <v>#DIV/0!</v>
      </c>
      <c r="M1033" s="66">
        <v>41.992699999999999</v>
      </c>
      <c r="N1033" s="67">
        <f t="shared" si="815"/>
        <v>0</v>
      </c>
      <c r="O1033" s="67">
        <f t="shared" si="816"/>
        <v>671883.2</v>
      </c>
      <c r="P1033" s="1124"/>
    </row>
    <row r="1034" spans="2:16" x14ac:dyDescent="0.3">
      <c r="B1034" s="1119"/>
      <c r="C1034" s="1127"/>
      <c r="D1034" s="61" t="s">
        <v>75</v>
      </c>
      <c r="E1034" s="62">
        <v>0</v>
      </c>
      <c r="F1034" s="63">
        <f t="shared" si="817"/>
        <v>0</v>
      </c>
      <c r="G1034" s="63">
        <v>0</v>
      </c>
      <c r="H1034" s="64">
        <v>0</v>
      </c>
      <c r="I1034" s="79">
        <f t="shared" si="811"/>
        <v>0</v>
      </c>
      <c r="J1034" s="4">
        <f t="shared" si="812"/>
        <v>0</v>
      </c>
      <c r="K1034" s="4">
        <f t="shared" si="818"/>
        <v>0</v>
      </c>
      <c r="L1034" s="65" t="e">
        <f t="shared" si="814"/>
        <v>#DIV/0!</v>
      </c>
      <c r="M1034" s="66">
        <v>42.283799999999999</v>
      </c>
      <c r="N1034" s="67">
        <f t="shared" si="815"/>
        <v>0</v>
      </c>
      <c r="O1034" s="67">
        <f t="shared" si="816"/>
        <v>0</v>
      </c>
      <c r="P1034" s="1124"/>
    </row>
    <row r="1035" spans="2:16" x14ac:dyDescent="0.3">
      <c r="B1035" s="1119"/>
      <c r="C1035" s="216" t="s">
        <v>83</v>
      </c>
      <c r="D1035" s="61" t="s">
        <v>84</v>
      </c>
      <c r="E1035" s="62">
        <v>0</v>
      </c>
      <c r="F1035" s="63">
        <f t="shared" si="817"/>
        <v>0</v>
      </c>
      <c r="G1035" s="63">
        <v>0</v>
      </c>
      <c r="H1035" s="64">
        <v>0</v>
      </c>
      <c r="I1035" s="79">
        <f t="shared" si="811"/>
        <v>24803</v>
      </c>
      <c r="J1035" s="4">
        <f t="shared" si="812"/>
        <v>24000</v>
      </c>
      <c r="K1035" s="4">
        <f t="shared" si="818"/>
        <v>803</v>
      </c>
      <c r="L1035" s="65" t="e">
        <f t="shared" si="814"/>
        <v>#DIV/0!</v>
      </c>
      <c r="M1035" s="66">
        <v>4.3535000000000004</v>
      </c>
      <c r="N1035" s="67">
        <f t="shared" si="815"/>
        <v>0</v>
      </c>
      <c r="O1035" s="67">
        <f t="shared" si="816"/>
        <v>104484.00000000001</v>
      </c>
      <c r="P1035" s="1124"/>
    </row>
    <row r="1036" spans="2:16" x14ac:dyDescent="0.3">
      <c r="B1036" s="1119"/>
      <c r="C1036" s="1122" t="s">
        <v>85</v>
      </c>
      <c r="D1036" s="61" t="s">
        <v>80</v>
      </c>
      <c r="E1036" s="62">
        <v>0</v>
      </c>
      <c r="F1036" s="63">
        <f t="shared" si="817"/>
        <v>0</v>
      </c>
      <c r="G1036" s="63">
        <v>0</v>
      </c>
      <c r="H1036" s="64">
        <v>0</v>
      </c>
      <c r="I1036" s="79">
        <f t="shared" si="811"/>
        <v>0</v>
      </c>
      <c r="J1036" s="4">
        <f t="shared" si="812"/>
        <v>0</v>
      </c>
      <c r="K1036" s="4">
        <f t="shared" si="818"/>
        <v>0</v>
      </c>
      <c r="L1036" s="65" t="e">
        <f t="shared" si="814"/>
        <v>#DIV/0!</v>
      </c>
      <c r="M1036" s="66">
        <v>4.6184000000000003</v>
      </c>
      <c r="N1036" s="67">
        <f t="shared" si="815"/>
        <v>0</v>
      </c>
      <c r="O1036" s="67">
        <f>M1036*J1036</f>
        <v>0</v>
      </c>
      <c r="P1036" s="1124"/>
    </row>
    <row r="1037" spans="2:16" x14ac:dyDescent="0.3">
      <c r="B1037" s="1119"/>
      <c r="C1037" s="1122"/>
      <c r="D1037" s="61" t="s">
        <v>126</v>
      </c>
      <c r="E1037" s="62">
        <v>0</v>
      </c>
      <c r="F1037" s="63">
        <f t="shared" si="817"/>
        <v>20139</v>
      </c>
      <c r="G1037" s="63">
        <v>19800</v>
      </c>
      <c r="H1037" s="64">
        <v>339</v>
      </c>
      <c r="I1037" s="79">
        <f>J1037+K1037</f>
        <v>29721</v>
      </c>
      <c r="J1037" s="4">
        <f t="shared" si="812"/>
        <v>29000</v>
      </c>
      <c r="K1037" s="4">
        <f t="shared" si="818"/>
        <v>721</v>
      </c>
      <c r="L1037" s="65" t="e">
        <f t="shared" si="814"/>
        <v>#DIV/0!</v>
      </c>
      <c r="M1037" s="153">
        <v>4.6184000000000003</v>
      </c>
      <c r="N1037" s="67">
        <f t="shared" si="815"/>
        <v>91444.32</v>
      </c>
      <c r="O1037" s="67">
        <f>M1037*J1037</f>
        <v>133933.6</v>
      </c>
      <c r="P1037" s="1124"/>
    </row>
    <row r="1038" spans="2:16" x14ac:dyDescent="0.3">
      <c r="B1038" s="1119"/>
      <c r="C1038" s="1122"/>
      <c r="D1038" s="61" t="s">
        <v>130</v>
      </c>
      <c r="E1038" s="62">
        <v>0</v>
      </c>
      <c r="F1038" s="63">
        <f t="shared" si="817"/>
        <v>0</v>
      </c>
      <c r="G1038" s="63">
        <v>0</v>
      </c>
      <c r="H1038" s="64">
        <v>0</v>
      </c>
      <c r="I1038" s="79">
        <f t="shared" ref="I1038:I1052" si="819">J1038+K1038</f>
        <v>0</v>
      </c>
      <c r="J1038" s="4">
        <f t="shared" si="812"/>
        <v>0</v>
      </c>
      <c r="K1038" s="4">
        <f t="shared" si="818"/>
        <v>0</v>
      </c>
      <c r="L1038" s="65" t="e">
        <f t="shared" si="814"/>
        <v>#DIV/0!</v>
      </c>
      <c r="M1038" s="153">
        <v>4.6184000000000003</v>
      </c>
      <c r="N1038" s="67">
        <f t="shared" si="815"/>
        <v>0</v>
      </c>
      <c r="O1038" s="67">
        <f t="shared" ref="O1038:O1043" si="820">M1038*J1038</f>
        <v>0</v>
      </c>
      <c r="P1038" s="1124"/>
    </row>
    <row r="1039" spans="2:16" x14ac:dyDescent="0.3">
      <c r="B1039" s="1119"/>
      <c r="C1039" s="1122"/>
      <c r="D1039" s="61" t="s">
        <v>131</v>
      </c>
      <c r="E1039" s="62">
        <v>0</v>
      </c>
      <c r="F1039" s="63">
        <f t="shared" si="817"/>
        <v>0</v>
      </c>
      <c r="G1039" s="63">
        <v>0</v>
      </c>
      <c r="H1039" s="64">
        <v>0</v>
      </c>
      <c r="I1039" s="79">
        <f t="shared" si="819"/>
        <v>281684</v>
      </c>
      <c r="J1039" s="4">
        <f t="shared" si="812"/>
        <v>274275</v>
      </c>
      <c r="K1039" s="4">
        <f t="shared" si="818"/>
        <v>7409</v>
      </c>
      <c r="L1039" s="65" t="e">
        <f t="shared" si="814"/>
        <v>#DIV/0!</v>
      </c>
      <c r="M1039" s="153">
        <v>4.7636000000000003</v>
      </c>
      <c r="N1039" s="67">
        <f t="shared" si="815"/>
        <v>0</v>
      </c>
      <c r="O1039" s="67">
        <f t="shared" si="820"/>
        <v>1306536.3900000001</v>
      </c>
      <c r="P1039" s="1124"/>
    </row>
    <row r="1040" spans="2:16" x14ac:dyDescent="0.3">
      <c r="B1040" s="1119"/>
      <c r="C1040" s="1122"/>
      <c r="D1040" s="61" t="s">
        <v>86</v>
      </c>
      <c r="E1040" s="62">
        <v>0</v>
      </c>
      <c r="F1040" s="63">
        <f t="shared" si="817"/>
        <v>0</v>
      </c>
      <c r="G1040" s="63">
        <v>0</v>
      </c>
      <c r="H1040" s="64">
        <v>0</v>
      </c>
      <c r="I1040" s="79">
        <f t="shared" si="819"/>
        <v>0</v>
      </c>
      <c r="J1040" s="4">
        <f t="shared" si="812"/>
        <v>0</v>
      </c>
      <c r="K1040" s="4">
        <f t="shared" si="818"/>
        <v>0</v>
      </c>
      <c r="L1040" s="65" t="e">
        <f t="shared" si="814"/>
        <v>#DIV/0!</v>
      </c>
      <c r="M1040" s="66">
        <v>4.8738000000000001</v>
      </c>
      <c r="N1040" s="67">
        <f t="shared" si="815"/>
        <v>0</v>
      </c>
      <c r="O1040" s="67">
        <f t="shared" si="820"/>
        <v>0</v>
      </c>
      <c r="P1040" s="1124"/>
    </row>
    <row r="1041" spans="2:16" x14ac:dyDescent="0.3">
      <c r="B1041" s="1119"/>
      <c r="C1041" s="216" t="s">
        <v>135</v>
      </c>
      <c r="D1041" s="61" t="s">
        <v>131</v>
      </c>
      <c r="E1041" s="62"/>
      <c r="F1041" s="63">
        <f t="shared" si="817"/>
        <v>0</v>
      </c>
      <c r="G1041" s="63">
        <v>0</v>
      </c>
      <c r="H1041" s="64">
        <v>0</v>
      </c>
      <c r="I1041" s="79">
        <f t="shared" si="819"/>
        <v>0</v>
      </c>
      <c r="J1041" s="4">
        <f t="shared" si="812"/>
        <v>0</v>
      </c>
      <c r="K1041" s="4">
        <f t="shared" si="818"/>
        <v>0</v>
      </c>
      <c r="L1041" s="65"/>
      <c r="M1041" s="66">
        <v>4.8738000000000001</v>
      </c>
      <c r="N1041" s="67">
        <f t="shared" si="815"/>
        <v>0</v>
      </c>
      <c r="O1041" s="67">
        <f t="shared" si="820"/>
        <v>0</v>
      </c>
      <c r="P1041" s="1124"/>
    </row>
    <row r="1042" spans="2:16" x14ac:dyDescent="0.3">
      <c r="B1042" s="1119"/>
      <c r="C1042" s="1122" t="s">
        <v>87</v>
      </c>
      <c r="D1042" s="61" t="s">
        <v>80</v>
      </c>
      <c r="E1042" s="62">
        <v>0</v>
      </c>
      <c r="F1042" s="63">
        <f t="shared" si="817"/>
        <v>0</v>
      </c>
      <c r="G1042" s="63">
        <v>0</v>
      </c>
      <c r="H1042" s="64">
        <v>0</v>
      </c>
      <c r="I1042" s="79">
        <f t="shared" si="819"/>
        <v>197600</v>
      </c>
      <c r="J1042" s="4">
        <f t="shared" si="812"/>
        <v>194950</v>
      </c>
      <c r="K1042" s="4">
        <f t="shared" si="818"/>
        <v>2650</v>
      </c>
      <c r="L1042" s="65" t="e">
        <f t="shared" ref="L1042:L1052" si="821">+J1042/E1042</f>
        <v>#DIV/0!</v>
      </c>
      <c r="M1042" s="66">
        <v>4.9344999999999999</v>
      </c>
      <c r="N1042" s="67">
        <f t="shared" si="815"/>
        <v>0</v>
      </c>
      <c r="O1042" s="67">
        <f t="shared" si="820"/>
        <v>961980.77500000002</v>
      </c>
      <c r="P1042" s="1124"/>
    </row>
    <row r="1043" spans="2:16" x14ac:dyDescent="0.3">
      <c r="B1043" s="1119"/>
      <c r="C1043" s="1122"/>
      <c r="D1043" s="61" t="s">
        <v>142</v>
      </c>
      <c r="E1043" s="62"/>
      <c r="F1043" s="63">
        <f t="shared" si="817"/>
        <v>25559</v>
      </c>
      <c r="G1043" s="63">
        <v>25200</v>
      </c>
      <c r="H1043" s="64">
        <v>359</v>
      </c>
      <c r="I1043" s="79">
        <f t="shared" si="819"/>
        <v>87137</v>
      </c>
      <c r="J1043" s="4">
        <f t="shared" si="812"/>
        <v>83700</v>
      </c>
      <c r="K1043" s="4">
        <f t="shared" si="818"/>
        <v>3437</v>
      </c>
      <c r="L1043" s="65" t="e">
        <f t="shared" si="821"/>
        <v>#DIV/0!</v>
      </c>
      <c r="M1043" s="66">
        <v>4.9344999999999999</v>
      </c>
      <c r="N1043" s="67">
        <f t="shared" si="815"/>
        <v>124349.4</v>
      </c>
      <c r="O1043" s="67">
        <f t="shared" si="820"/>
        <v>413017.64999999997</v>
      </c>
      <c r="P1043" s="1124"/>
    </row>
    <row r="1044" spans="2:16" x14ac:dyDescent="0.3">
      <c r="B1044" s="1119"/>
      <c r="C1044" s="1122"/>
      <c r="D1044" s="61" t="s">
        <v>136</v>
      </c>
      <c r="E1044" s="62">
        <v>0</v>
      </c>
      <c r="F1044" s="63">
        <f t="shared" si="817"/>
        <v>0</v>
      </c>
      <c r="G1044" s="155">
        <v>0</v>
      </c>
      <c r="H1044" s="156">
        <v>0</v>
      </c>
      <c r="I1044" s="157">
        <f t="shared" si="819"/>
        <v>0</v>
      </c>
      <c r="J1044" s="4">
        <f t="shared" si="812"/>
        <v>0</v>
      </c>
      <c r="K1044" s="4">
        <f t="shared" si="818"/>
        <v>0</v>
      </c>
      <c r="L1044" s="158" t="e">
        <f t="shared" si="821"/>
        <v>#DIV/0!</v>
      </c>
      <c r="M1044" s="66">
        <v>4.9344999999999999</v>
      </c>
      <c r="N1044" s="159">
        <f t="shared" si="815"/>
        <v>0</v>
      </c>
      <c r="O1044" s="67">
        <f>M1044*J1044</f>
        <v>0</v>
      </c>
      <c r="P1044" s="1124"/>
    </row>
    <row r="1045" spans="2:16" x14ac:dyDescent="0.3">
      <c r="B1045" s="1119"/>
      <c r="C1045" s="1122" t="s">
        <v>88</v>
      </c>
      <c r="D1045" s="61" t="s">
        <v>80</v>
      </c>
      <c r="E1045" s="62">
        <v>0</v>
      </c>
      <c r="F1045" s="63">
        <f t="shared" si="817"/>
        <v>0</v>
      </c>
      <c r="G1045" s="63">
        <v>0</v>
      </c>
      <c r="H1045" s="64">
        <v>0</v>
      </c>
      <c r="I1045" s="79">
        <f t="shared" si="819"/>
        <v>138276</v>
      </c>
      <c r="J1045" s="4">
        <f t="shared" si="812"/>
        <v>130950</v>
      </c>
      <c r="K1045" s="4">
        <f t="shared" si="818"/>
        <v>7326</v>
      </c>
      <c r="L1045" s="65" t="e">
        <f t="shared" si="821"/>
        <v>#DIV/0!</v>
      </c>
      <c r="M1045" s="148">
        <v>5.5069999999999997</v>
      </c>
      <c r="N1045" s="67">
        <f t="shared" si="815"/>
        <v>0</v>
      </c>
      <c r="O1045" s="67">
        <f>M1045*J1045</f>
        <v>721141.64999999991</v>
      </c>
      <c r="P1045" s="1124"/>
    </row>
    <row r="1046" spans="2:16" x14ac:dyDescent="0.3">
      <c r="B1046" s="1119"/>
      <c r="C1046" s="1122"/>
      <c r="D1046" s="61" t="s">
        <v>119</v>
      </c>
      <c r="E1046" s="62">
        <v>0</v>
      </c>
      <c r="F1046" s="63">
        <f t="shared" si="817"/>
        <v>15714</v>
      </c>
      <c r="G1046" s="63">
        <v>15300</v>
      </c>
      <c r="H1046" s="64">
        <v>414</v>
      </c>
      <c r="I1046" s="79">
        <f t="shared" si="819"/>
        <v>111458</v>
      </c>
      <c r="J1046" s="4">
        <f t="shared" si="812"/>
        <v>107550</v>
      </c>
      <c r="K1046" s="4">
        <f t="shared" si="818"/>
        <v>3908</v>
      </c>
      <c r="L1046" s="65" t="e">
        <f t="shared" si="821"/>
        <v>#DIV/0!</v>
      </c>
      <c r="M1046" s="147">
        <v>5.6550000000000002</v>
      </c>
      <c r="N1046" s="67">
        <f t="shared" si="815"/>
        <v>86521.5</v>
      </c>
      <c r="O1046" s="67">
        <f>M1046*J1046</f>
        <v>608195.25</v>
      </c>
      <c r="P1046" s="1124"/>
    </row>
    <row r="1047" spans="2:16" x14ac:dyDescent="0.3">
      <c r="B1047" s="1119"/>
      <c r="C1047" s="1122"/>
      <c r="D1047" s="61" t="s">
        <v>125</v>
      </c>
      <c r="E1047" s="62">
        <v>0</v>
      </c>
      <c r="F1047" s="63">
        <f t="shared" si="817"/>
        <v>0</v>
      </c>
      <c r="G1047" s="63">
        <v>0</v>
      </c>
      <c r="H1047" s="64">
        <v>0</v>
      </c>
      <c r="I1047" s="79">
        <f t="shared" si="819"/>
        <v>0</v>
      </c>
      <c r="J1047" s="4">
        <f t="shared" si="812"/>
        <v>0</v>
      </c>
      <c r="K1047" s="4">
        <f t="shared" si="818"/>
        <v>0</v>
      </c>
      <c r="L1047" s="65" t="e">
        <f t="shared" si="821"/>
        <v>#DIV/0!</v>
      </c>
      <c r="M1047" s="152">
        <v>5.6550000000000002</v>
      </c>
      <c r="N1047" s="67">
        <f t="shared" si="815"/>
        <v>0</v>
      </c>
      <c r="O1047" s="67">
        <f>M1047*J1047</f>
        <v>0</v>
      </c>
      <c r="P1047" s="1124"/>
    </row>
    <row r="1048" spans="2:16" x14ac:dyDescent="0.3">
      <c r="B1048" s="1119"/>
      <c r="C1048" s="1122"/>
      <c r="D1048" s="61" t="s">
        <v>128</v>
      </c>
      <c r="E1048" s="62">
        <v>0</v>
      </c>
      <c r="F1048" s="63">
        <f t="shared" si="817"/>
        <v>0</v>
      </c>
      <c r="G1048" s="63">
        <v>0</v>
      </c>
      <c r="H1048" s="64">
        <v>0</v>
      </c>
      <c r="I1048" s="79">
        <f t="shared" si="819"/>
        <v>28324</v>
      </c>
      <c r="J1048" s="4">
        <f t="shared" si="812"/>
        <v>26710</v>
      </c>
      <c r="K1048" s="4">
        <f t="shared" si="818"/>
        <v>1614</v>
      </c>
      <c r="L1048" s="65" t="e">
        <f t="shared" si="821"/>
        <v>#DIV/0!</v>
      </c>
      <c r="M1048" s="66">
        <v>5.7885299999999997</v>
      </c>
      <c r="N1048" s="67">
        <f>+M1048*G1048</f>
        <v>0</v>
      </c>
      <c r="O1048" s="67">
        <f>M1048*J1048</f>
        <v>154611.63629999998</v>
      </c>
      <c r="P1048" s="1124"/>
    </row>
    <row r="1049" spans="2:16" x14ac:dyDescent="0.3">
      <c r="B1049" s="1119"/>
      <c r="C1049" s="1122"/>
      <c r="D1049" s="61" t="s">
        <v>143</v>
      </c>
      <c r="E1049" s="62">
        <v>0</v>
      </c>
      <c r="F1049" s="63">
        <f t="shared" si="817"/>
        <v>0</v>
      </c>
      <c r="G1049" s="63">
        <v>0</v>
      </c>
      <c r="H1049" s="64">
        <v>0</v>
      </c>
      <c r="I1049" s="79">
        <f t="shared" si="819"/>
        <v>0</v>
      </c>
      <c r="J1049" s="4">
        <f t="shared" si="812"/>
        <v>0</v>
      </c>
      <c r="K1049" s="4">
        <f t="shared" si="818"/>
        <v>0</v>
      </c>
      <c r="L1049" s="65" t="e">
        <f t="shared" si="821"/>
        <v>#DIV/0!</v>
      </c>
      <c r="M1049" s="152">
        <v>5.6550000000000002</v>
      </c>
      <c r="N1049" s="67">
        <f t="shared" ref="N1049:N1051" si="822">+M1049*G1049</f>
        <v>0</v>
      </c>
      <c r="O1049" s="67">
        <f t="shared" ref="O1049:O1052" si="823">M1049*J1049</f>
        <v>0</v>
      </c>
      <c r="P1049" s="1124"/>
    </row>
    <row r="1050" spans="2:16" x14ac:dyDescent="0.3">
      <c r="B1050" s="1119"/>
      <c r="C1050" s="216" t="s">
        <v>89</v>
      </c>
      <c r="D1050" s="61" t="s">
        <v>80</v>
      </c>
      <c r="E1050" s="62">
        <v>0</v>
      </c>
      <c r="F1050" s="63">
        <f t="shared" si="817"/>
        <v>0</v>
      </c>
      <c r="G1050" s="63">
        <v>0</v>
      </c>
      <c r="H1050" s="64">
        <v>0</v>
      </c>
      <c r="I1050" s="79">
        <f t="shared" si="819"/>
        <v>0</v>
      </c>
      <c r="J1050" s="4">
        <f t="shared" si="812"/>
        <v>0</v>
      </c>
      <c r="K1050" s="4">
        <f t="shared" si="818"/>
        <v>0</v>
      </c>
      <c r="L1050" s="65" t="e">
        <f t="shared" si="821"/>
        <v>#DIV/0!</v>
      </c>
      <c r="M1050" s="66">
        <v>3.2963</v>
      </c>
      <c r="N1050" s="67">
        <f t="shared" si="822"/>
        <v>0</v>
      </c>
      <c r="O1050" s="67">
        <f t="shared" si="823"/>
        <v>0</v>
      </c>
      <c r="P1050" s="1124"/>
    </row>
    <row r="1051" spans="2:16" x14ac:dyDescent="0.3">
      <c r="B1051" s="1119"/>
      <c r="C1051" s="216" t="s">
        <v>90</v>
      </c>
      <c r="D1051" s="61" t="s">
        <v>80</v>
      </c>
      <c r="E1051" s="62">
        <v>0</v>
      </c>
      <c r="F1051" s="63">
        <f t="shared" si="817"/>
        <v>0</v>
      </c>
      <c r="G1051" s="63">
        <v>0</v>
      </c>
      <c r="H1051" s="64">
        <v>0</v>
      </c>
      <c r="I1051" s="79">
        <f t="shared" si="819"/>
        <v>0</v>
      </c>
      <c r="J1051" s="4">
        <f t="shared" si="812"/>
        <v>0</v>
      </c>
      <c r="K1051" s="4">
        <f t="shared" si="818"/>
        <v>0</v>
      </c>
      <c r="L1051" s="65" t="e">
        <f t="shared" si="821"/>
        <v>#DIV/0!</v>
      </c>
      <c r="M1051" s="66">
        <v>3.2963</v>
      </c>
      <c r="N1051" s="67">
        <f t="shared" si="822"/>
        <v>0</v>
      </c>
      <c r="O1051" s="67">
        <f t="shared" si="823"/>
        <v>0</v>
      </c>
      <c r="P1051" s="1124"/>
    </row>
    <row r="1052" spans="2:16" ht="15" thickBot="1" x14ac:dyDescent="0.35">
      <c r="B1052" s="1119"/>
      <c r="C1052" s="68" t="s">
        <v>91</v>
      </c>
      <c r="D1052" s="69" t="s">
        <v>92</v>
      </c>
      <c r="E1052" s="70">
        <v>0</v>
      </c>
      <c r="F1052" s="71">
        <f t="shared" si="817"/>
        <v>0</v>
      </c>
      <c r="G1052" s="71">
        <v>0</v>
      </c>
      <c r="H1052" s="72">
        <v>0</v>
      </c>
      <c r="I1052" s="80">
        <f t="shared" si="819"/>
        <v>65030</v>
      </c>
      <c r="J1052" s="4">
        <f t="shared" si="812"/>
        <v>65000</v>
      </c>
      <c r="K1052" s="4">
        <f t="shared" si="818"/>
        <v>30</v>
      </c>
      <c r="L1052" s="65" t="e">
        <f t="shared" si="821"/>
        <v>#DIV/0!</v>
      </c>
      <c r="M1052" s="73">
        <v>2.3201000000000001</v>
      </c>
      <c r="N1052" s="74">
        <f t="shared" ref="N1052" si="824">M1052*G1052</f>
        <v>0</v>
      </c>
      <c r="O1052" s="74">
        <f t="shared" si="823"/>
        <v>150806.5</v>
      </c>
      <c r="P1052" s="1125"/>
    </row>
    <row r="1053" spans="2:16" ht="15" thickBot="1" x14ac:dyDescent="0.35">
      <c r="B1053" s="1120"/>
      <c r="C1053" s="1128" t="s">
        <v>106</v>
      </c>
      <c r="D1053" s="1129"/>
      <c r="E1053" s="1129"/>
      <c r="F1053" s="1129"/>
      <c r="G1053" s="1129"/>
      <c r="H1053" s="1130"/>
      <c r="I1053" s="116">
        <f>J1053+K1053</f>
        <v>1116865</v>
      </c>
      <c r="J1053" s="115">
        <f>SUM(J1025:J1052)</f>
        <v>1086355</v>
      </c>
      <c r="K1053" s="115">
        <f>SUM(K1025:K1052)</f>
        <v>30510</v>
      </c>
      <c r="L1053" s="114"/>
      <c r="M1053" s="113"/>
      <c r="N1053" s="114"/>
      <c r="O1053" s="97">
        <f>SUM(O1025:O1052)</f>
        <v>10636854.919299999</v>
      </c>
      <c r="P1053" s="96"/>
    </row>
    <row r="1054" spans="2:16" ht="15" thickBot="1" x14ac:dyDescent="0.35">
      <c r="B1054" s="100"/>
      <c r="C1054" s="101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  <c r="O1054" s="101"/>
      <c r="P1054" s="102"/>
    </row>
    <row r="1055" spans="2:16" ht="15" thickBot="1" x14ac:dyDescent="0.35">
      <c r="B1055" s="1113" t="s">
        <v>107</v>
      </c>
      <c r="C1055" s="1114"/>
      <c r="D1055" s="1114"/>
      <c r="E1055" s="1114"/>
      <c r="F1055" s="1114"/>
      <c r="G1055" s="1114"/>
      <c r="H1055" s="1114"/>
      <c r="I1055" s="1114"/>
      <c r="J1055" s="1114"/>
      <c r="K1055" s="1114"/>
      <c r="L1055" s="1114"/>
      <c r="M1055" s="1114"/>
      <c r="N1055" s="1115"/>
      <c r="O1055" s="103">
        <f>+O1053+O1024+O1009</f>
        <v>22879379.265299998</v>
      </c>
      <c r="P1055" s="96"/>
    </row>
  </sheetData>
  <mergeCells count="546">
    <mergeCell ref="B730:N730"/>
    <mergeCell ref="B699:H699"/>
    <mergeCell ref="B700:B728"/>
    <mergeCell ref="C700:C702"/>
    <mergeCell ref="P700:P727"/>
    <mergeCell ref="C703:C705"/>
    <mergeCell ref="C706:C707"/>
    <mergeCell ref="C708:C709"/>
    <mergeCell ref="C711:C715"/>
    <mergeCell ref="C717:C719"/>
    <mergeCell ref="C720:C724"/>
    <mergeCell ref="C728:H728"/>
    <mergeCell ref="B670:B682"/>
    <mergeCell ref="P670:P682"/>
    <mergeCell ref="C677:D677"/>
    <mergeCell ref="B683:D683"/>
    <mergeCell ref="B684:N684"/>
    <mergeCell ref="B685:B698"/>
    <mergeCell ref="P685:P691"/>
    <mergeCell ref="C693:C696"/>
    <mergeCell ref="P693:P697"/>
    <mergeCell ref="B667:B669"/>
    <mergeCell ref="C667:C669"/>
    <mergeCell ref="D667:D669"/>
    <mergeCell ref="E667:L667"/>
    <mergeCell ref="M667:O667"/>
    <mergeCell ref="P667:P669"/>
    <mergeCell ref="E668:E669"/>
    <mergeCell ref="F668:H668"/>
    <mergeCell ref="I668:K668"/>
    <mergeCell ref="L668:L669"/>
    <mergeCell ref="M668:M669"/>
    <mergeCell ref="N668:N669"/>
    <mergeCell ref="O668:O669"/>
    <mergeCell ref="B665:N665"/>
    <mergeCell ref="B634:H634"/>
    <mergeCell ref="B635:B663"/>
    <mergeCell ref="C635:C637"/>
    <mergeCell ref="P635:P662"/>
    <mergeCell ref="C638:C640"/>
    <mergeCell ref="C641:C642"/>
    <mergeCell ref="C643:C644"/>
    <mergeCell ref="C646:C650"/>
    <mergeCell ref="C652:C654"/>
    <mergeCell ref="C655:C659"/>
    <mergeCell ref="C663:H663"/>
    <mergeCell ref="B605:B617"/>
    <mergeCell ref="P605:P617"/>
    <mergeCell ref="C612:D612"/>
    <mergeCell ref="B618:D618"/>
    <mergeCell ref="B619:N619"/>
    <mergeCell ref="B620:B633"/>
    <mergeCell ref="P620:P626"/>
    <mergeCell ref="C628:C631"/>
    <mergeCell ref="P628:P632"/>
    <mergeCell ref="B602:B604"/>
    <mergeCell ref="C602:C604"/>
    <mergeCell ref="D602:D604"/>
    <mergeCell ref="E602:L602"/>
    <mergeCell ref="M602:O602"/>
    <mergeCell ref="P602:P604"/>
    <mergeCell ref="E603:E604"/>
    <mergeCell ref="F603:H603"/>
    <mergeCell ref="I603:K603"/>
    <mergeCell ref="L603:L604"/>
    <mergeCell ref="M603:M604"/>
    <mergeCell ref="N603:N604"/>
    <mergeCell ref="O603:O604"/>
    <mergeCell ref="B340:N340"/>
    <mergeCell ref="B309:H309"/>
    <mergeCell ref="B310:B338"/>
    <mergeCell ref="C310:C312"/>
    <mergeCell ref="P310:P337"/>
    <mergeCell ref="C313:C315"/>
    <mergeCell ref="C316:C317"/>
    <mergeCell ref="C318:C319"/>
    <mergeCell ref="C321:C325"/>
    <mergeCell ref="C327:C329"/>
    <mergeCell ref="C330:C334"/>
    <mergeCell ref="C338:H338"/>
    <mergeCell ref="B280:B292"/>
    <mergeCell ref="P280:P292"/>
    <mergeCell ref="C287:D287"/>
    <mergeCell ref="B293:D293"/>
    <mergeCell ref="B294:N294"/>
    <mergeCell ref="B295:B308"/>
    <mergeCell ref="P295:P301"/>
    <mergeCell ref="C303:C306"/>
    <mergeCell ref="P303:P307"/>
    <mergeCell ref="B277:B279"/>
    <mergeCell ref="C277:C279"/>
    <mergeCell ref="D277:D279"/>
    <mergeCell ref="E277:L277"/>
    <mergeCell ref="M277:O277"/>
    <mergeCell ref="P277:P279"/>
    <mergeCell ref="E278:E279"/>
    <mergeCell ref="F278:H278"/>
    <mergeCell ref="I278:K278"/>
    <mergeCell ref="L278:L279"/>
    <mergeCell ref="M278:M279"/>
    <mergeCell ref="N278:N279"/>
    <mergeCell ref="O278:O279"/>
    <mergeCell ref="B275:N275"/>
    <mergeCell ref="B244:H244"/>
    <mergeCell ref="B245:B273"/>
    <mergeCell ref="C245:C247"/>
    <mergeCell ref="P245:P272"/>
    <mergeCell ref="C248:C250"/>
    <mergeCell ref="C251:C252"/>
    <mergeCell ref="C253:C254"/>
    <mergeCell ref="C256:C260"/>
    <mergeCell ref="C262:C264"/>
    <mergeCell ref="C265:C269"/>
    <mergeCell ref="C273:H273"/>
    <mergeCell ref="B215:B227"/>
    <mergeCell ref="P215:P227"/>
    <mergeCell ref="C222:D222"/>
    <mergeCell ref="B228:D228"/>
    <mergeCell ref="B229:N229"/>
    <mergeCell ref="B230:B243"/>
    <mergeCell ref="P230:P236"/>
    <mergeCell ref="C238:C241"/>
    <mergeCell ref="P238:P242"/>
    <mergeCell ref="B212:B214"/>
    <mergeCell ref="C212:C214"/>
    <mergeCell ref="D212:D214"/>
    <mergeCell ref="E212:L212"/>
    <mergeCell ref="M212:O212"/>
    <mergeCell ref="P212:P214"/>
    <mergeCell ref="E213:E214"/>
    <mergeCell ref="F213:H213"/>
    <mergeCell ref="I213:K213"/>
    <mergeCell ref="L213:L214"/>
    <mergeCell ref="M213:M214"/>
    <mergeCell ref="N213:N214"/>
    <mergeCell ref="O213:O214"/>
    <mergeCell ref="B98:D98"/>
    <mergeCell ref="B99:N99"/>
    <mergeCell ref="B100:B113"/>
    <mergeCell ref="P100:P106"/>
    <mergeCell ref="C108:C111"/>
    <mergeCell ref="P108:P112"/>
    <mergeCell ref="B114:H114"/>
    <mergeCell ref="B145:N145"/>
    <mergeCell ref="B115:B143"/>
    <mergeCell ref="C115:C117"/>
    <mergeCell ref="P115:P142"/>
    <mergeCell ref="C118:C120"/>
    <mergeCell ref="C121:C122"/>
    <mergeCell ref="C123:C124"/>
    <mergeCell ref="C126:C130"/>
    <mergeCell ref="C132:C134"/>
    <mergeCell ref="C135:C139"/>
    <mergeCell ref="C143:H143"/>
    <mergeCell ref="P82:P84"/>
    <mergeCell ref="E83:E84"/>
    <mergeCell ref="F83:H83"/>
    <mergeCell ref="I83:K83"/>
    <mergeCell ref="L83:L84"/>
    <mergeCell ref="M83:M84"/>
    <mergeCell ref="N83:N84"/>
    <mergeCell ref="O83:O84"/>
    <mergeCell ref="B85:B97"/>
    <mergeCell ref="P85:P97"/>
    <mergeCell ref="C92:D92"/>
    <mergeCell ref="B13:O13"/>
    <mergeCell ref="B14:O14"/>
    <mergeCell ref="B17:B19"/>
    <mergeCell ref="C17:C19"/>
    <mergeCell ref="D17:D19"/>
    <mergeCell ref="E17:L17"/>
    <mergeCell ref="M17:O17"/>
    <mergeCell ref="B82:B84"/>
    <mergeCell ref="C82:C84"/>
    <mergeCell ref="D82:D84"/>
    <mergeCell ref="E82:L82"/>
    <mergeCell ref="M82:O82"/>
    <mergeCell ref="B20:B32"/>
    <mergeCell ref="B35:B48"/>
    <mergeCell ref="P20:P32"/>
    <mergeCell ref="C27:D27"/>
    <mergeCell ref="B33:D33"/>
    <mergeCell ref="B34:N34"/>
    <mergeCell ref="P17:P19"/>
    <mergeCell ref="E18:E19"/>
    <mergeCell ref="F18:H18"/>
    <mergeCell ref="I18:K18"/>
    <mergeCell ref="L18:L19"/>
    <mergeCell ref="M18:M19"/>
    <mergeCell ref="N18:N19"/>
    <mergeCell ref="O18:O19"/>
    <mergeCell ref="P35:P41"/>
    <mergeCell ref="C43:C46"/>
    <mergeCell ref="P43:P47"/>
    <mergeCell ref="B80:N80"/>
    <mergeCell ref="B49:H49"/>
    <mergeCell ref="B50:B78"/>
    <mergeCell ref="C50:C52"/>
    <mergeCell ref="P50:P77"/>
    <mergeCell ref="C53:C55"/>
    <mergeCell ref="C56:C57"/>
    <mergeCell ref="C58:C59"/>
    <mergeCell ref="C61:C65"/>
    <mergeCell ref="C67:C69"/>
    <mergeCell ref="C70:C74"/>
    <mergeCell ref="C78:H78"/>
    <mergeCell ref="P147:P149"/>
    <mergeCell ref="E148:E149"/>
    <mergeCell ref="F148:H148"/>
    <mergeCell ref="I148:K148"/>
    <mergeCell ref="L148:L149"/>
    <mergeCell ref="M148:M149"/>
    <mergeCell ref="N148:N149"/>
    <mergeCell ref="O148:O149"/>
    <mergeCell ref="B147:B149"/>
    <mergeCell ref="C147:C149"/>
    <mergeCell ref="D147:D149"/>
    <mergeCell ref="E147:L147"/>
    <mergeCell ref="M147:O147"/>
    <mergeCell ref="B165:B178"/>
    <mergeCell ref="P165:P171"/>
    <mergeCell ref="C173:C176"/>
    <mergeCell ref="P173:P177"/>
    <mergeCell ref="B179:H179"/>
    <mergeCell ref="B150:B162"/>
    <mergeCell ref="P150:P162"/>
    <mergeCell ref="C157:D157"/>
    <mergeCell ref="B163:D163"/>
    <mergeCell ref="B164:N164"/>
    <mergeCell ref="B210:N210"/>
    <mergeCell ref="B180:B208"/>
    <mergeCell ref="C180:C182"/>
    <mergeCell ref="P180:P207"/>
    <mergeCell ref="C183:C185"/>
    <mergeCell ref="C186:C187"/>
    <mergeCell ref="C188:C189"/>
    <mergeCell ref="C191:C195"/>
    <mergeCell ref="C197:C199"/>
    <mergeCell ref="C200:C204"/>
    <mergeCell ref="C208:H208"/>
    <mergeCell ref="B342:B344"/>
    <mergeCell ref="C342:C344"/>
    <mergeCell ref="D342:D344"/>
    <mergeCell ref="E342:L342"/>
    <mergeCell ref="M342:O342"/>
    <mergeCell ref="P342:P344"/>
    <mergeCell ref="E343:E344"/>
    <mergeCell ref="F343:H343"/>
    <mergeCell ref="I343:K343"/>
    <mergeCell ref="L343:L344"/>
    <mergeCell ref="M343:M344"/>
    <mergeCell ref="N343:N344"/>
    <mergeCell ref="O343:O344"/>
    <mergeCell ref="B345:B357"/>
    <mergeCell ref="P345:P357"/>
    <mergeCell ref="C352:D352"/>
    <mergeCell ref="B358:D358"/>
    <mergeCell ref="B359:N359"/>
    <mergeCell ref="B360:B373"/>
    <mergeCell ref="P360:P366"/>
    <mergeCell ref="C368:C371"/>
    <mergeCell ref="P368:P372"/>
    <mergeCell ref="B405:N405"/>
    <mergeCell ref="B374:H374"/>
    <mergeCell ref="B375:B403"/>
    <mergeCell ref="C375:C377"/>
    <mergeCell ref="P375:P402"/>
    <mergeCell ref="C378:C380"/>
    <mergeCell ref="C381:C382"/>
    <mergeCell ref="C383:C384"/>
    <mergeCell ref="C386:C390"/>
    <mergeCell ref="C392:C394"/>
    <mergeCell ref="C395:C399"/>
    <mergeCell ref="C403:H403"/>
    <mergeCell ref="B407:B409"/>
    <mergeCell ref="C407:C409"/>
    <mergeCell ref="D407:D409"/>
    <mergeCell ref="E407:L407"/>
    <mergeCell ref="M407:O407"/>
    <mergeCell ref="P407:P409"/>
    <mergeCell ref="E408:E409"/>
    <mergeCell ref="F408:H408"/>
    <mergeCell ref="I408:K408"/>
    <mergeCell ref="L408:L409"/>
    <mergeCell ref="M408:M409"/>
    <mergeCell ref="N408:N409"/>
    <mergeCell ref="O408:O409"/>
    <mergeCell ref="B410:B422"/>
    <mergeCell ref="P410:P422"/>
    <mergeCell ref="C417:D417"/>
    <mergeCell ref="B423:D423"/>
    <mergeCell ref="B424:N424"/>
    <mergeCell ref="B425:B438"/>
    <mergeCell ref="P425:P431"/>
    <mergeCell ref="C433:C436"/>
    <mergeCell ref="P433:P437"/>
    <mergeCell ref="B439:H439"/>
    <mergeCell ref="B440:B468"/>
    <mergeCell ref="C440:C442"/>
    <mergeCell ref="P440:P467"/>
    <mergeCell ref="C443:C445"/>
    <mergeCell ref="C446:C447"/>
    <mergeCell ref="C448:C449"/>
    <mergeCell ref="C451:C455"/>
    <mergeCell ref="C457:C459"/>
    <mergeCell ref="C460:C464"/>
    <mergeCell ref="C468:H468"/>
    <mergeCell ref="B470:N470"/>
    <mergeCell ref="B472:B474"/>
    <mergeCell ref="C472:C474"/>
    <mergeCell ref="D472:D474"/>
    <mergeCell ref="E472:L472"/>
    <mergeCell ref="M472:O472"/>
    <mergeCell ref="P472:P474"/>
    <mergeCell ref="E473:E474"/>
    <mergeCell ref="F473:H473"/>
    <mergeCell ref="I473:K473"/>
    <mergeCell ref="L473:L474"/>
    <mergeCell ref="M473:M474"/>
    <mergeCell ref="N473:N474"/>
    <mergeCell ref="O473:O474"/>
    <mergeCell ref="B475:B487"/>
    <mergeCell ref="P475:P487"/>
    <mergeCell ref="C482:D482"/>
    <mergeCell ref="B488:D488"/>
    <mergeCell ref="B489:N489"/>
    <mergeCell ref="B490:B503"/>
    <mergeCell ref="P490:P496"/>
    <mergeCell ref="C498:C501"/>
    <mergeCell ref="P498:P502"/>
    <mergeCell ref="B535:N535"/>
    <mergeCell ref="B504:H504"/>
    <mergeCell ref="B505:B533"/>
    <mergeCell ref="C505:C507"/>
    <mergeCell ref="P505:P532"/>
    <mergeCell ref="C508:C510"/>
    <mergeCell ref="C511:C512"/>
    <mergeCell ref="C513:C514"/>
    <mergeCell ref="C516:C520"/>
    <mergeCell ref="C522:C524"/>
    <mergeCell ref="C525:C529"/>
    <mergeCell ref="C533:H533"/>
    <mergeCell ref="B537:B539"/>
    <mergeCell ref="C537:C539"/>
    <mergeCell ref="D537:D539"/>
    <mergeCell ref="E537:L537"/>
    <mergeCell ref="M537:O537"/>
    <mergeCell ref="P537:P539"/>
    <mergeCell ref="E538:E539"/>
    <mergeCell ref="F538:H538"/>
    <mergeCell ref="I538:K538"/>
    <mergeCell ref="L538:L539"/>
    <mergeCell ref="M538:M539"/>
    <mergeCell ref="N538:N539"/>
    <mergeCell ref="O538:O539"/>
    <mergeCell ref="B540:B552"/>
    <mergeCell ref="P540:P552"/>
    <mergeCell ref="C547:D547"/>
    <mergeCell ref="B553:D553"/>
    <mergeCell ref="B554:N554"/>
    <mergeCell ref="B555:B568"/>
    <mergeCell ref="P555:P561"/>
    <mergeCell ref="C563:C566"/>
    <mergeCell ref="P563:P567"/>
    <mergeCell ref="B600:N600"/>
    <mergeCell ref="B569:H569"/>
    <mergeCell ref="B570:B598"/>
    <mergeCell ref="C570:C572"/>
    <mergeCell ref="P570:P597"/>
    <mergeCell ref="C573:C575"/>
    <mergeCell ref="C576:C577"/>
    <mergeCell ref="C578:C579"/>
    <mergeCell ref="C581:C585"/>
    <mergeCell ref="C587:C589"/>
    <mergeCell ref="C590:C594"/>
    <mergeCell ref="C598:H598"/>
    <mergeCell ref="B732:B734"/>
    <mergeCell ref="C732:C734"/>
    <mergeCell ref="D732:D734"/>
    <mergeCell ref="E732:L732"/>
    <mergeCell ref="M732:O732"/>
    <mergeCell ref="P732:P734"/>
    <mergeCell ref="E733:E734"/>
    <mergeCell ref="F733:H733"/>
    <mergeCell ref="I733:K733"/>
    <mergeCell ref="L733:L734"/>
    <mergeCell ref="M733:M734"/>
    <mergeCell ref="N733:N734"/>
    <mergeCell ref="O733:O734"/>
    <mergeCell ref="B735:B747"/>
    <mergeCell ref="P735:P747"/>
    <mergeCell ref="C742:D742"/>
    <mergeCell ref="B748:D748"/>
    <mergeCell ref="B749:N749"/>
    <mergeCell ref="B750:B763"/>
    <mergeCell ref="P750:P756"/>
    <mergeCell ref="C758:C761"/>
    <mergeCell ref="P758:P762"/>
    <mergeCell ref="B795:N795"/>
    <mergeCell ref="B764:H764"/>
    <mergeCell ref="B765:B793"/>
    <mergeCell ref="C765:C767"/>
    <mergeCell ref="P765:P792"/>
    <mergeCell ref="C768:C770"/>
    <mergeCell ref="C771:C772"/>
    <mergeCell ref="C773:C774"/>
    <mergeCell ref="C776:C780"/>
    <mergeCell ref="C782:C784"/>
    <mergeCell ref="C785:C789"/>
    <mergeCell ref="C793:H793"/>
    <mergeCell ref="B797:B799"/>
    <mergeCell ref="C797:C799"/>
    <mergeCell ref="D797:D799"/>
    <mergeCell ref="E797:L797"/>
    <mergeCell ref="M797:O797"/>
    <mergeCell ref="P797:P799"/>
    <mergeCell ref="E798:E799"/>
    <mergeCell ref="F798:H798"/>
    <mergeCell ref="I798:K798"/>
    <mergeCell ref="L798:L799"/>
    <mergeCell ref="M798:M799"/>
    <mergeCell ref="N798:N799"/>
    <mergeCell ref="O798:O799"/>
    <mergeCell ref="B800:B812"/>
    <mergeCell ref="P800:P812"/>
    <mergeCell ref="C807:D807"/>
    <mergeCell ref="B813:D813"/>
    <mergeCell ref="B814:N814"/>
    <mergeCell ref="B815:B828"/>
    <mergeCell ref="P815:P821"/>
    <mergeCell ref="C823:C826"/>
    <mergeCell ref="P823:P827"/>
    <mergeCell ref="B860:N860"/>
    <mergeCell ref="B829:H829"/>
    <mergeCell ref="B830:B858"/>
    <mergeCell ref="C830:C832"/>
    <mergeCell ref="P830:P857"/>
    <mergeCell ref="C833:C835"/>
    <mergeCell ref="C836:C837"/>
    <mergeCell ref="C838:C839"/>
    <mergeCell ref="C841:C845"/>
    <mergeCell ref="C847:C849"/>
    <mergeCell ref="C850:C854"/>
    <mergeCell ref="C858:H858"/>
    <mergeCell ref="B862:B864"/>
    <mergeCell ref="C862:C864"/>
    <mergeCell ref="D862:D864"/>
    <mergeCell ref="E862:L862"/>
    <mergeCell ref="M862:O862"/>
    <mergeCell ref="P862:P864"/>
    <mergeCell ref="E863:E864"/>
    <mergeCell ref="F863:H863"/>
    <mergeCell ref="I863:K863"/>
    <mergeCell ref="L863:L864"/>
    <mergeCell ref="M863:M864"/>
    <mergeCell ref="N863:N864"/>
    <mergeCell ref="O863:O864"/>
    <mergeCell ref="B865:B877"/>
    <mergeCell ref="P865:P877"/>
    <mergeCell ref="C872:D872"/>
    <mergeCell ref="B878:D878"/>
    <mergeCell ref="B879:N879"/>
    <mergeCell ref="B880:B893"/>
    <mergeCell ref="P880:P886"/>
    <mergeCell ref="C888:C891"/>
    <mergeCell ref="P888:P892"/>
    <mergeCell ref="B925:N925"/>
    <mergeCell ref="B894:H894"/>
    <mergeCell ref="B895:B923"/>
    <mergeCell ref="C895:C897"/>
    <mergeCell ref="P895:P922"/>
    <mergeCell ref="C898:C900"/>
    <mergeCell ref="C901:C902"/>
    <mergeCell ref="C903:C904"/>
    <mergeCell ref="C906:C910"/>
    <mergeCell ref="C912:C914"/>
    <mergeCell ref="C915:C919"/>
    <mergeCell ref="C923:H923"/>
    <mergeCell ref="B927:B929"/>
    <mergeCell ref="C927:C929"/>
    <mergeCell ref="D927:D929"/>
    <mergeCell ref="E927:L927"/>
    <mergeCell ref="M927:O927"/>
    <mergeCell ref="P927:P929"/>
    <mergeCell ref="E928:E929"/>
    <mergeCell ref="F928:H928"/>
    <mergeCell ref="I928:K928"/>
    <mergeCell ref="L928:L929"/>
    <mergeCell ref="M928:M929"/>
    <mergeCell ref="N928:N929"/>
    <mergeCell ref="O928:O929"/>
    <mergeCell ref="B930:B942"/>
    <mergeCell ref="P930:P942"/>
    <mergeCell ref="C937:D937"/>
    <mergeCell ref="B943:D943"/>
    <mergeCell ref="B944:N944"/>
    <mergeCell ref="B945:B958"/>
    <mergeCell ref="P945:P951"/>
    <mergeCell ref="C953:C956"/>
    <mergeCell ref="P953:P957"/>
    <mergeCell ref="B990:N990"/>
    <mergeCell ref="B959:H959"/>
    <mergeCell ref="B960:B988"/>
    <mergeCell ref="C960:C962"/>
    <mergeCell ref="P960:P987"/>
    <mergeCell ref="C963:C965"/>
    <mergeCell ref="C966:C967"/>
    <mergeCell ref="C968:C969"/>
    <mergeCell ref="C971:C975"/>
    <mergeCell ref="C977:C979"/>
    <mergeCell ref="C980:C984"/>
    <mergeCell ref="C988:H988"/>
    <mergeCell ref="B992:B994"/>
    <mergeCell ref="C992:C994"/>
    <mergeCell ref="D992:D994"/>
    <mergeCell ref="E992:L992"/>
    <mergeCell ref="M992:O992"/>
    <mergeCell ref="P992:P994"/>
    <mergeCell ref="E993:E994"/>
    <mergeCell ref="F993:H993"/>
    <mergeCell ref="I993:K993"/>
    <mergeCell ref="L993:L994"/>
    <mergeCell ref="M993:M994"/>
    <mergeCell ref="N993:N994"/>
    <mergeCell ref="O993:O994"/>
    <mergeCell ref="B995:B1007"/>
    <mergeCell ref="P995:P1007"/>
    <mergeCell ref="C1002:D1002"/>
    <mergeCell ref="B1008:D1008"/>
    <mergeCell ref="B1009:N1009"/>
    <mergeCell ref="B1010:B1023"/>
    <mergeCell ref="P1010:P1016"/>
    <mergeCell ref="C1018:C1021"/>
    <mergeCell ref="P1018:P1022"/>
    <mergeCell ref="B1055:N1055"/>
    <mergeCell ref="B1024:H1024"/>
    <mergeCell ref="B1025:B1053"/>
    <mergeCell ref="C1025:C1027"/>
    <mergeCell ref="P1025:P1052"/>
    <mergeCell ref="C1028:C1030"/>
    <mergeCell ref="C1031:C1032"/>
    <mergeCell ref="C1033:C1034"/>
    <mergeCell ref="C1036:C1040"/>
    <mergeCell ref="C1042:C1044"/>
    <mergeCell ref="C1045:C1049"/>
    <mergeCell ref="C1053:H1053"/>
  </mergeCells>
  <conditionalFormatting sqref="F35">
    <cfRule type="cellIs" dxfId="31" priority="31" operator="equal">
      <formula>0</formula>
    </cfRule>
  </conditionalFormatting>
  <conditionalFormatting sqref="F36:F41">
    <cfRule type="cellIs" dxfId="30" priority="32" operator="equal">
      <formula>0</formula>
    </cfRule>
  </conditionalFormatting>
  <conditionalFormatting sqref="F100">
    <cfRule type="cellIs" dxfId="29" priority="29" operator="equal">
      <formula>0</formula>
    </cfRule>
  </conditionalFormatting>
  <conditionalFormatting sqref="F101:F106">
    <cfRule type="cellIs" dxfId="28" priority="30" operator="equal">
      <formula>0</formula>
    </cfRule>
  </conditionalFormatting>
  <conditionalFormatting sqref="F165">
    <cfRule type="cellIs" dxfId="27" priority="27" operator="equal">
      <formula>0</formula>
    </cfRule>
  </conditionalFormatting>
  <conditionalFormatting sqref="F166:F171">
    <cfRule type="cellIs" dxfId="26" priority="28" operator="equal">
      <formula>0</formula>
    </cfRule>
  </conditionalFormatting>
  <conditionalFormatting sqref="F230">
    <cfRule type="cellIs" dxfId="25" priority="25" operator="equal">
      <formula>0</formula>
    </cfRule>
  </conditionalFormatting>
  <conditionalFormatting sqref="F231:F236">
    <cfRule type="cellIs" dxfId="24" priority="26" operator="equal">
      <formula>0</formula>
    </cfRule>
  </conditionalFormatting>
  <conditionalFormatting sqref="F295">
    <cfRule type="cellIs" dxfId="23" priority="23" operator="equal">
      <formula>0</formula>
    </cfRule>
  </conditionalFormatting>
  <conditionalFormatting sqref="F296:F301">
    <cfRule type="cellIs" dxfId="22" priority="24" operator="equal">
      <formula>0</formula>
    </cfRule>
  </conditionalFormatting>
  <conditionalFormatting sqref="F360">
    <cfRule type="cellIs" dxfId="21" priority="21" operator="equal">
      <formula>0</formula>
    </cfRule>
  </conditionalFormatting>
  <conditionalFormatting sqref="F361:F366">
    <cfRule type="cellIs" dxfId="20" priority="22" operator="equal">
      <formula>0</formula>
    </cfRule>
  </conditionalFormatting>
  <conditionalFormatting sqref="F425">
    <cfRule type="cellIs" dxfId="19" priority="19" operator="equal">
      <formula>0</formula>
    </cfRule>
  </conditionalFormatting>
  <conditionalFormatting sqref="F426:F431">
    <cfRule type="cellIs" dxfId="18" priority="20" operator="equal">
      <formula>0</formula>
    </cfRule>
  </conditionalFormatting>
  <conditionalFormatting sqref="F490">
    <cfRule type="cellIs" dxfId="17" priority="17" operator="equal">
      <formula>0</formula>
    </cfRule>
  </conditionalFormatting>
  <conditionalFormatting sqref="F491:F496">
    <cfRule type="cellIs" dxfId="16" priority="18" operator="equal">
      <formula>0</formula>
    </cfRule>
  </conditionalFormatting>
  <conditionalFormatting sqref="F555">
    <cfRule type="cellIs" dxfId="15" priority="15" operator="equal">
      <formula>0</formula>
    </cfRule>
  </conditionalFormatting>
  <conditionalFormatting sqref="F556:F561">
    <cfRule type="cellIs" dxfId="14" priority="16" operator="equal">
      <formula>0</formula>
    </cfRule>
  </conditionalFormatting>
  <conditionalFormatting sqref="F620">
    <cfRule type="cellIs" dxfId="13" priority="13" operator="equal">
      <formula>0</formula>
    </cfRule>
  </conditionalFormatting>
  <conditionalFormatting sqref="F621:F626">
    <cfRule type="cellIs" dxfId="12" priority="14" operator="equal">
      <formula>0</formula>
    </cfRule>
  </conditionalFormatting>
  <conditionalFormatting sqref="F685">
    <cfRule type="cellIs" dxfId="11" priority="11" operator="equal">
      <formula>0</formula>
    </cfRule>
  </conditionalFormatting>
  <conditionalFormatting sqref="F686:F691">
    <cfRule type="cellIs" dxfId="10" priority="12" operator="equal">
      <formula>0</formula>
    </cfRule>
  </conditionalFormatting>
  <conditionalFormatting sqref="F750">
    <cfRule type="cellIs" dxfId="9" priority="9" operator="equal">
      <formula>0</formula>
    </cfRule>
  </conditionalFormatting>
  <conditionalFormatting sqref="F751:F756">
    <cfRule type="cellIs" dxfId="8" priority="10" operator="equal">
      <formula>0</formula>
    </cfRule>
  </conditionalFormatting>
  <conditionalFormatting sqref="F815">
    <cfRule type="cellIs" dxfId="7" priority="7" operator="equal">
      <formula>0</formula>
    </cfRule>
  </conditionalFormatting>
  <conditionalFormatting sqref="F816:F821">
    <cfRule type="cellIs" dxfId="6" priority="8" operator="equal">
      <formula>0</formula>
    </cfRule>
  </conditionalFormatting>
  <conditionalFormatting sqref="F880">
    <cfRule type="cellIs" dxfId="5" priority="5" operator="equal">
      <formula>0</formula>
    </cfRule>
  </conditionalFormatting>
  <conditionalFormatting sqref="F881:F886">
    <cfRule type="cellIs" dxfId="4" priority="6" operator="equal">
      <formula>0</formula>
    </cfRule>
  </conditionalFormatting>
  <conditionalFormatting sqref="F945">
    <cfRule type="cellIs" dxfId="3" priority="3" operator="equal">
      <formula>0</formula>
    </cfRule>
  </conditionalFormatting>
  <conditionalFormatting sqref="F946:F951">
    <cfRule type="cellIs" dxfId="2" priority="4" operator="equal">
      <formula>0</formula>
    </cfRule>
  </conditionalFormatting>
  <conditionalFormatting sqref="F1010">
    <cfRule type="cellIs" dxfId="1" priority="1" operator="equal">
      <formula>0</formula>
    </cfRule>
  </conditionalFormatting>
  <conditionalFormatting sqref="F1011:F1016">
    <cfRule type="cellIs" dxfId="0" priority="2" operator="equal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10" orientation="landscape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01 Prod Physique Boites</vt:lpstr>
      <vt:lpstr>02 Prod Valorisée Boites</vt:lpstr>
      <vt:lpstr>03 Prod Accessoires</vt:lpstr>
      <vt:lpstr>04 Ventes</vt:lpstr>
      <vt:lpstr>05 Activité Consolidée</vt:lpstr>
      <vt:lpstr>06 TRS</vt:lpstr>
      <vt:lpstr>07 Graphique</vt:lpstr>
      <vt:lpstr>REFERENCE PU</vt:lpstr>
      <vt:lpstr>'01 Prod Physique Boites'!Print_Area</vt:lpstr>
      <vt:lpstr>'02 Prod Valorisée Boites'!Print_Area</vt:lpstr>
      <vt:lpstr>'03 Prod Accessoires'!Print_Area</vt:lpstr>
      <vt:lpstr>'04 Ventes'!Print_Area</vt:lpstr>
      <vt:lpstr>'05 Activité Consolidée'!Print_Area</vt:lpstr>
      <vt:lpstr>'06 TRS'!Print_Area</vt:lpstr>
      <vt:lpstr>'07 Graphique'!Print_Area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2022-01-11T10:50:43Z</dcterms:modified>
</cp:coreProperties>
</file>